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tail dataset of a global supe" sheetId="1" r:id="rId4"/>
    <sheet state="visible" name="Sheet1" sheetId="2" r:id="rId5"/>
    <sheet state="visible" name="Questions" sheetId="3" r:id="rId6"/>
    <sheet state="visible" name="Sheet4" sheetId="4" r:id="rId7"/>
    <sheet state="visible" name="Question 6" sheetId="5" r:id="rId8"/>
    <sheet state="visible" name="Question 9" sheetId="6" r:id="rId9"/>
    <sheet state="visible" name="CleanedDataset" sheetId="7" r:id="rId10"/>
    <sheet state="visible" name="Pivot Table 2" sheetId="8" r:id="rId11"/>
    <sheet state="visible" name="Dashboard" sheetId="9" r:id="rId12"/>
  </sheets>
  <definedNames>
    <definedName hidden="1" localSheetId="0" name="_xlnm._FilterDatabase">'Retail dataset of a global supe'!$A$1:$T$1502</definedName>
    <definedName hidden="1" localSheetId="1" name="_xlnm._FilterDatabase">Sheet1!$I$1:$I$1500</definedName>
    <definedName hidden="1" localSheetId="3" name="_xlnm._FilterDatabase">Sheet4!$A$1:$Z$1502</definedName>
    <definedName hidden="1" localSheetId="6" name="_xlnm._FilterDatabase">CleanedDataset!$A$1:$S$1500</definedName>
    <definedName hidden="1" localSheetId="6" name="Z_4DA6FFBA_0C7B_4784_8C1A_59CC939BAA3A_.wvu.FilterData">CleanedDataset!$A$1:$S$1500</definedName>
  </definedNames>
  <calcPr/>
  <customWorkbookViews>
    <customWorkbookView activeSheetId="0" maximized="1" windowHeight="0" windowWidth="0" guid="{4DA6FFBA-0C7B-4784-8C1A-59CC939BAA3A}" name="Filter 1"/>
  </customWorkbookViews>
  <pivotCaches>
    <pivotCache cacheId="0" r:id="rId13"/>
    <pivotCache cacheId="1" r:id="rId14"/>
  </pivotCaches>
</workbook>
</file>

<file path=xl/sharedStrings.xml><?xml version="1.0" encoding="utf-8"?>
<sst xmlns="http://schemas.openxmlformats.org/spreadsheetml/2006/main" count="48703" uniqueCount="3019">
  <si>
    <t>Order ID</t>
  </si>
  <si>
    <t>Order Date</t>
  </si>
  <si>
    <t>Order Month</t>
  </si>
  <si>
    <t>Ship Date</t>
  </si>
  <si>
    <t>Ship Mode</t>
  </si>
  <si>
    <t>Customer ID</t>
  </si>
  <si>
    <t>Customer Name</t>
  </si>
  <si>
    <t>Customer First Name</t>
  </si>
  <si>
    <t>Customer Surname</t>
  </si>
  <si>
    <t>Segment</t>
  </si>
  <si>
    <t>City</t>
  </si>
  <si>
    <t>State</t>
  </si>
  <si>
    <t>i'</t>
  </si>
  <si>
    <t>Postal Code</t>
  </si>
  <si>
    <t>Region</t>
  </si>
  <si>
    <t>Category</t>
  </si>
  <si>
    <t>Sales</t>
  </si>
  <si>
    <t>Quantity</t>
  </si>
  <si>
    <t>Cost</t>
  </si>
  <si>
    <t>CA-2017-152156</t>
  </si>
  <si>
    <t>Second Class</t>
  </si>
  <si>
    <t>CG-12520</t>
  </si>
  <si>
    <t>Claire Gute</t>
  </si>
  <si>
    <t>Consumer</t>
  </si>
  <si>
    <t>Henderson</t>
  </si>
  <si>
    <t>Kentucky</t>
  </si>
  <si>
    <t>South</t>
  </si>
  <si>
    <t>Furniture</t>
  </si>
  <si>
    <t>CA-2017-138688</t>
  </si>
  <si>
    <t>16/06/2017</t>
  </si>
  <si>
    <t>DV-13045</t>
  </si>
  <si>
    <t>Darrin Van Huff</t>
  </si>
  <si>
    <t>Darrin</t>
  </si>
  <si>
    <t>Van Huff</t>
  </si>
  <si>
    <t>Corporate</t>
  </si>
  <si>
    <t>Los Angeles</t>
  </si>
  <si>
    <t>california</t>
  </si>
  <si>
    <t>West</t>
  </si>
  <si>
    <t>Office Supplies</t>
  </si>
  <si>
    <t>US-2016-108966</t>
  </si>
  <si>
    <t>18/10/2016</t>
  </si>
  <si>
    <t>Standard Class</t>
  </si>
  <si>
    <t>SO-20335</t>
  </si>
  <si>
    <t>Sean O'Donnell</t>
  </si>
  <si>
    <t>Fort Lauderdale</t>
  </si>
  <si>
    <t>florida</t>
  </si>
  <si>
    <t>CA-2015-115812</t>
  </si>
  <si>
    <t>14/06/2015</t>
  </si>
  <si>
    <t>BH-11710</t>
  </si>
  <si>
    <t>Brosina Hoffman</t>
  </si>
  <si>
    <t>los angeles</t>
  </si>
  <si>
    <t>Technology</t>
  </si>
  <si>
    <t>California</t>
  </si>
  <si>
    <t>CA-2018-114412</t>
  </si>
  <si>
    <t>20/04/2018</t>
  </si>
  <si>
    <t>AA-10480</t>
  </si>
  <si>
    <t>Andrew Allen</t>
  </si>
  <si>
    <t>Concord</t>
  </si>
  <si>
    <t>North Carolina</t>
  </si>
  <si>
    <t>CA-2017-161389</t>
  </si>
  <si>
    <t>IM-15070</t>
  </si>
  <si>
    <t>Irene Maddox</t>
  </si>
  <si>
    <t>Seattle</t>
  </si>
  <si>
    <t>Washington</t>
  </si>
  <si>
    <t>US-2016-118983</t>
  </si>
  <si>
    <t>26/11/2016</t>
  </si>
  <si>
    <t>HP-14815</t>
  </si>
  <si>
    <t>Harold Pawlan</t>
  </si>
  <si>
    <t>Home Office</t>
  </si>
  <si>
    <t>Fort Worth</t>
  </si>
  <si>
    <t>Texas</t>
  </si>
  <si>
    <t>Central</t>
  </si>
  <si>
    <t>CA-2015-105893</t>
  </si>
  <si>
    <t>18/11/2015</t>
  </si>
  <si>
    <t>PK-19075</t>
  </si>
  <si>
    <t>Pete Kriz</t>
  </si>
  <si>
    <t>Madison</t>
  </si>
  <si>
    <t>Wisconsin</t>
  </si>
  <si>
    <t>CA-2015-167164</t>
  </si>
  <si>
    <t>15/05/2015</t>
  </si>
  <si>
    <t>AG-10270</t>
  </si>
  <si>
    <t>Alejandro Grove</t>
  </si>
  <si>
    <t>West Jordan</t>
  </si>
  <si>
    <t>Utah</t>
  </si>
  <si>
    <t>CA-2015-143336</t>
  </si>
  <si>
    <t>ZD-21925</t>
  </si>
  <si>
    <t>Zuschuss Donatelli</t>
  </si>
  <si>
    <t>San Francisco</t>
  </si>
  <si>
    <t>CA-2017-137330</t>
  </si>
  <si>
    <t>13/12/2017</t>
  </si>
  <si>
    <t>KB-16585</t>
  </si>
  <si>
    <t>Ken Black</t>
  </si>
  <si>
    <t>Fremont</t>
  </si>
  <si>
    <t>Nebraska</t>
  </si>
  <si>
    <t>US-2018-156909</t>
  </si>
  <si>
    <t>18/07/2018</t>
  </si>
  <si>
    <t>SF-20065</t>
  </si>
  <si>
    <t>Sandra Flanagan</t>
  </si>
  <si>
    <t>Philadelphia</t>
  </si>
  <si>
    <t>Pennsylvania</t>
  </si>
  <si>
    <t>East</t>
  </si>
  <si>
    <t>CA-2016-106320</t>
  </si>
  <si>
    <t>30/09/2016</t>
  </si>
  <si>
    <t>EB-13870</t>
  </si>
  <si>
    <t>Emily Burns</t>
  </si>
  <si>
    <t>Orem</t>
  </si>
  <si>
    <t>CA-2017-121755</t>
  </si>
  <si>
    <t>20/01/2017</t>
  </si>
  <si>
    <t>EH-13945</t>
  </si>
  <si>
    <t>Eric Hoffmann</t>
  </si>
  <si>
    <t>US-2016-150630</t>
  </si>
  <si>
    <t>21/09/2016</t>
  </si>
  <si>
    <t>TB-21520</t>
  </si>
  <si>
    <t>Tracy Blumstein</t>
  </si>
  <si>
    <t>PhilaDelphia</t>
  </si>
  <si>
    <t>CA-2018-107727</t>
  </si>
  <si>
    <t>23/10/2018</t>
  </si>
  <si>
    <t>MA-17560</t>
  </si>
  <si>
    <t>Matt Abelman</t>
  </si>
  <si>
    <t>houston</t>
  </si>
  <si>
    <t>CA-2017-117590</t>
  </si>
  <si>
    <t>First Class</t>
  </si>
  <si>
    <t>GH-14485</t>
  </si>
  <si>
    <t>Gene Hale</t>
  </si>
  <si>
    <t>Richardson</t>
  </si>
  <si>
    <t>CA-2016-117415</t>
  </si>
  <si>
    <t>31/12/2016</t>
  </si>
  <si>
    <t>SN-20710</t>
  </si>
  <si>
    <t>Steve Nguyen</t>
  </si>
  <si>
    <t>Houston</t>
  </si>
  <si>
    <t>CA-2018-120999</t>
  </si>
  <si>
    <t>15/09/2018</t>
  </si>
  <si>
    <t>LC-16930</t>
  </si>
  <si>
    <t>Linda Cazamias</t>
  </si>
  <si>
    <t>Naperville</t>
  </si>
  <si>
    <t>Illinois</t>
  </si>
  <si>
    <t>CA-2017-101343</t>
  </si>
  <si>
    <t>22/07/2017</t>
  </si>
  <si>
    <t>RA-19885</t>
  </si>
  <si>
    <t>Ruben Ausman</t>
  </si>
  <si>
    <t>CA-2018-139619</t>
  </si>
  <si>
    <t>23/09/2018</t>
  </si>
  <si>
    <t>ES-14080</t>
  </si>
  <si>
    <t>Erin Smith</t>
  </si>
  <si>
    <t>Melbourne</t>
  </si>
  <si>
    <t>Florida</t>
  </si>
  <si>
    <t>CA-2017-118255</t>
  </si>
  <si>
    <t>13/03/2017</t>
  </si>
  <si>
    <t>ON-18715</t>
  </si>
  <si>
    <t>Odella Nelson</t>
  </si>
  <si>
    <t>Eagan</t>
  </si>
  <si>
    <t>Minnesota</t>
  </si>
  <si>
    <t>CA-2015-146703</t>
  </si>
  <si>
    <t>25/10/2015</t>
  </si>
  <si>
    <t>PO-18865</t>
  </si>
  <si>
    <t>Patrick O'Donnell</t>
  </si>
  <si>
    <t>Westland</t>
  </si>
  <si>
    <t>Michigan</t>
  </si>
  <si>
    <t>CA-2017-169194</t>
  </si>
  <si>
    <t>25/06/2017</t>
  </si>
  <si>
    <t>LH-16900</t>
  </si>
  <si>
    <t>Lena Hernandez</t>
  </si>
  <si>
    <t>Dover</t>
  </si>
  <si>
    <t>Delaware</t>
  </si>
  <si>
    <t>CA-2016-115742</t>
  </si>
  <si>
    <t>22/04/2016</t>
  </si>
  <si>
    <t>DP-13000</t>
  </si>
  <si>
    <t>Darren Powers</t>
  </si>
  <si>
    <t>New Albany</t>
  </si>
  <si>
    <t>Indiana</t>
  </si>
  <si>
    <t>CA-2017-105816</t>
  </si>
  <si>
    <t>17/12/2017</t>
  </si>
  <si>
    <t>JM-15265</t>
  </si>
  <si>
    <t>Janet Molinari</t>
  </si>
  <si>
    <t>New York City</t>
  </si>
  <si>
    <t>New York</t>
  </si>
  <si>
    <t>CA-2017-111682</t>
  </si>
  <si>
    <t>18/06/2017</t>
  </si>
  <si>
    <t>TB-21055</t>
  </si>
  <si>
    <t>Ted Butterfield</t>
  </si>
  <si>
    <t>Troy</t>
  </si>
  <si>
    <t>CA-2016-135545</t>
  </si>
  <si>
    <t>30/11/2016</t>
  </si>
  <si>
    <t>KM-16720</t>
  </si>
  <si>
    <t>Kunst Miller</t>
  </si>
  <si>
    <t>US-2016-164175</t>
  </si>
  <si>
    <t>PS-18970</t>
  </si>
  <si>
    <t>Paul Stevenson</t>
  </si>
  <si>
    <t>Chicago</t>
  </si>
  <si>
    <t>CA-2015-106376</t>
  </si>
  <si>
    <t>BS-11590</t>
  </si>
  <si>
    <t>Brendan Sweed</t>
  </si>
  <si>
    <t>Gilbert</t>
  </si>
  <si>
    <t>Arizona</t>
  </si>
  <si>
    <t>CA-2017-119823</t>
  </si>
  <si>
    <t>KD-16270</t>
  </si>
  <si>
    <t>Karen Daniels</t>
  </si>
  <si>
    <t>Springfield</t>
  </si>
  <si>
    <t>Virginia</t>
  </si>
  <si>
    <t>CA-2017-106075</t>
  </si>
  <si>
    <t>23/09/2017</t>
  </si>
  <si>
    <t>HM-14980</t>
  </si>
  <si>
    <t>Henry MacAllister</t>
  </si>
  <si>
    <t>CA-2018-114440</t>
  </si>
  <si>
    <t>17/09/2018</t>
  </si>
  <si>
    <t>Jackson</t>
  </si>
  <si>
    <t>US-2016-134026</t>
  </si>
  <si>
    <t>JE-15745</t>
  </si>
  <si>
    <t>Joel Eaton</t>
  </si>
  <si>
    <t>Memphis</t>
  </si>
  <si>
    <t>Tennessee</t>
  </si>
  <si>
    <t>US-2018-118038</t>
  </si>
  <si>
    <t>KB-16600</t>
  </si>
  <si>
    <t>Ken Brennan</t>
  </si>
  <si>
    <t>US-2015-147606</t>
  </si>
  <si>
    <t>CA-2017-127208</t>
  </si>
  <si>
    <t>15/06/2017</t>
  </si>
  <si>
    <t>SC-20770</t>
  </si>
  <si>
    <t>Stewart Carmichael</t>
  </si>
  <si>
    <t>Decatur</t>
  </si>
  <si>
    <t>Alabama</t>
  </si>
  <si>
    <t>CA-2015-139451</t>
  </si>
  <si>
    <t>16/10/2015</t>
  </si>
  <si>
    <t>DN-13690</t>
  </si>
  <si>
    <t>Duane Noonan</t>
  </si>
  <si>
    <t>CA-2016-149734</t>
  </si>
  <si>
    <t>JC-16105</t>
  </si>
  <si>
    <t>Julie Creighton</t>
  </si>
  <si>
    <t>Durham</t>
  </si>
  <si>
    <t>US-2018-119662</t>
  </si>
  <si>
    <t>16/11/2018</t>
  </si>
  <si>
    <t>CS-12400</t>
  </si>
  <si>
    <t>Christopher Schild</t>
  </si>
  <si>
    <t>CA-2018-140088</t>
  </si>
  <si>
    <t>30/05/2018</t>
  </si>
  <si>
    <t>Columbia</t>
  </si>
  <si>
    <t>South Carolina</t>
  </si>
  <si>
    <t>CA-2018-155558</t>
  </si>
  <si>
    <t>PG-18895</t>
  </si>
  <si>
    <t>Paul Gonzalez</t>
  </si>
  <si>
    <t>Rochester</t>
  </si>
  <si>
    <t>CA-2017-159695</t>
  </si>
  <si>
    <t>GM-14455</t>
  </si>
  <si>
    <t>Gary Mitchum</t>
  </si>
  <si>
    <t>CA-2017-109806</t>
  </si>
  <si>
    <t>22/09/2017</t>
  </si>
  <si>
    <t>JS-15685</t>
  </si>
  <si>
    <t>Jim Sink</t>
  </si>
  <si>
    <t>CA-2016-149587</t>
  </si>
  <si>
    <t>KB-16315</t>
  </si>
  <si>
    <t>Karl Braun</t>
  </si>
  <si>
    <t>Minneapolis</t>
  </si>
  <si>
    <t>US-2018-109484</t>
  </si>
  <si>
    <t>RB-19705</t>
  </si>
  <si>
    <t>Roger Barcio</t>
  </si>
  <si>
    <t>Portland</t>
  </si>
  <si>
    <t>Oregon</t>
  </si>
  <si>
    <t>CA-2018-161018</t>
  </si>
  <si>
    <t>PN-18775</t>
  </si>
  <si>
    <t>Parhena Norris</t>
  </si>
  <si>
    <t>CA-2018-157833</t>
  </si>
  <si>
    <t>20/06/2018</t>
  </si>
  <si>
    <t>KD-16345</t>
  </si>
  <si>
    <t>Katherine Ducich</t>
  </si>
  <si>
    <t>CA-2017-149223</t>
  </si>
  <si>
    <t>ER-13855</t>
  </si>
  <si>
    <t>Elpida Rittenbach</t>
  </si>
  <si>
    <t>Saint Paul</t>
  </si>
  <si>
    <t>CA-2017-158568</t>
  </si>
  <si>
    <t>RB-19465</t>
  </si>
  <si>
    <t>Rick Bensley</t>
  </si>
  <si>
    <t>CA-2017-129903</t>
  </si>
  <si>
    <t>GZ-14470</t>
  </si>
  <si>
    <t>Gary Zandusky</t>
  </si>
  <si>
    <t>US-2016-156867</t>
  </si>
  <si>
    <t>17/11/2016</t>
  </si>
  <si>
    <t>LC-16870</t>
  </si>
  <si>
    <t>Lena Cacioppo</t>
  </si>
  <si>
    <t>Aurora</t>
  </si>
  <si>
    <t>Colorado</t>
  </si>
  <si>
    <t>CA-2018-119004</t>
  </si>
  <si>
    <t>28/11/2018</t>
  </si>
  <si>
    <t>JM-15250</t>
  </si>
  <si>
    <t>Janet Martin</t>
  </si>
  <si>
    <t>Charlotte</t>
  </si>
  <si>
    <t>CA-2016-129476</t>
  </si>
  <si>
    <t>20/10/2016</t>
  </si>
  <si>
    <t>PA-19060</t>
  </si>
  <si>
    <t>Pete Armstrong</t>
  </si>
  <si>
    <t>Orland Park</t>
  </si>
  <si>
    <t>CA-2018-146780</t>
  </si>
  <si>
    <t>30/12/2018</t>
  </si>
  <si>
    <t>CV-12805</t>
  </si>
  <si>
    <t>Cynthia Voltz</t>
  </si>
  <si>
    <t>CA-2017-128867</t>
  </si>
  <si>
    <t>CL-12565</t>
  </si>
  <si>
    <t>Clay Ludtke</t>
  </si>
  <si>
    <t>Urbandale</t>
  </si>
  <si>
    <t>Iowa</t>
  </si>
  <si>
    <t>CA-2015-115259</t>
  </si>
  <si>
    <t>27/08/2015</t>
  </si>
  <si>
    <t>RC-19960</t>
  </si>
  <si>
    <t>Ryan Crowe</t>
  </si>
  <si>
    <t>Columbus</t>
  </si>
  <si>
    <t>Ohio</t>
  </si>
  <si>
    <t>CA-2016-110457</t>
  </si>
  <si>
    <t>DK-13090</t>
  </si>
  <si>
    <t>Dave Kipp</t>
  </si>
  <si>
    <t>US-2016-136476</t>
  </si>
  <si>
    <t>GG-14650</t>
  </si>
  <si>
    <t>Greg Guthrie</t>
  </si>
  <si>
    <t>Bristol</t>
  </si>
  <si>
    <t>CA-2017-103730</t>
  </si>
  <si>
    <t>SC-20725</t>
  </si>
  <si>
    <t>Steven Cartwright</t>
  </si>
  <si>
    <t>Wilmington</t>
  </si>
  <si>
    <t>US-2015-152030</t>
  </si>
  <si>
    <t>28/12/2015</t>
  </si>
  <si>
    <t>AD-10180</t>
  </si>
  <si>
    <t>Alan Dominguez</t>
  </si>
  <si>
    <t>US-2015-134614</t>
  </si>
  <si>
    <t>25/09/2015</t>
  </si>
  <si>
    <t>PF-19165</t>
  </si>
  <si>
    <t>Philip Fox</t>
  </si>
  <si>
    <t>Bloomington</t>
  </si>
  <si>
    <t>US-2018-107272</t>
  </si>
  <si>
    <t>TS-21610</t>
  </si>
  <si>
    <t>Troy Staebel</t>
  </si>
  <si>
    <t>Phoenix</t>
  </si>
  <si>
    <t>US-2017-125969</t>
  </si>
  <si>
    <t>LS-16975</t>
  </si>
  <si>
    <t>Lindsay Shagiari</t>
  </si>
  <si>
    <t>US-2018-164147</t>
  </si>
  <si>
    <t>DW-13585</t>
  </si>
  <si>
    <t>Dorothy Wardle</t>
  </si>
  <si>
    <t>CA-2017-145583</t>
  </si>
  <si>
    <t>19/10/2017</t>
  </si>
  <si>
    <t>LC-16885</t>
  </si>
  <si>
    <t>Lena Creighton</t>
  </si>
  <si>
    <t>Roseville</t>
  </si>
  <si>
    <t>CA-2017-110366</t>
  </si>
  <si>
    <t>JD-15895</t>
  </si>
  <si>
    <t>Jonathan Doherty</t>
  </si>
  <si>
    <t>CA-2018-106180</t>
  </si>
  <si>
    <t>SH-19975</t>
  </si>
  <si>
    <t>Sally Hughsby</t>
  </si>
  <si>
    <t>CA-2018-155376</t>
  </si>
  <si>
    <t>27/12/2018</t>
  </si>
  <si>
    <t>SG-20080</t>
  </si>
  <si>
    <t>Sandra Glassco</t>
  </si>
  <si>
    <t>Independence</t>
  </si>
  <si>
    <t>Missouri</t>
  </si>
  <si>
    <t>CA-2016-110744</t>
  </si>
  <si>
    <t>HA-14920</t>
  </si>
  <si>
    <t>Helen Andreada</t>
  </si>
  <si>
    <t>Pasadena</t>
  </si>
  <si>
    <t>CA-2015-110072</t>
  </si>
  <si>
    <t>28/10/2015</t>
  </si>
  <si>
    <t>MG-17680</t>
  </si>
  <si>
    <t>Maureen Gastineau</t>
  </si>
  <si>
    <t>Newark</t>
  </si>
  <si>
    <t>CA-2017-114489</t>
  </si>
  <si>
    <t>JE-16165</t>
  </si>
  <si>
    <t>Justin Ellison</t>
  </si>
  <si>
    <t>Franklin</t>
  </si>
  <si>
    <t>CA-2017-158834</t>
  </si>
  <si>
    <t>16/03/2017</t>
  </si>
  <si>
    <t>TW-21025</t>
  </si>
  <si>
    <t>Tamara Willingham</t>
  </si>
  <si>
    <t>Scottsdale</t>
  </si>
  <si>
    <t>CA-2016-124919</t>
  </si>
  <si>
    <t>SP-20650</t>
  </si>
  <si>
    <t>Stephanie Phelps</t>
  </si>
  <si>
    <t>San Jose</t>
  </si>
  <si>
    <t>CA-2016-118948</t>
  </si>
  <si>
    <t>NK-18490</t>
  </si>
  <si>
    <t>Neil Knudson</t>
  </si>
  <si>
    <t>CA-2015-104269</t>
  </si>
  <si>
    <t>DB-13060</t>
  </si>
  <si>
    <t>Dave Brooks</t>
  </si>
  <si>
    <t>CA-2017-114104</t>
  </si>
  <si>
    <t>24/11/2017</t>
  </si>
  <si>
    <t>NP-18670</t>
  </si>
  <si>
    <t>Nora Paige</t>
  </si>
  <si>
    <t>Edmond</t>
  </si>
  <si>
    <t>Oklahoma</t>
  </si>
  <si>
    <t>CA-2017-162733</t>
  </si>
  <si>
    <t>TT-21070</t>
  </si>
  <si>
    <t>Ted Trevino</t>
  </si>
  <si>
    <t>CA-2016-119697</t>
  </si>
  <si>
    <t>EM-13960</t>
  </si>
  <si>
    <t>Eric Murdock</t>
  </si>
  <si>
    <t>CA-2017-154508</t>
  </si>
  <si>
    <t>20/11/2017</t>
  </si>
  <si>
    <t>RD-19900</t>
  </si>
  <si>
    <t>Ruben Dartt</t>
  </si>
  <si>
    <t>Carlsbad</t>
  </si>
  <si>
    <t>New Mexico</t>
  </si>
  <si>
    <t>CA-2017-113817</t>
  </si>
  <si>
    <t>MJ-17740</t>
  </si>
  <si>
    <t>Max Jones</t>
  </si>
  <si>
    <t>CA-2015-139892</t>
  </si>
  <si>
    <t>BM-11140</t>
  </si>
  <si>
    <t>Becky Martin</t>
  </si>
  <si>
    <t>San Antonio</t>
  </si>
  <si>
    <t>CA-2015-118962</t>
  </si>
  <si>
    <t>CS-12130</t>
  </si>
  <si>
    <t>Chad Sievert</t>
  </si>
  <si>
    <t>US-2015-100853</t>
  </si>
  <si>
    <t>19/09/2015</t>
  </si>
  <si>
    <t>JB-15400</t>
  </si>
  <si>
    <t>Jennifer Braxton</t>
  </si>
  <si>
    <t>US-2018-152366</t>
  </si>
  <si>
    <t>25/04/2018</t>
  </si>
  <si>
    <t>SJ-20500</t>
  </si>
  <si>
    <t>Shirley Jackson</t>
  </si>
  <si>
    <t>US-2016-101511</t>
  </si>
  <si>
    <t>23/11/2016</t>
  </si>
  <si>
    <t>CA-2016-137225</t>
  </si>
  <si>
    <t>19/12/2016</t>
  </si>
  <si>
    <t>JK-15640</t>
  </si>
  <si>
    <t>Jim Kriz</t>
  </si>
  <si>
    <t>CA-2015-166191</t>
  </si>
  <si>
    <t>DK-13150</t>
  </si>
  <si>
    <t>David Kendrick</t>
  </si>
  <si>
    <t>CA-2015-158274</t>
  </si>
  <si>
    <t>24/11/2015</t>
  </si>
  <si>
    <t>RM-19675</t>
  </si>
  <si>
    <t>Robert Marley</t>
  </si>
  <si>
    <t>Monroe</t>
  </si>
  <si>
    <t>Louisiana</t>
  </si>
  <si>
    <t>CA-2017-105018</t>
  </si>
  <si>
    <t>SK-19990</t>
  </si>
  <si>
    <t>Sally Knutson</t>
  </si>
  <si>
    <t>Fairfield</t>
  </si>
  <si>
    <t>Connecticut</t>
  </si>
  <si>
    <t>CA-2015-123260</t>
  </si>
  <si>
    <t>30/08/2015</t>
  </si>
  <si>
    <t>FM-14290</t>
  </si>
  <si>
    <t>Frank Merwin</t>
  </si>
  <si>
    <t>CA-2017-157000</t>
  </si>
  <si>
    <t>AM-10360</t>
  </si>
  <si>
    <t>Alice McCarthy</t>
  </si>
  <si>
    <t>Grand Prairie</t>
  </si>
  <si>
    <t>CA-2016-102281</t>
  </si>
  <si>
    <t>14/10/2016</t>
  </si>
  <si>
    <t>MP-17470</t>
  </si>
  <si>
    <t>Mark Packer</t>
  </si>
  <si>
    <t>CA-2016-131457</t>
  </si>
  <si>
    <t>MZ-17515</t>
  </si>
  <si>
    <t>Mary Zewe</t>
  </si>
  <si>
    <t>Redlands</t>
  </si>
  <si>
    <t>CA-2015-140004</t>
  </si>
  <si>
    <t>25/03/2015</t>
  </si>
  <si>
    <t>CB-12025</t>
  </si>
  <si>
    <t>Cassandra Brandow</t>
  </si>
  <si>
    <t>Hamilton</t>
  </si>
  <si>
    <t>CA-2018-107720</t>
  </si>
  <si>
    <t>13/11/2018</t>
  </si>
  <si>
    <t>VM-21685</t>
  </si>
  <si>
    <t>Valerie Mitchum</t>
  </si>
  <si>
    <t>Westfield</t>
  </si>
  <si>
    <t>New Jersey</t>
  </si>
  <si>
    <t>US-2018-124303</t>
  </si>
  <si>
    <t>13/07/2018</t>
  </si>
  <si>
    <t>FH-14365</t>
  </si>
  <si>
    <t>Fred Hopkins</t>
  </si>
  <si>
    <t>CA-2018-105074</t>
  </si>
  <si>
    <t>29/06/2018</t>
  </si>
  <si>
    <t>MB-17305</t>
  </si>
  <si>
    <t>Maria Bertelson</t>
  </si>
  <si>
    <t>Akron</t>
  </si>
  <si>
    <t>CA-2015-133690</t>
  </si>
  <si>
    <t>BS-11755</t>
  </si>
  <si>
    <t>Bruce Stewart</t>
  </si>
  <si>
    <t>Denver</t>
  </si>
  <si>
    <t>US-2018-116701</t>
  </si>
  <si>
    <t>21/12/2018</t>
  </si>
  <si>
    <t>LC-17140</t>
  </si>
  <si>
    <t>Logan Currie</t>
  </si>
  <si>
    <t>Dallas</t>
  </si>
  <si>
    <t>CA-2018-126382</t>
  </si>
  <si>
    <t>HK-14890</t>
  </si>
  <si>
    <t>Heather Kirkland</t>
  </si>
  <si>
    <t>CA-2018-108329</t>
  </si>
  <si>
    <t>14/12/2018</t>
  </si>
  <si>
    <t>LE-16810</t>
  </si>
  <si>
    <t>Laurel Elliston</t>
  </si>
  <si>
    <t>Whittier</t>
  </si>
  <si>
    <t>CA-2018-135860</t>
  </si>
  <si>
    <t>JH-15985</t>
  </si>
  <si>
    <t>Joseph Holt</t>
  </si>
  <si>
    <t>Saginaw</t>
  </si>
  <si>
    <t>CA-2016-101007</t>
  </si>
  <si>
    <t>13/02/2016</t>
  </si>
  <si>
    <t>MS-17980</t>
  </si>
  <si>
    <t>Michael Stewart</t>
  </si>
  <si>
    <t>CA-2016-146262</t>
  </si>
  <si>
    <t>VW-21775</t>
  </si>
  <si>
    <t>Victoria Wilson</t>
  </si>
  <si>
    <t>Medina</t>
  </si>
  <si>
    <t>CA-2017-130162</t>
  </si>
  <si>
    <t>JH-15910</t>
  </si>
  <si>
    <t>Jonathan Howell</t>
  </si>
  <si>
    <t>CA-2016-169397</t>
  </si>
  <si>
    <t>27/12/2016</t>
  </si>
  <si>
    <t>JB-15925</t>
  </si>
  <si>
    <t>Joni Blumstein</t>
  </si>
  <si>
    <t>Dublin</t>
  </si>
  <si>
    <t>CA-2016-163055</t>
  </si>
  <si>
    <t>16/08/2016</t>
  </si>
  <si>
    <t>DS-13180</t>
  </si>
  <si>
    <t>David Smith</t>
  </si>
  <si>
    <t>Detroit</t>
  </si>
  <si>
    <t>US-2016-145436</t>
  </si>
  <si>
    <t>VD-21670</t>
  </si>
  <si>
    <t>Valerie Dominguez</t>
  </si>
  <si>
    <t>US-2015-156216</t>
  </si>
  <si>
    <t>17/09/2015</t>
  </si>
  <si>
    <t>EA-14035</t>
  </si>
  <si>
    <t>Erin Ashbrook</t>
  </si>
  <si>
    <t>US-2018-100930</t>
  </si>
  <si>
    <t>Tampa</t>
  </si>
  <si>
    <t>CA-2018-160514</t>
  </si>
  <si>
    <t>DB-13120</t>
  </si>
  <si>
    <t>David Bremer</t>
  </si>
  <si>
    <t>Santa Clara</t>
  </si>
  <si>
    <t>CA-2017-157749</t>
  </si>
  <si>
    <t>KL-16645</t>
  </si>
  <si>
    <t>Ken Lonsdale</t>
  </si>
  <si>
    <t>CA-2015-131926</t>
  </si>
  <si>
    <t>DW-13480</t>
  </si>
  <si>
    <t>Dianna Wilson</t>
  </si>
  <si>
    <t>Lakeville</t>
  </si>
  <si>
    <t>CA-2017-154739</t>
  </si>
  <si>
    <t>15/12/2017</t>
  </si>
  <si>
    <t>LH-17155</t>
  </si>
  <si>
    <t>Logan Haushalter</t>
  </si>
  <si>
    <t>CA-2017-145625</t>
  </si>
  <si>
    <t>17/09/2017</t>
  </si>
  <si>
    <t>KC-16540</t>
  </si>
  <si>
    <t>Kelly Collister</t>
  </si>
  <si>
    <t>San Diego</t>
  </si>
  <si>
    <t>CA-2017-146941</t>
  </si>
  <si>
    <t>DL-13315</t>
  </si>
  <si>
    <t>Delfina Latchford</t>
  </si>
  <si>
    <t>US-2016-159982</t>
  </si>
  <si>
    <t>DR-12880</t>
  </si>
  <si>
    <t>Dan Reichenbach</t>
  </si>
  <si>
    <t>CA-2018-163139</t>
  </si>
  <si>
    <t>CC-12670</t>
  </si>
  <si>
    <t>Craig Carreira</t>
  </si>
  <si>
    <t>US-2018-155299</t>
  </si>
  <si>
    <t>Dl-13600</t>
  </si>
  <si>
    <t>Dorris liebe</t>
  </si>
  <si>
    <t>US-2015-106992</t>
  </si>
  <si>
    <t>21/09/2015</t>
  </si>
  <si>
    <t>SB-20290</t>
  </si>
  <si>
    <t>Sean Braxton</t>
  </si>
  <si>
    <t>CA-2017-125318</t>
  </si>
  <si>
    <t>13/06/2017</t>
  </si>
  <si>
    <t>RC-19825</t>
  </si>
  <si>
    <t>Roy Collins</t>
  </si>
  <si>
    <t>CA-2016-155040</t>
  </si>
  <si>
    <t>15/11/2016</t>
  </si>
  <si>
    <t>AH-10210</t>
  </si>
  <si>
    <t>Alan Hwang</t>
  </si>
  <si>
    <t>Brentwood</t>
  </si>
  <si>
    <t>CA-2018-136826</t>
  </si>
  <si>
    <t>CB-12535</t>
  </si>
  <si>
    <t>Claudia Bergmann</t>
  </si>
  <si>
    <t>Chapel Hill</t>
  </si>
  <si>
    <t>CA-2017-111010</t>
  </si>
  <si>
    <t>28/01/2017</t>
  </si>
  <si>
    <t>Morristown</t>
  </si>
  <si>
    <t>US-2018-145366</t>
  </si>
  <si>
    <t>13/12/2018</t>
  </si>
  <si>
    <t>CA-12310</t>
  </si>
  <si>
    <t>Christine Abelman</t>
  </si>
  <si>
    <t>Cincinnati</t>
  </si>
  <si>
    <t>CA-2018-163979</t>
  </si>
  <si>
    <t>KH-16690</t>
  </si>
  <si>
    <t>Kristen Hastings</t>
  </si>
  <si>
    <t>CA-2016-155334</t>
  </si>
  <si>
    <t>31/07/2016</t>
  </si>
  <si>
    <t>CA-2018-118136</t>
  </si>
  <si>
    <t>BB-10990</t>
  </si>
  <si>
    <t>Barry Blumstein</t>
  </si>
  <si>
    <t>Inglewood</t>
  </si>
  <si>
    <t>CA-2018-132976</t>
  </si>
  <si>
    <t>17/10/2018</t>
  </si>
  <si>
    <t>AG-10495</t>
  </si>
  <si>
    <t>Andrew Gjertsen</t>
  </si>
  <si>
    <t>US-2016-161991</t>
  </si>
  <si>
    <t>28/09/2016</t>
  </si>
  <si>
    <t>CA-2016-130890</t>
  </si>
  <si>
    <t>JO-15280</t>
  </si>
  <si>
    <t>Jas O'Carroll</t>
  </si>
  <si>
    <t>CA-2016-130883</t>
  </si>
  <si>
    <t>CA-2017-112697</t>
  </si>
  <si>
    <t>20/12/2017</t>
  </si>
  <si>
    <t>AH-10195</t>
  </si>
  <si>
    <t>Alan Haines</t>
  </si>
  <si>
    <t>Tamarac</t>
  </si>
  <si>
    <t>CA-2017-110772</t>
  </si>
  <si>
    <t>NZ-18565</t>
  </si>
  <si>
    <t>Nick Zandusky</t>
  </si>
  <si>
    <t>CA-2015-111451</t>
  </si>
  <si>
    <t>KL-16555</t>
  </si>
  <si>
    <t>Kelly Lampkin</t>
  </si>
  <si>
    <t>Colorado Springs</t>
  </si>
  <si>
    <t>CA-2017-142545</t>
  </si>
  <si>
    <t>Belleville</t>
  </si>
  <si>
    <t>US-2018-152380</t>
  </si>
  <si>
    <t>23/11/2018</t>
  </si>
  <si>
    <t>CA-2016-144253</t>
  </si>
  <si>
    <t>AS-10225</t>
  </si>
  <si>
    <t>Alan Schoenberger</t>
  </si>
  <si>
    <t>CA-2015-130960</t>
  </si>
  <si>
    <t>Taylor</t>
  </si>
  <si>
    <t>CA-2015-111003</t>
  </si>
  <si>
    <t>CR-12625</t>
  </si>
  <si>
    <t>Corey Roper</t>
  </si>
  <si>
    <t>Lakewood</t>
  </si>
  <si>
    <t>CA-2018-126774</t>
  </si>
  <si>
    <t>17/04/2018</t>
  </si>
  <si>
    <t>SH-20395</t>
  </si>
  <si>
    <t>Shahid Hopkins</t>
  </si>
  <si>
    <t>Arlington</t>
  </si>
  <si>
    <t>CA-2017-142902</t>
  </si>
  <si>
    <t>14/09/2017</t>
  </si>
  <si>
    <t>BP-11185</t>
  </si>
  <si>
    <t>Ben Peterman</t>
  </si>
  <si>
    <t>Arvada</t>
  </si>
  <si>
    <t>CA-2015-120887</t>
  </si>
  <si>
    <t>TS-21205</t>
  </si>
  <si>
    <t>Thomas Seio</t>
  </si>
  <si>
    <t>Hackensack</t>
  </si>
  <si>
    <t>CA-2015-167850</t>
  </si>
  <si>
    <t>16/08/2015</t>
  </si>
  <si>
    <t>AG-10525</t>
  </si>
  <si>
    <t>Andy Gerbode</t>
  </si>
  <si>
    <t>Saint Petersburg</t>
  </si>
  <si>
    <t>CA-2015-164259</t>
  </si>
  <si>
    <t>30/12/2015</t>
  </si>
  <si>
    <t>SP-20860</t>
  </si>
  <si>
    <t>Sung Pak</t>
  </si>
  <si>
    <t>CA-2015-164973</t>
  </si>
  <si>
    <t>NM-18445</t>
  </si>
  <si>
    <t>Nathan Mautz</t>
  </si>
  <si>
    <t>CA-2015-156601</t>
  </si>
  <si>
    <t>24/09/2015</t>
  </si>
  <si>
    <t>FA-14230</t>
  </si>
  <si>
    <t>Frank Atkinson</t>
  </si>
  <si>
    <t>Long Beach</t>
  </si>
  <si>
    <t>CA-2017-162138</t>
  </si>
  <si>
    <t>27/04/2017</t>
  </si>
  <si>
    <t>GK-14620</t>
  </si>
  <si>
    <t>Grace Kelly</t>
  </si>
  <si>
    <t>Hesperia</t>
  </si>
  <si>
    <t>CA-2018-153339</t>
  </si>
  <si>
    <t>DJ-13510</t>
  </si>
  <si>
    <t>Don Jones</t>
  </si>
  <si>
    <t>Murfreesboro</t>
  </si>
  <si>
    <t>US-2017-141544</t>
  </si>
  <si>
    <t>PO-18850</t>
  </si>
  <si>
    <t>Patrick O'Brill</t>
  </si>
  <si>
    <t>US-2017-150147</t>
  </si>
  <si>
    <t>29/04/2017</t>
  </si>
  <si>
    <t>JL-15850</t>
  </si>
  <si>
    <t>John Lucas</t>
  </si>
  <si>
    <t>CA-2016-137946</t>
  </si>
  <si>
    <t>DB-13615</t>
  </si>
  <si>
    <t>Doug Bickford</t>
  </si>
  <si>
    <t>CA-2015-129924</t>
  </si>
  <si>
    <t>17/07/2015</t>
  </si>
  <si>
    <t>AC-10420</t>
  </si>
  <si>
    <t>Alyssa Crouse</t>
  </si>
  <si>
    <t>CA-2016-128167</t>
  </si>
  <si>
    <t>26/06/2016</t>
  </si>
  <si>
    <t>Layton</t>
  </si>
  <si>
    <t>CA-2015-122336</t>
  </si>
  <si>
    <t>17/04/2015</t>
  </si>
  <si>
    <t>US-2016-120712</t>
  </si>
  <si>
    <t>24/12/2016</t>
  </si>
  <si>
    <t>Austin</t>
  </si>
  <si>
    <t>CA-2018-169901</t>
  </si>
  <si>
    <t>19/06/2018</t>
  </si>
  <si>
    <t>CC-12550</t>
  </si>
  <si>
    <t>Clay Cheatham</t>
  </si>
  <si>
    <t>CA-2018-134306</t>
  </si>
  <si>
    <t>TD-20995</t>
  </si>
  <si>
    <t>Tamara Dahlen</t>
  </si>
  <si>
    <t>Lowell</t>
  </si>
  <si>
    <t>Massachusetts</t>
  </si>
  <si>
    <t>CA-2017-129714</t>
  </si>
  <si>
    <t>AB-10060</t>
  </si>
  <si>
    <t>Adam Bellavance</t>
  </si>
  <si>
    <t>CA-2017-138520</t>
  </si>
  <si>
    <t>13/04/2017</t>
  </si>
  <si>
    <t>JL-15505</t>
  </si>
  <si>
    <t>Jeremy Lonsdale</t>
  </si>
  <si>
    <t>CA-2017-130001</t>
  </si>
  <si>
    <t>28/04/2017</t>
  </si>
  <si>
    <t>CA-2018-155698</t>
  </si>
  <si>
    <t>VB-21745</t>
  </si>
  <si>
    <t>Victoria Brennan</t>
  </si>
  <si>
    <t>Georgia</t>
  </si>
  <si>
    <t>CA-2018-144904</t>
  </si>
  <si>
    <t>KW-16435</t>
  </si>
  <si>
    <t>Katrina Willman</t>
  </si>
  <si>
    <t>CA-2015-123344</t>
  </si>
  <si>
    <t>29/09/2015</t>
  </si>
  <si>
    <t>JD-16060</t>
  </si>
  <si>
    <t>Julia Dunbar</t>
  </si>
  <si>
    <t>CA-2017-155516</t>
  </si>
  <si>
    <t>21/10/2017</t>
  </si>
  <si>
    <t>Same Day</t>
  </si>
  <si>
    <t>MK-17905</t>
  </si>
  <si>
    <t>Michael Kennedy</t>
  </si>
  <si>
    <t>Manchester</t>
  </si>
  <si>
    <t>CA-2018-104745</t>
  </si>
  <si>
    <t>GT-14755</t>
  </si>
  <si>
    <t>Guy Thornton</t>
  </si>
  <si>
    <t>Harlingen</t>
  </si>
  <si>
    <t>US-2015-119137</t>
  </si>
  <si>
    <t>27/07/2015</t>
  </si>
  <si>
    <t>AG-10900</t>
  </si>
  <si>
    <t>Arthur Gainer</t>
  </si>
  <si>
    <t>Tucson</t>
  </si>
  <si>
    <t>US-2017-134656</t>
  </si>
  <si>
    <t>MM-18280</t>
  </si>
  <si>
    <t>Muhammed MacIntyre</t>
  </si>
  <si>
    <t>Quincy</t>
  </si>
  <si>
    <t>US-2018-134481</t>
  </si>
  <si>
    <t>AR-10405</t>
  </si>
  <si>
    <t>Allen Rosenblatt</t>
  </si>
  <si>
    <t>CA-2016-130792</t>
  </si>
  <si>
    <t>RA-19915</t>
  </si>
  <si>
    <t>Russell Applegate</t>
  </si>
  <si>
    <t>CA-2017-134775</t>
  </si>
  <si>
    <t>29/10/2017</t>
  </si>
  <si>
    <t>AS-10285</t>
  </si>
  <si>
    <t>Alejandro Savely</t>
  </si>
  <si>
    <t>CA-2016-125395</t>
  </si>
  <si>
    <t>29/06/2016</t>
  </si>
  <si>
    <t>LA-16780</t>
  </si>
  <si>
    <t>Laura Armstrong</t>
  </si>
  <si>
    <t>US-2016-168935</t>
  </si>
  <si>
    <t>DO-13435</t>
  </si>
  <si>
    <t>Denny Ordway</t>
  </si>
  <si>
    <t>Pembroke Pines</t>
  </si>
  <si>
    <t>CA-2016-122756</t>
  </si>
  <si>
    <t>DK-13225</t>
  </si>
  <si>
    <t>Dean Katz</t>
  </si>
  <si>
    <t>CA-2015-115973</t>
  </si>
  <si>
    <t>26/11/2015</t>
  </si>
  <si>
    <t>NG-18430</t>
  </si>
  <si>
    <t>Nathan Gelder</t>
  </si>
  <si>
    <t>CA-2018-101798</t>
  </si>
  <si>
    <t>15/12/2018</t>
  </si>
  <si>
    <t>MV-18190</t>
  </si>
  <si>
    <t>Mike Vittorini</t>
  </si>
  <si>
    <t>US-2015-135972</t>
  </si>
  <si>
    <t>23/09/2015</t>
  </si>
  <si>
    <t>JG-15115</t>
  </si>
  <si>
    <t>Jack Garza</t>
  </si>
  <si>
    <t>Des Moines</t>
  </si>
  <si>
    <t>US-2015-134971</t>
  </si>
  <si>
    <t>BP-11095</t>
  </si>
  <si>
    <t>Bart Pistole</t>
  </si>
  <si>
    <t>Peoria</t>
  </si>
  <si>
    <t>CA-2018-102946</t>
  </si>
  <si>
    <t>VP-21730</t>
  </si>
  <si>
    <t>Victor Preis</t>
  </si>
  <si>
    <t>Las Vegas</t>
  </si>
  <si>
    <t>Nevada</t>
  </si>
  <si>
    <t>CA-2018-165603</t>
  </si>
  <si>
    <t>19/10/2018</t>
  </si>
  <si>
    <t>SS-20140</t>
  </si>
  <si>
    <t>Saphhira Shifley</t>
  </si>
  <si>
    <t>Warwick</t>
  </si>
  <si>
    <t>Rhode Island</t>
  </si>
  <si>
    <t>CA-2016-122259</t>
  </si>
  <si>
    <t>CA-2017-108987</t>
  </si>
  <si>
    <t>AG-10675</t>
  </si>
  <si>
    <t>Anna Gayman</t>
  </si>
  <si>
    <t>CA-2015-113166</t>
  </si>
  <si>
    <t>26/12/2015</t>
  </si>
  <si>
    <t>LF-17185</t>
  </si>
  <si>
    <t>Luke Foster</t>
  </si>
  <si>
    <t>Miami</t>
  </si>
  <si>
    <t>CA-2015-155208</t>
  </si>
  <si>
    <t>20/04/2015</t>
  </si>
  <si>
    <t>CA-2018-117933</t>
  </si>
  <si>
    <t>29/12/2018</t>
  </si>
  <si>
    <t>RF-19840</t>
  </si>
  <si>
    <t>Roy Französisch</t>
  </si>
  <si>
    <t>CA-2018-117457</t>
  </si>
  <si>
    <t>KH-16510</t>
  </si>
  <si>
    <t>Keith Herrera</t>
  </si>
  <si>
    <t>CA-2018-142636</t>
  </si>
  <si>
    <t>KC-16675</t>
  </si>
  <si>
    <t>Kimberly Carter</t>
  </si>
  <si>
    <t>CA-2018-122105</t>
  </si>
  <si>
    <t>28/06/2018</t>
  </si>
  <si>
    <t>CJ-12010</t>
  </si>
  <si>
    <t>Caroline Jumper</t>
  </si>
  <si>
    <t>Huntington Beach</t>
  </si>
  <si>
    <t>CA-2017-148796</t>
  </si>
  <si>
    <t>18/04/2017</t>
  </si>
  <si>
    <t>PB-19150</t>
  </si>
  <si>
    <t>Philip Brown</t>
  </si>
  <si>
    <t>CA-2018-154816</t>
  </si>
  <si>
    <t>Richmond</t>
  </si>
  <si>
    <t>CA-2018-110478</t>
  </si>
  <si>
    <t>CA-2015-142048</t>
  </si>
  <si>
    <t>25/06/2015</t>
  </si>
  <si>
    <t>Louisville</t>
  </si>
  <si>
    <t>CA-2018-125388</t>
  </si>
  <si>
    <t>MP-17965</t>
  </si>
  <si>
    <t>Michael Paige</t>
  </si>
  <si>
    <t>Lawrence</t>
  </si>
  <si>
    <t>CA-2018-155705</t>
  </si>
  <si>
    <t>23/08/2018</t>
  </si>
  <si>
    <t>NF-18385</t>
  </si>
  <si>
    <t>Natalie Fritzler</t>
  </si>
  <si>
    <t>Mississippi</t>
  </si>
  <si>
    <t>CA-2018-149160</t>
  </si>
  <si>
    <t>26/11/2018</t>
  </si>
  <si>
    <t>Canton</t>
  </si>
  <si>
    <t>CA-2015-101476</t>
  </si>
  <si>
    <t>13/09/2015</t>
  </si>
  <si>
    <t>SD-20485</t>
  </si>
  <si>
    <t>Shirley Daniels</t>
  </si>
  <si>
    <t>New Rochelle</t>
  </si>
  <si>
    <t>CA-2018-152275</t>
  </si>
  <si>
    <t>KH-16630</t>
  </si>
  <si>
    <t>Ken Heidel</t>
  </si>
  <si>
    <t>US-2017-123750</t>
  </si>
  <si>
    <t>21/04/2017</t>
  </si>
  <si>
    <t>RB-19795</t>
  </si>
  <si>
    <t>Ross Baird</t>
  </si>
  <si>
    <t>Gastonia</t>
  </si>
  <si>
    <t>CA-2017-127369</t>
  </si>
  <si>
    <t>US-2015-150574</t>
  </si>
  <si>
    <t>25/12/2015</t>
  </si>
  <si>
    <t>MK-18160</t>
  </si>
  <si>
    <t>Mike Kennedy</t>
  </si>
  <si>
    <t>Jacksonville</t>
  </si>
  <si>
    <t>CA-2017-147375</t>
  </si>
  <si>
    <t>14/06/2017</t>
  </si>
  <si>
    <t>PO-19180</t>
  </si>
  <si>
    <t>Philisse Overcash</t>
  </si>
  <si>
    <t>CA-2018-130043</t>
  </si>
  <si>
    <t>19/09/2018</t>
  </si>
  <si>
    <t>BB-11545</t>
  </si>
  <si>
    <t>Brenda Bowman</t>
  </si>
  <si>
    <t>CA-2018-157252</t>
  </si>
  <si>
    <t>23/01/2018</t>
  </si>
  <si>
    <t>CA-2017-115756</t>
  </si>
  <si>
    <t>CA-2018-154214</t>
  </si>
  <si>
    <t>25/03/2018</t>
  </si>
  <si>
    <t>TB-21595</t>
  </si>
  <si>
    <t>Troy Blackwell</t>
  </si>
  <si>
    <t>CA-2017-166674</t>
  </si>
  <si>
    <t>RB-19360</t>
  </si>
  <si>
    <t>Raymond Buch</t>
  </si>
  <si>
    <t>Auburn</t>
  </si>
  <si>
    <t>CA-2018-147277</t>
  </si>
  <si>
    <t>24/10/2018</t>
  </si>
  <si>
    <t>EB-13705</t>
  </si>
  <si>
    <t>Ed Braxton</t>
  </si>
  <si>
    <t>CA-2017-100153</t>
  </si>
  <si>
    <t>Norman</t>
  </si>
  <si>
    <t>US-2015-110674</t>
  </si>
  <si>
    <t>18/02/2015</t>
  </si>
  <si>
    <t>SC-20095</t>
  </si>
  <si>
    <t>Sanjit Chand</t>
  </si>
  <si>
    <t>US-2017-157945</t>
  </si>
  <si>
    <t>CA-2016-109638</t>
  </si>
  <si>
    <t>22/12/2016</t>
  </si>
  <si>
    <t>CA-2017-109869</t>
  </si>
  <si>
    <t>TN-21040</t>
  </si>
  <si>
    <t>Tanja Norvell</t>
  </si>
  <si>
    <t>US-2016-101399</t>
  </si>
  <si>
    <t>24/01/2016</t>
  </si>
  <si>
    <t>JS-15940</t>
  </si>
  <si>
    <t>Joni Sundaresam</t>
  </si>
  <si>
    <t>Park Ridge</t>
  </si>
  <si>
    <t>CA-2018-154907</t>
  </si>
  <si>
    <t>Amarillo</t>
  </si>
  <si>
    <t>US-2017-100419</t>
  </si>
  <si>
    <t>CA-2016-154144</t>
  </si>
  <si>
    <t>MH-17785</t>
  </si>
  <si>
    <t>Maya Herman</t>
  </si>
  <si>
    <t>Lindenhurst</t>
  </si>
  <si>
    <t>CA-2015-144666</t>
  </si>
  <si>
    <t>JP-15520</t>
  </si>
  <si>
    <t>Jeremy Pistek</t>
  </si>
  <si>
    <t>CA-2017-103891</t>
  </si>
  <si>
    <t>19/07/2017</t>
  </si>
  <si>
    <t>CA-2017-152632</t>
  </si>
  <si>
    <t>JE-15475</t>
  </si>
  <si>
    <t>Jeremy Ellison</t>
  </si>
  <si>
    <t>CA-2017-100790</t>
  </si>
  <si>
    <t>JG-15805</t>
  </si>
  <si>
    <t>John Grady</t>
  </si>
  <si>
    <t>CA-2015-134677</t>
  </si>
  <si>
    <t>XP-21865</t>
  </si>
  <si>
    <t>Xylona Preis</t>
  </si>
  <si>
    <t>CA-2015-127691</t>
  </si>
  <si>
    <t>EM-14065</t>
  </si>
  <si>
    <t>Erin Mull</t>
  </si>
  <si>
    <t>CA-2018-140963</t>
  </si>
  <si>
    <t>13/06/2018</t>
  </si>
  <si>
    <t>MT-18070</t>
  </si>
  <si>
    <t>Michelle Tran</t>
  </si>
  <si>
    <t>CA-2015-154627</t>
  </si>
  <si>
    <t>31/10/2015</t>
  </si>
  <si>
    <t>SA-20830</t>
  </si>
  <si>
    <t>Sue Ann Reed</t>
  </si>
  <si>
    <t>Sue</t>
  </si>
  <si>
    <t>Ann Reed</t>
  </si>
  <si>
    <t>CA-2015-133753</t>
  </si>
  <si>
    <t>13/06/2015</t>
  </si>
  <si>
    <t>CW-11905</t>
  </si>
  <si>
    <t>Carl Weiss</t>
  </si>
  <si>
    <t>Huntsville</t>
  </si>
  <si>
    <t>CA-2015-113362</t>
  </si>
  <si>
    <t>AJ-10960</t>
  </si>
  <si>
    <t>Astrea Jones</t>
  </si>
  <si>
    <t>CA-2017-169166</t>
  </si>
  <si>
    <t>14/05/2017</t>
  </si>
  <si>
    <t>SS-20590</t>
  </si>
  <si>
    <t>Sonia Sunley</t>
  </si>
  <si>
    <t>US-2017-120929</t>
  </si>
  <si>
    <t>21/03/2017</t>
  </si>
  <si>
    <t>RO-19780</t>
  </si>
  <si>
    <t>Rose O'Brian</t>
  </si>
  <si>
    <t>CA-2016-134782</t>
  </si>
  <si>
    <t>MD-17350</t>
  </si>
  <si>
    <t>Maribeth Dona</t>
  </si>
  <si>
    <t>Fayetteville</t>
  </si>
  <si>
    <t>Arkansas</t>
  </si>
  <si>
    <t>CA-2017-126158</t>
  </si>
  <si>
    <t>31/07/2017</t>
  </si>
  <si>
    <t>Costa Mesa</t>
  </si>
  <si>
    <t>US-2017-105578</t>
  </si>
  <si>
    <t>MY-17380</t>
  </si>
  <si>
    <t>Maribeth Yedwab</t>
  </si>
  <si>
    <t>Parker</t>
  </si>
  <si>
    <t>CA-2018-134978</t>
  </si>
  <si>
    <t>15/11/2018</t>
  </si>
  <si>
    <t>CA-2016-145352</t>
  </si>
  <si>
    <t>22/03/2016</t>
  </si>
  <si>
    <t>CM-12385</t>
  </si>
  <si>
    <t>Christopher Martinez</t>
  </si>
  <si>
    <t>Atlanta</t>
  </si>
  <si>
    <t>CA-2018-135307</t>
  </si>
  <si>
    <t>27/11/2018</t>
  </si>
  <si>
    <t>LS-17245</t>
  </si>
  <si>
    <t>Lynn Smith</t>
  </si>
  <si>
    <t>Gladstone</t>
  </si>
  <si>
    <t>CA-2017-106341</t>
  </si>
  <si>
    <t>23/10/2017</t>
  </si>
  <si>
    <t>CA-2018-163405</t>
  </si>
  <si>
    <t>25/12/2018</t>
  </si>
  <si>
    <t>BN-11515</t>
  </si>
  <si>
    <t>Bradley Nguyen</t>
  </si>
  <si>
    <t>CA-2018-127432</t>
  </si>
  <si>
    <t>27/01/2018</t>
  </si>
  <si>
    <t>Great Falls</t>
  </si>
  <si>
    <t>Montana</t>
  </si>
  <si>
    <t>CA-2016-157812</t>
  </si>
  <si>
    <t>26/03/2016</t>
  </si>
  <si>
    <t>DB-13210</t>
  </si>
  <si>
    <t>Dean Braden</t>
  </si>
  <si>
    <t>CA-2018-145142</t>
  </si>
  <si>
    <t>25/01/2018</t>
  </si>
  <si>
    <t>MC-17605</t>
  </si>
  <si>
    <t>Matt Connell</t>
  </si>
  <si>
    <t>US-2017-139486</t>
  </si>
  <si>
    <t>23/05/2017</t>
  </si>
  <si>
    <t>CA-2016-158792</t>
  </si>
  <si>
    <t>BD-11605</t>
  </si>
  <si>
    <t>Brian Dahlen</t>
  </si>
  <si>
    <t>CA-2018-113558</t>
  </si>
  <si>
    <t>26/10/2018</t>
  </si>
  <si>
    <t>PH-18790</t>
  </si>
  <si>
    <t>Patricia Hirasaki</t>
  </si>
  <si>
    <t>Lakeland</t>
  </si>
  <si>
    <t>US-2016-138303</t>
  </si>
  <si>
    <t>MG-18145</t>
  </si>
  <si>
    <t>Mike Gockenbach</t>
  </si>
  <si>
    <t>CA-2016-102848</t>
  </si>
  <si>
    <t>KB-16240</t>
  </si>
  <si>
    <t>Karen Bern</t>
  </si>
  <si>
    <t>US-2018-129441</t>
  </si>
  <si>
    <t>JC-15340</t>
  </si>
  <si>
    <t>Jasper Cacioppo</t>
  </si>
  <si>
    <t>CA-2017-168753</t>
  </si>
  <si>
    <t>RL-19615</t>
  </si>
  <si>
    <t>Rob Lucas</t>
  </si>
  <si>
    <t>Montgomery</t>
  </si>
  <si>
    <t>CA-2017-126613</t>
  </si>
  <si>
    <t>16/07/2017</t>
  </si>
  <si>
    <t>AA-10375</t>
  </si>
  <si>
    <t>Allen Armold</t>
  </si>
  <si>
    <t>Mesa</t>
  </si>
  <si>
    <t>US-2018-122637</t>
  </si>
  <si>
    <t>EP-13915</t>
  </si>
  <si>
    <t>Emily Phan</t>
  </si>
  <si>
    <t>CA-2016-147851</t>
  </si>
  <si>
    <t>CA-2016-134894</t>
  </si>
  <si>
    <t>DK-12985</t>
  </si>
  <si>
    <t>Darren Koutras</t>
  </si>
  <si>
    <t>CA-2015-140795</t>
  </si>
  <si>
    <t>BD-11500</t>
  </si>
  <si>
    <t>Bradley Drucker</t>
  </si>
  <si>
    <t>Green Bay</t>
  </si>
  <si>
    <t>CA-2017-136924</t>
  </si>
  <si>
    <t>17/07/2017</t>
  </si>
  <si>
    <t>US-2016-120161</t>
  </si>
  <si>
    <t>23/12/2016</t>
  </si>
  <si>
    <t>LM-17065</t>
  </si>
  <si>
    <t>Liz MacKendrick</t>
  </si>
  <si>
    <t>CA-2015-103849</t>
  </si>
  <si>
    <t>16/05/2015</t>
  </si>
  <si>
    <t>CA-2018-162929</t>
  </si>
  <si>
    <t>22/11/2018</t>
  </si>
  <si>
    <t>AS-10135</t>
  </si>
  <si>
    <t>Adrian Shami</t>
  </si>
  <si>
    <t>CA-2016-113173</t>
  </si>
  <si>
    <t>CA-2017-136406</t>
  </si>
  <si>
    <t>17/04/2017</t>
  </si>
  <si>
    <t>BD-11320</t>
  </si>
  <si>
    <t>Bill Donatelli</t>
  </si>
  <si>
    <t>CA-2018-112774</t>
  </si>
  <si>
    <t>CA-2018-101945</t>
  </si>
  <si>
    <t>GT-14710</t>
  </si>
  <si>
    <t>Greg Tran</t>
  </si>
  <si>
    <t>CA-2018-100650</t>
  </si>
  <si>
    <t>Anaheim</t>
  </si>
  <si>
    <t>CA-2015-155852</t>
  </si>
  <si>
    <t>AJ-10945</t>
  </si>
  <si>
    <t>Ashley Jarboe</t>
  </si>
  <si>
    <t>CA-2017-113243</t>
  </si>
  <si>
    <t>OT-18730</t>
  </si>
  <si>
    <t>Olvera Toch</t>
  </si>
  <si>
    <t>CA-2018-118731</t>
  </si>
  <si>
    <t>LP-17080</t>
  </si>
  <si>
    <t>Liz Pelletier</t>
  </si>
  <si>
    <t>CA-2015-145576</t>
  </si>
  <si>
    <t>18/09/2015</t>
  </si>
  <si>
    <t>CA-12775</t>
  </si>
  <si>
    <t>Cynthia Arntzen</t>
  </si>
  <si>
    <t>CA-2016-130736</t>
  </si>
  <si>
    <t>JF-15490</t>
  </si>
  <si>
    <t>Jeremy Farry</t>
  </si>
  <si>
    <t>CA-2018-137099</t>
  </si>
  <si>
    <t>FP-14320</t>
  </si>
  <si>
    <t>Frank Preis</t>
  </si>
  <si>
    <t>CA-2018-156951</t>
  </si>
  <si>
    <t>EB-13840</t>
  </si>
  <si>
    <t>Ellis Ballard</t>
  </si>
  <si>
    <t>CA-2018-164826</t>
  </si>
  <si>
    <t>JF-15415</t>
  </si>
  <si>
    <t>Jennifer Ferguson</t>
  </si>
  <si>
    <t>CA-2017-127250</t>
  </si>
  <si>
    <t>SF-20200</t>
  </si>
  <si>
    <t>Sarah Foster</t>
  </si>
  <si>
    <t>Marysville</t>
  </si>
  <si>
    <t>CA-2016-149713</t>
  </si>
  <si>
    <t>22/09/2016</t>
  </si>
  <si>
    <t>TG-21640</t>
  </si>
  <si>
    <t>Trudy Glocke</t>
  </si>
  <si>
    <t>CA-2018-118640</t>
  </si>
  <si>
    <t>26/07/2018</t>
  </si>
  <si>
    <t>CS-11950</t>
  </si>
  <si>
    <t>Carlos Soltero</t>
  </si>
  <si>
    <t>CA-2016-132906</t>
  </si>
  <si>
    <t>14/09/2016</t>
  </si>
  <si>
    <t>CC-12145</t>
  </si>
  <si>
    <t>Charles Crestani</t>
  </si>
  <si>
    <t>CA-2018-145233</t>
  </si>
  <si>
    <t>DV-13465</t>
  </si>
  <si>
    <t>Dianna Vittorini</t>
  </si>
  <si>
    <t>CA-2016-128139</t>
  </si>
  <si>
    <t>BD-11725</t>
  </si>
  <si>
    <t>Bruce Degenhardt</t>
  </si>
  <si>
    <t>US-2017-156986</t>
  </si>
  <si>
    <t>24/03/2017</t>
  </si>
  <si>
    <t>ZC-21910</t>
  </si>
  <si>
    <t>Zuschuss Carroll</t>
  </si>
  <si>
    <t>Salem</t>
  </si>
  <si>
    <t>CA-2015-135405</t>
  </si>
  <si>
    <t>13/01/2015</t>
  </si>
  <si>
    <t>MS-17830</t>
  </si>
  <si>
    <t>Melanie Seite</t>
  </si>
  <si>
    <t>Laredo</t>
  </si>
  <si>
    <t>CA-2015-131450</t>
  </si>
  <si>
    <t>15/08/2015</t>
  </si>
  <si>
    <t>LR-16915</t>
  </si>
  <si>
    <t>Lena Radford</t>
  </si>
  <si>
    <t>CA-2017-120180</t>
  </si>
  <si>
    <t>TP-21130</t>
  </si>
  <si>
    <t>Theone Pippenger</t>
  </si>
  <si>
    <t>US-2017-100720</t>
  </si>
  <si>
    <t>21/07/2017</t>
  </si>
  <si>
    <t>CK-12205</t>
  </si>
  <si>
    <t>Chloris Kastensmidt</t>
  </si>
  <si>
    <t>CA-2015-149958</t>
  </si>
  <si>
    <t>19/03/2015</t>
  </si>
  <si>
    <t>AS-10240</t>
  </si>
  <si>
    <t>Alan Shonely</t>
  </si>
  <si>
    <t>US-2015-105767</t>
  </si>
  <si>
    <t>27/05/2015</t>
  </si>
  <si>
    <t>AR-10510</t>
  </si>
  <si>
    <t>Andrew Roberts</t>
  </si>
  <si>
    <t>CA-2017-161816</t>
  </si>
  <si>
    <t>NB-18655</t>
  </si>
  <si>
    <t>Nona Balk</t>
  </si>
  <si>
    <t>CA-2017-121223</t>
  </si>
  <si>
    <t>13/09/2017</t>
  </si>
  <si>
    <t>GD-14590</t>
  </si>
  <si>
    <t>Giulietta Dortch</t>
  </si>
  <si>
    <t>CA-2018-138611</t>
  </si>
  <si>
    <t>17/11/2018</t>
  </si>
  <si>
    <t>CK-12595</t>
  </si>
  <si>
    <t>Clytie Kelty</t>
  </si>
  <si>
    <t>Grove City</t>
  </si>
  <si>
    <t>CA-2018-117947</t>
  </si>
  <si>
    <t>NG-18355</t>
  </si>
  <si>
    <t>Nat Gilpin</t>
  </si>
  <si>
    <t>US-2015-111171</t>
  </si>
  <si>
    <t>31/12/2015</t>
  </si>
  <si>
    <t>CA-12265</t>
  </si>
  <si>
    <t>Christina Anderson</t>
  </si>
  <si>
    <t>CA-2016-138009</t>
  </si>
  <si>
    <t>SF-20965</t>
  </si>
  <si>
    <t>Sylvia Foulston</t>
  </si>
  <si>
    <t>Dearborn</t>
  </si>
  <si>
    <t>CA-2018-163020</t>
  </si>
  <si>
    <t>MO-17800</t>
  </si>
  <si>
    <t>Meg O'Connel</t>
  </si>
  <si>
    <t>CA-2018-153787</t>
  </si>
  <si>
    <t>23/05/2018</t>
  </si>
  <si>
    <t>AT-10735</t>
  </si>
  <si>
    <t>Annie Thurman</t>
  </si>
  <si>
    <t>CA-2018-133431</t>
  </si>
  <si>
    <t>US-2017-135720</t>
  </si>
  <si>
    <t>FM-14380</t>
  </si>
  <si>
    <t>Fred McMath</t>
  </si>
  <si>
    <t>CA-2018-144694</t>
  </si>
  <si>
    <t>26/09/2018</t>
  </si>
  <si>
    <t>CA-2016-168004</t>
  </si>
  <si>
    <t>DJ-13420</t>
  </si>
  <si>
    <t>Denny Joy</t>
  </si>
  <si>
    <t>Warner Robins</t>
  </si>
  <si>
    <t>US-2017-123470</t>
  </si>
  <si>
    <t>21/08/2017</t>
  </si>
  <si>
    <t>ME-17725</t>
  </si>
  <si>
    <t>Max Engle</t>
  </si>
  <si>
    <t>CA-2017-115917</t>
  </si>
  <si>
    <t>25/05/2017</t>
  </si>
  <si>
    <t>Vallejo</t>
  </si>
  <si>
    <t>CA-2017-147067</t>
  </si>
  <si>
    <t>22/12/2017</t>
  </si>
  <si>
    <t>JD-16150</t>
  </si>
  <si>
    <t>Justin Deggeller</t>
  </si>
  <si>
    <t>CA-2018-167913</t>
  </si>
  <si>
    <t>JL-15835</t>
  </si>
  <si>
    <t>John Lee</t>
  </si>
  <si>
    <t>Mission Viejo</t>
  </si>
  <si>
    <t>CA-2018-106103</t>
  </si>
  <si>
    <t>15/06/2018</t>
  </si>
  <si>
    <t>SC-20305</t>
  </si>
  <si>
    <t>Sean Christensen</t>
  </si>
  <si>
    <t>Rochester Hills</t>
  </si>
  <si>
    <t>US-2018-127719</t>
  </si>
  <si>
    <t>25/07/2018</t>
  </si>
  <si>
    <t>Plainfield</t>
  </si>
  <si>
    <t>CA-2018-126221</t>
  </si>
  <si>
    <t>CC-12430</t>
  </si>
  <si>
    <t>Chuck Clark</t>
  </si>
  <si>
    <t>CA-2017-103947</t>
  </si>
  <si>
    <t>Sierra Vista</t>
  </si>
  <si>
    <t>CA-2017-160745</t>
  </si>
  <si>
    <t>16/12/2017</t>
  </si>
  <si>
    <t>AR-10825</t>
  </si>
  <si>
    <t>Anthony Rawles</t>
  </si>
  <si>
    <t>Vancouver</t>
  </si>
  <si>
    <t>CA-2017-132661</t>
  </si>
  <si>
    <t>SR-20740</t>
  </si>
  <si>
    <t>Steven Roelle</t>
  </si>
  <si>
    <t>CA-2018-140844</t>
  </si>
  <si>
    <t>23/06/2018</t>
  </si>
  <si>
    <t>CA-2017-137239</t>
  </si>
  <si>
    <t>28/08/2017</t>
  </si>
  <si>
    <t>CR-12730</t>
  </si>
  <si>
    <t>Craig Reiter</t>
  </si>
  <si>
    <t>US-2017-156097</t>
  </si>
  <si>
    <t>19/09/2017</t>
  </si>
  <si>
    <t>EH-14125</t>
  </si>
  <si>
    <t>Eugene Hildebrand</t>
  </si>
  <si>
    <t>CA-2016-146563</t>
  </si>
  <si>
    <t>28/08/2016</t>
  </si>
  <si>
    <t>CA-2017-123666</t>
  </si>
  <si>
    <t>30/03/2017</t>
  </si>
  <si>
    <t>SP-20545</t>
  </si>
  <si>
    <t>Sibella Parks</t>
  </si>
  <si>
    <t>CA-2017-143308</t>
  </si>
  <si>
    <t>CA-2018-132682</t>
  </si>
  <si>
    <t>TH-21235</t>
  </si>
  <si>
    <t>Tiffany House</t>
  </si>
  <si>
    <t>CA-2015-156314</t>
  </si>
  <si>
    <t>RP-19390</t>
  </si>
  <si>
    <t>Resi Pölking</t>
  </si>
  <si>
    <t>Cleveland</t>
  </si>
  <si>
    <t>US-2018-106663</t>
  </si>
  <si>
    <t>CA-2018-111178</t>
  </si>
  <si>
    <t>22/06/2018</t>
  </si>
  <si>
    <t>CA-2018-130351</t>
  </si>
  <si>
    <t>RB-19570</t>
  </si>
  <si>
    <t>Rob Beeghly</t>
  </si>
  <si>
    <t>US-2018-119438</t>
  </si>
  <si>
    <t>23/03/2018</t>
  </si>
  <si>
    <t>CD-11980</t>
  </si>
  <si>
    <t>Carol Darley</t>
  </si>
  <si>
    <t>Tyler</t>
  </si>
  <si>
    <t>CA-2017-164511</t>
  </si>
  <si>
    <t>DJ-13630</t>
  </si>
  <si>
    <t>Doug Jacobs</t>
  </si>
  <si>
    <t>US-2018-168116</t>
  </si>
  <si>
    <t>GT-14635</t>
  </si>
  <si>
    <t>Grant Thornton</t>
  </si>
  <si>
    <t>Burlington</t>
  </si>
  <si>
    <t>CA-2015-157784</t>
  </si>
  <si>
    <t>MC-17845</t>
  </si>
  <si>
    <t>Michael Chen</t>
  </si>
  <si>
    <t>CA-2018-161480</t>
  </si>
  <si>
    <t>RA-19285</t>
  </si>
  <si>
    <t>Ralph Arnett</t>
  </si>
  <si>
    <t>US-2015-117135</t>
  </si>
  <si>
    <t>23/06/2015</t>
  </si>
  <si>
    <t>NP-18325</t>
  </si>
  <si>
    <t>Naresj Patel</t>
  </si>
  <si>
    <t>Waynesboro</t>
  </si>
  <si>
    <t>CA-2016-131534</t>
  </si>
  <si>
    <t>AB-10165</t>
  </si>
  <si>
    <t>Alan Barnes</t>
  </si>
  <si>
    <t>CA-2016-119291</t>
  </si>
  <si>
    <t>17/05/2016</t>
  </si>
  <si>
    <t>JO-15550</t>
  </si>
  <si>
    <t>Jesus Ocampo</t>
  </si>
  <si>
    <t>Chester</t>
  </si>
  <si>
    <t>CA-2018-114552</t>
  </si>
  <si>
    <t>CA-2017-163755</t>
  </si>
  <si>
    <t>CA-2016-142027</t>
  </si>
  <si>
    <t>14/04/2016</t>
  </si>
  <si>
    <t>JK-15370</t>
  </si>
  <si>
    <t>Jay Kimmel</t>
  </si>
  <si>
    <t>CA-2015-138527</t>
  </si>
  <si>
    <t>BN-11470</t>
  </si>
  <si>
    <t>Brad Norvell</t>
  </si>
  <si>
    <t>Cary</t>
  </si>
  <si>
    <t>CA-2015-112158</t>
  </si>
  <si>
    <t>DP-13165</t>
  </si>
  <si>
    <t>David Philippe</t>
  </si>
  <si>
    <t>CA-2015-113887</t>
  </si>
  <si>
    <t>TH-21550</t>
  </si>
  <si>
    <t>Tracy Hopkins</t>
  </si>
  <si>
    <t>CA-2018-146136</t>
  </si>
  <si>
    <t>AP-10915</t>
  </si>
  <si>
    <t>Arthur Prichep</t>
  </si>
  <si>
    <t>Palm Coast</t>
  </si>
  <si>
    <t>US-2018-100048</t>
  </si>
  <si>
    <t>24/05/2018</t>
  </si>
  <si>
    <t>RS-19765</t>
  </si>
  <si>
    <t>Roland Schwarz</t>
  </si>
  <si>
    <t>Mount Vernon</t>
  </si>
  <si>
    <t>CA-2015-153150</t>
  </si>
  <si>
    <t>CA-2015-130092</t>
  </si>
  <si>
    <t>14/01/2015</t>
  </si>
  <si>
    <t>SV-20365</t>
  </si>
  <si>
    <t>Seth Vernon</t>
  </si>
  <si>
    <t>CA-2018-108910</t>
  </si>
  <si>
    <t>29/09/2018</t>
  </si>
  <si>
    <t>CA-2015-104472</t>
  </si>
  <si>
    <t>CK-12325</t>
  </si>
  <si>
    <t>Christine Kargatis</t>
  </si>
  <si>
    <t>CA-2017-112942</t>
  </si>
  <si>
    <t>18/02/2017</t>
  </si>
  <si>
    <t>RD-19810</t>
  </si>
  <si>
    <t>Ross DeVincentis</t>
  </si>
  <si>
    <t>CA-2017-142335</t>
  </si>
  <si>
    <t>19/12/2017</t>
  </si>
  <si>
    <t>CA-2015-117429</t>
  </si>
  <si>
    <t>13/10/2015</t>
  </si>
  <si>
    <t>MR-17545</t>
  </si>
  <si>
    <t>Mathew Reese</t>
  </si>
  <si>
    <t>CA-2017-114713</t>
  </si>
  <si>
    <t>SC-20695</t>
  </si>
  <si>
    <t>Steve Chapman</t>
  </si>
  <si>
    <t>Hialeah</t>
  </si>
  <si>
    <t>CA-2018-144113</t>
  </si>
  <si>
    <t>20/09/2018</t>
  </si>
  <si>
    <t>JF-15355</t>
  </si>
  <si>
    <t>Jay Fein</t>
  </si>
  <si>
    <t>US-2017-150861</t>
  </si>
  <si>
    <t>EG-13900</t>
  </si>
  <si>
    <t>Emily Grady</t>
  </si>
  <si>
    <t>Oceanside</t>
  </si>
  <si>
    <t>CA-2018-131954</t>
  </si>
  <si>
    <t>DS-13030</t>
  </si>
  <si>
    <t>Darrin Sayre</t>
  </si>
  <si>
    <t>CA-2015-132500</t>
  </si>
  <si>
    <t>CA-2015-112326</t>
  </si>
  <si>
    <t>PO-19195</t>
  </si>
  <si>
    <t>Phillina Ober</t>
  </si>
  <si>
    <t>US-2017-146710</t>
  </si>
  <si>
    <t>SS-20875</t>
  </si>
  <si>
    <t>Sung Shariari</t>
  </si>
  <si>
    <t>CA-2015-124429</t>
  </si>
  <si>
    <t>CA-2017-150889</t>
  </si>
  <si>
    <t>22/03/2017</t>
  </si>
  <si>
    <t>PB-19105</t>
  </si>
  <si>
    <t>Peter Bühler</t>
  </si>
  <si>
    <t>Evanston</t>
  </si>
  <si>
    <t>CA-2018-126074</t>
  </si>
  <si>
    <t>RF-19735</t>
  </si>
  <si>
    <t>Roland Fjeld</t>
  </si>
  <si>
    <t>Trenton</t>
  </si>
  <si>
    <t>CA-2017-110499</t>
  </si>
  <si>
    <t>YC-21895</t>
  </si>
  <si>
    <t>Yoseph Carroll</t>
  </si>
  <si>
    <t>CA-2016-135272</t>
  </si>
  <si>
    <t>CA-2017-140928</t>
  </si>
  <si>
    <t>CA-2015-106803</t>
  </si>
  <si>
    <t>DC-13285</t>
  </si>
  <si>
    <t>Debra Catini</t>
  </si>
  <si>
    <t>Cottage Grove</t>
  </si>
  <si>
    <t>CA-2018-117240</t>
  </si>
  <si>
    <t>28/07/2018</t>
  </si>
  <si>
    <t>CP-12340</t>
  </si>
  <si>
    <t>Christine Phan</t>
  </si>
  <si>
    <t>CA-2018-133333</t>
  </si>
  <si>
    <t>22/09/2018</t>
  </si>
  <si>
    <t>BF-11020</t>
  </si>
  <si>
    <t>Barry Französisch</t>
  </si>
  <si>
    <t>CA-2016-112319</t>
  </si>
  <si>
    <t>CA-2018-126046</t>
  </si>
  <si>
    <t>CA-2016-114923</t>
  </si>
  <si>
    <t>LH-17020</t>
  </si>
  <si>
    <t>Lisa Hazard</t>
  </si>
  <si>
    <t>CA-2015-162775</t>
  </si>
  <si>
    <t>15/01/2015</t>
  </si>
  <si>
    <t>CS-12250</t>
  </si>
  <si>
    <t>Chris Selesnick</t>
  </si>
  <si>
    <t>Bossier City</t>
  </si>
  <si>
    <t>CA-2015-106810</t>
  </si>
  <si>
    <t>20/05/2015</t>
  </si>
  <si>
    <t>AJ-10795</t>
  </si>
  <si>
    <t>Anthony Johnson</t>
  </si>
  <si>
    <t>CA-2017-157245</t>
  </si>
  <si>
    <t>24/05/2017</t>
  </si>
  <si>
    <t>CA-2018-104220</t>
  </si>
  <si>
    <t>BV-11245</t>
  </si>
  <si>
    <t>Benjamin Venier</t>
  </si>
  <si>
    <t>CA-2015-165974</t>
  </si>
  <si>
    <t>DL-12865</t>
  </si>
  <si>
    <t>Dan Lawera</t>
  </si>
  <si>
    <t>CA-2016-144267</t>
  </si>
  <si>
    <t>23/08/2016</t>
  </si>
  <si>
    <t>US-2016-157014</t>
  </si>
  <si>
    <t>BM-11785</t>
  </si>
  <si>
    <t>Bryan Mills</t>
  </si>
  <si>
    <t>CA-2016-154921</t>
  </si>
  <si>
    <t>28/05/2016</t>
  </si>
  <si>
    <t>CA-2018-129567</t>
  </si>
  <si>
    <t>21/03/2018</t>
  </si>
  <si>
    <t>Lancaster</t>
  </si>
  <si>
    <t>CA-2016-154620</t>
  </si>
  <si>
    <t>16/12/2016</t>
  </si>
  <si>
    <t>LT-17110</t>
  </si>
  <si>
    <t>Liz Thompson</t>
  </si>
  <si>
    <t>CA-2016-115938</t>
  </si>
  <si>
    <t>30/06/2016</t>
  </si>
  <si>
    <t>CA-2017-105256</t>
  </si>
  <si>
    <t>20/05/2017</t>
  </si>
  <si>
    <t>JK-15730</t>
  </si>
  <si>
    <t>Joe Kamberova</t>
  </si>
  <si>
    <t>Asheville</t>
  </si>
  <si>
    <t>CA-2015-156433</t>
  </si>
  <si>
    <t>26/09/2015</t>
  </si>
  <si>
    <t>ES-14020</t>
  </si>
  <si>
    <t>Erica Smith</t>
  </si>
  <si>
    <t>CA-2018-151428</t>
  </si>
  <si>
    <t>RH-19495</t>
  </si>
  <si>
    <t>Rick Hansen</t>
  </si>
  <si>
    <t>CA-2016-124653</t>
  </si>
  <si>
    <t>26/12/2016</t>
  </si>
  <si>
    <t>CA-2016-101910</t>
  </si>
  <si>
    <t>CD-11920</t>
  </si>
  <si>
    <t>Carlos Daly</t>
  </si>
  <si>
    <t>Lake Elsinore</t>
  </si>
  <si>
    <t>CA-2018-105809</t>
  </si>
  <si>
    <t>23/02/2018</t>
  </si>
  <si>
    <t>HW-14935</t>
  </si>
  <si>
    <t>Helen Wasserman</t>
  </si>
  <si>
    <t>CA-2017-136133</t>
  </si>
  <si>
    <t>23/08/2017</t>
  </si>
  <si>
    <t>CA-2017-115504</t>
  </si>
  <si>
    <t>17/03/2017</t>
  </si>
  <si>
    <t>MC-18130</t>
  </si>
  <si>
    <t>Mike Caudle</t>
  </si>
  <si>
    <t>CA-2018-135783</t>
  </si>
  <si>
    <t>24/04/2018</t>
  </si>
  <si>
    <t>GM-14440</t>
  </si>
  <si>
    <t>Gary McGarr</t>
  </si>
  <si>
    <t>CA-2015-134313</t>
  </si>
  <si>
    <t>CA-2016-140921</t>
  </si>
  <si>
    <t>Omaha</t>
  </si>
  <si>
    <t>CA-2015-151995</t>
  </si>
  <si>
    <t>15/10/2015</t>
  </si>
  <si>
    <t>Edmonds</t>
  </si>
  <si>
    <t>CA-2018-143686</t>
  </si>
  <si>
    <t>14/05/2018</t>
  </si>
  <si>
    <t>PJ-19015</t>
  </si>
  <si>
    <t>Pauline Johnson</t>
  </si>
  <si>
    <t>Santa Ana</t>
  </si>
  <si>
    <t>CA-2016-106565</t>
  </si>
  <si>
    <t>23/03/2016</t>
  </si>
  <si>
    <t>BW-11110</t>
  </si>
  <si>
    <t>Bart Watters</t>
  </si>
  <si>
    <t>Milwaukee</t>
  </si>
  <si>
    <t>CA-2017-149370</t>
  </si>
  <si>
    <t>CA-2015-140858</t>
  </si>
  <si>
    <t>CA-2018-101434</t>
  </si>
  <si>
    <t>27/06/2018</t>
  </si>
  <si>
    <t>TR-21325</t>
  </si>
  <si>
    <t>Toby Ritter</t>
  </si>
  <si>
    <t>US-2015-102071</t>
  </si>
  <si>
    <t>PG-18820</t>
  </si>
  <si>
    <t>Patrick Gardner</t>
  </si>
  <si>
    <t>CA-2018-126956</t>
  </si>
  <si>
    <t>28/08/2018</t>
  </si>
  <si>
    <t>CA-2018-129462</t>
  </si>
  <si>
    <t>21/06/2018</t>
  </si>
  <si>
    <t>Florence</t>
  </si>
  <si>
    <t>CA-2017-165316</t>
  </si>
  <si>
    <t>27/07/2017</t>
  </si>
  <si>
    <t>US-2015-115987</t>
  </si>
  <si>
    <t>US-2018-156083</t>
  </si>
  <si>
    <t>JL-15175</t>
  </si>
  <si>
    <t>James Lanier</t>
  </si>
  <si>
    <t>US-2017-137547</t>
  </si>
  <si>
    <t>CA-2016-100454</t>
  </si>
  <si>
    <t>25/11/2016</t>
  </si>
  <si>
    <t>BM-11650</t>
  </si>
  <si>
    <t>Brian Moss</t>
  </si>
  <si>
    <t>CA-2017-161669</t>
  </si>
  <si>
    <t>EM-14095</t>
  </si>
  <si>
    <t>Eudokia Martin</t>
  </si>
  <si>
    <t>CA-2016-114300</t>
  </si>
  <si>
    <t>17/10/2016</t>
  </si>
  <si>
    <t>AF-10885</t>
  </si>
  <si>
    <t>Art Foster</t>
  </si>
  <si>
    <t>CA-2018-107503</t>
  </si>
  <si>
    <t>GA-14725</t>
  </si>
  <si>
    <t>Guy Armstrong</t>
  </si>
  <si>
    <t>Lorain</t>
  </si>
  <si>
    <t>CA-2015-107755</t>
  </si>
  <si>
    <t>CK-12760</t>
  </si>
  <si>
    <t>Cyma Kinney</t>
  </si>
  <si>
    <t>Linden</t>
  </si>
  <si>
    <t>CA-2017-152534</t>
  </si>
  <si>
    <t>DP-13105</t>
  </si>
  <si>
    <t>Dave Poirier</t>
  </si>
  <si>
    <t>Salinas</t>
  </si>
  <si>
    <t>CA-2017-113747</t>
  </si>
  <si>
    <t>CA-2017-123274</t>
  </si>
  <si>
    <t>24/02/2017</t>
  </si>
  <si>
    <t>CA-2015-125612</t>
  </si>
  <si>
    <t>BK-11260</t>
  </si>
  <si>
    <t>Berenike Kampe</t>
  </si>
  <si>
    <t>CA-2018-161984</t>
  </si>
  <si>
    <t>15/04/2018</t>
  </si>
  <si>
    <t>SJ-20125</t>
  </si>
  <si>
    <t>Sanjit Jacobs</t>
  </si>
  <si>
    <t>New Brunswick</t>
  </si>
  <si>
    <t>CA-2015-133851</t>
  </si>
  <si>
    <t>16/06/2015</t>
  </si>
  <si>
    <t>CM-12445</t>
  </si>
  <si>
    <t>Chuck Magee</t>
  </si>
  <si>
    <t>CA-2017-134474</t>
  </si>
  <si>
    <t>CA-2015-149020</t>
  </si>
  <si>
    <t>AJ-10780</t>
  </si>
  <si>
    <t>Anthony Jacobs</t>
  </si>
  <si>
    <t>CA-2017-134362</t>
  </si>
  <si>
    <t>LS-16945</t>
  </si>
  <si>
    <t>Linda Southworth</t>
  </si>
  <si>
    <t>CA-2015-136742</t>
  </si>
  <si>
    <t>GP-14740</t>
  </si>
  <si>
    <t>Guy Phonely</t>
  </si>
  <si>
    <t>CA-2017-158099</t>
  </si>
  <si>
    <t>PK-18910</t>
  </si>
  <si>
    <t>Paul Knutson</t>
  </si>
  <si>
    <t>CA-2016-131128</t>
  </si>
  <si>
    <t>New Hampshire</t>
  </si>
  <si>
    <t>CA-2015-148488</t>
  </si>
  <si>
    <t>15/12/2015</t>
  </si>
  <si>
    <t>SM-20005</t>
  </si>
  <si>
    <t>Sally Matthias</t>
  </si>
  <si>
    <t>CA-2018-114636</t>
  </si>
  <si>
    <t>29/08/2018</t>
  </si>
  <si>
    <t>CA-2017-116736</t>
  </si>
  <si>
    <t>21/01/2017</t>
  </si>
  <si>
    <t>US-2015-158638</t>
  </si>
  <si>
    <t>AG-10765</t>
  </si>
  <si>
    <t>Anthony Garverick</t>
  </si>
  <si>
    <t>CA-2018-111689</t>
  </si>
  <si>
    <t>CA-2016-129098</t>
  </si>
  <si>
    <t>13/10/2016</t>
  </si>
  <si>
    <t>US-2018-123463</t>
  </si>
  <si>
    <t>23/12/2018</t>
  </si>
  <si>
    <t>CA-2017-165148</t>
  </si>
  <si>
    <t>24/10/2017</t>
  </si>
  <si>
    <t>PM-19135</t>
  </si>
  <si>
    <t>Peter McVee</t>
  </si>
  <si>
    <t>CA-2015-134061</t>
  </si>
  <si>
    <t>LL-16840</t>
  </si>
  <si>
    <t>Lauren Leatherbury</t>
  </si>
  <si>
    <t>CA-2016-143602</t>
  </si>
  <si>
    <t>28/04/2016</t>
  </si>
  <si>
    <t>JS-15595</t>
  </si>
  <si>
    <t>Jill Stevenson</t>
  </si>
  <si>
    <t>CA-2018-115364</t>
  </si>
  <si>
    <t>CA-2018-150707</t>
  </si>
  <si>
    <t>EL-13735</t>
  </si>
  <si>
    <t>Ed Ludwig</t>
  </si>
  <si>
    <t>Maryland</t>
  </si>
  <si>
    <t>CA-2015-104976</t>
  </si>
  <si>
    <t>16/12/2015</t>
  </si>
  <si>
    <t>CA-2018-132934</t>
  </si>
  <si>
    <t>26/06/2018</t>
  </si>
  <si>
    <t>CA-2018-133256</t>
  </si>
  <si>
    <t>CA-2017-105494</t>
  </si>
  <si>
    <t>PC-18745</t>
  </si>
  <si>
    <t>Pamela Coakley</t>
  </si>
  <si>
    <t>CA-2017-140634</t>
  </si>
  <si>
    <t>HL-15040</t>
  </si>
  <si>
    <t>Hunter Lopez</t>
  </si>
  <si>
    <t>CA-2015-144407</t>
  </si>
  <si>
    <t>15/09/2015</t>
  </si>
  <si>
    <t>MS-17365</t>
  </si>
  <si>
    <t>Maribeth Schnelling</t>
  </si>
  <si>
    <t>CA-2018-160983</t>
  </si>
  <si>
    <t>31/10/2018</t>
  </si>
  <si>
    <t>GB-14530</t>
  </si>
  <si>
    <t>George Bell</t>
  </si>
  <si>
    <t>US-2017-114622</t>
  </si>
  <si>
    <t>JR-16210</t>
  </si>
  <si>
    <t>Justin Ritter</t>
  </si>
  <si>
    <t>CA-2018-150959</t>
  </si>
  <si>
    <t>Garland</t>
  </si>
  <si>
    <t>CA-2018-132353</t>
  </si>
  <si>
    <t>CA-2017-130477</t>
  </si>
  <si>
    <t>CA-2018-143259</t>
  </si>
  <si>
    <t>CA-2018-137596</t>
  </si>
  <si>
    <t>BE-11335</t>
  </si>
  <si>
    <t>Bill Eplett</t>
  </si>
  <si>
    <t>CA-2018-102519</t>
  </si>
  <si>
    <t>29/11/2018</t>
  </si>
  <si>
    <t>US-2015-141215</t>
  </si>
  <si>
    <t>21/06/2015</t>
  </si>
  <si>
    <t>CA-2017-165218</t>
  </si>
  <si>
    <t>RW-19630</t>
  </si>
  <si>
    <t>Rob Williams</t>
  </si>
  <si>
    <t>CA-2015-138296</t>
  </si>
  <si>
    <t>Alexandria</t>
  </si>
  <si>
    <t>CA-2016-111164</t>
  </si>
  <si>
    <t>15/04/2016</t>
  </si>
  <si>
    <t>SE-20110</t>
  </si>
  <si>
    <t>Sanjit Engle</t>
  </si>
  <si>
    <t>CA-2017-149797</t>
  </si>
  <si>
    <t>20/09/2017</t>
  </si>
  <si>
    <t>AH-10075</t>
  </si>
  <si>
    <t>Adam Hart</t>
  </si>
  <si>
    <t>CA-2015-132962</t>
  </si>
  <si>
    <t>16/09/2015</t>
  </si>
  <si>
    <t>JM-15535</t>
  </si>
  <si>
    <t>Jessica Myrick</t>
  </si>
  <si>
    <t>CA-2016-115091</t>
  </si>
  <si>
    <t>JJ-15760</t>
  </si>
  <si>
    <t>Joel Jenkins</t>
  </si>
  <si>
    <t>CA-2018-144932</t>
  </si>
  <si>
    <t>Toledo</t>
  </si>
  <si>
    <t>CA-2018-114216</t>
  </si>
  <si>
    <t>RK-19300</t>
  </si>
  <si>
    <t>Ralph Kennedy</t>
  </si>
  <si>
    <t>CA-2017-140081</t>
  </si>
  <si>
    <t>24/06/2017</t>
  </si>
  <si>
    <t>CG-12040</t>
  </si>
  <si>
    <t>Catherine Glotzbach</t>
  </si>
  <si>
    <t>US-2018-111745</t>
  </si>
  <si>
    <t>Farmington</t>
  </si>
  <si>
    <t>CA-2016-148250</t>
  </si>
  <si>
    <t>17/12/2016</t>
  </si>
  <si>
    <t>RP-19270</t>
  </si>
  <si>
    <t>Rachel Payne</t>
  </si>
  <si>
    <t>Riverside</t>
  </si>
  <si>
    <t>CA-2017-105760</t>
  </si>
  <si>
    <t>20/06/2017</t>
  </si>
  <si>
    <t>KC-16255</t>
  </si>
  <si>
    <t>Karen Carlisle</t>
  </si>
  <si>
    <t>CA-2017-142958</t>
  </si>
  <si>
    <t>Torrance</t>
  </si>
  <si>
    <t>CA-2016-120880</t>
  </si>
  <si>
    <t>US-2016-140200</t>
  </si>
  <si>
    <t>28/07/2016</t>
  </si>
  <si>
    <t>US-2018-110576</t>
  </si>
  <si>
    <t>CA-2018-131156</t>
  </si>
  <si>
    <t>KH-16360</t>
  </si>
  <si>
    <t>Katherine Hughes</t>
  </si>
  <si>
    <t>CA-2018-136539</t>
  </si>
  <si>
    <t>GH-14665</t>
  </si>
  <si>
    <t>Greg Hansen</t>
  </si>
  <si>
    <t>Round Rock</t>
  </si>
  <si>
    <t>CA-2018-119305</t>
  </si>
  <si>
    <t>SW-20275</t>
  </si>
  <si>
    <t>Scott Williamson</t>
  </si>
  <si>
    <t>CA-2018-102414</t>
  </si>
  <si>
    <t>18/05/2018</t>
  </si>
  <si>
    <t>JA-15970</t>
  </si>
  <si>
    <t>Joseph Airdo</t>
  </si>
  <si>
    <t>CA-2016-112571</t>
  </si>
  <si>
    <t>DL-12925</t>
  </si>
  <si>
    <t>Daniel Lacy</t>
  </si>
  <si>
    <t>CA-2018-152142</t>
  </si>
  <si>
    <t>19/11/2018</t>
  </si>
  <si>
    <t>LW-16990</t>
  </si>
  <si>
    <t>Lindsay Williams</t>
  </si>
  <si>
    <t>CA-2016-160059</t>
  </si>
  <si>
    <t>TB-21190</t>
  </si>
  <si>
    <t>Thomas Brumley</t>
  </si>
  <si>
    <t>CA-2017-120859</t>
  </si>
  <si>
    <t>CA-2015-127488</t>
  </si>
  <si>
    <t>Boca Raton</t>
  </si>
  <si>
    <t>CA-2018-135279</t>
  </si>
  <si>
    <t>BS-11800</t>
  </si>
  <si>
    <t>Bryan Spruell</t>
  </si>
  <si>
    <t>CA-2015-115791</t>
  </si>
  <si>
    <t>18/01/2015</t>
  </si>
  <si>
    <t>US-2018-103247</t>
  </si>
  <si>
    <t>US-2018-100209</t>
  </si>
  <si>
    <t>15/07/2018</t>
  </si>
  <si>
    <t>CA-2018-159366</t>
  </si>
  <si>
    <t>CA-2017-145499</t>
  </si>
  <si>
    <t>31/05/2017</t>
  </si>
  <si>
    <t>RW-19690</t>
  </si>
  <si>
    <t>Robert Waldorf</t>
  </si>
  <si>
    <t>CA-2016-157035</t>
  </si>
  <si>
    <t>CA-2017-144939</t>
  </si>
  <si>
    <t>CA-2015-163419</t>
  </si>
  <si>
    <t>14/11/2015</t>
  </si>
  <si>
    <t>TZ-21580</t>
  </si>
  <si>
    <t>Tracy Zic</t>
  </si>
  <si>
    <t>CA-2018-100314</t>
  </si>
  <si>
    <t>AS-10630</t>
  </si>
  <si>
    <t>Ann Steele</t>
  </si>
  <si>
    <t>CA-2016-146829</t>
  </si>
  <si>
    <t>TS-21340</t>
  </si>
  <si>
    <t>Toby Swindell</t>
  </si>
  <si>
    <t>CA-2018-167899</t>
  </si>
  <si>
    <t>26/05/2018</t>
  </si>
  <si>
    <t>CA-2016-153549</t>
  </si>
  <si>
    <t>31/03/2016</t>
  </si>
  <si>
    <t>SL-20155</t>
  </si>
  <si>
    <t>Sara Luxemburg</t>
  </si>
  <si>
    <t>CA-2017-110023</t>
  </si>
  <si>
    <t>CA-2017-105585</t>
  </si>
  <si>
    <t>27/08/2017</t>
  </si>
  <si>
    <t>CA-2015-117639</t>
  </si>
  <si>
    <t>25/05/2015</t>
  </si>
  <si>
    <t>MW-18235</t>
  </si>
  <si>
    <t>Mitch Willingham</t>
  </si>
  <si>
    <t>Virginia Beach</t>
  </si>
  <si>
    <t>CA-2016-162537</t>
  </si>
  <si>
    <t>RD-19585</t>
  </si>
  <si>
    <t>Rob Dowd</t>
  </si>
  <si>
    <t>CA-2017-155488</t>
  </si>
  <si>
    <t>17/11/2017</t>
  </si>
  <si>
    <t>CA-2016-124891</t>
  </si>
  <si>
    <t>CA-2016-126445</t>
  </si>
  <si>
    <t>31/08/2016</t>
  </si>
  <si>
    <t>RA-19945</t>
  </si>
  <si>
    <t>Ryan Akin</t>
  </si>
  <si>
    <t>Murrieta</t>
  </si>
  <si>
    <t>CA-2016-111199</t>
  </si>
  <si>
    <t>CA-2016-105312</t>
  </si>
  <si>
    <t>MT-17815</t>
  </si>
  <si>
    <t>Meg Tillman</t>
  </si>
  <si>
    <t>US-2018-106705</t>
  </si>
  <si>
    <t>CA-2018-135034</t>
  </si>
  <si>
    <t>CA-2015-158540</t>
  </si>
  <si>
    <t>VG-21790</t>
  </si>
  <si>
    <t>Vivek Gonzalez</t>
  </si>
  <si>
    <t>CA-2018-118437</t>
  </si>
  <si>
    <t>Olympia</t>
  </si>
  <si>
    <t>US-2016-126214</t>
  </si>
  <si>
    <t>JS-15880</t>
  </si>
  <si>
    <t>John Stevenson</t>
  </si>
  <si>
    <t>CA-2016-133025</t>
  </si>
  <si>
    <t>19/09/2016</t>
  </si>
  <si>
    <t>CA-2016-108665</t>
  </si>
  <si>
    <t>KM-16225</t>
  </si>
  <si>
    <t>Kalyca Meade</t>
  </si>
  <si>
    <t>CA-2016-124450</t>
  </si>
  <si>
    <t>District of Columbia</t>
  </si>
  <si>
    <t>CA-2016-167269</t>
  </si>
  <si>
    <t>20/06/2016</t>
  </si>
  <si>
    <t>CA-2018-106964</t>
  </si>
  <si>
    <t>20/12/2018</t>
  </si>
  <si>
    <t>HR-14770</t>
  </si>
  <si>
    <t>Hallie Redmond</t>
  </si>
  <si>
    <t>CA-2017-126529</t>
  </si>
  <si>
    <t>13/01/2017</t>
  </si>
  <si>
    <t>DE-13255</t>
  </si>
  <si>
    <t>Deanra Eno</t>
  </si>
  <si>
    <t>CA-2015-163552</t>
  </si>
  <si>
    <t>15/07/2015</t>
  </si>
  <si>
    <t>CA-2017-109820</t>
  </si>
  <si>
    <t>22/11/2017</t>
  </si>
  <si>
    <t>AG-10390</t>
  </si>
  <si>
    <t>Allen Goldenen</t>
  </si>
  <si>
    <t>CA-2017-113061</t>
  </si>
  <si>
    <t>26/04/2017</t>
  </si>
  <si>
    <t>Jefferson City</t>
  </si>
  <si>
    <t>CA-2016-127418</t>
  </si>
  <si>
    <t>14/06/2016</t>
  </si>
  <si>
    <t>JJ-15445</t>
  </si>
  <si>
    <t>Jennifer Jackson</t>
  </si>
  <si>
    <t>CA-2018-121818</t>
  </si>
  <si>
    <t>21/11/2018</t>
  </si>
  <si>
    <t>JH-15430</t>
  </si>
  <si>
    <t>Jennifer Halladay</t>
  </si>
  <si>
    <t>CA-2017-127670</t>
  </si>
  <si>
    <t>RD-19660</t>
  </si>
  <si>
    <t>Robert Dilbeck</t>
  </si>
  <si>
    <t>Saint Peters</t>
  </si>
  <si>
    <t>CA-2017-102981</t>
  </si>
  <si>
    <t>MO-17500</t>
  </si>
  <si>
    <t>Mary O'Rourke</t>
  </si>
  <si>
    <t>CA-2018-115651</t>
  </si>
  <si>
    <t>NS-18640</t>
  </si>
  <si>
    <t>Noel Staavos</t>
  </si>
  <si>
    <t>CA-2018-152702</t>
  </si>
  <si>
    <t>16/10/2018</t>
  </si>
  <si>
    <t>Rockford</t>
  </si>
  <si>
    <t>CA-2017-169103</t>
  </si>
  <si>
    <t>CA-2015-139192</t>
  </si>
  <si>
    <t>US-2016-153500</t>
  </si>
  <si>
    <t>DG-13300</t>
  </si>
  <si>
    <t>Deirdre Greer</t>
  </si>
  <si>
    <t>CA-2016-110667</t>
  </si>
  <si>
    <t>NF-18595</t>
  </si>
  <si>
    <t>Nicole Fjeld</t>
  </si>
  <si>
    <t>CA-2018-167150</t>
  </si>
  <si>
    <t>17/12/2018</t>
  </si>
  <si>
    <t>CA-2017-105284</t>
  </si>
  <si>
    <t>MG-17650</t>
  </si>
  <si>
    <t>Matthew Grinstein</t>
  </si>
  <si>
    <t>US-2016-125374</t>
  </si>
  <si>
    <t>29/03/2016</t>
  </si>
  <si>
    <t>CA-2016-161263</t>
  </si>
  <si>
    <t>21/04/2016</t>
  </si>
  <si>
    <t>TS-21160</t>
  </si>
  <si>
    <t>Theresa Swint</t>
  </si>
  <si>
    <t>CA-2017-157686</t>
  </si>
  <si>
    <t>BD-11620</t>
  </si>
  <si>
    <t>Brian DeCherney</t>
  </si>
  <si>
    <t>US-2018-139955</t>
  </si>
  <si>
    <t>30/09/2018</t>
  </si>
  <si>
    <t>CM-12160</t>
  </si>
  <si>
    <t>Charles McCrossin</t>
  </si>
  <si>
    <t>Brownsville</t>
  </si>
  <si>
    <t>US-2016-150161</t>
  </si>
  <si>
    <t>29/07/2016</t>
  </si>
  <si>
    <t>CA-2016-144652</t>
  </si>
  <si>
    <t>SN-20560</t>
  </si>
  <si>
    <t>Skye Norling</t>
  </si>
  <si>
    <t>CA-2017-152814</t>
  </si>
  <si>
    <t>EH-14005</t>
  </si>
  <si>
    <t>Erica Hernandez</t>
  </si>
  <si>
    <t>CA-2018-106943</t>
  </si>
  <si>
    <t>FO-14305</t>
  </si>
  <si>
    <t>Frank Olsen</t>
  </si>
  <si>
    <t>CA-2017-134348</t>
  </si>
  <si>
    <t>19/11/2017</t>
  </si>
  <si>
    <t>MS-17710</t>
  </si>
  <si>
    <t>Maurice Satty</t>
  </si>
  <si>
    <t>CA-2017-161781</t>
  </si>
  <si>
    <t>30/09/2017</t>
  </si>
  <si>
    <t>CC-12100</t>
  </si>
  <si>
    <t>Chad Cunningham</t>
  </si>
  <si>
    <t>CA-2018-132521</t>
  </si>
  <si>
    <t>25/09/2018</t>
  </si>
  <si>
    <t>DW-13540</t>
  </si>
  <si>
    <t>Don Weiss</t>
  </si>
  <si>
    <t>CA-2016-110016</t>
  </si>
  <si>
    <t>BT-11395</t>
  </si>
  <si>
    <t>Bill Tyler</t>
  </si>
  <si>
    <t>US-2017-143819</t>
  </si>
  <si>
    <t>Yonkers</t>
  </si>
  <si>
    <t>CA-2017-167584</t>
  </si>
  <si>
    <t>CA-2017-166163</t>
  </si>
  <si>
    <t>20/08/2017</t>
  </si>
  <si>
    <t>CY-12745</t>
  </si>
  <si>
    <t>Craig Yedwab</t>
  </si>
  <si>
    <t>Oakland</t>
  </si>
  <si>
    <t>CA-2018-158407</t>
  </si>
  <si>
    <t>CA-2016-143490</t>
  </si>
  <si>
    <t>13/12/2016</t>
  </si>
  <si>
    <t>CA-2016-165085</t>
  </si>
  <si>
    <t>BT-11485</t>
  </si>
  <si>
    <t>Brad Thomas</t>
  </si>
  <si>
    <t>Clinton</t>
  </si>
  <si>
    <t>CA-2018-160423</t>
  </si>
  <si>
    <t>26/01/2018</t>
  </si>
  <si>
    <t>PS-19045</t>
  </si>
  <si>
    <t>Penelope Sewall</t>
  </si>
  <si>
    <t>CA-2015-159338</t>
  </si>
  <si>
    <t>28/06/2015</t>
  </si>
  <si>
    <t>CA-2017-107216</t>
  </si>
  <si>
    <t>17/06/2017</t>
  </si>
  <si>
    <t>PV-18985</t>
  </si>
  <si>
    <t>Paul Van Hugh</t>
  </si>
  <si>
    <t>Paul</t>
  </si>
  <si>
    <t>Van Hugh</t>
  </si>
  <si>
    <t>US-2018-145863</t>
  </si>
  <si>
    <t>27/04/2018</t>
  </si>
  <si>
    <t>CA-2017-112340</t>
  </si>
  <si>
    <t>27/10/2017</t>
  </si>
  <si>
    <t>NM-18520</t>
  </si>
  <si>
    <t>Neoma Murray</t>
  </si>
  <si>
    <t>US-2017-110156</t>
  </si>
  <si>
    <t>CA-2018-140585</t>
  </si>
  <si>
    <t>Encinitas</t>
  </si>
  <si>
    <t>CA-2017-144855</t>
  </si>
  <si>
    <t>24/07/2017</t>
  </si>
  <si>
    <t>DL-13495</t>
  </si>
  <si>
    <t>Dionis Lloyd</t>
  </si>
  <si>
    <t>CA-2016-142755</t>
  </si>
  <si>
    <t>CS-12355</t>
  </si>
  <si>
    <t>Christine Sundaresam</t>
  </si>
  <si>
    <t>Roswell</t>
  </si>
  <si>
    <t>US-2015-147627</t>
  </si>
  <si>
    <t>26/01/2015</t>
  </si>
  <si>
    <t>Jonesboro</t>
  </si>
  <si>
    <t>CA-2016-105970</t>
  </si>
  <si>
    <t>CA-2017-112102</t>
  </si>
  <si>
    <t>16/04/2017</t>
  </si>
  <si>
    <t>US-2017-114776</t>
  </si>
  <si>
    <t>Antioch</t>
  </si>
  <si>
    <t>US-2017-134908</t>
  </si>
  <si>
    <t>US-2017-148803</t>
  </si>
  <si>
    <t>Homestead</t>
  </si>
  <si>
    <t>CA-2017-152170</t>
  </si>
  <si>
    <t>15/11/2017</t>
  </si>
  <si>
    <t>FH-14275</t>
  </si>
  <si>
    <t>Frank Hawley</t>
  </si>
  <si>
    <t>La Porte</t>
  </si>
  <si>
    <t>CA-2015-146969</t>
  </si>
  <si>
    <t>CA-2016-112452</t>
  </si>
  <si>
    <t>NC-18340</t>
  </si>
  <si>
    <t>Nat Carroll</t>
  </si>
  <si>
    <t>Lansing</t>
  </si>
  <si>
    <t>CA-2016-113971</t>
  </si>
  <si>
    <t>14/05/2016</t>
  </si>
  <si>
    <t>Cuyahoga Falls</t>
  </si>
  <si>
    <t>CA-2017-160395</t>
  </si>
  <si>
    <t>Reno</t>
  </si>
  <si>
    <t>CA-2015-136567</t>
  </si>
  <si>
    <t>21/12/2015</t>
  </si>
  <si>
    <t>Harrisonburg</t>
  </si>
  <si>
    <t>CA-2017-149314</t>
  </si>
  <si>
    <t>CA-2018-147039</t>
  </si>
  <si>
    <t>AA-10315</t>
  </si>
  <si>
    <t>Alex Avila</t>
  </si>
  <si>
    <t>CA-2015-126522</t>
  </si>
  <si>
    <t>LT-16765</t>
  </si>
  <si>
    <t>Larry Tron</t>
  </si>
  <si>
    <t>Escondido</t>
  </si>
  <si>
    <t>CA-2015-127964</t>
  </si>
  <si>
    <t>AP-10720</t>
  </si>
  <si>
    <t>Anne Pryor</t>
  </si>
  <si>
    <t>CA-2015-117709</t>
  </si>
  <si>
    <t>PM-18940</t>
  </si>
  <si>
    <t>Paul MacIntyre</t>
  </si>
  <si>
    <t>CA-2016-125416</t>
  </si>
  <si>
    <t>CA-2018-145226</t>
  </si>
  <si>
    <t>US-2015-100279</t>
  </si>
  <si>
    <t>14/03/2015</t>
  </si>
  <si>
    <t>Royal Oak</t>
  </si>
  <si>
    <t>CA-2015-158064</t>
  </si>
  <si>
    <t>25/04/2015</t>
  </si>
  <si>
    <t>US-2016-104430</t>
  </si>
  <si>
    <t>26/10/2016</t>
  </si>
  <si>
    <t>CA-2016-132080</t>
  </si>
  <si>
    <t>25/08/2016</t>
  </si>
  <si>
    <t>CA-2017-161207</t>
  </si>
  <si>
    <t>CA-2015-120243</t>
  </si>
  <si>
    <t>AT-10435</t>
  </si>
  <si>
    <t>Alyssa Tate</t>
  </si>
  <si>
    <t>CA-2017-113621</t>
  </si>
  <si>
    <t>Rockville</t>
  </si>
  <si>
    <t>CA-2017-168081</t>
  </si>
  <si>
    <t>CA-12055</t>
  </si>
  <si>
    <t>Cathy Armstrong</t>
  </si>
  <si>
    <t>CA-2015-128146</t>
  </si>
  <si>
    <t>CA-2018-138779</t>
  </si>
  <si>
    <t>15/01/2018</t>
  </si>
  <si>
    <t>CA-2015-127131</t>
  </si>
  <si>
    <t>30/11/2015</t>
  </si>
  <si>
    <t>HR-14830</t>
  </si>
  <si>
    <t>Harold Ryan</t>
  </si>
  <si>
    <t>CA-2018-117212</t>
  </si>
  <si>
    <t>28/02/2018</t>
  </si>
  <si>
    <t>BT-11530</t>
  </si>
  <si>
    <t>Bradley Talbott</t>
  </si>
  <si>
    <t>US-2016-130519</t>
  </si>
  <si>
    <t>15/09/2016</t>
  </si>
  <si>
    <t>Coral Springs</t>
  </si>
  <si>
    <t>CA-2017-130946</t>
  </si>
  <si>
    <t>CA-2017-114727</t>
  </si>
  <si>
    <t>CA-2018-133235</t>
  </si>
  <si>
    <t>LH-16750</t>
  </si>
  <si>
    <t>Larry Hughes</t>
  </si>
  <si>
    <t>CA-2017-137050</t>
  </si>
  <si>
    <t>18/07/2017</t>
  </si>
  <si>
    <t>SW-20755</t>
  </si>
  <si>
    <t>Steven Ward</t>
  </si>
  <si>
    <t>US-2018-118087</t>
  </si>
  <si>
    <t>13/09/2018</t>
  </si>
  <si>
    <t>SP-20620</t>
  </si>
  <si>
    <t>Stefania Perrino</t>
  </si>
  <si>
    <t>CA-2015-110184</t>
  </si>
  <si>
    <t>16/07/2015</t>
  </si>
  <si>
    <t>BF-11170</t>
  </si>
  <si>
    <t>Ben Ferrer</t>
  </si>
  <si>
    <t>CA-2017-126004</t>
  </si>
  <si>
    <t>CA-2018-100013</t>
  </si>
  <si>
    <t>CA-2016-132570</t>
  </si>
  <si>
    <t>KT-16480</t>
  </si>
  <si>
    <t>Kean Thornton</t>
  </si>
  <si>
    <t>Buffalo</t>
  </si>
  <si>
    <t>CA-2017-153682</t>
  </si>
  <si>
    <t>BG-11695</t>
  </si>
  <si>
    <t>Brooke Gillingham</t>
  </si>
  <si>
    <t>CA-2017-144344</t>
  </si>
  <si>
    <t>28/10/2017</t>
  </si>
  <si>
    <t>Boynton Beach</t>
  </si>
  <si>
    <t>CA-2015-127012</t>
  </si>
  <si>
    <t>GM-14680</t>
  </si>
  <si>
    <t>Greg Matthias</t>
  </si>
  <si>
    <t>CA-2017-128727</t>
  </si>
  <si>
    <t>US-2017-162859</t>
  </si>
  <si>
    <t>22/02/2017</t>
  </si>
  <si>
    <t>CA-2018-133641</t>
  </si>
  <si>
    <t>21/05/2018</t>
  </si>
  <si>
    <t>EJ-14155</t>
  </si>
  <si>
    <t>Eva Jacobs</t>
  </si>
  <si>
    <t>Gulfport</t>
  </si>
  <si>
    <t>CA-2015-168494</t>
  </si>
  <si>
    <t>14/12/2015</t>
  </si>
  <si>
    <t>NP-18700</t>
  </si>
  <si>
    <t>Nora Preis</t>
  </si>
  <si>
    <t>Fresno</t>
  </si>
  <si>
    <t>CA-2018-115602</t>
  </si>
  <si>
    <t>24/12/2018</t>
  </si>
  <si>
    <t>CA-2016-154956</t>
  </si>
  <si>
    <t>CA-2018-144638</t>
  </si>
  <si>
    <t>14/03/2018</t>
  </si>
  <si>
    <t>MH-18115</t>
  </si>
  <si>
    <t>Mick Hernandez</t>
  </si>
  <si>
    <t>US-2017-168620</t>
  </si>
  <si>
    <t>28/12/2017</t>
  </si>
  <si>
    <t>CA-2018-117079</t>
  </si>
  <si>
    <t>27/10/2018</t>
  </si>
  <si>
    <t>JR-15700</t>
  </si>
  <si>
    <t>Jocasta Rupert</t>
  </si>
  <si>
    <t>US-2017-144393</t>
  </si>
  <si>
    <t>SM-20950</t>
  </si>
  <si>
    <t>Suzanne McNair</t>
  </si>
  <si>
    <t>Greenville</t>
  </si>
  <si>
    <t>CA-2018-105053</t>
  </si>
  <si>
    <t>CA-2017-155992</t>
  </si>
  <si>
    <t>CC-12220</t>
  </si>
  <si>
    <t>Chris Cortes</t>
  </si>
  <si>
    <t>CA-2018-110380</t>
  </si>
  <si>
    <t>PF-19225</t>
  </si>
  <si>
    <t>Phillip Flathmann</t>
  </si>
  <si>
    <t>US-2015-167738</t>
  </si>
  <si>
    <t>29/12/2015</t>
  </si>
  <si>
    <t>CA-2018-121412</t>
  </si>
  <si>
    <t>27/09/2018</t>
  </si>
  <si>
    <t>CA-2018-100426</t>
  </si>
  <si>
    <t>DC-12850</t>
  </si>
  <si>
    <t>Dan Campbell</t>
  </si>
  <si>
    <t>US-2017-103646</t>
  </si>
  <si>
    <t>CA-2017-119186</t>
  </si>
  <si>
    <t>26/05/2017</t>
  </si>
  <si>
    <t>CA-2017-148698</t>
  </si>
  <si>
    <t>BD-11770</t>
  </si>
  <si>
    <t>Bryan Davis</t>
  </si>
  <si>
    <t>CA-2015-163293</t>
  </si>
  <si>
    <t>Macon</t>
  </si>
  <si>
    <t>CA-2017-160815</t>
  </si>
  <si>
    <t>Cedar Rapids</t>
  </si>
  <si>
    <t>CA-2018-122154</t>
  </si>
  <si>
    <t>US-2016-149692</t>
  </si>
  <si>
    <t>CA-2017-119445</t>
  </si>
  <si>
    <t>GM-14500</t>
  </si>
  <si>
    <t>Gene McClure</t>
  </si>
  <si>
    <t>Providence</t>
  </si>
  <si>
    <t>CA-2016-124268</t>
  </si>
  <si>
    <t>CA-2017-154711</t>
  </si>
  <si>
    <t>26/11/2017</t>
  </si>
  <si>
    <t>TB-21355</t>
  </si>
  <si>
    <t>Todd Boyes</t>
  </si>
  <si>
    <t>CA-2017-163384</t>
  </si>
  <si>
    <t>CA-2016-101707</t>
  </si>
  <si>
    <t>CA-2016-138898</t>
  </si>
  <si>
    <t>29/05/2016</t>
  </si>
  <si>
    <t>JH-16180</t>
  </si>
  <si>
    <t>Justin Hirsh</t>
  </si>
  <si>
    <t>Pueblo</t>
  </si>
  <si>
    <t>CA-2018-115427</t>
  </si>
  <si>
    <t>EB-13975</t>
  </si>
  <si>
    <t>Erica Bern</t>
  </si>
  <si>
    <t>CA-2017-134425</t>
  </si>
  <si>
    <t>QJ-19255</t>
  </si>
  <si>
    <t>Quincy Jones</t>
  </si>
  <si>
    <t>CA-2016-121391</t>
  </si>
  <si>
    <t>CA-2017-137043</t>
  </si>
  <si>
    <t>25/12/2017</t>
  </si>
  <si>
    <t>CA-2016-115847</t>
  </si>
  <si>
    <t>24/09/2016</t>
  </si>
  <si>
    <t>TC-21535</t>
  </si>
  <si>
    <t>Tracy Collins</t>
  </si>
  <si>
    <t>US-2018-126179</t>
  </si>
  <si>
    <t>CS-12460</t>
  </si>
  <si>
    <t>Chuck Sachs</t>
  </si>
  <si>
    <t>CA-2017-101966</t>
  </si>
  <si>
    <t>CA-2017-141397</t>
  </si>
  <si>
    <t>21/06/2017</t>
  </si>
  <si>
    <t>CA-2017-141082</t>
  </si>
  <si>
    <t>US-2017-134488</t>
  </si>
  <si>
    <t>CA-2017-145919</t>
  </si>
  <si>
    <t>23/12/2017</t>
  </si>
  <si>
    <t>HG-14965</t>
  </si>
  <si>
    <t>Henry Goldwyn</t>
  </si>
  <si>
    <t>CA-2018-157651</t>
  </si>
  <si>
    <t>CA-2015-160773</t>
  </si>
  <si>
    <t>LW-16825</t>
  </si>
  <si>
    <t>Laurel Workman</t>
  </si>
  <si>
    <t>Deltona</t>
  </si>
  <si>
    <t>CA-2018-167703</t>
  </si>
  <si>
    <t>MC-17575</t>
  </si>
  <si>
    <t>Matt Collins</t>
  </si>
  <si>
    <t>CA-2018-121804</t>
  </si>
  <si>
    <t>LP-17095</t>
  </si>
  <si>
    <t>Liz Preis</t>
  </si>
  <si>
    <t>Murray</t>
  </si>
  <si>
    <t>CA-2018-162635</t>
  </si>
  <si>
    <t>EB-14170</t>
  </si>
  <si>
    <t>Evan Bailliet</t>
  </si>
  <si>
    <t>CA-2015-107153</t>
  </si>
  <si>
    <t>GZ-14545</t>
  </si>
  <si>
    <t>George Zrebassa</t>
  </si>
  <si>
    <t>US-2015-117058</t>
  </si>
  <si>
    <t>30/05/2015</t>
  </si>
  <si>
    <t>CA-2016-120439</t>
  </si>
  <si>
    <t>18/06/2016</t>
  </si>
  <si>
    <t>CA-2017-128258</t>
  </si>
  <si>
    <t>CP-12085</t>
  </si>
  <si>
    <t>Cathy Prescott</t>
  </si>
  <si>
    <t>Norwich</t>
  </si>
  <si>
    <t>CA-2018-106033</t>
  </si>
  <si>
    <t>18/10/2018</t>
  </si>
  <si>
    <t>FG-14260</t>
  </si>
  <si>
    <t>Frank Gastineau</t>
  </si>
  <si>
    <t>CA-2017-142762</t>
  </si>
  <si>
    <t>27/05/2017</t>
  </si>
  <si>
    <t>LD-17005</t>
  </si>
  <si>
    <t>Lisa DeCherney</t>
  </si>
  <si>
    <t>CA-2018-127705</t>
  </si>
  <si>
    <t>AB-10255</t>
  </si>
  <si>
    <t>Alejandro Ballentine</t>
  </si>
  <si>
    <t>CA-2015-122567</t>
  </si>
  <si>
    <t>21/02/2015</t>
  </si>
  <si>
    <t>MN-17935</t>
  </si>
  <si>
    <t>Michael Nguyen</t>
  </si>
  <si>
    <t>CA-2015-121664</t>
  </si>
  <si>
    <t>CA-2017-122133</t>
  </si>
  <si>
    <t>JR-15670</t>
  </si>
  <si>
    <t>Jim Radford</t>
  </si>
  <si>
    <t>Middletown</t>
  </si>
  <si>
    <t>US-2018-123281</t>
  </si>
  <si>
    <t>JF-15190</t>
  </si>
  <si>
    <t>Jamie Frazer</t>
  </si>
  <si>
    <t>CA-2018-100524</t>
  </si>
  <si>
    <t>CM-12115</t>
  </si>
  <si>
    <t>Chad McGuire</t>
  </si>
  <si>
    <t>CA-2018-113481</t>
  </si>
  <si>
    <t>AS-10045</t>
  </si>
  <si>
    <t>Aaron Smayling</t>
  </si>
  <si>
    <t>CA-2016-131758</t>
  </si>
  <si>
    <t>Freeport</t>
  </si>
  <si>
    <t>CA-2015-118339</t>
  </si>
  <si>
    <t>24/03/2015</t>
  </si>
  <si>
    <t>CA-2015-153976</t>
  </si>
  <si>
    <t>BP-11290</t>
  </si>
  <si>
    <t>Beth Paige</t>
  </si>
  <si>
    <t>CA-2017-162901</t>
  </si>
  <si>
    <t>31/03/2017</t>
  </si>
  <si>
    <t>CA-2018-162978</t>
  </si>
  <si>
    <t>US-2015-160444</t>
  </si>
  <si>
    <t>CA-2017-145247</t>
  </si>
  <si>
    <t>ND-18370</t>
  </si>
  <si>
    <t>Natalie DeCherney</t>
  </si>
  <si>
    <t>CA-2018-160045</t>
  </si>
  <si>
    <t>LB-16735</t>
  </si>
  <si>
    <t>Larry Blacks</t>
  </si>
  <si>
    <t>US-2015-151925</t>
  </si>
  <si>
    <t>KT-16465</t>
  </si>
  <si>
    <t>Kean Takahito</t>
  </si>
  <si>
    <t>CA-2018-125199</t>
  </si>
  <si>
    <t>25/10/2018</t>
  </si>
  <si>
    <t>HM-14860</t>
  </si>
  <si>
    <t>Harry Marie</t>
  </si>
  <si>
    <t>US-2018-155425</t>
  </si>
  <si>
    <t>AB-10600</t>
  </si>
  <si>
    <t>Ann Blume</t>
  </si>
  <si>
    <t>CA-2018-133249</t>
  </si>
  <si>
    <t>SZ-20035</t>
  </si>
  <si>
    <t>Sam Zeldin</t>
  </si>
  <si>
    <t>Pico Rivera</t>
  </si>
  <si>
    <t>US-2016-103471</t>
  </si>
  <si>
    <t>28/12/2016</t>
  </si>
  <si>
    <t>CA-2018-136672</t>
  </si>
  <si>
    <t>MG-17890</t>
  </si>
  <si>
    <t>Michael Granlund</t>
  </si>
  <si>
    <t>US-2015-157021</t>
  </si>
  <si>
    <t>CA-2016-120362</t>
  </si>
  <si>
    <t>Provo</t>
  </si>
  <si>
    <t>CA-2015-126361</t>
  </si>
  <si>
    <t>Pleasant Grove</t>
  </si>
  <si>
    <t>US-2017-100566</t>
  </si>
  <si>
    <t>JK-16120</t>
  </si>
  <si>
    <t>Julie Kriz</t>
  </si>
  <si>
    <t>US-2017-108504</t>
  </si>
  <si>
    <t>PP-18955</t>
  </si>
  <si>
    <t>Paul Prost</t>
  </si>
  <si>
    <t>Smyrna</t>
  </si>
  <si>
    <t>CA-2018-124828</t>
  </si>
  <si>
    <t>YS-21880</t>
  </si>
  <si>
    <t>Yana Sorensen</t>
  </si>
  <si>
    <t>US-2018-117247</t>
  </si>
  <si>
    <t>14/10/2018</t>
  </si>
  <si>
    <t>CA-2017-124485</t>
  </si>
  <si>
    <t>CA-2017-159212</t>
  </si>
  <si>
    <t>KM-16375</t>
  </si>
  <si>
    <t>Katherine Murray</t>
  </si>
  <si>
    <t>US-2017-161396</t>
  </si>
  <si>
    <t>25/04/2017</t>
  </si>
  <si>
    <t>US-2015-118486</t>
  </si>
  <si>
    <t>CA-2017-130407</t>
  </si>
  <si>
    <t>US-2017-122245</t>
  </si>
  <si>
    <t>AB-10105</t>
  </si>
  <si>
    <t>Adrian Barton</t>
  </si>
  <si>
    <t>CA-2018-105144</t>
  </si>
  <si>
    <t>CA-2017-136329</t>
  </si>
  <si>
    <t>13/07/2017</t>
  </si>
  <si>
    <t>CA-2015-146640</t>
  </si>
  <si>
    <t>HA-14905</t>
  </si>
  <si>
    <t>Helen Abelman</t>
  </si>
  <si>
    <t>CA-2018-115994</t>
  </si>
  <si>
    <t>31/01/2018</t>
  </si>
  <si>
    <t>BT-11305</t>
  </si>
  <si>
    <t>Beth Thompson</t>
  </si>
  <si>
    <t>CA-2016-126697</t>
  </si>
  <si>
    <t>SV-20815</t>
  </si>
  <si>
    <t>Stuart Van</t>
  </si>
  <si>
    <t>CA-2016-124800</t>
  </si>
  <si>
    <t>RW-19540</t>
  </si>
  <si>
    <t>Rick Wilson</t>
  </si>
  <si>
    <t>US-2016-164448</t>
  </si>
  <si>
    <t>DK-12835</t>
  </si>
  <si>
    <t>Damala Kotsonis</t>
  </si>
  <si>
    <t>CA-2018-122700</t>
  </si>
  <si>
    <t>30/11/2018</t>
  </si>
  <si>
    <t>CA-2015-120768</t>
  </si>
  <si>
    <t>US-2017-153129</t>
  </si>
  <si>
    <t>30/12/2017</t>
  </si>
  <si>
    <t>CA-2018-106852</t>
  </si>
  <si>
    <t>ST-20530</t>
  </si>
  <si>
    <t>Shui Tom</t>
  </si>
  <si>
    <t>Parma</t>
  </si>
  <si>
    <t>CA-2016-139731</t>
  </si>
  <si>
    <t>15/10/2016</t>
  </si>
  <si>
    <t>CA-2018-122735</t>
  </si>
  <si>
    <t>CA-2018-128160</t>
  </si>
  <si>
    <t>MM-17920</t>
  </si>
  <si>
    <t>Michael Moore</t>
  </si>
  <si>
    <t>CA-2018-117695</t>
  </si>
  <si>
    <t>PW-19030</t>
  </si>
  <si>
    <t>Pauline Webber</t>
  </si>
  <si>
    <t>CA-2016-166135</t>
  </si>
  <si>
    <t>SC-20440</t>
  </si>
  <si>
    <t>Shaun Chance</t>
  </si>
  <si>
    <t>CA-2017-133725</t>
  </si>
  <si>
    <t>28/05/2017</t>
  </si>
  <si>
    <t>CA-2018-102337</t>
  </si>
  <si>
    <t>16/06/2018</t>
  </si>
  <si>
    <t>US-2015-112564</t>
  </si>
  <si>
    <t>24/04/2015</t>
  </si>
  <si>
    <t>CA-2016-145821</t>
  </si>
  <si>
    <t>US-2016-160150</t>
  </si>
  <si>
    <t>20/07/2016</t>
  </si>
  <si>
    <t>TS-21085</t>
  </si>
  <si>
    <t>Thais Sissman</t>
  </si>
  <si>
    <t>CA-2017-133711</t>
  </si>
  <si>
    <t>29/11/2017</t>
  </si>
  <si>
    <t>MC-17425</t>
  </si>
  <si>
    <t>Mark Cousins</t>
  </si>
  <si>
    <t>Mobile</t>
  </si>
  <si>
    <t>CA-2018-148474</t>
  </si>
  <si>
    <t>ME-17320</t>
  </si>
  <si>
    <t>Maria Etezadi</t>
  </si>
  <si>
    <t>CA-2016-111297</t>
  </si>
  <si>
    <t>21/08/2016</t>
  </si>
  <si>
    <t>New Bedford</t>
  </si>
  <si>
    <t>CA-2017-123722</t>
  </si>
  <si>
    <t>NH-18610</t>
  </si>
  <si>
    <t>Nicole Hansen</t>
  </si>
  <si>
    <t>Irving</t>
  </si>
  <si>
    <t>CA-2015-155271</t>
  </si>
  <si>
    <t>CA-2016-119907</t>
  </si>
  <si>
    <t>US-2017-128902</t>
  </si>
  <si>
    <t>15/03/2017</t>
  </si>
  <si>
    <t>MB-18085</t>
  </si>
  <si>
    <t>Mick Brown</t>
  </si>
  <si>
    <t>Vineland</t>
  </si>
  <si>
    <t>CA-2017-152289</t>
  </si>
  <si>
    <t>US-2017-104794</t>
  </si>
  <si>
    <t>KD-16495</t>
  </si>
  <si>
    <t>Keith Dawkins</t>
  </si>
  <si>
    <t>CA-2015-151708</t>
  </si>
  <si>
    <t>14/08/2015</t>
  </si>
  <si>
    <t>Glendale</t>
  </si>
  <si>
    <t>CA-2016-100769</t>
  </si>
  <si>
    <t>16/05/2016</t>
  </si>
  <si>
    <t>CA-2018-139199</t>
  </si>
  <si>
    <t>US-2016-161466</t>
  </si>
  <si>
    <t>27/09/2016</t>
  </si>
  <si>
    <t>CA-2018-164959</t>
  </si>
  <si>
    <t>KN-16390</t>
  </si>
  <si>
    <t>Katherine Nockton</t>
  </si>
  <si>
    <t>US-2016-105676</t>
  </si>
  <si>
    <t>CA-2017-113138</t>
  </si>
  <si>
    <t>25/11/2017</t>
  </si>
  <si>
    <t>NP-18685</t>
  </si>
  <si>
    <t>Nora Pelletier</t>
  </si>
  <si>
    <t>Niagara Falls</t>
  </si>
  <si>
    <t>US-2018-104955</t>
  </si>
  <si>
    <t>24/03/2018</t>
  </si>
  <si>
    <t>CA-2017-121958</t>
  </si>
  <si>
    <t>CS-12505</t>
  </si>
  <si>
    <t>Cindy Stewart</t>
  </si>
  <si>
    <t>Thomasville</t>
  </si>
  <si>
    <t>CA-2018-121468</t>
  </si>
  <si>
    <t>20/11/2018</t>
  </si>
  <si>
    <t>Westminster</t>
  </si>
  <si>
    <t>US-2017-108455</t>
  </si>
  <si>
    <t>CA-2018-101210</t>
  </si>
  <si>
    <t>US-2017-108098</t>
  </si>
  <si>
    <t>18/10/2017</t>
  </si>
  <si>
    <t>CA-2015-119032</t>
  </si>
  <si>
    <t>MS-17770</t>
  </si>
  <si>
    <t>Maxwell Schwartz</t>
  </si>
  <si>
    <t>CA-2016-140410</t>
  </si>
  <si>
    <t>CM-12655</t>
  </si>
  <si>
    <t>Corinna Mitchell</t>
  </si>
  <si>
    <t>CA-2015-136280</t>
  </si>
  <si>
    <t>Co-12640</t>
  </si>
  <si>
    <t>Corey-Lock</t>
  </si>
  <si>
    <t>CA-2018-151911</t>
  </si>
  <si>
    <t>CA-2018-166436</t>
  </si>
  <si>
    <t>TS-21370</t>
  </si>
  <si>
    <t>Todd Sumrall</t>
  </si>
  <si>
    <t>CA-2018-139661</t>
  </si>
  <si>
    <t>JW-15220</t>
  </si>
  <si>
    <t>Jane Waco</t>
  </si>
  <si>
    <t>CA-2015-123925</t>
  </si>
  <si>
    <t>19/12/2015</t>
  </si>
  <si>
    <t>CA-2018-152485</t>
  </si>
  <si>
    <t>JD-15790</t>
  </si>
  <si>
    <t>John Dryer</t>
  </si>
  <si>
    <t>Coppell</t>
  </si>
  <si>
    <t>CA-2017-141586</t>
  </si>
  <si>
    <t>20/10/2017</t>
  </si>
  <si>
    <t>CA-2018-130386</t>
  </si>
  <si>
    <t>18/11/2018</t>
  </si>
  <si>
    <t>Ship Month</t>
  </si>
  <si>
    <t>First Name</t>
  </si>
  <si>
    <t>Surname</t>
  </si>
  <si>
    <t>Sale</t>
  </si>
  <si>
    <t>Total Sales</t>
  </si>
  <si>
    <t>Item Cost</t>
  </si>
  <si>
    <t>Aug</t>
  </si>
  <si>
    <t>Claire</t>
  </si>
  <si>
    <t>Gute</t>
  </si>
  <si>
    <t>Dec</t>
  </si>
  <si>
    <t>Nov</t>
  </si>
  <si>
    <t>Sean</t>
  </si>
  <si>
    <t>O'Donnell</t>
  </si>
  <si>
    <t>Sep</t>
  </si>
  <si>
    <t>Brosina</t>
  </si>
  <si>
    <t>Hoffman</t>
  </si>
  <si>
    <t>Apr</t>
  </si>
  <si>
    <t>Andrew</t>
  </si>
  <si>
    <t>Allen</t>
  </si>
  <si>
    <t>May</t>
  </si>
  <si>
    <t>Irene</t>
  </si>
  <si>
    <t>Maddox</t>
  </si>
  <si>
    <t>Harold</t>
  </si>
  <si>
    <t>Pawlan</t>
  </si>
  <si>
    <t>Pete</t>
  </si>
  <si>
    <t>Kriz</t>
  </si>
  <si>
    <t>Alejandro</t>
  </si>
  <si>
    <t>Grove</t>
  </si>
  <si>
    <t>Zuschuss</t>
  </si>
  <si>
    <t>Donatelli</t>
  </si>
  <si>
    <t>Ken</t>
  </si>
  <si>
    <t>Black</t>
  </si>
  <si>
    <t>Jul</t>
  </si>
  <si>
    <t>Sandra</t>
  </si>
  <si>
    <t>Flanagan</t>
  </si>
  <si>
    <t>Emily</t>
  </si>
  <si>
    <t>Burns</t>
  </si>
  <si>
    <t>Jan</t>
  </si>
  <si>
    <t>Eric</t>
  </si>
  <si>
    <t>Hoffmann</t>
  </si>
  <si>
    <t>Tracy</t>
  </si>
  <si>
    <t>Blumstein</t>
  </si>
  <si>
    <t>Oct</t>
  </si>
  <si>
    <t>Matt</t>
  </si>
  <si>
    <t>Abelman</t>
  </si>
  <si>
    <t>Gene</t>
  </si>
  <si>
    <t>Hale</t>
  </si>
  <si>
    <t>Steve</t>
  </si>
  <si>
    <t>Nguyen</t>
  </si>
  <si>
    <t>Linda</t>
  </si>
  <si>
    <t>Cazamias</t>
  </si>
  <si>
    <t>Ruben</t>
  </si>
  <si>
    <t>Ausman</t>
  </si>
  <si>
    <t>Erin</t>
  </si>
  <si>
    <t>Smith</t>
  </si>
  <si>
    <t>Odella</t>
  </si>
  <si>
    <t>Nelson</t>
  </si>
  <si>
    <t>Patrick</t>
  </si>
  <si>
    <t>Jun</t>
  </si>
  <si>
    <t>Lena</t>
  </si>
  <si>
    <t>Hernandez</t>
  </si>
  <si>
    <t>Darren</t>
  </si>
  <si>
    <t>Powers</t>
  </si>
  <si>
    <t>Janet</t>
  </si>
  <si>
    <t>Molinari</t>
  </si>
  <si>
    <t>Ted</t>
  </si>
  <si>
    <t>Butterfield</t>
  </si>
  <si>
    <t>Kunst</t>
  </si>
  <si>
    <t>Miller</t>
  </si>
  <si>
    <t>Stevenson</t>
  </si>
  <si>
    <t>Brendan</t>
  </si>
  <si>
    <t>Sweed</t>
  </si>
  <si>
    <t>Karen</t>
  </si>
  <si>
    <t>Daniels</t>
  </si>
  <si>
    <t>Henry</t>
  </si>
  <si>
    <t>MacAllister</t>
  </si>
  <si>
    <t>Joel</t>
  </si>
  <si>
    <t>Eaton</t>
  </si>
  <si>
    <t>Brennan</t>
  </si>
  <si>
    <t>Stewart</t>
  </si>
  <si>
    <t>Carmichael</t>
  </si>
  <si>
    <t>Duane</t>
  </si>
  <si>
    <t>Noonan</t>
  </si>
  <si>
    <t>Mar</t>
  </si>
  <si>
    <t>Julie</t>
  </si>
  <si>
    <t>Creighton</t>
  </si>
  <si>
    <t>Christopher</t>
  </si>
  <si>
    <t>Schild</t>
  </si>
  <si>
    <t>Gonzalez</t>
  </si>
  <si>
    <t>Gary</t>
  </si>
  <si>
    <t>Mitchum</t>
  </si>
  <si>
    <t>Jim</t>
  </si>
  <si>
    <t>Sink</t>
  </si>
  <si>
    <t>Karl</t>
  </si>
  <si>
    <t>Braun</t>
  </si>
  <si>
    <t>Roger</t>
  </si>
  <si>
    <t>Barcio</t>
  </si>
  <si>
    <t>Parhena</t>
  </si>
  <si>
    <t>Norris</t>
  </si>
  <si>
    <t>Katherine</t>
  </si>
  <si>
    <t>Ducich</t>
  </si>
  <si>
    <t>Elpida</t>
  </si>
  <si>
    <t>Rittenbach</t>
  </si>
  <si>
    <t>Rick</t>
  </si>
  <si>
    <t>Bensley</t>
  </si>
  <si>
    <t>Zandusky</t>
  </si>
  <si>
    <t>Cacioppo</t>
  </si>
  <si>
    <t>Martin</t>
  </si>
  <si>
    <t>Armstrong</t>
  </si>
  <si>
    <t>Cynthia</t>
  </si>
  <si>
    <t>Voltz</t>
  </si>
  <si>
    <t>Clay</t>
  </si>
  <si>
    <t>Ludtke</t>
  </si>
  <si>
    <t>Ryan</t>
  </si>
  <si>
    <t>Crowe</t>
  </si>
  <si>
    <t>Feb</t>
  </si>
  <si>
    <t>Dave</t>
  </si>
  <si>
    <t>Kipp</t>
  </si>
  <si>
    <t>Greg</t>
  </si>
  <si>
    <t>Guthrie</t>
  </si>
  <si>
    <t>Steven</t>
  </si>
  <si>
    <t>Cartwright</t>
  </si>
  <si>
    <t>Alan</t>
  </si>
  <si>
    <t>Dominguez</t>
  </si>
  <si>
    <t>Philip</t>
  </si>
  <si>
    <t>Fox</t>
  </si>
  <si>
    <t>Staebel</t>
  </si>
  <si>
    <t>Lindsay</t>
  </si>
  <si>
    <t>Shagiari</t>
  </si>
  <si>
    <t>Dorothy</t>
  </si>
  <si>
    <t>Wardle</t>
  </si>
  <si>
    <t>Jonathan</t>
  </si>
  <si>
    <t>Doherty</t>
  </si>
  <si>
    <t>Sally</t>
  </si>
  <si>
    <t>Hughsby</t>
  </si>
  <si>
    <t>Glassco</t>
  </si>
  <si>
    <t>Helen</t>
  </si>
  <si>
    <t>Andreada</t>
  </si>
  <si>
    <t>Maureen</t>
  </si>
  <si>
    <t>Gastineau</t>
  </si>
  <si>
    <t>Justin</t>
  </si>
  <si>
    <t>Ellison</t>
  </si>
  <si>
    <t>Tamara</t>
  </si>
  <si>
    <t>Willingham</t>
  </si>
  <si>
    <t>Stephanie</t>
  </si>
  <si>
    <t>Phelps</t>
  </si>
  <si>
    <t>Neil</t>
  </si>
  <si>
    <t>Knudson</t>
  </si>
  <si>
    <t>Brooks</t>
  </si>
  <si>
    <t>Nora</t>
  </si>
  <si>
    <t>Paige</t>
  </si>
  <si>
    <t>Trevino</t>
  </si>
  <si>
    <t>Murdock</t>
  </si>
  <si>
    <t>Dartt</t>
  </si>
  <si>
    <t>Max</t>
  </si>
  <si>
    <t>Jones</t>
  </si>
  <si>
    <t>Becky</t>
  </si>
  <si>
    <t>Chad</t>
  </si>
  <si>
    <t>Sievert</t>
  </si>
  <si>
    <t>Jennifer</t>
  </si>
  <si>
    <t>Braxton</t>
  </si>
  <si>
    <t>Shirley</t>
  </si>
  <si>
    <t>David</t>
  </si>
  <si>
    <t>Kendrick</t>
  </si>
  <si>
    <t>Robert</t>
  </si>
  <si>
    <t>Marley</t>
  </si>
  <si>
    <t>Knutson</t>
  </si>
  <si>
    <t>Frank</t>
  </si>
  <si>
    <t>Merwin</t>
  </si>
  <si>
    <t>Alice</t>
  </si>
  <si>
    <t>McCarthy</t>
  </si>
  <si>
    <t>Mark</t>
  </si>
  <si>
    <t>Packer</t>
  </si>
  <si>
    <t>Mary</t>
  </si>
  <si>
    <t>Zewe</t>
  </si>
  <si>
    <t>Cassandra</t>
  </si>
  <si>
    <t>Brandow</t>
  </si>
  <si>
    <t>Valerie</t>
  </si>
  <si>
    <t>Fred</t>
  </si>
  <si>
    <t>Hopkins</t>
  </si>
  <si>
    <t>Maria</t>
  </si>
  <si>
    <t>Bertelson</t>
  </si>
  <si>
    <t>Bruce</t>
  </si>
  <si>
    <t>Logan</t>
  </si>
  <si>
    <t>Currie</t>
  </si>
  <si>
    <t>Heather</t>
  </si>
  <si>
    <t>Kirkland</t>
  </si>
  <si>
    <t>Laurel</t>
  </si>
  <si>
    <t>Elliston</t>
  </si>
  <si>
    <t>Joseph</t>
  </si>
  <si>
    <t>Holt</t>
  </si>
  <si>
    <t>Michael</t>
  </si>
  <si>
    <t>Victoria</t>
  </si>
  <si>
    <t>Wilson</t>
  </si>
  <si>
    <t>Howell</t>
  </si>
  <si>
    <t>Joni</t>
  </si>
  <si>
    <t>Ashbrook</t>
  </si>
  <si>
    <t>Bremer</t>
  </si>
  <si>
    <t>Lonsdale</t>
  </si>
  <si>
    <t>Dianna</t>
  </si>
  <si>
    <t>Haushalter</t>
  </si>
  <si>
    <t>Kelly</t>
  </si>
  <si>
    <t>Collister</t>
  </si>
  <si>
    <t>Delfina</t>
  </si>
  <si>
    <t>Latchford</t>
  </si>
  <si>
    <t>Dan</t>
  </si>
  <si>
    <t>Reichenbach</t>
  </si>
  <si>
    <t>Craig</t>
  </si>
  <si>
    <t>Carreira</t>
  </si>
  <si>
    <t>Dorris</t>
  </si>
  <si>
    <t>liebe</t>
  </si>
  <si>
    <t>Roy</t>
  </si>
  <si>
    <t>Collins</t>
  </si>
  <si>
    <t>Hwang</t>
  </si>
  <si>
    <t>Claudia</t>
  </si>
  <si>
    <t>Bergmann</t>
  </si>
  <si>
    <t>Christine</t>
  </si>
  <si>
    <t>Kristen</t>
  </si>
  <si>
    <t>Hastings</t>
  </si>
  <si>
    <t>Barry</t>
  </si>
  <si>
    <t>Gjertsen</t>
  </si>
  <si>
    <t>Jas</t>
  </si>
  <si>
    <t>O'Carroll</t>
  </si>
  <si>
    <t>Haines</t>
  </si>
  <si>
    <t>Nick</t>
  </si>
  <si>
    <t>Lampkin</t>
  </si>
  <si>
    <t>Schoenberger</t>
  </si>
  <si>
    <t>Corey</t>
  </si>
  <si>
    <t>Roper</t>
  </si>
  <si>
    <t>Shahid</t>
  </si>
  <si>
    <t>Ben</t>
  </si>
  <si>
    <t>Peterman</t>
  </si>
  <si>
    <t>Thomas</t>
  </si>
  <si>
    <t>Seio</t>
  </si>
  <si>
    <t>Andy</t>
  </si>
  <si>
    <t>Gerbode</t>
  </si>
  <si>
    <t>Sung</t>
  </si>
  <si>
    <t>Pak</t>
  </si>
  <si>
    <t>Nathan</t>
  </si>
  <si>
    <t>Mautz</t>
  </si>
  <si>
    <t>Atkinson</t>
  </si>
  <si>
    <t>Grace</t>
  </si>
  <si>
    <t>Don</t>
  </si>
  <si>
    <t>O'Brill</t>
  </si>
  <si>
    <t>John</t>
  </si>
  <si>
    <t>Lucas</t>
  </si>
  <si>
    <t>Doug</t>
  </si>
  <si>
    <t>Bickford</t>
  </si>
  <si>
    <t>Alyssa</t>
  </si>
  <si>
    <t>Crouse</t>
  </si>
  <si>
    <t>Cheatham</t>
  </si>
  <si>
    <t>Dahlen</t>
  </si>
  <si>
    <t>Adam</t>
  </si>
  <si>
    <t>Bellavance</t>
  </si>
  <si>
    <t>Jeremy</t>
  </si>
  <si>
    <t>Katrina</t>
  </si>
  <si>
    <t>Willman</t>
  </si>
  <si>
    <t>Julia</t>
  </si>
  <si>
    <t>Dunbar</t>
  </si>
  <si>
    <t>Kennedy</t>
  </si>
  <si>
    <t>Guy</t>
  </si>
  <si>
    <t>Thornton</t>
  </si>
  <si>
    <t>Arthur</t>
  </si>
  <si>
    <t>Gainer</t>
  </si>
  <si>
    <t>Muhammed</t>
  </si>
  <si>
    <t>MacIntyre</t>
  </si>
  <si>
    <t>Rosenblatt</t>
  </si>
  <si>
    <t>Russell</t>
  </si>
  <si>
    <t>Applegate</t>
  </si>
  <si>
    <t>Savely</t>
  </si>
  <si>
    <t>Laura</t>
  </si>
  <si>
    <t>Denny</t>
  </si>
  <si>
    <t>Ordway</t>
  </si>
  <si>
    <t>Dean</t>
  </si>
  <si>
    <t>Katz</t>
  </si>
  <si>
    <t>Gelder</t>
  </si>
  <si>
    <t>Mike</t>
  </si>
  <si>
    <t>Vittorini</t>
  </si>
  <si>
    <t>Jack</t>
  </si>
  <si>
    <t>Garza</t>
  </si>
  <si>
    <t>Bart</t>
  </si>
  <si>
    <t>Pistole</t>
  </si>
  <si>
    <t>Victor</t>
  </si>
  <si>
    <t>Preis</t>
  </si>
  <si>
    <t>Saphhira</t>
  </si>
  <si>
    <t>Shifley</t>
  </si>
  <si>
    <t>Anna</t>
  </si>
  <si>
    <t>Gayman</t>
  </si>
  <si>
    <t>Luke</t>
  </si>
  <si>
    <t>Foster</t>
  </si>
  <si>
    <t>Französisch</t>
  </si>
  <si>
    <t>Keith</t>
  </si>
  <si>
    <t>Herrera</t>
  </si>
  <si>
    <t>Kimberly</t>
  </si>
  <si>
    <t>Carter</t>
  </si>
  <si>
    <t>Caroline</t>
  </si>
  <si>
    <t>Jumper</t>
  </si>
  <si>
    <t>Brown</t>
  </si>
  <si>
    <t>Natalie</t>
  </si>
  <si>
    <t>Fritzler</t>
  </si>
  <si>
    <t>Heidel</t>
  </si>
  <si>
    <t>Ross</t>
  </si>
  <si>
    <t>Baird</t>
  </si>
  <si>
    <t>Philisse</t>
  </si>
  <si>
    <t>Overcash</t>
  </si>
  <si>
    <t>Brenda</t>
  </si>
  <si>
    <t>Bowman</t>
  </si>
  <si>
    <t>Blackwell</t>
  </si>
  <si>
    <t>Raymond</t>
  </si>
  <si>
    <t>Buch</t>
  </si>
  <si>
    <t>Ed</t>
  </si>
  <si>
    <t>Sanjit</t>
  </si>
  <si>
    <t>Chand</t>
  </si>
  <si>
    <t>Tanja</t>
  </si>
  <si>
    <t>Norvell</t>
  </si>
  <si>
    <t>Sundaresam</t>
  </si>
  <si>
    <t>Maya</t>
  </si>
  <si>
    <t>Herman</t>
  </si>
  <si>
    <t>Pistek</t>
  </si>
  <si>
    <t>Grady</t>
  </si>
  <si>
    <t>Xylona</t>
  </si>
  <si>
    <t>Mull</t>
  </si>
  <si>
    <t>Michelle</t>
  </si>
  <si>
    <t>Tran</t>
  </si>
  <si>
    <t>Carl</t>
  </si>
  <si>
    <t>Weiss</t>
  </si>
  <si>
    <t>Astrea</t>
  </si>
  <si>
    <t>Sonia</t>
  </si>
  <si>
    <t>Sunley</t>
  </si>
  <si>
    <t>Rose</t>
  </si>
  <si>
    <t>O'Brian</t>
  </si>
  <si>
    <t>Maribeth</t>
  </si>
  <si>
    <t>Dona</t>
  </si>
  <si>
    <t>Yedwab</t>
  </si>
  <si>
    <t>Martinez</t>
  </si>
  <si>
    <t>Lynn</t>
  </si>
  <si>
    <t>Bradley</t>
  </si>
  <si>
    <t>Braden</t>
  </si>
  <si>
    <t>Connell</t>
  </si>
  <si>
    <t>Brian</t>
  </si>
  <si>
    <t>Patricia</t>
  </si>
  <si>
    <t>Hirasaki</t>
  </si>
  <si>
    <t>Gockenbach</t>
  </si>
  <si>
    <t>Bern</t>
  </si>
  <si>
    <t>Jasper</t>
  </si>
  <si>
    <t>Rob</t>
  </si>
  <si>
    <t>Armold</t>
  </si>
  <si>
    <t>Phan</t>
  </si>
  <si>
    <t>Koutras</t>
  </si>
  <si>
    <t>Drucker</t>
  </si>
  <si>
    <t>Liz</t>
  </si>
  <si>
    <t>MacKendrick</t>
  </si>
  <si>
    <t>Adrian</t>
  </si>
  <si>
    <t>Shami</t>
  </si>
  <si>
    <t>Bill</t>
  </si>
  <si>
    <t>Ashley</t>
  </si>
  <si>
    <t>Jarboe</t>
  </si>
  <si>
    <t>Olvera</t>
  </si>
  <si>
    <t>Toch</t>
  </si>
  <si>
    <t>Pelletier</t>
  </si>
  <si>
    <t>Arntzen</t>
  </si>
  <si>
    <t>Farry</t>
  </si>
  <si>
    <t>Ellis</t>
  </si>
  <si>
    <t>Ballard</t>
  </si>
  <si>
    <t>Ferguson</t>
  </si>
  <si>
    <t>Sarah</t>
  </si>
  <si>
    <t>Trudy</t>
  </si>
  <si>
    <t>Glocke</t>
  </si>
  <si>
    <t>Carlos</t>
  </si>
  <si>
    <t>Soltero</t>
  </si>
  <si>
    <t>Charles</t>
  </si>
  <si>
    <t>Crestani</t>
  </si>
  <si>
    <t>Degenhardt</t>
  </si>
  <si>
    <t>Carroll</t>
  </si>
  <si>
    <t>Melanie</t>
  </si>
  <si>
    <t>Seite</t>
  </si>
  <si>
    <t>Radford</t>
  </si>
  <si>
    <t>Theone</t>
  </si>
  <si>
    <t>Pippenger</t>
  </si>
  <si>
    <t>Chloris</t>
  </si>
  <si>
    <t>Kastensmidt</t>
  </si>
  <si>
    <t>Shonely</t>
  </si>
  <si>
    <t>Roberts</t>
  </si>
  <si>
    <t>Nona</t>
  </si>
  <si>
    <t>Balk</t>
  </si>
  <si>
    <t>Giulietta</t>
  </si>
  <si>
    <t>Dortch</t>
  </si>
  <si>
    <t>Clytie</t>
  </si>
  <si>
    <t>Kelty</t>
  </si>
  <si>
    <t>Nat</t>
  </si>
  <si>
    <t>Gilpin</t>
  </si>
  <si>
    <t>Christina</t>
  </si>
  <si>
    <t>Anderson</t>
  </si>
  <si>
    <t>Sylvia</t>
  </si>
  <si>
    <t>Foulston</t>
  </si>
  <si>
    <t>Meg</t>
  </si>
  <si>
    <t>O'Connel</t>
  </si>
  <si>
    <t>Annie</t>
  </si>
  <si>
    <t>Thurman</t>
  </si>
  <si>
    <t>McMath</t>
  </si>
  <si>
    <t>Joy</t>
  </si>
  <si>
    <t>Engle</t>
  </si>
  <si>
    <t>Deggeller</t>
  </si>
  <si>
    <t>Lee</t>
  </si>
  <si>
    <t>Christensen</t>
  </si>
  <si>
    <t>Chuck</t>
  </si>
  <si>
    <t>Clark</t>
  </si>
  <si>
    <t>Anthony</t>
  </si>
  <si>
    <t>Rawles</t>
  </si>
  <si>
    <t>Roelle</t>
  </si>
  <si>
    <t>Reiter</t>
  </si>
  <si>
    <t>Eugene</t>
  </si>
  <si>
    <t>Hildebrand</t>
  </si>
  <si>
    <t>Sibella</t>
  </si>
  <si>
    <t>Parks</t>
  </si>
  <si>
    <t>Tiffany</t>
  </si>
  <si>
    <t>House</t>
  </si>
  <si>
    <t>Resi</t>
  </si>
  <si>
    <t>Pölking</t>
  </si>
  <si>
    <t>Beeghly</t>
  </si>
  <si>
    <t>Carol</t>
  </si>
  <si>
    <t>Darley</t>
  </si>
  <si>
    <t>Jacobs</t>
  </si>
  <si>
    <t>Grant</t>
  </si>
  <si>
    <t>Chen</t>
  </si>
  <si>
    <t>Ralph</t>
  </si>
  <si>
    <t>Arnett</t>
  </si>
  <si>
    <t>Naresj</t>
  </si>
  <si>
    <t>Patel</t>
  </si>
  <si>
    <t>Barnes</t>
  </si>
  <si>
    <t>Jesus</t>
  </si>
  <si>
    <t>Ocampo</t>
  </si>
  <si>
    <t>Jay</t>
  </si>
  <si>
    <t>Kimmel</t>
  </si>
  <si>
    <t>Brad</t>
  </si>
  <si>
    <t>Philippe</t>
  </si>
  <si>
    <t>Prichep</t>
  </si>
  <si>
    <t>Roland</t>
  </si>
  <si>
    <t>Schwarz</t>
  </si>
  <si>
    <t>Seth</t>
  </si>
  <si>
    <t>Vernon</t>
  </si>
  <si>
    <t>Kargatis</t>
  </si>
  <si>
    <t>DeVincentis</t>
  </si>
  <si>
    <t>Mathew</t>
  </si>
  <si>
    <t>Reese</t>
  </si>
  <si>
    <t>Chapman</t>
  </si>
  <si>
    <t>Fein</t>
  </si>
  <si>
    <t>Sayre</t>
  </si>
  <si>
    <t>Phillina</t>
  </si>
  <si>
    <t>Ober</t>
  </si>
  <si>
    <t>Shariari</t>
  </si>
  <si>
    <t>Peter</t>
  </si>
  <si>
    <t>Bühler</t>
  </si>
  <si>
    <t>Fjeld</t>
  </si>
  <si>
    <t>Yoseph</t>
  </si>
  <si>
    <t>Debra</t>
  </si>
  <si>
    <t>Catini</t>
  </si>
  <si>
    <t>Lisa</t>
  </si>
  <si>
    <t>Hazard</t>
  </si>
  <si>
    <t>Chris</t>
  </si>
  <si>
    <t>Selesnick</t>
  </si>
  <si>
    <t>Johnson</t>
  </si>
  <si>
    <t>Benjamin</t>
  </si>
  <si>
    <t>Venier</t>
  </si>
  <si>
    <t>Lawera</t>
  </si>
  <si>
    <t>Bryan</t>
  </si>
  <si>
    <t>Mills</t>
  </si>
  <si>
    <t>Thompson</t>
  </si>
  <si>
    <t>Joe</t>
  </si>
  <si>
    <t>Kamberova</t>
  </si>
  <si>
    <t>Erica</t>
  </si>
  <si>
    <t>Hansen</t>
  </si>
  <si>
    <t>Daly</t>
  </si>
  <si>
    <t>Wasserman</t>
  </si>
  <si>
    <t>Caudle</t>
  </si>
  <si>
    <t>McGarr</t>
  </si>
  <si>
    <t>Pauline</t>
  </si>
  <si>
    <t>Watters</t>
  </si>
  <si>
    <t>Toby</t>
  </si>
  <si>
    <t>Ritter</t>
  </si>
  <si>
    <t>Gardner</t>
  </si>
  <si>
    <t>James</t>
  </si>
  <si>
    <t>Lanier</t>
  </si>
  <si>
    <t>Moss</t>
  </si>
  <si>
    <t>Eudokia</t>
  </si>
  <si>
    <t>Art</t>
  </si>
  <si>
    <t>Cyma</t>
  </si>
  <si>
    <t>Kinney</t>
  </si>
  <si>
    <t>Poirier</t>
  </si>
  <si>
    <t>Berenike</t>
  </si>
  <si>
    <t>Kampe</t>
  </si>
  <si>
    <t>Magee</t>
  </si>
  <si>
    <t>Southworth</t>
  </si>
  <si>
    <t>Phonely</t>
  </si>
  <si>
    <t>Matthias</t>
  </si>
  <si>
    <t>Garverick</t>
  </si>
  <si>
    <t>McVee</t>
  </si>
  <si>
    <t>Lauren</t>
  </si>
  <si>
    <t>Leatherbury</t>
  </si>
  <si>
    <t>Jill</t>
  </si>
  <si>
    <t>Ludwig</t>
  </si>
  <si>
    <t>Pamela</t>
  </si>
  <si>
    <t>Coakley</t>
  </si>
  <si>
    <t>Hunter</t>
  </si>
  <si>
    <t>Lopez</t>
  </si>
  <si>
    <t>Schnelling</t>
  </si>
  <si>
    <t>George</t>
  </si>
  <si>
    <t>Bell</t>
  </si>
  <si>
    <t>Eplett</t>
  </si>
  <si>
    <t>Williams</t>
  </si>
  <si>
    <t>Hart</t>
  </si>
  <si>
    <t>Jessica</t>
  </si>
  <si>
    <t>Myrick</t>
  </si>
  <si>
    <t>Jenkins</t>
  </si>
  <si>
    <t>Catherine</t>
  </si>
  <si>
    <t>Glotzbach</t>
  </si>
  <si>
    <t>Rachel</t>
  </si>
  <si>
    <t>Payne</t>
  </si>
  <si>
    <t>Carlisle</t>
  </si>
  <si>
    <t>Hughes</t>
  </si>
  <si>
    <t>Scott</t>
  </si>
  <si>
    <t>Williamson</t>
  </si>
  <si>
    <t>Airdo</t>
  </si>
  <si>
    <t>Daniel</t>
  </si>
  <si>
    <t>Lacy</t>
  </si>
  <si>
    <t>Brumley</t>
  </si>
  <si>
    <t>Spruell</t>
  </si>
  <si>
    <t>Waldorf</t>
  </si>
  <si>
    <t>Zic</t>
  </si>
  <si>
    <t>Ann</t>
  </si>
  <si>
    <t>Steele</t>
  </si>
  <si>
    <t>Swindell</t>
  </si>
  <si>
    <t>Sara</t>
  </si>
  <si>
    <t>Luxemburg</t>
  </si>
  <si>
    <t>Mitch</t>
  </si>
  <si>
    <t>Dowd</t>
  </si>
  <si>
    <t>Akin</t>
  </si>
  <si>
    <t>Tillman</t>
  </si>
  <si>
    <t>Vivek</t>
  </si>
  <si>
    <t>Kalyca</t>
  </si>
  <si>
    <t>Meade</t>
  </si>
  <si>
    <t>District Of Columbia</t>
  </si>
  <si>
    <t>Hallie</t>
  </si>
  <si>
    <t>Redmond</t>
  </si>
  <si>
    <t>Deanra</t>
  </si>
  <si>
    <t>Eno</t>
  </si>
  <si>
    <t>Goldenen</t>
  </si>
  <si>
    <t>Halladay</t>
  </si>
  <si>
    <t>Dilbeck</t>
  </si>
  <si>
    <t>O'Rourke</t>
  </si>
  <si>
    <t>Noel</t>
  </si>
  <si>
    <t>Staavos</t>
  </si>
  <si>
    <t>Deirdre</t>
  </si>
  <si>
    <t>Greer</t>
  </si>
  <si>
    <t>Nicole</t>
  </si>
  <si>
    <t>Matthew</t>
  </si>
  <si>
    <t>Grinstein</t>
  </si>
  <si>
    <t>Theresa</t>
  </si>
  <si>
    <t>Swint</t>
  </si>
  <si>
    <t>DeCherney</t>
  </si>
  <si>
    <t>McCrossin</t>
  </si>
  <si>
    <t>Skye</t>
  </si>
  <si>
    <t>Norling</t>
  </si>
  <si>
    <t>Olsen</t>
  </si>
  <si>
    <t>Maurice</t>
  </si>
  <si>
    <t>Satty</t>
  </si>
  <si>
    <t>Cunningham</t>
  </si>
  <si>
    <t>Penelope</t>
  </si>
  <si>
    <t>Sewall</t>
  </si>
  <si>
    <t>Neoma</t>
  </si>
  <si>
    <t>Dionis</t>
  </si>
  <si>
    <t>Lloyd</t>
  </si>
  <si>
    <t>Hawley</t>
  </si>
  <si>
    <t>Alex</t>
  </si>
  <si>
    <t>Avila</t>
  </si>
  <si>
    <t>Larry</t>
  </si>
  <si>
    <t>Tron</t>
  </si>
  <si>
    <t>Anne</t>
  </si>
  <si>
    <t>Pryor</t>
  </si>
  <si>
    <t>Tate</t>
  </si>
  <si>
    <t>Cathy</t>
  </si>
  <si>
    <t>Talbott</t>
  </si>
  <si>
    <t>Ward</t>
  </si>
  <si>
    <t>Stefania</t>
  </si>
  <si>
    <t>Perrino</t>
  </si>
  <si>
    <t>Ferrer</t>
  </si>
  <si>
    <t>Kean</t>
  </si>
  <si>
    <t>Brooke</t>
  </si>
  <si>
    <t>Gillingham</t>
  </si>
  <si>
    <t>Eva</t>
  </si>
  <si>
    <t>Mick</t>
  </si>
  <si>
    <t>Jocasta</t>
  </si>
  <si>
    <t>Rupert</t>
  </si>
  <si>
    <t>Suzanne</t>
  </si>
  <si>
    <t>McNair</t>
  </si>
  <si>
    <t>Cortes</t>
  </si>
  <si>
    <t>Phillip</t>
  </si>
  <si>
    <t>Flathmann</t>
  </si>
  <si>
    <t>Campbell</t>
  </si>
  <si>
    <t>Davis</t>
  </si>
  <si>
    <t>Susan</t>
  </si>
  <si>
    <t>McClure</t>
  </si>
  <si>
    <t>Todd</t>
  </si>
  <si>
    <t>Boyes</t>
  </si>
  <si>
    <t>Hirsh</t>
  </si>
  <si>
    <t>Sachs</t>
  </si>
  <si>
    <t>Goldwyn</t>
  </si>
  <si>
    <t>Workman</t>
  </si>
  <si>
    <t>Evan</t>
  </si>
  <si>
    <t>Bailliet</t>
  </si>
  <si>
    <t>Zrebassa</t>
  </si>
  <si>
    <t>Prescott</t>
  </si>
  <si>
    <t>Ballentine</t>
  </si>
  <si>
    <t>Jamie</t>
  </si>
  <si>
    <t>Frazer</t>
  </si>
  <si>
    <t>McGuire</t>
  </si>
  <si>
    <t>Aaron</t>
  </si>
  <si>
    <t>Smayling</t>
  </si>
  <si>
    <t>Beth</t>
  </si>
  <si>
    <t>Blacks</t>
  </si>
  <si>
    <t>Takahito</t>
  </si>
  <si>
    <t>Harry</t>
  </si>
  <si>
    <t>Marie</t>
  </si>
  <si>
    <t>Blume</t>
  </si>
  <si>
    <t>Sam</t>
  </si>
  <si>
    <t>Zeldin</t>
  </si>
  <si>
    <t>Granlund</t>
  </si>
  <si>
    <t>Prost</t>
  </si>
  <si>
    <t>Yana</t>
  </si>
  <si>
    <t>Sorensen</t>
  </si>
  <si>
    <t>Barton</t>
  </si>
  <si>
    <t>Stuart</t>
  </si>
  <si>
    <t>Van</t>
  </si>
  <si>
    <t>Damala</t>
  </si>
  <si>
    <t>Kotsonis</t>
  </si>
  <si>
    <t>Shui</t>
  </si>
  <si>
    <t>Tom</t>
  </si>
  <si>
    <t>Moore</t>
  </si>
  <si>
    <t>Webber</t>
  </si>
  <si>
    <t>Shaun</t>
  </si>
  <si>
    <t>Chance</t>
  </si>
  <si>
    <t>Thais</t>
  </si>
  <si>
    <t>Sissman</t>
  </si>
  <si>
    <t>Cousins</t>
  </si>
  <si>
    <t>Etezadi</t>
  </si>
  <si>
    <t>Dawkins</t>
  </si>
  <si>
    <t>Nockton</t>
  </si>
  <si>
    <t>Cindy</t>
  </si>
  <si>
    <t>Maxwell</t>
  </si>
  <si>
    <t>Schwartz</t>
  </si>
  <si>
    <t>Corinna</t>
  </si>
  <si>
    <t>Mitchell</t>
  </si>
  <si>
    <t>Sumrall</t>
  </si>
  <si>
    <t>Jane</t>
  </si>
  <si>
    <t>Waco</t>
  </si>
  <si>
    <t>Dryer</t>
  </si>
  <si>
    <t>Question 1:</t>
  </si>
  <si>
    <t xml:space="preserve">Retrieve the total sales for each category in the dataset.
</t>
  </si>
  <si>
    <t>(Change the category to see the total sales</t>
  </si>
  <si>
    <t>Question 2:</t>
  </si>
  <si>
    <t>Find the top 5 customers based on their total profit.</t>
  </si>
  <si>
    <t>Profit</t>
  </si>
  <si>
    <t>Question 3:</t>
  </si>
  <si>
    <t>Calculate the average quantity sold for each customer segment.</t>
  </si>
  <si>
    <t>(Change the category to see the average sold)</t>
  </si>
  <si>
    <t>Question 4:</t>
  </si>
  <si>
    <t xml:space="preserve">Retrieve details of orders shipped using the "Second Class" ship mode.
</t>
  </si>
  <si>
    <t>Question 5:</t>
  </si>
  <si>
    <t>Get the total sales and profit for each region.</t>
  </si>
  <si>
    <t>Question 7:</t>
  </si>
  <si>
    <t>List the distinct states present in the dataset.</t>
  </si>
  <si>
    <t>Question 8:</t>
  </si>
  <si>
    <t>Identify the top 3 selling products based on quantity sold.</t>
  </si>
  <si>
    <t>Question 10:</t>
  </si>
  <si>
    <t>Get the total sales and cost for the "Furniture" category.</t>
  </si>
  <si>
    <t>Profit(without costs)</t>
  </si>
  <si>
    <t>Question 6:</t>
  </si>
  <si>
    <t>Find orders where the profit is greater than 500.</t>
  </si>
  <si>
    <t>Question 9:</t>
  </si>
  <si>
    <t>Retrieve details of orders shipped to California.</t>
  </si>
  <si>
    <t>Month</t>
  </si>
  <si>
    <t>Years</t>
  </si>
  <si>
    <t>profit(without costs)</t>
  </si>
  <si>
    <t>Loss</t>
  </si>
  <si>
    <t>Lock</t>
  </si>
  <si>
    <t>SUM of Profit</t>
  </si>
  <si>
    <t>SUM of Item Cost</t>
  </si>
  <si>
    <t>2015</t>
  </si>
  <si>
    <t>2016</t>
  </si>
  <si>
    <t>2017</t>
  </si>
  <si>
    <t>2018</t>
  </si>
  <si>
    <t>2019</t>
  </si>
  <si>
    <t>Grand Total</t>
  </si>
  <si>
    <t>SUM of Sale</t>
  </si>
  <si>
    <t>SUM of Loss</t>
  </si>
  <si>
    <t>Profit Loss:</t>
  </si>
  <si>
    <t>Global Superstore Dashboard</t>
  </si>
  <si>
    <t>2015:</t>
  </si>
  <si>
    <t>2016:</t>
  </si>
  <si>
    <t>2017:</t>
  </si>
  <si>
    <t>2018:</t>
  </si>
  <si>
    <t>2019:</t>
  </si>
  <si>
    <t>Grand Total: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</si>
</sst>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[$$]#,##0.00"/>
    <numFmt numFmtId="166" formatCode="m/d/yyyy"/>
    <numFmt numFmtId="167" formatCode="mm/dd/yyyy"/>
    <numFmt numFmtId="168" formatCode="[$£-809]#,##0.00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  <font>
      <color theme="1"/>
      <name val="Arial"/>
    </font>
    <font>
      <color rgb="FFFFFFFF"/>
      <name val="Arial"/>
      <scheme val="minor"/>
    </font>
    <font>
      <sz val="9.0"/>
      <color rgb="FF000000"/>
      <name val="&quot;Google Sans Mono&quot;"/>
    </font>
    <font>
      <b/>
      <sz val="11.0"/>
      <color theme="1"/>
      <name val="Arial"/>
      <scheme val="minor"/>
    </font>
    <font>
      <b/>
      <sz val="21.0"/>
      <color theme="1"/>
      <name val="Arial"/>
      <scheme val="minor"/>
    </font>
    <font>
      <sz val="18.0"/>
      <color theme="1"/>
      <name val="&quot;YouTube Noto&quot;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000000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5" xfId="0" applyAlignment="1" applyFont="1" applyNumberFormat="1">
      <alignment horizontal="right" readingOrder="0"/>
    </xf>
    <xf borderId="0" fillId="0" fontId="1" numFmtId="166" xfId="0" applyAlignment="1" applyFont="1" applyNumberFormat="1">
      <alignment horizontal="right" readingOrder="0"/>
    </xf>
    <xf borderId="0" fillId="0" fontId="1" numFmtId="167" xfId="0" applyAlignment="1" applyFont="1" applyNumberFormat="1">
      <alignment horizontal="right" readingOrder="0"/>
    </xf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horizontal="right"/>
    </xf>
    <xf borderId="0" fillId="0" fontId="1" numFmtId="164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5" xfId="0" applyAlignment="1" applyFont="1" applyNumberFormat="1">
      <alignment horizontal="right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8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2" fontId="3" numFmtId="0" xfId="0" applyAlignment="1" applyFont="1">
      <alignment horizontal="left" readingOrder="0"/>
    </xf>
    <xf borderId="0" fillId="3" fontId="1" numFmtId="0" xfId="0" applyAlignment="1" applyFill="1" applyFont="1">
      <alignment readingOrder="0"/>
    </xf>
    <xf borderId="0" fillId="0" fontId="1" numFmtId="168" xfId="0" applyFont="1" applyNumberFormat="1"/>
    <xf borderId="0" fillId="3" fontId="1" numFmtId="0" xfId="0" applyFont="1"/>
    <xf borderId="0" fillId="3" fontId="1" numFmtId="168" xfId="0" applyAlignment="1" applyFont="1" applyNumberFormat="1">
      <alignment readingOrder="0"/>
    </xf>
    <xf borderId="0" fillId="0" fontId="1" numFmtId="164" xfId="0" applyFont="1" applyNumberFormat="1"/>
    <xf borderId="0" fillId="0" fontId="1" numFmtId="0" xfId="0" applyFont="1"/>
    <xf borderId="0" fillId="0" fontId="1" numFmtId="166" xfId="0" applyFont="1" applyNumberFormat="1"/>
    <xf borderId="0" fillId="0" fontId="1" numFmtId="167" xfId="0" applyAlignment="1" applyFont="1" applyNumberFormat="1">
      <alignment horizontal="right"/>
    </xf>
    <xf borderId="0" fillId="0" fontId="1" numFmtId="4" xfId="0" applyFont="1" applyNumberFormat="1"/>
    <xf borderId="0" fillId="0" fontId="4" numFmtId="168" xfId="0" applyAlignment="1" applyFont="1" applyNumberFormat="1">
      <alignment vertical="bottom"/>
    </xf>
    <xf borderId="0" fillId="0" fontId="4" numFmtId="168" xfId="0" applyAlignment="1" applyFont="1" applyNumberFormat="1">
      <alignment horizontal="right" vertical="bottom"/>
    </xf>
    <xf borderId="0" fillId="0" fontId="5" numFmtId="0" xfId="0" applyAlignment="1" applyFont="1">
      <alignment readingOrder="0"/>
    </xf>
    <xf borderId="0" fillId="0" fontId="5" numFmtId="0" xfId="0" applyFont="1"/>
    <xf borderId="0" fillId="2" fontId="6" numFmtId="0" xfId="0" applyFont="1"/>
    <xf borderId="0" fillId="0" fontId="4" numFmtId="0" xfId="0" applyAlignment="1" applyFont="1">
      <alignment vertical="bottom"/>
    </xf>
    <xf borderId="0" fillId="0" fontId="1" numFmtId="166" xfId="0" applyAlignment="1" applyFont="1" applyNumberFormat="1">
      <alignment horizontal="right"/>
    </xf>
    <xf borderId="0" fillId="3" fontId="1" numFmtId="0" xfId="0" applyAlignment="1" applyFont="1">
      <alignment horizontal="right"/>
    </xf>
    <xf borderId="0" fillId="2" fontId="6" numFmtId="164" xfId="0" applyFont="1" applyNumberFormat="1"/>
    <xf borderId="0" fillId="4" fontId="1" numFmtId="0" xfId="0" applyFill="1" applyFont="1"/>
    <xf borderId="0" fillId="4" fontId="7" numFmtId="0" xfId="0" applyAlignment="1" applyFont="1">
      <alignment horizontal="center" readingOrder="0"/>
    </xf>
    <xf borderId="0" fillId="4" fontId="8" numFmtId="0" xfId="0" applyAlignment="1" applyFont="1">
      <alignment horizontal="right" readingOrder="0"/>
    </xf>
    <xf borderId="1" fillId="5" fontId="4" numFmtId="0" xfId="0" applyAlignment="1" applyBorder="1" applyFill="1" applyFont="1">
      <alignment vertical="bottom"/>
    </xf>
    <xf borderId="1" fillId="5" fontId="4" numFmtId="0" xfId="0" applyAlignment="1" applyBorder="1" applyFont="1">
      <alignment vertical="bottom"/>
    </xf>
    <xf borderId="0" fillId="4" fontId="1" numFmtId="0" xfId="0" applyAlignment="1" applyFont="1">
      <alignment readingOrder="0"/>
    </xf>
    <xf borderId="1" fillId="0" fontId="1" numFmtId="168" xfId="0" applyBorder="1" applyFont="1" applyNumberFormat="1"/>
    <xf borderId="0" fillId="4" fontId="1" numFmtId="168" xfId="0" applyFont="1" applyNumberFormat="1"/>
    <xf borderId="1" fillId="0" fontId="4" numFmtId="168" xfId="0" applyAlignment="1" applyBorder="1" applyFont="1" applyNumberFormat="1">
      <alignment horizontal="right" vertical="bottom"/>
    </xf>
    <xf borderId="1" fillId="5" fontId="4" numFmtId="0" xfId="0" applyAlignment="1" applyBorder="1" applyFont="1">
      <alignment readingOrder="0" vertical="bottom"/>
    </xf>
    <xf borderId="0" fillId="4" fontId="1" numFmtId="164" xfId="0" applyFont="1" applyNumberFormat="1"/>
    <xf borderId="0" fillId="6" fontId="9" numFmtId="0" xfId="0" applyAlignment="1" applyFill="1" applyFont="1">
      <alignment horizontal="center" readingOrder="0" shrinkToFit="0" wrapText="0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pivotCacheDefinition" Target="pivotCache/pivotCacheDefinition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Profit by Years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'Pivot Table 2'!$B$1</c:f>
            </c:strRef>
          </c:tx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'Pivot Table 2'!$A$2:$A$6</c:f>
            </c:strRef>
          </c:cat>
          <c:val>
            <c:numRef>
              <c:f>'Pivot Table 2'!$B$2:$B$6</c:f>
              <c:numCache/>
            </c:numRef>
          </c:val>
          <c:smooth val="0"/>
        </c:ser>
        <c:axId val="1884839243"/>
        <c:axId val="1778565730"/>
      </c:lineChart>
      <c:catAx>
        <c:axId val="1884839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8565730"/>
      </c:catAx>
      <c:valAx>
        <c:axId val="17785657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848392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Top 10 States by Profit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5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2'!$A$41:$A$50</c:f>
            </c:strRef>
          </c:cat>
          <c:val>
            <c:numRef>
              <c:f>'Pivot Table 2'!$B$41:$B$50</c:f>
              <c:numCache/>
            </c:numRef>
          </c:val>
        </c:ser>
        <c:axId val="2103213715"/>
        <c:axId val="1470229445"/>
      </c:barChart>
      <c:catAx>
        <c:axId val="21032137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70229445"/>
      </c:catAx>
      <c:valAx>
        <c:axId val="14702294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0321371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Profit based on Class</a:t>
            </a:r>
          </a:p>
        </c:rich>
      </c:tx>
      <c:layout>
        <c:manualLayout>
          <c:xMode val="edge"/>
          <c:yMode val="edge"/>
          <c:x val="0.04125964010282777"/>
          <c:y val="0.054149377593361"/>
        </c:manualLayout>
      </c:layout>
      <c:overlay val="0"/>
    </c:title>
    <c:plotArea>
      <c:layout/>
      <c:barChart>
        <c:barDir val="col"/>
        <c:ser>
          <c:idx val="0"/>
          <c:order val="0"/>
          <c:tx>
            <c:strRef>
              <c:f>'Pivot Table 2'!$D$1</c:f>
            </c:strRef>
          </c:tx>
          <c:spPr>
            <a:solidFill>
              <a:schemeClr val="accent5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2'!$C$2:$C$5</c:f>
            </c:strRef>
          </c:cat>
          <c:val>
            <c:numRef>
              <c:f>'Pivot Table 2'!$D$2:$D$5</c:f>
              <c:numCache/>
            </c:numRef>
          </c:val>
        </c:ser>
        <c:axId val="470056584"/>
        <c:axId val="1042112299"/>
      </c:barChart>
      <c:catAx>
        <c:axId val="470056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42112299"/>
      </c:catAx>
      <c:valAx>
        <c:axId val="104211229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005658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Profit by Supply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 2'!$D$9</c:f>
            </c:strRef>
          </c:tx>
          <c:spPr>
            <a:solidFill>
              <a:schemeClr val="accent5"/>
            </a:solidFill>
            <a:ln cmpd="sng">
              <a:solidFill>
                <a:srgbClr val="000000">
                  <a:alpha val="100000"/>
                </a:srgbClr>
              </a:solidFill>
            </a:ln>
          </c:spPr>
          <c:cat>
            <c:strRef>
              <c:f>'Pivot Table 2'!$C$10:$C$12</c:f>
            </c:strRef>
          </c:cat>
          <c:val>
            <c:numRef>
              <c:f>'Pivot Table 2'!$D$10:$D$12</c:f>
              <c:numCache/>
            </c:numRef>
          </c:val>
        </c:ser>
        <c:axId val="2042241114"/>
        <c:axId val="1177224348"/>
      </c:barChart>
      <c:catAx>
        <c:axId val="20422411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224348"/>
      </c:catAx>
      <c:valAx>
        <c:axId val="11772243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22411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Profit Loss by Year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'Pivot Table 2'!$C$16:$C$20</c:f>
            </c:strRef>
          </c:cat>
          <c:val>
            <c:numRef>
              <c:f>'Pivot Table 2'!$D$16:$D$20</c:f>
              <c:numCache/>
            </c:numRef>
          </c:val>
          <c:smooth val="0"/>
        </c:ser>
        <c:axId val="2001052587"/>
        <c:axId val="491467041"/>
      </c:lineChart>
      <c:catAx>
        <c:axId val="200105258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1467041"/>
      </c:catAx>
      <c:valAx>
        <c:axId val="4914670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0105258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r>
              <a:rPr b="0">
                <a:solidFill>
                  <a:srgbClr val="000000"/>
                </a:solidFill>
                <a:latin typeface="+mn-lt"/>
              </a:rPr>
              <a:t>Region Influence on Profit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tx>
            <c:strRef>
              <c:f>'Pivot Table 2'!$F$1</c:f>
            </c:strRef>
          </c:tx>
          <c:dPt>
            <c:idx val="0"/>
            <c:spPr>
              <a:solidFill>
                <a:srgbClr val="4285F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1"/>
            <c:spPr>
              <a:solidFill>
                <a:srgbClr val="EA4335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2"/>
            <c:spPr>
              <a:solidFill>
                <a:srgbClr val="FBBC04"/>
              </a:solidFill>
              <a:ln cmpd="sng" w="9525">
                <a:solidFill>
                  <a:schemeClr val="dk1"/>
                </a:solidFill>
              </a:ln>
            </c:spPr>
          </c:dPt>
          <c:dPt>
            <c:idx val="3"/>
            <c:spPr>
              <a:solidFill>
                <a:srgbClr val="34A853"/>
              </a:solidFill>
              <a:ln cmpd="sng" w="9525">
                <a:solidFill>
                  <a:schemeClr val="dk1"/>
                </a:solidFill>
              </a:ln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'Pivot Table 2'!$E$2:$E$5</c:f>
            </c:strRef>
          </c:cat>
          <c:val>
            <c:numRef>
              <c:f>'Pivot Table 2'!$F$2:$F$5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266700</xdr:colOff>
      <xdr:row>5</xdr:row>
      <xdr:rowOff>114300</xdr:rowOff>
    </xdr:from>
    <xdr:ext cx="3705225" cy="22955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266700</xdr:colOff>
      <xdr:row>17</xdr:row>
      <xdr:rowOff>152400</xdr:rowOff>
    </xdr:from>
    <xdr:ext cx="3705225" cy="22955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390525</xdr:colOff>
      <xdr:row>17</xdr:row>
      <xdr:rowOff>152400</xdr:rowOff>
    </xdr:from>
    <xdr:ext cx="3705225" cy="229552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219075</xdr:colOff>
      <xdr:row>17</xdr:row>
      <xdr:rowOff>152400</xdr:rowOff>
    </xdr:from>
    <xdr:ext cx="3705225" cy="22955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390525</xdr:colOff>
      <xdr:row>5</xdr:row>
      <xdr:rowOff>114300</xdr:rowOff>
    </xdr:from>
    <xdr:ext cx="3705225" cy="229552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0</xdr:col>
      <xdr:colOff>219075</xdr:colOff>
      <xdr:row>5</xdr:row>
      <xdr:rowOff>114300</xdr:rowOff>
    </xdr:from>
    <xdr:ext cx="3705225" cy="22955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500" sheet="CleanedDataset"/>
  </cacheSource>
  <cacheFields>
    <cacheField name="Order Date" numFmtId="164">
      <sharedItems containsSemiMixedTypes="0" containsDate="1" containsString="0">
        <d v="2017-08-11T00:00:00Z"/>
        <d v="2017-12-06T00:00:00Z"/>
        <d v="2016-11-10T00:00:00Z"/>
        <d v="2015-09-06T00:00:00Z"/>
        <d v="2018-04-15T00:00:00Z"/>
        <d v="2017-05-12T00:00:00Z"/>
        <d v="2016-11-22T00:00:00Z"/>
        <d v="2015-11-11T00:00:00Z"/>
        <d v="2015-05-13T00:00:00Z"/>
        <d v="2015-08-27T00:00:00Z"/>
        <d v="2017-09-12T00:00:00Z"/>
        <d v="2018-07-16T00:00:00Z"/>
        <d v="2016-09-25T00:00:00Z"/>
        <d v="2017-01-16T00:00:00Z"/>
        <d v="2016-09-17T00:00:00Z"/>
        <d v="2018-10-19T00:00:00Z"/>
        <d v="2017-08-12T00:00:00Z"/>
        <d v="2016-12-27T00:00:00Z"/>
        <d v="2018-10-09T00:00:00Z"/>
        <d v="2017-07-17T00:00:00Z"/>
        <d v="2018-09-19T00:00:00Z"/>
        <d v="2017-11-03T00:00:00Z"/>
        <d v="2015-10-20T00:00:00Z"/>
        <d v="2017-06-20T00:00:00Z"/>
        <d v="2016-04-18T00:00:00Z"/>
        <d v="2017-11-12T00:00:00Z"/>
        <d v="2017-06-17T00:00:00Z"/>
        <d v="2016-11-24T00:00:00Z"/>
        <d v="2016-04-30T00:00:00Z"/>
        <d v="2015-05-12T00:00:00Z"/>
        <d v="2017-04-06T00:00:00Z"/>
        <d v="2017-09-18T00:00:00Z"/>
        <d v="2018-09-14T00:00:00Z"/>
        <d v="2016-04-26T00:00:00Z"/>
        <d v="2018-09-12T00:00:00Z"/>
        <d v="2015-11-26T00:00:00Z"/>
        <d v="2015-12-10T00:00:00Z"/>
        <d v="2016-03-09T00:00:00Z"/>
        <d v="2018-11-13T00:00:00Z"/>
        <d v="2018-05-28T00:00:00Z"/>
        <d v="2018-10-26T00:00:00Z"/>
        <d v="2017-05-04T00:00:00Z"/>
        <d v="2017-09-17T00:00:00Z"/>
        <d v="2016-01-31T00:00:00Z"/>
        <d v="2018-06-11T00:00:00Z"/>
        <d v="2018-09-11T00:00:00Z"/>
        <d v="2018-06-17T00:00:00Z"/>
        <d v="2017-06-09T00:00:00Z"/>
        <d v="2017-08-29T00:00:00Z"/>
        <d v="2017-01-12T00:00:00Z"/>
        <d v="2016-11-13T00:00:00Z"/>
        <d v="2018-11-23T00:00:00Z"/>
        <d v="2016-10-15T00:00:00Z"/>
        <d v="2018-12-25T00:00:00Z"/>
        <d v="2017-03-11T00:00:00Z"/>
        <d v="2015-08-25T00:00:00Z"/>
        <d v="2016-02-03T00:00:00Z"/>
        <d v="2016-05-04T00:00:00Z"/>
        <d v="2015-12-26T00:00:00Z"/>
        <d v="2015-09-20T00:00:00Z"/>
        <d v="2018-05-11T00:00:00Z"/>
        <d v="2017-06-11T00:00:00Z"/>
        <d v="2018-02-02T00:00:00Z"/>
        <d v="2017-10-13T00:00:00Z"/>
        <d v="2017-05-09T00:00:00Z"/>
        <d v="2018-09-18T00:00:00Z"/>
        <d v="2018-12-22T00:00:00Z"/>
        <d v="2016-07-09T00:00:00Z"/>
        <d v="2015-10-22T00:00:00Z"/>
        <d v="2017-03-13T00:00:00Z"/>
        <d v="2016-05-31T00:00:00Z"/>
        <d v="2016-05-28T00:00:00Z"/>
        <d v="2015-01-03T00:00:00Z"/>
        <d v="2017-11-20T00:00:00Z"/>
        <d v="2017-11-05T00:00:00Z"/>
        <d v="2016-12-28T00:00:00Z"/>
        <d v="2017-11-16T00:00:00Z"/>
        <d v="2017-07-11T00:00:00Z"/>
        <d v="2015-08-09T00:00:00Z"/>
        <d v="2015-05-08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2-10T00:00:00Z"/>
        <d v="2016-10-31T00:00:00Z"/>
        <d v="2015-03-21T00:00:00Z"/>
        <d v="2018-06-07T00:00:00Z"/>
        <d v="2018-06-24T00:00:00Z"/>
        <d v="2015-03-08T00:00:00Z"/>
        <d v="2018-12-17T00:00:00Z"/>
        <d v="2018-03-06T00:00:00Z"/>
        <d v="2018-01-12T00:00:00Z"/>
        <d v="2016-09-02T00:00:00Z"/>
        <d v="2016-02-01T00:00:00Z"/>
        <d v="2017-10-28T00:00:00Z"/>
        <d v="2016-12-24T00:00:00Z"/>
        <d v="2016-09-08T00:00:00Z"/>
        <d v="2016-02-28T00:00:00Z"/>
        <d v="2015-09-13T00:00:00Z"/>
        <d v="2018-07-04T00:00:00Z"/>
        <d v="2018-12-11T00:00:00Z"/>
        <d v="2015-01-06T00:00:00Z"/>
        <d v="2017-10-12T00:00:00Z"/>
        <d v="2017-11-09T00:00:00Z"/>
        <d v="2016-11-28T00:00:00Z"/>
        <d v="2018-08-06T00:00:00Z"/>
        <d v="2015-09-19T00:00:00Z"/>
        <d v="2017-06-06T00:00:00Z"/>
        <d v="2016-10-11T00:00:00Z"/>
        <d v="2018-06-16T00:00:00Z"/>
        <d v="2017-01-22T00:00:00Z"/>
        <d v="2018-12-28T00:00:00Z"/>
        <d v="2016-07-30T00:00:00Z"/>
        <d v="2018-09-16T00:00:00Z"/>
        <d v="2018-10-13T00:00:00Z"/>
        <d v="2016-09-26T00:00:00Z"/>
        <d v="2016-02-11T00:00:00Z"/>
        <d v="2017-12-18T00:00:00Z"/>
        <d v="2018-11-19T00:00:00Z"/>
        <d v="2016-04-05T00:00:00Z"/>
        <d v="2015-12-30T00:00:00Z"/>
        <d v="2017-12-09T00:00:00Z"/>
        <d v="2015-09-27T00:00:00Z"/>
        <d v="2015-09-08T00:00:00Z"/>
        <d v="2015-12-28T00:00:00Z"/>
        <d v="2015-04-11T00:00:00Z"/>
        <d v="2017-04-23T00:00:00Z"/>
        <d v="2018-03-11T00:00:00Z"/>
        <d v="2017-08-30T00:00:00Z"/>
        <d v="2017-04-25T00:00:00Z"/>
        <d v="2016-01-09T00:00:00Z"/>
        <d v="2015-12-07T00:00:00Z"/>
        <d v="2016-06-22T00:00:00Z"/>
        <d v="2015-04-13T00:00:00Z"/>
        <d v="2016-12-20T00:00:00Z"/>
        <d v="2018-06-15T00:00:00Z"/>
        <d v="2018-08-07T00:00:00Z"/>
        <d v="2017-01-09T00:00:00Z"/>
        <d v="2017-08-04T00:00:00Z"/>
        <d v="2018-08-03T00:00:00Z"/>
        <d v="2018-09-25T00:00:00Z"/>
        <d v="2015-09-24T00:00:00Z"/>
        <d v="2017-10-21T00:00:00Z"/>
        <d v="2018-05-29T00:00:00Z"/>
        <d v="2015-07-23T00:00:00Z"/>
        <d v="2017-09-28T00:00:00Z"/>
        <d v="2018-08-27T00:00:00Z"/>
        <d v="2016-04-28T00:00:00Z"/>
        <d v="2016-06-26T00:00:00Z"/>
        <d v="2016-11-27T00:00:00Z"/>
        <d v="2016-03-12T00:00:00Z"/>
        <d v="2015-11-24T00:00:00Z"/>
        <d v="2018-11-12T00:00:00Z"/>
        <d v="2015-09-21T00:00:00Z"/>
        <d v="2015-07-06T00:00:00Z"/>
        <d v="2018-06-30T00:00:00Z"/>
        <d v="2018-10-17T00:00:00Z"/>
        <d v="2017-08-09T00:00:00Z"/>
        <d v="2015-12-24T00:00:00Z"/>
        <d v="2015-04-16T00:00:00Z"/>
        <d v="2018-12-24T00:00:00Z"/>
        <d v="2018-08-12T00:00:00Z"/>
        <d v="2017-04-14T00:00:00Z"/>
        <d v="2018-04-03T00:00:00Z"/>
        <d v="2015-06-22T00:00:00Z"/>
        <d v="2018-08-21T00:00:00Z"/>
        <d v="2015-12-09T00:00:00Z"/>
        <d v="2018-01-10T00:00:00Z"/>
        <d v="2017-04-15T00:00:00Z"/>
        <d v="2015-12-19T00:00:00Z"/>
        <d v="2018-09-15T00:00:00Z"/>
        <d v="2018-01-20T00:00:00Z"/>
        <d v="2018-03-20T00:00:00Z"/>
        <d v="2017-01-04T00:00:00Z"/>
        <d v="2018-10-20T00:00:00Z"/>
        <d v="2017-12-13T00:00:00Z"/>
        <d v="2015-12-02T00:00:00Z"/>
        <d v="2017-09-26T00:00:00Z"/>
        <d v="2017-04-22T00:00:00Z"/>
        <d v="2016-01-17T00:00:00Z"/>
        <d v="2018-03-31T00:00:00Z"/>
        <d v="2017-12-16T00:00:00Z"/>
        <d v="2015-09-11T00:00:00Z"/>
        <d v="2017-12-07T00:00:00Z"/>
        <d v="2017-10-27T00:00:00Z"/>
        <d v="2017-06-26T00:00:00Z"/>
        <d v="2015-06-10T00:00:00Z"/>
        <d v="2015-07-22T00:00:00Z"/>
        <d v="2018-10-06T00:00:00Z"/>
        <d v="2015-10-29T00:00:00Z"/>
        <d v="2017-09-05T00:00:00Z"/>
        <d v="2017-03-18T00:00:00Z"/>
        <d v="2017-07-25T00:00:00Z"/>
        <d v="2017-05-30T00:00:00Z"/>
        <d v="2016-03-16T00:00:00Z"/>
        <d v="2018-11-26T00:00:00Z"/>
        <d v="2017-10-20T00:00:00Z"/>
        <d v="2018-12-21T00:00:00Z"/>
        <d v="2018-01-22T00:00:00Z"/>
        <d v="2016-03-22T00:00:00Z"/>
        <d v="2018-01-23T00:00:00Z"/>
        <d v="2017-05-21T00:00:00Z"/>
        <d v="2016-12-26T00:00:00Z"/>
        <d v="2018-10-21T00:00:00Z"/>
        <d v="2016-07-11T00:00:00Z"/>
        <d v="2018-07-09T00:00:00Z"/>
        <d v="2017-05-29T00:00:00Z"/>
        <d v="2017-10-07T00:00:00Z"/>
        <d v="2018-03-09T00:00:00Z"/>
        <d v="2016-07-12T00:00:00Z"/>
        <d v="2015-01-02T00:00:00Z"/>
        <d v="2017-07-14T00:00:00Z"/>
        <d v="2016-12-18T00:00:00Z"/>
        <d v="2015-11-05T00:00:00Z"/>
        <d v="2016-11-15T00:00:00Z"/>
        <d v="2018-11-09T00:00:00Z"/>
        <d v="2018-11-24T00:00:00Z"/>
        <d v="2018-06-29T00:00:00Z"/>
        <d v="2015-03-03T00:00:00Z"/>
        <d v="2017-10-06T00:00:00Z"/>
        <d v="2018-11-20T00:00:00Z"/>
        <d v="2018-07-12T00:00:00Z"/>
        <d v="2016-09-18T00:00:00Z"/>
        <d v="2018-07-20T00:00:00Z"/>
        <d v="2016-10-09T00:00:00Z"/>
        <d v="2016-03-07T00:00:00Z"/>
        <d v="2017-03-20T00:00:00Z"/>
        <d v="2015-09-01T00:00:00Z"/>
        <d v="2015-08-08T00:00:00Z"/>
        <d v="2015-03-15T00:00:00Z"/>
        <d v="2015-05-23T00:00:00Z"/>
        <d v="2017-04-28T00:00:00Z"/>
        <d v="2018-11-14T00:00:00Z"/>
        <d v="2018-08-18T00:00:00Z"/>
        <d v="2016-11-29T00:00:00Z"/>
        <d v="2018-05-19T00:00:00Z"/>
        <d v="2018-09-24T00:00:00Z"/>
        <d v="2016-04-10T00:00:00Z"/>
        <d v="2017-08-15T00:00:00Z"/>
        <d v="2017-05-20T00:00:00Z"/>
        <d v="2018-07-30T00:00:00Z"/>
        <d v="2018-07-21T00:00:00Z"/>
        <d v="2018-12-30T00:00:00Z"/>
        <d v="2017-10-23T00:00:00Z"/>
        <d v="2018-06-19T00:00:00Z"/>
        <d v="2017-08-22T00:00:00Z"/>
        <d v="2017-09-19T00:00:00Z"/>
        <d v="2016-08-24T00:00:00Z"/>
        <d v="2017-03-26T00:00:00Z"/>
        <d v="2017-04-11T00:00:00Z"/>
        <d v="2018-09-06T00:00:00Z"/>
        <d v="2018-05-12T00:00:00Z"/>
        <d v="2018-03-18T00:00:00Z"/>
        <d v="2017-11-19T00:00:00Z"/>
        <d v="2018-04-11T00:00:00Z"/>
        <d v="2015-05-07T00:00:00Z"/>
        <d v="2015-06-21T00:00:00Z"/>
        <d v="2016-03-28T00:00:00Z"/>
        <d v="2016-05-14T00:00:00Z"/>
        <d v="2018-02-09T00:00:00Z"/>
        <d v="2016-09-04T00:00:00Z"/>
        <d v="2015-02-12T00:00:00Z"/>
        <d v="2015-05-04T00:00:00Z"/>
        <d v="2015-01-07T00:00:00Z"/>
        <d v="2015-11-01T00:00:00Z"/>
        <d v="2015-02-06T00:00:00Z"/>
        <d v="2017-02-13T00:00:00Z"/>
        <d v="2017-12-15T00:00:00Z"/>
        <d v="2015-07-10T00:00:00Z"/>
        <d v="2017-07-07T00:00:00Z"/>
        <d v="2017-03-12T00:00:00Z"/>
        <d v="2018-01-21T00:00:00Z"/>
        <d v="2015-04-01T00:00:00Z"/>
        <d v="2017-08-27T00:00:00Z"/>
        <d v="2015-05-27T00:00:00Z"/>
        <d v="2018-02-10T00:00:00Z"/>
        <d v="2017-07-04T00:00:00Z"/>
        <d v="2015-12-29T00:00:00Z"/>
        <d v="2018-07-23T00:00:00Z"/>
        <d v="2016-08-31T00:00:00Z"/>
        <d v="2016-08-02T00:00:00Z"/>
        <d v="2015-01-13T00:00:00Z"/>
        <d v="2015-05-14T00:00:00Z"/>
        <d v="2017-05-19T00:00:00Z"/>
        <d v="2018-01-30T00:00:00Z"/>
        <d v="2015-06-29T00:00:00Z"/>
        <d v="2016-08-21T00:00:00Z"/>
        <d v="2016-03-10T00:00:00Z"/>
        <d v="2016-05-23T00:00:00Z"/>
        <d v="2018-03-17T00:00:00Z"/>
        <d v="2016-12-12T00:00:00Z"/>
        <d v="2018-09-21T00:00:00Z"/>
        <d v="2018-02-20T00:00:00Z"/>
        <d v="2017-08-18T00:00:00Z"/>
        <d v="2017-12-03T00:00:00Z"/>
        <d v="2018-04-22T00:00:00Z"/>
        <d v="2015-01-11T00:00:00Z"/>
        <d v="2016-03-02T00:00:00Z"/>
        <d v="2015-10-13T00:00:00Z"/>
        <d v="2018-05-14T00:00:00Z"/>
        <d v="2016-03-20T00:00:00Z"/>
        <d v="2017-09-15T00:00:00Z"/>
        <d v="2015-06-28T00:00:00Z"/>
        <d v="2018-06-20T00:00:00Z"/>
        <d v="2015-09-05T00:00:00Z"/>
        <d v="2017-07-23T00:00:00Z"/>
        <d v="2017-07-03T00:00:00Z"/>
        <d v="2016-11-20T00:00:00Z"/>
        <d v="2016-10-13T00:00:00Z"/>
        <d v="2018-01-01T00:00:00Z"/>
        <d v="2015-07-02T00:00:00Z"/>
        <d v="2017-05-28T00:00:00Z"/>
        <d v="2017-02-19T00:00:00Z"/>
        <d v="2018-10-04T00:00:00Z"/>
        <d v="2017-05-01T00:00:00Z"/>
        <d v="2015-10-01T00:00:00Z"/>
        <d v="2017-09-29T00:00:00Z"/>
        <d v="2015-06-04T00:00:00Z"/>
        <d v="2017-03-09T00:00:00Z"/>
        <d v="2016-10-19T00:00:00Z"/>
        <d v="2015-10-12T00:00:00Z"/>
        <d v="2018-08-25T00:00:00Z"/>
        <d v="2017-01-17T00:00:00Z"/>
        <d v="2015-09-17T00:00:00Z"/>
        <d v="2018-11-30T00:00:00Z"/>
        <d v="2016-09-10T00:00:00Z"/>
        <d v="2018-12-23T00:00:00Z"/>
        <d v="2017-10-22T00:00:00Z"/>
        <d v="2015-04-29T00:00:00Z"/>
        <d v="2016-04-25T00:00:00Z"/>
        <d v="2018-06-26T00:00:00Z"/>
        <d v="2018-10-14T00:00:00Z"/>
        <d v="2015-09-12T00:00:00Z"/>
        <d v="2017-10-11T00:00:00Z"/>
        <d v="2017-03-10T00:00:00Z"/>
        <d v="2015-09-09T00:00:00Z"/>
        <d v="2018-10-29T00:00:00Z"/>
        <d v="2017-10-04T00:00:00Z"/>
        <d v="2018-11-11T00:00:00Z"/>
        <d v="2018-11-27T00:00:00Z"/>
        <d v="2015-06-15T00:00:00Z"/>
        <d v="2017-05-03T00:00:00Z"/>
        <d v="2016-11-04T00:00:00Z"/>
        <d v="2016-05-10T00:00:00Z"/>
        <d v="2018-04-14T00:00:00Z"/>
        <d v="2016-12-13T00:00:00Z"/>
        <d v="2017-06-19T00:00:00Z"/>
        <d v="2016-05-29T00:00:00Z"/>
        <d v="2016-07-26T00:00:00Z"/>
        <d v="2018-11-28T00:00:00Z"/>
        <d v="2018-03-04T00:00:00Z"/>
        <d v="2018-05-15T00:00:00Z"/>
        <d v="2016-09-22T00:00:00Z"/>
        <d v="2015-09-22T00:00:00Z"/>
        <d v="2018-09-04T00:00:00Z"/>
        <d v="2015-01-16T00:00:00Z"/>
        <d v="2018-05-10T00:00:00Z"/>
        <d v="2018-09-07T00:00:00Z"/>
        <d v="2018-07-01T00:00:00Z"/>
        <d v="2016-09-12T00:00:00Z"/>
        <d v="2018-09-29T00:00:00Z"/>
        <d v="2016-10-03T00:00:00Z"/>
        <d v="2018-05-21T00:00:00Z"/>
        <d v="2016-03-29T00:00:00Z"/>
        <d v="2017-09-09T00:00:00Z"/>
        <d v="2017-08-26T00:00:00Z"/>
        <d v="2015-05-21T00:00:00Z"/>
        <d v="2016-10-28T00:00:00Z"/>
        <d v="2017-11-13T00:00:00Z"/>
        <d v="2016-07-31T00:00:00Z"/>
        <d v="2016-08-27T00:00:00Z"/>
        <d v="2016-06-11T00:00:00Z"/>
        <d v="2018-12-26T00:00:00Z"/>
        <d v="2018-01-08T00:00:00Z"/>
        <d v="2016-12-21T00:00:00Z"/>
        <d v="2016-06-07T00:00:00Z"/>
        <d v="2016-04-27T00:00:00Z"/>
        <d v="2016-06-16T00:00:00Z"/>
        <d v="2017-11-01T00:00:00Z"/>
        <d v="2015-11-07T00:00:00Z"/>
        <d v="2016-06-13T00:00:00Z"/>
        <d v="2018-12-10T00:00:00Z"/>
        <d v="2017-08-03T00:00:00Z"/>
        <d v="2016-04-04T00:00:00Z"/>
        <d v="2018-10-12T00:00:00Z"/>
        <d v="2017-11-24T00:00:00Z"/>
        <d v="2016-03-23T00:00:00Z"/>
        <d v="2016-04-16T00:00:00Z"/>
        <d v="2017-01-10T00:00:00Z"/>
        <d v="2018-09-28T00:00:00Z"/>
        <d v="2016-07-25T00:00:00Z"/>
        <d v="2017-12-11T00:00:00Z"/>
        <d v="2018-09-23T00:00:00Z"/>
        <d v="2017-01-03T00:00:00Z"/>
        <d v="2017-12-08T00:00:00Z"/>
        <d v="2018-04-06T00:00:00Z"/>
        <d v="2016-06-12T00:00:00Z"/>
        <d v="2015-06-25T00:00:00Z"/>
        <d v="2017-06-14T00:00:00Z"/>
        <d v="2018-12-18T00:00:00Z"/>
        <d v="2017-07-22T00:00:00Z"/>
        <d v="2016-04-09T00:00:00Z"/>
        <d v="2015-01-20T00:00:00Z"/>
        <d v="2017-12-04T00:00:00Z"/>
        <d v="2017-06-12T00:00:00Z"/>
        <d v="2017-05-06T00:00:00Z"/>
        <d v="2015-09-29T00:00:00Z"/>
        <d v="2016-08-05T00:00:00Z"/>
        <d v="2017-12-31T00:00:00Z"/>
        <d v="2015-12-20T00:00:00Z"/>
        <d v="2017-02-07T00:00:00Z"/>
        <d v="2015-01-09T00:00:00Z"/>
        <d v="2015-04-05T00:00:00Z"/>
        <d v="2015-10-03T00:00:00Z"/>
        <d v="2015-04-21T00:00:00Z"/>
        <d v="2016-10-22T00:00:00Z"/>
        <d v="2016-08-22T00:00:00Z"/>
        <d v="2015-12-27T00:00:00Z"/>
        <d v="2017-04-24T00:00:00Z"/>
        <d v="2018-01-14T00:00:00Z"/>
        <d v="2018-02-26T00:00:00Z"/>
        <d v="2016-09-15T00:00:00Z"/>
        <d v="2017-07-18T00:00:00Z"/>
        <d v="2018-09-09T00:00:00Z"/>
        <d v="2017-04-12T00:00:00Z"/>
        <d v="2015-11-08T00:00:00Z"/>
        <d v="2017-02-15T00:00:00Z"/>
        <d v="2015-12-12T00:00:00Z"/>
        <d v="2016-04-07T00:00:00Z"/>
        <d v="2018-10-03T00:00:00Z"/>
        <d v="2017-12-24T00:00:00Z"/>
        <d v="2018-10-23T00:00:00Z"/>
        <d v="2018-07-07T00:00:00Z"/>
        <d v="2017-04-21T00:00:00Z"/>
        <d v="2017-05-26T00:00:00Z"/>
        <d v="2017-02-05T00:00:00Z"/>
        <d v="2017-11-22T00:00:00Z"/>
        <d v="2016-05-25T00:00:00Z"/>
        <d v="2017-12-23T00:00:00Z"/>
        <d v="2016-09-19T00:00:00Z"/>
        <d v="2018-03-07T00:00:00Z"/>
        <d v="2017-09-24T00:00:00Z"/>
        <d v="2018-03-02T00:00:00Z"/>
        <d v="2018-03-03T00:00:00Z"/>
        <d v="2018-09-10T00:00:00Z"/>
        <d v="2015-09-28T00:00:00Z"/>
        <d v="2016-06-14T00:00:00Z"/>
        <d v="2017-03-30T00:00:00Z"/>
        <d v="2018-10-15T00:00:00Z"/>
        <d v="2017-05-23T00:00:00Z"/>
        <d v="2018-02-06T00:00:00Z"/>
        <d v="2015-02-16T00:00:00Z"/>
        <d v="2015-06-05T00:00:00Z"/>
        <d v="2017-05-16T00:00:00Z"/>
        <d v="2018-02-04T00:00:00Z"/>
        <d v="2018-02-01T00:00:00Z"/>
        <d v="2015-03-17T00:00:00Z"/>
        <d v="2015-03-10T00:00:00Z"/>
        <d v="2017-03-28T00:00:00Z"/>
        <d v="2018-04-05T00:00:00Z"/>
        <d v="2017-05-05T00:00:00Z"/>
        <d v="2018-04-26T00:00:00Z"/>
        <d v="2015-09-26T00:00:00Z"/>
        <d v="2018-10-11T00:00:00Z"/>
        <d v="2018-07-03T00:00:00Z"/>
        <d v="2015-01-04T00:00:00Z"/>
        <d v="2016-09-14T00:00:00Z"/>
        <d v="2015-04-08T00:00:00Z"/>
        <d v="2017-05-02T00:00:00Z"/>
        <d v="2017-01-11T00:00:00Z"/>
        <d v="2017-04-19T00:00:00Z"/>
        <d v="2017-02-09T00:00:00Z"/>
        <d v="2017-09-25T00:00:00Z"/>
        <d v="2017-09-07T00:00:00Z"/>
        <d v="2015-06-30T00:00:00Z"/>
        <d v="2018-01-28T00:00:00Z"/>
        <d v="2016-09-21T00:00:00Z"/>
        <d v="2017-12-26T00:00:00Z"/>
        <d v="2018-12-04T00:00:00Z"/>
        <d v="2018-12-19T00:00:00Z"/>
        <d v="2018-05-08T00:00:00Z"/>
        <d v="2016-01-10T00:00:00Z"/>
        <d v="2018-06-13T00:00:00Z"/>
        <d v="2015-04-23T00:00:00Z"/>
        <d v="2016-01-05T00:00:00Z"/>
        <d v="2016-07-19T00:00:00Z"/>
        <d v="2017-11-26T00:00:00Z"/>
        <d v="2018-12-06T00:00:00Z"/>
        <d v="2016-08-17T00:00:00Z"/>
        <d v="2016-01-12T00:00:00Z"/>
        <d v="2016-05-16T00:00:00Z"/>
        <d v="2016-09-24T00:00:00Z"/>
        <d v="2018-11-07T00:00:00Z"/>
        <d v="2018-03-19T00:00:00Z"/>
        <d v="2017-02-12T00:00:00Z"/>
        <d v="2017-10-14T00:00:00Z"/>
        <d v="2015-11-27T00:00:00Z"/>
        <d v="2016-03-11T00:00:00Z"/>
        <d v="2015-11-29T00:00:00Z"/>
        <d v="2018-04-30T00:00:00Z"/>
        <d v="2018-10-30T00:00:00Z"/>
        <d v="2015-12-17T00:00:00Z"/>
        <d v="2018-04-09T00:00:00Z"/>
        <d v="2017-10-17T00:00:00Z"/>
      </sharedItems>
    </cacheField>
    <cacheField name="Order Month" numFmtId="164">
      <sharedItems>
        <s v="Aug"/>
        <s v="Dec"/>
        <s v="Nov"/>
        <s v="Sep"/>
        <s v="Apr"/>
        <s v="May"/>
        <s v="Jul"/>
        <s v="Jan"/>
        <s v="Oct"/>
        <s v="Jun"/>
        <s v="Mar"/>
        <s v="Feb"/>
      </sharedItems>
    </cacheField>
    <cacheField name="Ship Date" numFmtId="164">
      <sharedItems containsSemiMixedTypes="0" containsDate="1" containsString="0">
        <d v="2017-11-11T00:00:00Z"/>
        <d v="2017-06-16T00:00:00Z"/>
        <d v="2016-10-18T00:00:00Z"/>
        <d v="2015-06-14T00:00:00Z"/>
        <d v="2018-04-20T00:00:00Z"/>
        <d v="2017-10-12T00:00:00Z"/>
        <d v="2016-11-26T00:00:00Z"/>
        <d v="2015-11-18T00:00:00Z"/>
        <d v="2015-05-15T00:00:00Z"/>
        <d v="2015-01-09T00:00:00Z"/>
        <d v="2017-12-13T00:00:00Z"/>
        <d v="2018-07-18T00:00:00Z"/>
        <d v="2016-09-30T00:00:00Z"/>
        <d v="2017-01-20T00:00:00Z"/>
        <d v="2016-09-21T00:00:00Z"/>
        <d v="2018-10-23T00:00:00Z"/>
        <d v="2016-12-31T00:00:00Z"/>
        <d v="2018-09-15T00:00:00Z"/>
        <d v="2017-07-22T00:00:00Z"/>
        <d v="2018-09-23T00:00:00Z"/>
        <d v="2017-03-13T00:00:00Z"/>
        <d v="2015-10-25T00:00:00Z"/>
        <d v="2017-06-25T00:00:00Z"/>
        <d v="2016-04-22T00:00:00Z"/>
        <d v="2017-12-17T00:00:00Z"/>
        <d v="2017-06-18T00:00:00Z"/>
        <d v="2016-11-30T00:00:00Z"/>
        <d v="2016-05-05T00:00:00Z"/>
        <d v="2015-10-12T00:00:00Z"/>
        <d v="2017-06-06T00:00:00Z"/>
        <d v="2017-09-23T00:00:00Z"/>
        <d v="2018-09-17T00:00:00Z"/>
        <d v="2016-02-05T00:00:00Z"/>
        <d v="2018-11-12T00:00:00Z"/>
        <d v="2015-01-12T00:00:00Z"/>
        <d v="2017-06-15T00:00:00Z"/>
        <d v="2015-10-16T00:00:00Z"/>
        <d v="2016-08-09T00:00:00Z"/>
        <d v="2018-11-16T00:00:00Z"/>
        <d v="2018-05-30T00:00:00Z"/>
        <d v="2018-02-11T00:00:00Z"/>
        <d v="2017-10-04T00:00:00Z"/>
        <d v="2017-09-22T00:00:00Z"/>
        <d v="2016-05-02T00:00:00Z"/>
        <d v="2018-12-11T00:00:00Z"/>
        <d v="2018-11-11T00:00:00Z"/>
        <d v="2018-06-20T00:00:00Z"/>
        <d v="2017-11-09T00:00:00Z"/>
        <d v="2017-02-09T00:00:00Z"/>
        <d v="2017-04-12T00:00:00Z"/>
        <d v="2016-11-17T00:00:00Z"/>
        <d v="2018-11-28T00:00:00Z"/>
        <d v="2016-10-20T00:00:00Z"/>
        <d v="2018-12-30T00:00:00Z"/>
        <d v="2017-10-11T00:00:00Z"/>
        <d v="2015-08-27T00:00:00Z"/>
        <d v="2016-06-03T00:00:00Z"/>
        <d v="2016-10-04T00:00:00Z"/>
        <d v="2015-12-28T00:00:00Z"/>
        <d v="2015-09-25T00:00:00Z"/>
        <d v="2018-05-02T00:00:00Z"/>
        <d v="2017-10-19T00:00:00Z"/>
        <d v="2017-07-09T00:00:00Z"/>
        <d v="2018-12-27T00:00:00Z"/>
        <d v="2016-12-09T00:00:00Z"/>
        <d v="2015-10-28T00:00:00Z"/>
        <d v="2017-09-12T00:00:00Z"/>
        <d v="2017-03-16T00:00:00Z"/>
        <d v="2016-02-06T00:00:00Z"/>
        <d v="2016-03-06T00:00:00Z"/>
        <d v="2015-06-03T00:00:00Z"/>
        <d v="2017-11-24T00:00:00Z"/>
        <d v="2017-12-05T00:00:00Z"/>
        <d v="2017-11-20T00:00:00Z"/>
        <d v="2015-12-09T00:00:00Z"/>
        <d v="2015-09-08T00:00:00Z"/>
        <d v="2015-09-19T00:00:00Z"/>
        <d v="2018-04-25T00:00:00Z"/>
        <d v="2016-11-23T00:00:00Z"/>
        <d v="2016-12-19T00:00:00Z"/>
        <d v="2015-09-12T00:00:00Z"/>
        <d v="2015-11-24T00:00:00Z"/>
        <d v="2017-02-12T00:00:00Z"/>
        <d v="2015-08-30T00:00:00Z"/>
        <d v="2016-10-14T00:00:00Z"/>
        <d v="2016-06-11T00:00:00Z"/>
        <d v="2015-03-25T00:00:00Z"/>
        <d v="2018-11-13T00:00:00Z"/>
        <d v="2018-07-13T00:00:00Z"/>
        <d v="2018-06-29T00:00:00Z"/>
        <d v="2015-05-08T00:00:00Z"/>
        <d v="2018-12-21T00:00:00Z"/>
        <d v="2018-07-06T00:00:00Z"/>
        <d v="2018-12-14T00:00:00Z"/>
        <d v="2018-07-12T00:00:00Z"/>
        <d v="2016-02-13T00:00:00Z"/>
        <d v="2016-09-01T00:00:00Z"/>
        <d v="2017-01-11T00:00:00Z"/>
        <d v="2016-12-27T00:00:00Z"/>
        <d v="2016-08-16T00:00:00Z"/>
        <d v="2016-04-03T00:00:00Z"/>
        <d v="2015-09-17T00:00:00Z"/>
        <d v="2018-12-04T00:00:00Z"/>
        <d v="2017-09-06T00:00:00Z"/>
        <d v="2015-06-06T00:00:00Z"/>
        <d v="2017-12-15T00:00:00Z"/>
        <d v="2017-09-17T00:00:00Z"/>
        <d v="2016-04-12T00:00:00Z"/>
        <d v="2018-03-12T00:00:00Z"/>
        <d v="2018-12-06T00:00:00Z"/>
        <d v="2015-09-21T00:00:00Z"/>
        <d v="2017-06-13T00:00:00Z"/>
        <d v="2016-11-15T00:00:00Z"/>
        <d v="2017-01-28T00:00:00Z"/>
        <d v="2018-12-13T00:00:00Z"/>
        <d v="2019-02-01T00:00:00Z"/>
        <d v="2016-07-31T00:00:00Z"/>
        <d v="2018-10-17T00:00:00Z"/>
        <d v="2016-09-28T00:00:00Z"/>
        <d v="2016-02-10T00:00:00Z"/>
        <d v="2017-12-20T00:00:00Z"/>
        <d v="2017-03-11T00:00:00Z"/>
        <d v="2018-11-23T00:00:00Z"/>
        <d v="2016-09-05T00:00:00Z"/>
        <d v="2016-04-01T00:00:00Z"/>
        <d v="2018-04-17T00:00:00Z"/>
        <d v="2017-09-14T00:00:00Z"/>
        <d v="2015-03-10T00:00:00Z"/>
        <d v="2015-08-16T00:00:00Z"/>
        <d v="2015-12-30T00:00:00Z"/>
        <d v="2015-09-11T00:00:00Z"/>
        <d v="2015-09-24T00:00:00Z"/>
        <d v="2017-04-27T00:00:00Z"/>
        <d v="2018-05-11T00:00:00Z"/>
        <d v="2017-01-09T00:00:00Z"/>
        <d v="2017-04-29T00:00:00Z"/>
        <d v="2016-04-09T00:00:00Z"/>
        <d v="2015-07-17T00:00:00Z"/>
        <d v="2016-06-26T00:00:00Z"/>
        <d v="2015-04-17T00:00:00Z"/>
        <d v="2016-12-24T00:00:00Z"/>
        <d v="2018-06-19T00:00:00Z"/>
        <d v="2018-12-07T00:00:00Z"/>
        <d v="2017-03-09T00:00:00Z"/>
        <d v="2017-04-13T00:00:00Z"/>
        <d v="2017-04-28T00:00:00Z"/>
        <d v="2018-11-03T00:00:00Z"/>
        <d v="2018-01-10T00:00:00Z"/>
        <d v="2015-09-29T00:00:00Z"/>
        <d v="2017-10-21T00:00:00Z"/>
        <d v="2018-04-06T00:00:00Z"/>
        <d v="2015-07-27T00:00:00Z"/>
        <d v="2017-01-10T00:00:00Z"/>
        <d v="2018-01-09T00:00:00Z"/>
        <d v="2017-10-29T00:00:00Z"/>
        <d v="2016-06-29T00:00:00Z"/>
        <d v="2016-02-12T00:00:00Z"/>
        <d v="2016-07-12T00:00:00Z"/>
        <d v="2015-11-26T00:00:00Z"/>
        <d v="2018-12-15T00:00:00Z"/>
        <d v="2015-09-23T00:00:00Z"/>
        <d v="2015-10-06T00:00:00Z"/>
        <d v="2018-05-07T00:00:00Z"/>
        <d v="2018-10-19T00:00:00Z"/>
        <d v="2016-04-11T00:00:00Z"/>
        <d v="2017-10-09T00:00:00Z"/>
        <d v="2015-12-26T00:00:00Z"/>
        <d v="2015-04-20T00:00:00Z"/>
        <d v="2018-12-29T00:00:00Z"/>
        <d v="2018-12-12T00:00:00Z"/>
        <d v="2018-07-11T00:00:00Z"/>
        <d v="2018-06-28T00:00:00Z"/>
        <d v="2017-04-18T00:00:00Z"/>
        <d v="2018-10-11T00:00:00Z"/>
        <d v="2018-09-03T00:00:00Z"/>
        <d v="2015-06-25T00:00:00Z"/>
        <d v="2018-08-23T00:00:00Z"/>
        <d v="2018-11-26T00:00:00Z"/>
        <d v="2015-09-13T00:00:00Z"/>
        <d v="2018-08-10T00:00:00Z"/>
        <d v="2017-04-21T00:00:00Z"/>
        <d v="2017-07-06T00:00:00Z"/>
        <d v="2015-12-25T00:00:00Z"/>
        <d v="2017-06-14T00:00:00Z"/>
        <d v="2018-09-19T00:00:00Z"/>
        <d v="2018-01-23T00:00:00Z"/>
        <d v="2018-03-25T00:00:00Z"/>
        <d v="2017-03-04T00:00:00Z"/>
        <d v="2018-10-24T00:00:00Z"/>
        <d v="2015-02-18T00:00:00Z"/>
        <d v="2016-12-22T00:00:00Z"/>
        <d v="2016-01-24T00:00:00Z"/>
        <d v="2018-04-04T00:00:00Z"/>
        <d v="2015-11-11T00:00:00Z"/>
        <d v="2017-07-19T00:00:00Z"/>
        <d v="2017-02-11T00:00:00Z"/>
        <d v="2017-02-07T00:00:00Z"/>
        <d v="2015-10-10T00:00:00Z"/>
        <d v="2018-06-13T00:00:00Z"/>
        <d v="2015-10-31T00:00:00Z"/>
        <d v="2015-06-13T00:00:00Z"/>
        <d v="2017-05-14T00:00:00Z"/>
        <d v="2017-03-21T00:00:00Z"/>
        <d v="2017-07-31T00:00:00Z"/>
        <d v="2017-04-06T00:00:00Z"/>
        <d v="2018-11-15T00:00:00Z"/>
        <d v="2016-03-22T00:00:00Z"/>
        <d v="2018-11-27T00:00:00Z"/>
        <d v="2017-10-23T00:00:00Z"/>
        <d v="2018-12-25T00:00:00Z"/>
        <d v="2018-01-27T00:00:00Z"/>
        <d v="2016-03-26T00:00:00Z"/>
        <d v="2018-01-25T00:00:00Z"/>
        <d v="2017-05-23T00:00:00Z"/>
        <d v="2017-02-01T00:00:00Z"/>
        <d v="2018-10-26T00:00:00Z"/>
        <d v="2016-07-09T00:00:00Z"/>
        <d v="2016-09-11T00:00:00Z"/>
        <d v="2018-11-09T00:00:00Z"/>
        <d v="2017-01-06T00:00:00Z"/>
        <d v="2017-07-16T00:00:00Z"/>
        <d v="2018-08-09T00:00:00Z"/>
        <d v="2016-08-12T00:00:00Z"/>
        <d v="2016-11-12T00:00:00Z"/>
        <d v="2015-03-02T00:00:00Z"/>
        <d v="2017-07-17T00:00:00Z"/>
        <d v="2016-12-23T00:00:00Z"/>
        <d v="2015-05-16T00:00:00Z"/>
        <d v="2018-11-22T00:00:00Z"/>
        <d v="2017-04-17T00:00:00Z"/>
        <d v="2018-12-09T00:00:00Z"/>
        <d v="2018-03-07T00:00:00Z"/>
        <d v="2015-07-03T00:00:00Z"/>
        <d v="2015-09-18T00:00:00Z"/>
        <d v="2016-09-12T00:00:00Z"/>
        <d v="2018-10-12T00:00:00Z"/>
        <d v="2019-04-01T00:00:00Z"/>
        <d v="2017-07-11T00:00:00Z"/>
        <d v="2016-09-22T00:00:00Z"/>
        <d v="2018-07-26T00:00:00Z"/>
        <d v="2016-09-14T00:00:00Z"/>
        <d v="2018-05-12T00:00:00Z"/>
        <d v="2016-09-07T00:00:00Z"/>
        <d v="2017-03-24T00:00:00Z"/>
        <d v="2015-01-13T00:00:00Z"/>
        <d v="2015-08-15T00:00:00Z"/>
        <d v="2017-07-21T00:00:00Z"/>
        <d v="2015-03-19T00:00:00Z"/>
        <d v="2015-05-27T00:00:00Z"/>
        <d v="2017-01-05T00:00:00Z"/>
        <d v="2017-09-13T00:00:00Z"/>
        <d v="2018-11-17T00:00:00Z"/>
        <d v="2015-12-31T00:00:00Z"/>
        <d v="2016-03-12T00:00:00Z"/>
        <d v="2018-05-23T00:00:00Z"/>
        <d v="2018-09-26T00:00:00Z"/>
        <d v="2016-09-10T00:00:00Z"/>
        <d v="2017-08-21T00:00:00Z"/>
        <d v="2017-05-25T00:00:00Z"/>
        <d v="2017-12-22T00:00:00Z"/>
        <d v="2018-03-08T00:00:00Z"/>
        <d v="2018-06-15T00:00:00Z"/>
        <d v="2018-07-25T00:00:00Z"/>
        <d v="2019-05-01T00:00:00Z"/>
        <d v="2017-08-04T00:00:00Z"/>
        <d v="2017-12-16T00:00:00Z"/>
        <d v="2018-06-23T00:00:00Z"/>
        <d v="2017-08-28T00:00:00Z"/>
        <d v="2017-09-19T00:00:00Z"/>
        <d v="2016-08-28T00:00:00Z"/>
        <d v="2017-03-30T00:00:00Z"/>
        <d v="2017-04-11T00:00:00Z"/>
        <d v="2018-10-06T00:00:00Z"/>
        <d v="2018-06-22T00:00:00Z"/>
        <d v="2018-08-12T00:00:00Z"/>
        <d v="2018-03-23T00:00:00Z"/>
        <d v="2018-04-11T00:00:00Z"/>
        <d v="2015-08-07T00:00:00Z"/>
        <d v="2015-06-23T00:00:00Z"/>
        <d v="2016-02-04T00:00:00Z"/>
        <d v="2016-05-17T00:00:00Z"/>
        <d v="2017-08-11T00:00:00Z"/>
        <d v="2016-04-14T00:00:00Z"/>
        <d v="2015-04-12T00:00:00Z"/>
        <d v="2015-07-04T00:00:00Z"/>
        <d v="2018-07-09T00:00:00Z"/>
        <d v="2018-05-24T00:00:00Z"/>
        <d v="2015-06-07T00:00:00Z"/>
        <d v="2015-01-14T00:00:00Z"/>
        <d v="2018-09-29T00:00:00Z"/>
        <d v="2015-07-06T00:00:00Z"/>
        <d v="2017-02-18T00:00:00Z"/>
        <d v="2017-12-19T00:00:00Z"/>
        <d v="2015-10-13T00:00:00Z"/>
        <d v="2017-12-07T00:00:00Z"/>
        <d v="2018-09-20T00:00:00Z"/>
        <d v="2017-06-12T00:00:00Z"/>
        <d v="2015-08-01T00:00:00Z"/>
        <d v="2017-03-22T00:00:00Z"/>
        <d v="2018-06-10T00:00:00Z"/>
        <d v="2017-09-04T00:00:00Z"/>
        <d v="2016-12-12T00:00:00Z"/>
        <d v="2016-02-01T00:00:00Z"/>
        <d v="2018-07-28T00:00:00Z"/>
        <d v="2018-09-22T00:00:00Z"/>
        <d v="2016-05-09T00:00:00Z"/>
        <d v="2015-01-15T00:00:00Z"/>
        <d v="2015-05-20T00:00:00Z"/>
        <d v="2017-05-24T00:00:00Z"/>
        <d v="2016-08-23T00:00:00Z"/>
        <d v="2016-06-10T00:00:00Z"/>
        <d v="2016-05-28T00:00:00Z"/>
        <d v="2018-03-21T00:00:00Z"/>
        <d v="2016-12-16T00:00:00Z"/>
        <d v="2016-06-30T00:00:00Z"/>
        <d v="2017-05-20T00:00:00Z"/>
        <d v="2015-09-26T00:00:00Z"/>
        <d v="2016-12-26T00:00:00Z"/>
        <d v="2018-02-23T00:00:00Z"/>
        <d v="2017-08-23T00:00:00Z"/>
        <d v="2017-03-17T00:00:00Z"/>
        <d v="2018-04-24T00:00:00Z"/>
        <d v="2015-07-11T00:00:00Z"/>
        <d v="2015-10-15T00:00:00Z"/>
        <d v="2018-05-14T00:00:00Z"/>
        <d v="2016-03-23T00:00:00Z"/>
        <d v="2015-02-07T00:00:00Z"/>
        <d v="2018-06-27T00:00:00Z"/>
        <d v="2018-08-28T00:00:00Z"/>
        <d v="2018-06-21T00:00:00Z"/>
        <d v="2017-07-27T00:00:00Z"/>
        <d v="2017-12-03T00:00:00Z"/>
        <d v="2016-11-25T00:00:00Z"/>
        <d v="2017-09-11T00:00:00Z"/>
        <d v="2016-10-17T00:00:00Z"/>
        <d v="2018-06-01T00:00:00Z"/>
        <d v="2015-12-02T00:00:00Z"/>
        <d v="2017-02-24T00:00:00Z"/>
        <d v="2015-08-08T00:00:00Z"/>
        <d v="2018-04-15T00:00:00Z"/>
        <d v="2015-06-16T00:00:00Z"/>
        <d v="2017-07-01T00:00:00Z"/>
        <d v="2017-02-10T00:00:00Z"/>
        <d v="2015-10-04T00:00:00Z"/>
        <d v="2017-05-09T00:00:00Z"/>
        <d v="2015-12-15T00:00:00Z"/>
        <d v="2018-08-29T00:00:00Z"/>
        <d v="2017-01-21T00:00:00Z"/>
        <d v="2018-02-12T00:00:00Z"/>
        <d v="2016-10-13T00:00:00Z"/>
        <d v="2018-12-23T00:00:00Z"/>
        <d v="2017-10-24T00:00:00Z"/>
        <d v="2015-04-05T00:00:00Z"/>
        <d v="2016-04-28T00:00:00Z"/>
        <d v="2018-02-07T00:00:00Z"/>
        <d v="2015-12-16T00:00:00Z"/>
        <d v="2018-06-26T00:00:00Z"/>
        <d v="2017-12-11T00:00:00Z"/>
        <d v="2017-06-10T00:00:00Z"/>
        <d v="2015-09-15T00:00:00Z"/>
        <d v="2018-10-31T00:00:00Z"/>
        <d v="2017-12-04T00:00:00Z"/>
        <d v="2019-03-01T00:00:00Z"/>
        <d v="2018-11-29T00:00:00Z"/>
        <d v="2015-06-21T00:00:00Z"/>
        <d v="2017-11-03T00:00:00Z"/>
        <d v="2015-12-12T00:00:00Z"/>
        <d v="2016-04-15T00:00:00Z"/>
        <d v="2017-09-20T00:00:00Z"/>
        <d v="2015-09-16T00:00:00Z"/>
        <d v="2018-06-09T00:00:00Z"/>
        <d v="2017-06-24T00:00:00Z"/>
        <d v="2018-06-11T00:00:00Z"/>
        <d v="2016-12-17T00:00:00Z"/>
        <d v="2017-06-20T00:00:00Z"/>
        <d v="2016-07-28T00:00:00Z"/>
        <d v="2018-07-04T00:00:00Z"/>
        <d v="2019-01-01T00:00:00Z"/>
        <d v="2018-04-12T00:00:00Z"/>
        <d v="2018-05-18T00:00:00Z"/>
        <d v="2018-11-19T00:00:00Z"/>
        <d v="2016-01-12T00:00:00Z"/>
        <d v="2017-04-09T00:00:00Z"/>
        <d v="2018-11-04T00:00:00Z"/>
        <d v="2015-01-18T00:00:00Z"/>
        <d v="2018-07-15T00:00:00Z"/>
        <d v="2018-10-01T00:00:00Z"/>
        <d v="2017-05-31T00:00:00Z"/>
        <d v="2017-08-10T00:00:00Z"/>
        <d v="2015-11-14T00:00:00Z"/>
        <d v="2018-05-10T00:00:00Z"/>
        <d v="2016-10-03T00:00:00Z"/>
        <d v="2018-05-26T00:00:00Z"/>
        <d v="2016-03-31T00:00:00Z"/>
        <d v="2017-08-27T00:00:00Z"/>
        <d v="2015-05-25T00:00:00Z"/>
        <d v="2016-03-11T00:00:00Z"/>
        <d v="2017-11-17T00:00:00Z"/>
        <d v="2016-08-31T00:00:00Z"/>
        <d v="2016-09-19T00:00:00Z"/>
        <d v="2016-10-07T00:00:00Z"/>
        <d v="2016-03-05T00:00:00Z"/>
        <d v="2016-06-20T00:00:00Z"/>
        <d v="2018-12-20T00:00:00Z"/>
        <d v="2017-01-13T00:00:00Z"/>
        <d v="2015-07-15T00:00:00Z"/>
        <d v="2017-11-22T00:00:00Z"/>
        <d v="2017-04-26T00:00:00Z"/>
        <d v="2016-06-14T00:00:00Z"/>
        <d v="2018-11-21T00:00:00Z"/>
        <d v="2017-09-09T00:00:00Z"/>
        <d v="2018-10-16T00:00:00Z"/>
        <d v="2015-01-06T00:00:00Z"/>
        <d v="2016-05-07T00:00:00Z"/>
        <d v="2016-08-04T00:00:00Z"/>
        <d v="2018-12-17T00:00:00Z"/>
        <d v="2017-01-12T00:00:00Z"/>
        <d v="2016-03-29T00:00:00Z"/>
        <d v="2016-04-21T00:00:00Z"/>
        <d v="2018-09-30T00:00:00Z"/>
        <d v="2016-07-29T00:00:00Z"/>
        <d v="2017-02-05T00:00:00Z"/>
        <d v="2017-11-19T00:00:00Z"/>
        <d v="2017-09-30T00:00:00Z"/>
        <d v="2018-09-25T00:00:00Z"/>
        <d v="2017-05-03T00:00:00Z"/>
        <d v="2017-12-08T00:00:00Z"/>
        <d v="2017-08-20T00:00:00Z"/>
        <d v="2016-12-13T00:00:00Z"/>
        <d v="2018-01-26T00:00:00Z"/>
        <d v="2015-06-28T00:00:00Z"/>
        <d v="2017-06-17T00:00:00Z"/>
        <d v="2018-04-27T00:00:00Z"/>
        <d v="2017-10-27T00:00:00Z"/>
        <d v="2017-07-24T00:00:00Z"/>
        <d v="2015-01-26T00:00:00Z"/>
        <d v="2016-07-03T00:00:00Z"/>
        <d v="2017-04-16T00:00:00Z"/>
        <d v="2017-07-12T00:00:00Z"/>
        <d v="2017-11-12T00:00:00Z"/>
        <d v="2017-11-15T00:00:00Z"/>
        <d v="2016-04-04T00:00:00Z"/>
        <d v="2016-05-14T00:00:00Z"/>
        <d v="2015-12-21T00:00:00Z"/>
        <d v="2017-07-07T00:00:00Z"/>
        <d v="2018-04-07T00:00:00Z"/>
        <d v="2015-05-09T00:00:00Z"/>
        <d v="2015-08-03T00:00:00Z"/>
        <d v="2015-08-05T00:00:00Z"/>
        <d v="2016-02-11T00:00:00Z"/>
        <d v="2015-03-14T00:00:00Z"/>
        <d v="2015-04-25T00:00:00Z"/>
        <d v="2016-10-26T00:00:00Z"/>
        <d v="2016-08-25T00:00:00Z"/>
        <d v="2017-05-12T00:00:00Z"/>
        <d v="2018-01-15T00:00:00Z"/>
        <d v="2015-11-30T00:00:00Z"/>
        <d v="2018-02-28T00:00:00Z"/>
        <d v="2016-09-15T00:00:00Z"/>
        <d v="2018-04-08T00:00:00Z"/>
        <d v="2017-07-18T00:00:00Z"/>
        <d v="2018-09-13T00:00:00Z"/>
        <d v="2015-07-16T00:00:00Z"/>
        <d v="2017-10-28T00:00:00Z"/>
        <d v="2017-02-22T00:00:00Z"/>
        <d v="2018-05-21T00:00:00Z"/>
        <d v="2015-12-14T00:00:00Z"/>
        <d v="2018-12-24T00:00:00Z"/>
        <d v="2018-03-14T00:00:00Z"/>
        <d v="2017-12-28T00:00:00Z"/>
        <d v="2018-10-27T00:00:00Z"/>
        <d v="2018-09-07T00:00:00Z"/>
        <d v="2015-12-29T00:00:00Z"/>
        <d v="2018-09-27T00:00:00Z"/>
        <d v="2018-08-06T00:00:00Z"/>
        <d v="2017-05-26T00:00:00Z"/>
        <d v="2017-07-05T00:00:00Z"/>
        <d v="2015-11-09T00:00:00Z"/>
        <d v="2017-06-09T00:00:00Z"/>
        <d v="2017-03-07T00:00:00Z"/>
        <d v="2016-08-07T00:00:00Z"/>
        <d v="2017-11-26T00:00:00Z"/>
        <d v="2016-01-09T00:00:00Z"/>
        <d v="2016-05-29T00:00:00Z"/>
        <d v="2017-12-12T00:00:00Z"/>
        <d v="2016-07-10T00:00:00Z"/>
        <d v="2017-12-25T00:00:00Z"/>
        <d v="2016-09-24T00:00:00Z"/>
        <d v="2018-07-07T00:00:00Z"/>
        <d v="2017-06-21T00:00:00Z"/>
        <d v="2017-12-23T00:00:00Z"/>
        <d v="2015-05-07T00:00:00Z"/>
        <d v="2018-08-02T00:00:00Z"/>
        <d v="2018-08-03T00:00:00Z"/>
        <d v="2018-10-10T00:00:00Z"/>
        <d v="2015-05-30T00:00:00Z"/>
        <d v="2016-06-18T00:00:00Z"/>
        <d v="2017-01-04T00:00:00Z"/>
        <d v="2018-10-18T00:00:00Z"/>
        <d v="2017-05-27T00:00:00Z"/>
        <d v="2018-06-06T00:00:00Z"/>
        <d v="2015-02-21T00:00:00Z"/>
        <d v="2015-10-05T00:00:00Z"/>
        <d v="2018-02-04T00:00:00Z"/>
        <d v="2018-04-01T00:00:00Z"/>
        <d v="2016-01-06T00:00:00Z"/>
        <d v="2015-03-24T00:00:00Z"/>
        <d v="2015-08-10T00:00:00Z"/>
        <d v="2017-03-31T00:00:00Z"/>
        <d v="2018-09-05T00:00:00Z"/>
        <d v="2015-01-10T00:00:00Z"/>
        <d v="2018-10-25T00:00:00Z"/>
        <d v="2018-11-07T00:00:00Z"/>
        <d v="2016-12-28T00:00:00Z"/>
        <d v="2018-12-03T00:00:00Z"/>
        <d v="2015-06-04T00:00:00Z"/>
        <d v="2017-05-02T00:00:00Z"/>
        <d v="2018-10-14T00:00:00Z"/>
        <d v="2017-05-11T00:00:00Z"/>
        <d v="2017-04-25T00:00:00Z"/>
        <d v="2015-08-04T00:00:00Z"/>
        <d v="2017-07-13T00:00:00Z"/>
        <d v="2018-01-31T00:00:00Z"/>
        <d v="2018-11-30T00:00:00Z"/>
        <d v="2017-12-30T00:00:00Z"/>
        <d v="2016-10-15T00:00:00Z"/>
        <d v="2018-08-08T00:00:00Z"/>
        <d v="2017-05-28T00:00:00Z"/>
        <d v="2018-06-16T00:00:00Z"/>
        <d v="2015-04-24T00:00:00Z"/>
        <d v="2016-07-05T00:00:00Z"/>
        <d v="2016-07-20T00:00:00Z"/>
        <d v="2017-11-29T00:00:00Z"/>
        <d v="2016-08-21T00:00:00Z"/>
        <d v="2017-03-15T00:00:00Z"/>
        <d v="2015-08-14T00:00:00Z"/>
        <d v="2016-05-16T00:00:00Z"/>
        <d v="2016-09-27T00:00:00Z"/>
        <d v="2017-11-25T00:00:00Z"/>
        <d v="2018-03-24T00:00:00Z"/>
        <d v="2018-11-20T00:00:00Z"/>
        <d v="2017-08-12T00:00:00Z"/>
        <d v="2017-10-18T00:00:00Z"/>
        <d v="2015-03-12T00:00:00Z"/>
        <d v="2016-07-11T00:00:00Z"/>
        <d v="2015-06-12T00:00:00Z"/>
        <d v="2018-05-05T00:00:00Z"/>
        <d v="2018-03-11T00:00:00Z"/>
        <d v="2015-12-19T00:00:00Z"/>
        <d v="2017-10-20T00:00:00Z"/>
        <d v="2018-11-18T00:00:00Z"/>
      </sharedItems>
    </cacheField>
    <cacheField name="Month" numFmtId="166">
      <sharedItems>
        <s v="Nov"/>
        <s v="Jun"/>
        <s v="Oct"/>
        <s v="Apr"/>
        <s v="May"/>
        <s v="Jan"/>
        <s v="Dec"/>
        <s v="Jul"/>
        <s v="Sep"/>
        <s v="Mar"/>
        <s v="Feb"/>
        <s v="Aug"/>
      </sharedItems>
    </cacheField>
    <cacheField name="Years" numFmtId="164">
      <sharedItems>
        <s v="2017"/>
        <s v="2016"/>
        <s v="2015"/>
        <s v="2018"/>
        <s v="2019"/>
      </sharedItems>
    </cacheField>
    <cacheField name="Ship Mode" numFmtId="0">
      <sharedItems>
        <s v="Second Class"/>
        <s v="Standard Class"/>
        <s v="First Class"/>
        <s v="Same Day"/>
      </sharedItems>
    </cacheField>
    <cacheField name="First Name" numFmtId="0">
      <sharedItems>
        <s v="Claire"/>
        <s v="Darrin"/>
        <s v="Sean"/>
        <s v="Brosina"/>
        <s v="Andrew"/>
        <s v="Irene"/>
        <s v="Harold"/>
        <s v="Pete"/>
        <s v="Alejandro"/>
        <s v="Zuschuss"/>
        <s v="Ken"/>
        <s v="Sandra"/>
        <s v="Emily"/>
        <s v="Eric"/>
        <s v="Tracy"/>
        <s v="Matt"/>
        <s v="Gene"/>
        <s v="Steve"/>
        <s v="Linda"/>
        <s v="Ruben"/>
        <s v="Erin"/>
        <s v="Odella"/>
        <s v="Patrick"/>
        <s v="Lena"/>
        <s v="Darren"/>
        <s v="Janet"/>
        <s v="Ted"/>
        <s v="Kunst"/>
        <s v="Paul"/>
        <s v="Brendan"/>
        <s v="Karen"/>
        <s v="Henry"/>
        <s v="Joel"/>
        <s v="Stewart"/>
        <s v="Duane"/>
        <s v="Julie"/>
        <s v="Christopher"/>
        <s v="Gary"/>
        <s v="Jim"/>
        <s v="Karl"/>
        <s v="Roger"/>
        <s v="Parhena"/>
        <s v="Katherine"/>
        <s v="Elpida"/>
        <s v="Rick"/>
        <s v="Cynthia"/>
        <s v="Clay"/>
        <s v="Ryan"/>
        <s v="Dave"/>
        <s v="Greg"/>
        <s v="Steven"/>
        <s v="Alan"/>
        <s v="Philip"/>
        <s v="Troy"/>
        <s v="Lindsay"/>
        <s v="Dorothy"/>
        <s v="Jonathan"/>
        <s v="Sally"/>
        <s v="Helen"/>
        <s v="Maureen"/>
        <s v="Justin"/>
        <s v="Tamara"/>
        <s v="Stephanie"/>
        <s v="Neil"/>
        <s v="Nora"/>
        <s v="Max"/>
        <s v="Becky"/>
        <s v="Chad"/>
        <s v="Jennifer"/>
        <s v="Shirley"/>
        <s v="David"/>
        <s v="Robert"/>
        <s v="Frank"/>
        <s v="Alice"/>
        <s v="Mark"/>
        <s v="Mary"/>
        <s v="Cassandra"/>
        <s v="Valerie"/>
        <s v="Fred"/>
        <s v="Maria"/>
        <s v="Bruce"/>
        <s v="Logan"/>
        <s v="Heather"/>
        <s v="Laurel"/>
        <s v="Joseph"/>
        <s v="Michael"/>
        <s v="Victoria"/>
        <s v="Joni"/>
        <s v="Dianna"/>
        <s v="Kelly"/>
        <s v="Delfina"/>
        <s v="Dan"/>
        <s v="Craig"/>
        <s v="Dorris"/>
        <s v="Roy"/>
        <s v="Claudia"/>
        <s v="Christine"/>
        <s v="Kristen"/>
        <s v="Barry"/>
        <s v="Jas"/>
        <s v="Nick"/>
        <s v="Corey"/>
        <s v="Shahid"/>
        <s v="Ben"/>
        <s v="Thomas"/>
        <s v="Andy"/>
        <s v="Sung"/>
        <s v="Nathan"/>
        <s v="Grace"/>
        <s v="Don"/>
        <s v="John"/>
        <s v="Doug"/>
        <s v="Alyssa"/>
        <s v="Adam"/>
        <s v="Jeremy"/>
        <s v="Katrina"/>
        <s v="Julia"/>
        <s v="Guy"/>
        <s v="Arthur"/>
        <s v="Muhammed"/>
        <s v="Allen"/>
        <s v="Russell"/>
        <s v="Laura"/>
        <s v="Denny"/>
        <s v="Dean"/>
        <s v="Mike"/>
        <s v="Jack"/>
        <s v="Bart"/>
        <s v="Victor"/>
        <s v="Saphhira"/>
        <s v="Anna"/>
        <s v="Luke"/>
        <s v="Keith"/>
        <s v="Kimberly"/>
        <s v="Caroline"/>
        <s v="Natalie"/>
        <s v="Ross"/>
        <s v="Philisse"/>
        <s v="Brenda"/>
        <s v="Raymond"/>
        <s v="Ed"/>
        <s v="Sanjit"/>
        <s v="Tanja"/>
        <s v="Maya"/>
        <s v="Xylona"/>
        <s v="Michelle"/>
        <s v="Sue"/>
        <s v="Carl"/>
        <s v="Astrea"/>
        <s v="Sonia"/>
        <s v="Rose"/>
        <s v="Maribeth"/>
        <s v="Lynn"/>
        <s v="Bradley"/>
        <s v="Brian"/>
        <s v="Patricia"/>
        <s v="Jasper"/>
        <s v="Rob"/>
        <s v="Liz"/>
        <s v="Adrian"/>
        <s v="Bill"/>
        <s v="Ashley"/>
        <s v="Olvera"/>
        <s v="Ellis"/>
        <s v="Sarah"/>
        <s v="Trudy"/>
        <s v="Carlos"/>
        <s v="Charles"/>
        <s v="Melanie"/>
        <s v="Theone"/>
        <s v="Chloris"/>
        <s v="Nona"/>
        <s v="Giulietta"/>
        <s v="Clytie"/>
        <s v="Nat"/>
        <s v="Christina"/>
        <s v="Sylvia"/>
        <s v="Meg"/>
        <s v="Annie"/>
        <s v="Chuck"/>
        <s v="Anthony"/>
        <s v="Eugene"/>
        <s v="Sibella"/>
        <s v="Tiffany"/>
        <s v="Resi"/>
        <s v="Carol"/>
        <s v="Grant"/>
        <s v="Ralph"/>
        <s v="Naresj"/>
        <s v="Jesus"/>
        <s v="Jay"/>
        <s v="Brad"/>
        <s v="Roland"/>
        <s v="Seth"/>
        <s v="Mathew"/>
        <s v="Phillina"/>
        <s v="Peter"/>
        <s v="Yoseph"/>
        <s v="Debra"/>
        <s v="Lisa"/>
        <s v="Chris"/>
        <s v="Benjamin"/>
        <s v="Bryan"/>
        <s v="Joe"/>
        <s v="Erica"/>
        <s v="Pauline"/>
        <s v="Toby"/>
        <s v="James"/>
        <s v="Eudokia"/>
        <s v="Art"/>
        <s v="Cyma"/>
        <s v="Berenike"/>
        <s v="Lauren"/>
        <s v="Jill"/>
        <s v="Pamela"/>
        <s v="Hunter"/>
        <s v="George"/>
        <s v="Jessica"/>
        <s v="Catherine"/>
        <s v="Rachel"/>
        <s v="Scott"/>
        <s v="Daniel"/>
        <s v="Ann"/>
        <s v="Sara"/>
        <s v="Mitch"/>
        <s v="Vivek"/>
        <s v="Kalyca"/>
        <s v="Hallie"/>
        <s v="Deanra"/>
        <s v="Noel"/>
        <s v="Deirdre"/>
        <s v="Nicole"/>
        <s v="Matthew"/>
        <s v="Theresa"/>
        <s v="Skye"/>
        <s v="Maurice"/>
        <s v="Penelope"/>
        <s v="Neoma"/>
        <s v="Dionis"/>
        <s v="Alex"/>
        <s v="Larry"/>
        <s v="Anne"/>
        <s v="Cathy"/>
        <s v="Stefania"/>
        <s v="Kean"/>
        <s v="Brooke"/>
        <s v="Eva"/>
        <s v="Mick"/>
        <s v="Jocasta"/>
        <s v="Suzanne"/>
        <s v="Phillip"/>
        <s v="Susan"/>
        <s v="Todd"/>
        <s v="Quincy"/>
        <s v="Evan"/>
        <s v="Jamie"/>
        <s v="Aaron"/>
        <s v="Beth"/>
        <s v="Harry"/>
        <s v="Sam"/>
        <s v="Yana"/>
        <s v="Stuart"/>
        <s v="Damala"/>
        <s v="Shui"/>
        <s v="Shaun"/>
        <s v="Thais"/>
        <s v="Cindy"/>
        <s v="Maxwell"/>
        <s v="Corinna"/>
        <s v="Jane"/>
      </sharedItems>
    </cacheField>
    <cacheField name="Surname" numFmtId="0">
      <sharedItems>
        <s v="Gute"/>
        <s v="Van Huff"/>
        <s v="O'Donnell"/>
        <s v="Hoffman"/>
        <s v="Allen"/>
        <s v="Maddox"/>
        <s v="Pawlan"/>
        <s v="Kriz"/>
        <s v="Grove"/>
        <s v="Donatelli"/>
        <s v="Black"/>
        <s v="Flanagan"/>
        <s v="Burns"/>
        <s v="Hoffmann"/>
        <s v="Blumstein"/>
        <s v="Abelman"/>
        <s v="Hale"/>
        <s v="Nguyen"/>
        <s v="Cazamias"/>
        <s v="Ausman"/>
        <s v="Smith"/>
        <s v="Nelson"/>
        <s v="Hernandez"/>
        <s v="Powers"/>
        <s v="Molinari"/>
        <s v="Butterfield"/>
        <s v="Miller"/>
        <s v="Stevenson"/>
        <s v="Sweed"/>
        <s v="Daniels"/>
        <s v="MacAllister"/>
        <s v="Eaton"/>
        <s v="Brennan"/>
        <s v="Carmichael"/>
        <s v="Noonan"/>
        <s v="Creighton"/>
        <s v="Schild"/>
        <s v="Gonzalez"/>
        <s v="Mitchum"/>
        <s v="Sink"/>
        <s v="Braun"/>
        <s v="Barcio"/>
        <s v="Norris"/>
        <s v="Ducich"/>
        <s v="Rittenbach"/>
        <s v="Bensley"/>
        <s v="Zandusky"/>
        <s v="Cacioppo"/>
        <s v="Martin"/>
        <s v="Armstrong"/>
        <s v="Voltz"/>
        <s v="Ludtke"/>
        <s v="Crowe"/>
        <s v="Kipp"/>
        <s v="Guthrie"/>
        <s v="Cartwright"/>
        <s v="Dominguez"/>
        <s v="Fox"/>
        <s v="Staebel"/>
        <s v="Shagiari"/>
        <s v="Wardle"/>
        <s v="Doherty"/>
        <s v="Hughsby"/>
        <s v="Glassco"/>
        <s v="Andreada"/>
        <s v="Gastineau"/>
        <s v="Ellison"/>
        <s v="Willingham"/>
        <s v="Phelps"/>
        <s v="Knudson"/>
        <s v="Brooks"/>
        <s v="Paige"/>
        <s v="Trevino"/>
        <s v="Murdock"/>
        <s v="Dartt"/>
        <s v="Jones"/>
        <s v="Sievert"/>
        <s v="Braxton"/>
        <s v="Jackson"/>
        <s v="Kendrick"/>
        <s v="Marley"/>
        <s v="Knutson"/>
        <s v="Merwin"/>
        <s v="McCarthy"/>
        <s v="Packer"/>
        <s v="Zewe"/>
        <s v="Brandow"/>
        <s v="Hopkins"/>
        <s v="Bertelson"/>
        <s v="Stewart"/>
        <s v="Currie"/>
        <s v="Kirkland"/>
        <s v="Elliston"/>
        <s v="Holt"/>
        <s v="Wilson"/>
        <s v="Howell"/>
        <s v="Ashbrook"/>
        <s v="Bremer"/>
        <s v="Lonsdale"/>
        <s v="Haushalter"/>
        <s v="Collister"/>
        <s v="Latchford"/>
        <s v="Reichenbach"/>
        <s v="Carreira"/>
        <s v="liebe"/>
        <s v="Collins"/>
        <s v="Hwang"/>
        <s v="Bergmann"/>
        <s v="Hastings"/>
        <s v="Gjertsen"/>
        <s v="O'Carroll"/>
        <s v="Haines"/>
        <s v="Lampkin"/>
        <s v="Schoenberger"/>
        <s v="Roper"/>
        <s v="Peterman"/>
        <s v="Seio"/>
        <s v="Gerbode"/>
        <s v="Pak"/>
        <s v="Mautz"/>
        <s v="Atkinson"/>
        <s v="Kelly"/>
        <s v="O'Brill"/>
        <s v="Lucas"/>
        <s v="Bickford"/>
        <s v="Crouse"/>
        <s v="Cheatham"/>
        <s v="Dahlen"/>
        <s v="Bellavance"/>
        <s v="Willman"/>
        <s v="Dunbar"/>
        <s v="Kennedy"/>
        <s v="Thornton"/>
        <s v="Gainer"/>
        <s v="MacIntyre"/>
        <s v="Rosenblatt"/>
        <s v="Applegate"/>
        <s v="Savely"/>
        <s v="Ordway"/>
        <s v="Katz"/>
        <s v="Gelder"/>
        <s v="Vittorini"/>
        <s v="Garza"/>
        <s v="Pistole"/>
        <s v="Preis"/>
        <s v="Shifley"/>
        <s v="Gayman"/>
        <s v="Foster"/>
        <s v="Französisch"/>
        <s v="Herrera"/>
        <s v="Carter"/>
        <s v="Jumper"/>
        <s v="Brown"/>
        <s v="Fritzler"/>
        <s v="Heidel"/>
        <s v="Baird"/>
        <s v="Overcash"/>
        <s v="Bowman"/>
        <s v="Blackwell"/>
        <s v="Buch"/>
        <s v="Chand"/>
        <s v="Norvell"/>
        <s v="Sundaresam"/>
        <s v="Herman"/>
        <s v="Pistek"/>
        <s v="Grady"/>
        <s v="Mull"/>
        <s v="Tran"/>
        <s v="Ann Reed"/>
        <s v="Weiss"/>
        <s v="Sunley"/>
        <s v="O'Brian"/>
        <s v="Dona"/>
        <s v="Yedwab"/>
        <s v="Martinez"/>
        <s v="Braden"/>
        <s v="Connell"/>
        <s v="Hirasaki"/>
        <s v="Gockenbach"/>
        <s v="Bern"/>
        <s v="Armold"/>
        <s v="Phan"/>
        <s v="Koutras"/>
        <s v="Drucker"/>
        <s v="MacKendrick"/>
        <s v="Shami"/>
        <s v="Jarboe"/>
        <s v="Toch"/>
        <s v="Pelletier"/>
        <s v="Arntzen"/>
        <s v="Farry"/>
        <s v="Ballard"/>
        <s v="Ferguson"/>
        <s v="Glocke"/>
        <s v="Soltero"/>
        <s v="Crestani"/>
        <s v="Degenhardt"/>
        <s v="Carroll"/>
        <s v="Seite"/>
        <s v="Radford"/>
        <s v="Pippenger"/>
        <s v="Kastensmidt"/>
        <s v="Shonely"/>
        <s v="Roberts"/>
        <s v="Balk"/>
        <s v="Dortch"/>
        <s v="Kelty"/>
        <s v="Gilpin"/>
        <s v="Anderson"/>
        <s v="Foulston"/>
        <s v="O'Connel"/>
        <s v="Thurman"/>
        <s v="McMath"/>
        <s v="Joy"/>
        <s v="Engle"/>
        <s v="Deggeller"/>
        <s v="Lee"/>
        <s v="Christensen"/>
        <s v="Clark"/>
        <s v="Rawles"/>
        <s v="Roelle"/>
        <s v="Reiter"/>
        <s v="Hildebrand"/>
        <s v="Parks"/>
        <s v="House"/>
        <s v="Pölking"/>
        <s v="Beeghly"/>
        <s v="Darley"/>
        <s v="Jacobs"/>
        <s v="Chen"/>
        <s v="Arnett"/>
        <s v="Patel"/>
        <s v="Barnes"/>
        <s v="Ocampo"/>
        <s v="Kimmel"/>
        <s v="Philippe"/>
        <s v="Prichep"/>
        <s v="Schwarz"/>
        <s v="Vernon"/>
        <s v="Kargatis"/>
        <s v="DeVincentis"/>
        <s v="Reese"/>
        <s v="Chapman"/>
        <s v="Fein"/>
        <s v="Sayre"/>
        <s v="Ober"/>
        <s v="Shariari"/>
        <s v="Bühler"/>
        <s v="Fjeld"/>
        <s v="Catini"/>
        <s v="Hazard"/>
        <s v="Selesnick"/>
        <s v="Johnson"/>
        <s v="Venier"/>
        <s v="Lawera"/>
        <s v="Mills"/>
        <s v="Thompson"/>
        <s v="Kamberova"/>
        <s v="Hansen"/>
        <s v="Daly"/>
        <s v="Wasserman"/>
        <s v="Caudle"/>
        <s v="McGarr"/>
        <s v="Watters"/>
        <s v="Ritter"/>
        <s v="Gardner"/>
        <s v="Lanier"/>
        <s v="Moss"/>
        <s v="Kinney"/>
        <s v="Poirier"/>
        <s v="Kampe"/>
        <s v="Magee"/>
        <s v="Southworth"/>
        <s v="Phonely"/>
        <s v="Matthias"/>
        <s v="Garverick"/>
        <s v="McVee"/>
        <s v="Leatherbury"/>
        <s v="Ludwig"/>
        <s v="Coakley"/>
        <s v="Lopez"/>
        <s v="Schnelling"/>
        <s v="Bell"/>
        <s v="Eplett"/>
        <s v="Williams"/>
        <s v="Hart"/>
        <s v="Myrick"/>
        <s v="Jenkins"/>
        <s v="Glotzbach"/>
        <s v="Payne"/>
        <s v="Carlisle"/>
        <s v="Hughes"/>
        <s v="Williamson"/>
        <s v="Airdo"/>
        <s v="Lacy"/>
        <s v="Brumley"/>
        <s v="Spruell"/>
        <s v="Waldorf"/>
        <s v="Zic"/>
        <s v="Steele"/>
        <s v="Swindell"/>
        <s v="Luxemburg"/>
        <s v="Dowd"/>
        <s v="Akin"/>
        <s v="Tillman"/>
        <s v="Meade"/>
        <s v="Redmond"/>
        <s v="Eno"/>
        <s v="Goldenen"/>
        <s v="Halladay"/>
        <s v="Dilbeck"/>
        <s v="O'Rourke"/>
        <s v="Staavos"/>
        <s v="Greer"/>
        <s v="Grinstein"/>
        <s v="Swint"/>
        <s v="DeCherney"/>
        <s v="McCrossin"/>
        <s v="Norling"/>
        <s v="Olsen"/>
        <s v="Satty"/>
        <s v="Cunningham"/>
        <s v="Tyler"/>
        <s v="Thomas"/>
        <s v="Sewall"/>
        <s v="Van Hugh"/>
        <s v="Murray"/>
        <s v="Lloyd"/>
        <s v="Hawley"/>
        <s v="Avila"/>
        <s v="Tron"/>
        <s v="Pryor"/>
        <s v="Tate"/>
        <s v="Ryan"/>
        <s v="Talbott"/>
        <s v="Ward"/>
        <s v="Perrino"/>
        <s v="Ferrer"/>
        <s v="Gillingham"/>
        <s v="Rupert"/>
        <s v="McNair"/>
        <s v="Cortes"/>
        <s v="Flathmann"/>
        <s v="Campbell"/>
        <s v="Davis"/>
        <s v="McClure"/>
        <s v="Boyes"/>
        <s v="Hirsh"/>
        <s v="Sachs"/>
        <s v="Goldwyn"/>
        <s v="Workman"/>
        <s v="Bailliet"/>
        <s v="Zrebassa"/>
        <s v="Prescott"/>
        <s v="Ballentine"/>
        <s v="Frazer"/>
        <s v="McGuire"/>
        <s v="Smayling"/>
        <s v="Blacks"/>
        <s v="Takahito"/>
        <s v="Marie"/>
        <s v="Blume"/>
        <s v="Zeldin"/>
        <s v="Granlund"/>
        <s v="Prost"/>
        <s v="Sorensen"/>
        <s v="Barton"/>
        <s v="Van"/>
        <s v="Kotsonis"/>
        <s v="Tom"/>
        <s v="Moore"/>
        <s v="Webber"/>
        <s v="Chance"/>
        <s v="Sissman"/>
        <s v="Cousins"/>
        <s v="Etezadi"/>
        <s v="Dawkins"/>
        <s v="Nockton"/>
        <s v="Schwartz"/>
        <s v="Mitchell"/>
        <s v="Lock"/>
        <s v="Sumrall"/>
        <s v="Waco"/>
        <s v="Dryer"/>
      </sharedItems>
    </cacheField>
    <cacheField name="Segment" numFmtId="0">
      <sharedItems>
        <s v="Consumer"/>
        <s v="Corporate"/>
        <s v="Home Office"/>
      </sharedItems>
    </cacheField>
    <cacheField name="City" numFmtId="0">
      <sharedItems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Norwich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</sharedItems>
    </cacheField>
    <cacheField name="State" numFmtId="0">
      <sharedItems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</sharedItems>
    </cacheField>
    <cacheField name="Region" numFmtId="0">
      <sharedItems>
        <s v="South"/>
        <s v="West"/>
        <s v="Central"/>
        <s v="East"/>
      </sharedItems>
    </cacheField>
    <cacheField name="Category" numFmtId="0">
      <sharedItems>
        <s v="Furniture"/>
        <s v="Office Supplies"/>
        <s v="Technology"/>
      </sharedItems>
    </cacheField>
    <cacheField name="Sale" numFmtId="168">
      <sharedItems containsSemiMixedTypes="0" containsString="0" containsNumber="1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.0"/>
        <n v="21.8"/>
        <n v="38.22"/>
        <n v="75.18"/>
        <n v="6.16"/>
        <n v="89.99"/>
        <n v="15.26"/>
        <n v="1029.95"/>
        <n v="208.56"/>
        <n v="32.4"/>
        <n v="319.41"/>
        <n v="14.56"/>
        <n v="30.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.0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.0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.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.0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.0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.0"/>
        <n v="32.35"/>
        <n v="7.71"/>
        <n v="40.3"/>
        <n v="34.58"/>
        <n v="32.76"/>
        <n v="544.008"/>
        <n v="59.94"/>
        <n v="4.28"/>
        <n v="32.07"/>
        <n v="24.0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.0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.0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.0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.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.0"/>
        <n v="1212.848"/>
        <n v="89.97"/>
        <n v="5.04"/>
        <n v="62.96"/>
        <n v="977.292"/>
        <n v="9.64"/>
        <n v="40.05"/>
        <n v="10.192"/>
        <n v="16.784"/>
        <n v="13.12"/>
        <n v="18.16"/>
      </sharedItems>
    </cacheField>
    <cacheField name="Item Cost" numFmtId="168">
      <sharedItems containsSemiMixedTypes="0" containsString="0" containsNumber="1">
        <n v="261.26"/>
        <n v="731.61"/>
        <n v="13.97"/>
        <n v="956.9"/>
        <n v="22.08"/>
        <n v="48.08"/>
        <n v="6.34"/>
        <n v="906.78"/>
        <n v="18.36"/>
        <n v="114.62"/>
        <n v="1705.71"/>
        <n v="911.17"/>
        <n v="14.71"/>
        <n v="407.54"/>
        <n v="67.82"/>
        <n v="1.62"/>
        <n v="665.32"/>
        <n v="54.76"/>
        <n v="7.72"/>
        <n v="212.79"/>
        <n v="22.41"/>
        <n v="18.81"/>
        <n v="59.54"/>
        <n v="70.8"/>
        <n v="1044.05"/>
        <n v="11.39"/>
        <n v="89.64"/>
        <n v="3082.52"/>
        <n v="9.01"/>
        <n v="123.99"/>
        <n v="3.11"/>
        <n v="85.88"/>
        <n v="6.8"/>
        <n v="15.66"/>
        <n v="28.94"/>
        <n v="1096.67"/>
        <n v="190.8"/>
        <n v="112.36"/>
        <n v="532.02"/>
        <n v="211.08"/>
        <n v="370.36"/>
        <n v="146.34"/>
        <n v="77.43"/>
        <n v="94.71"/>
        <n v="45.84"/>
        <n v="17.12"/>
        <n v="211.46"/>
        <n v="44.59"/>
        <n v="21.04"/>
        <n v="37.28"/>
        <n v="75.01"/>
        <n v="6.03"/>
        <n v="89.04"/>
        <n v="14.39"/>
        <n v="1029.71"/>
        <n v="208.05"/>
        <n v="31.73"/>
        <n v="319.3"/>
        <n v="13.78"/>
        <n v="29.62"/>
        <n v="48.41"/>
        <n v="0.97"/>
        <n v="13.69"/>
        <n v="25.3"/>
        <n v="146.32"/>
        <n v="79.56"/>
        <n v="212.69"/>
        <n v="1112.23"/>
        <n v="167.14"/>
        <n v="74.93"/>
        <n v="3.87"/>
        <n v="18.79"/>
        <n v="831.72"/>
        <n v="96.98"/>
        <n v="72.57"/>
        <n v="0.33"/>
        <n v="8.88"/>
        <n v="26.58"/>
        <n v="18.65"/>
        <n v="208.11"/>
        <n v="16.28"/>
        <n v="14.61"/>
        <n v="20.68"/>
        <n v="200.44"/>
        <n v="229.82"/>
        <n v="301.07"/>
        <n v="19.77"/>
        <n v="5.27"/>
        <n v="158.13"/>
        <n v="19.41"/>
        <n v="73.53"/>
        <n v="6.27"/>
        <n v="12.69"/>
        <n v="53.3"/>
        <n v="32.55"/>
        <n v="5.25"/>
        <n v="95.66"/>
        <n v="50.59"/>
        <n v="77.71"/>
        <n v="63.94"/>
        <n v="95.67"/>
        <n v="1.03"/>
        <n v="23.15"/>
        <n v="238.02"/>
        <n v="101.97"/>
        <n v="36.75"/>
        <n v="73.41"/>
        <n v="27.88"/>
        <n v="2.47"/>
        <n v="339.63"/>
        <n v="41.02"/>
        <n v="75.3"/>
        <n v="26.8"/>
        <n v="39.18"/>
        <n v="4.56"/>
        <n v="23.97"/>
        <n v="129.68"/>
        <n v="786.93"/>
        <n v="156.91"/>
        <n v="46.83"/>
        <n v="30.78"/>
        <n v="225.99"/>
        <n v="114.44"/>
        <n v="67.05"/>
        <n v="600.44"/>
        <n v="616.9"/>
        <n v="2.19"/>
        <n v="243.79"/>
        <n v="80.61"/>
        <n v="238.11"/>
        <n v="59.36"/>
        <n v="78.24"/>
        <n v="20.85"/>
        <n v="20.0"/>
        <n v="35.26"/>
        <n v="10.88"/>
        <n v="3.77"/>
        <n v="76.02"/>
        <n v="65.27"/>
        <n v="42.27"/>
        <n v="82.56"/>
        <n v="8.76"/>
        <n v="10.56"/>
        <n v="143.52"/>
        <n v="838.57"/>
        <n v="671.11"/>
        <n v="93.42"/>
        <n v="383.76"/>
        <n v="149.92"/>
        <n v="1950.87"/>
        <n v="170.65"/>
        <n v="157.4"/>
        <n v="202.89"/>
        <n v="57.9"/>
        <n v="104.63"/>
        <n v="80.53"/>
        <n v="6.47"/>
        <n v="457.38"/>
        <n v="14.22"/>
        <n v="944.09"/>
        <n v="5.79"/>
        <n v="54.3"/>
        <n v="28.11"/>
        <n v="27.09"/>
        <n v="8.96"/>
        <n v="8159.36"/>
        <n v="275.48"/>
        <n v="1739.72"/>
        <n v="31.9"/>
        <n v="177.53"/>
        <n v="143.23"/>
        <n v="20.32"/>
        <n v="110.3"/>
        <n v="339.46"/>
        <n v="51.78"/>
        <n v="19.4"/>
        <n v="96.62"/>
        <n v="396.53"/>
        <n v="15.7"/>
        <n v="2.32"/>
        <n v="24.64"/>
        <n v="408.52"/>
        <n v="503.87"/>
        <n v="149.34"/>
        <n v="28.46"/>
        <n v="6.85"/>
        <n v="176.49"/>
        <n v="37.03"/>
        <n v="19.38"/>
        <n v="898.53"/>
        <n v="71.44"/>
        <n v="51.52"/>
        <n v="625.59"/>
        <n v="19.54"/>
        <n v="14.19"/>
        <n v="6.46"/>
        <n v="5.82"/>
        <n v="45.71"/>
        <n v="2.85"/>
        <n v="15.84"/>
        <n v="21.73"/>
        <n v="218.11"/>
        <n v="2.52"/>
        <n v="65.82"/>
        <n v="34.2"/>
        <n v="444.02"/>
        <n v="83.79"/>
        <n v="131.38"/>
        <n v="15.35"/>
        <n v="51.64"/>
        <n v="91.9"/>
        <n v="20.41"/>
        <n v="22.79"/>
        <n v="451.96"/>
        <n v="62.62"/>
        <n v="1187.52"/>
        <n v="88.71"/>
        <n v="92.37"/>
        <n v="301.89"/>
        <n v="5.29"/>
        <n v="22.21"/>
        <n v="18.84"/>
        <n v="72.19"/>
        <n v="479.35"/>
        <n v="26.83"/>
        <n v="2.12"/>
        <n v="622.09"/>
        <n v="21.78"/>
        <n v="161.03"/>
        <n v="389.21"/>
        <n v="18.45"/>
        <n v="233.41"/>
        <n v="620.39"/>
        <n v="4.57"/>
        <n v="258.03"/>
        <n v="617.0"/>
        <n v="9.71"/>
        <n v="25.59"/>
        <n v="418.98"/>
        <n v="10.99"/>
        <n v="31.54"/>
        <n v="177.17"/>
        <n v="3.17"/>
        <n v="6.77"/>
        <n v="2001.35"/>
        <n v="166.12"/>
        <n v="47.37"/>
        <n v="1502.81"/>
        <n v="25.76"/>
        <n v="320.85"/>
        <n v="7.3"/>
        <n v="3347.33"/>
        <n v="79.76"/>
        <n v="361.13"/>
        <n v="11.56"/>
        <n v="81.4"/>
        <n v="53.56"/>
        <n v="647.48"/>
        <n v="20.03"/>
        <n v="220.87"/>
        <n v="16.7"/>
        <n v="0.85"/>
        <n v="3059.67"/>
        <n v="2519.78"/>
        <n v="328.16"/>
        <n v="79.2"/>
        <n v="13.92"/>
        <n v="6.82"/>
        <n v="36.95"/>
        <n v="56.83"/>
        <n v="725.11"/>
        <n v="209.15"/>
        <n v="4.86"/>
        <n v="10.3"/>
        <n v="8.48"/>
        <n v="5.94"/>
        <n v="11.42"/>
        <n v="18.17"/>
        <n v="59.13"/>
        <n v="24.29"/>
        <n v="1.98"/>
        <n v="1113.53"/>
        <n v="1038.1"/>
        <n v="141.39"/>
        <n v="239.3"/>
        <n v="30.4"/>
        <n v="253.74"/>
        <n v="193.93"/>
        <n v="961.3"/>
        <n v="18.34"/>
        <n v="18.02"/>
        <n v="255.27"/>
        <n v="86.48"/>
        <n v="299.42"/>
        <n v="229.78"/>
        <n v="218.02"/>
        <n v="78.29"/>
        <n v="27.54"/>
        <n v="32.06"/>
        <n v="1081.82"/>
        <n v="56.78"/>
        <n v="76.91"/>
        <n v="14.16"/>
        <n v="218.6"/>
        <n v="25.99"/>
        <n v="9.41"/>
        <n v="45.44"/>
        <n v="288.87"/>
        <n v="4.36"/>
        <n v="14.89"/>
        <n v="465.9"/>
        <n v="14.76"/>
        <n v="5.52"/>
        <n v="87.11"/>
        <n v="178.32"/>
        <n v="15.28"/>
        <n v="99.02"/>
        <n v="135.21"/>
        <n v="3991.36"/>
        <n v="275.36"/>
        <n v="359.42"/>
        <n v="43.4"/>
        <n v="6.57"/>
        <n v="250.57"/>
        <n v="99.99"/>
        <n v="15.43"/>
        <n v="290.29"/>
        <n v="53.98"/>
        <n v="786.38"/>
        <n v="99.24"/>
        <n v="37.7"/>
        <n v="82.11"/>
        <n v="20.19"/>
        <n v="4.8"/>
        <n v="4.63"/>
        <n v="959.68"/>
        <n v="13.73"/>
        <n v="7.19"/>
        <n v="698.24"/>
        <n v="4.45"/>
        <n v="509.93"/>
        <n v="30.06"/>
        <n v="71.77"/>
        <n v="88.41"/>
        <n v="47.57"/>
        <n v="6.69"/>
        <n v="23.77"/>
        <n v="12.95"/>
        <n v="6.4"/>
        <n v="23.66"/>
        <n v="2.22"/>
        <n v="48.36"/>
        <n v="4355.06"/>
        <n v="388.45"/>
        <n v="7.81"/>
        <n v="16.07"/>
        <n v="34.1"/>
        <n v="35.9"/>
        <n v="647.21"/>
        <n v="20.01"/>
        <n v="20.49"/>
        <n v="488.09"/>
        <n v="5.19"/>
        <n v="46.53"/>
        <n v="211.15"/>
        <n v="22.28"/>
        <n v="6.65"/>
        <n v="104.42"/>
        <n v="1042.99"/>
        <n v="52.95"/>
        <n v="7.87"/>
        <n v="1023.84"/>
        <n v="8.58"/>
        <n v="478.19"/>
        <n v="98.18"/>
        <n v="1488.22"/>
        <n v="7.8"/>
        <n v="23.31"/>
        <n v="12.05"/>
        <n v="50.41"/>
        <n v="49.01"/>
        <n v="41.31"/>
        <n v="374.84"/>
        <n v="83.07"/>
        <n v="481.81"/>
        <n v="2.24"/>
        <n v="2.11"/>
        <n v="22.76"/>
        <n v="39.12"/>
        <n v="245.6"/>
        <n v="1799.44"/>
        <n v="11.68"/>
        <n v="75.2"/>
        <n v="49.81"/>
        <n v="12.37"/>
        <n v="69.33"/>
        <n v="35.91"/>
        <n v="2395.78"/>
        <n v="130.97"/>
        <n v="57.1"/>
        <n v="8.71"/>
        <n v="38.51"/>
        <n v="35.67"/>
        <n v="179.62"/>
        <n v="1199.86"/>
        <n v="27.07"/>
        <n v="1003.74"/>
        <n v="8.77"/>
        <n v="27.45"/>
        <n v="55.71"/>
        <n v="1336.39"/>
        <n v="113.48"/>
        <n v="138.94"/>
        <n v="306.85"/>
        <n v="95.2"/>
        <n v="383.39"/>
        <n v="5.46"/>
        <n v="8.95"/>
        <n v="15.23"/>
        <n v="196.71"/>
        <n v="56.43"/>
        <n v="31.8"/>
        <n v="865.96"/>
        <n v="27.46"/>
        <n v="287.29"/>
        <n v="5.83"/>
        <n v="189.27"/>
        <n v="408.29"/>
        <n v="291.27"/>
        <n v="4.48"/>
        <n v="713.4"/>
        <n v="3.97"/>
        <n v="247.72"/>
        <n v="1007.35"/>
        <n v="313.04"/>
        <n v="31.68"/>
        <n v="207.58"/>
        <n v="194.44"/>
        <n v="70.42"/>
        <n v="90.47"/>
        <n v="242.17"/>
        <n v="21.14"/>
        <n v="2.17"/>
        <n v="58.78"/>
        <n v="161.59"/>
        <n v="263.38"/>
        <n v="30.24"/>
        <n v="9.02"/>
        <n v="34.27"/>
        <n v="283.97"/>
        <n v="664.6"/>
        <n v="63.05"/>
        <n v="129.15"/>
        <n v="746.84"/>
        <n v="8.28"/>
        <n v="103.73"/>
        <n v="899.67"/>
        <n v="23.16"/>
        <n v="1272.51"/>
        <n v="28.44"/>
        <n v="184.43"/>
        <n v="77.64"/>
        <n v="254.06"/>
        <n v="205.18"/>
        <n v="4.67"/>
        <n v="55.37"/>
        <n v="340.43"/>
        <n v="221.73"/>
        <n v="703.77"/>
        <n v="91.76"/>
        <n v="61.71"/>
        <n v="94.19"/>
        <n v="95.18"/>
        <n v="39.61"/>
        <n v="13.71"/>
        <n v="703.79"/>
        <n v="8.9"/>
        <n v="4.97"/>
        <n v="159.24"/>
        <n v="29.14"/>
        <n v="513.37"/>
        <n v="279.24"/>
        <n v="2735.58"/>
        <n v="7.29"/>
        <n v="63.56"/>
        <n v="69.68"/>
        <n v="448.88"/>
        <n v="10.58"/>
        <n v="93.2"/>
        <n v="189.64"/>
        <n v="105.38"/>
        <n v="119.1"/>
        <n v="254.81"/>
        <n v="240.79"/>
        <n v="68.37"/>
        <n v="14.93"/>
        <n v="801.23"/>
        <n v="1.55"/>
        <n v="32.25"/>
        <n v="15.15"/>
        <n v="1.79"/>
        <n v="8.07"/>
        <n v="45.81"/>
        <n v="6353.97"/>
        <n v="125.39"/>
        <n v="37.09"/>
        <n v="7.15"/>
        <n v="6.52"/>
        <n v="5.42"/>
        <n v="2998.96"/>
        <n v="50.93"/>
        <n v="11.16"/>
        <n v="1125.59"/>
        <n v="18.12"/>
        <n v="129.1"/>
        <n v="13.35"/>
        <n v="210.23"/>
        <n v="54.96"/>
        <n v="66.07"/>
        <n v="22.09"/>
        <n v="683.38"/>
        <n v="44.75"/>
        <n v="35.79"/>
        <n v="665.42"/>
        <n v="51.96"/>
        <n v="190.15"/>
        <n v="47.47"/>
        <n v="979.35"/>
        <n v="22.51"/>
        <n v="16.1"/>
        <n v="41.78"/>
        <n v="10.57"/>
        <n v="152.58"/>
        <n v="282.95"/>
        <n v="467.96"/>
        <n v="380.6"/>
        <n v="646.66"/>
        <n v="57.94"/>
        <n v="100.58"/>
        <n v="65.65"/>
        <n v="40.59"/>
        <n v="12.82"/>
        <n v="249.83"/>
        <n v="10.83"/>
        <n v="7.76"/>
        <n v="1120.83"/>
        <n v="33.8"/>
        <n v="10.04"/>
        <n v="1295.24"/>
        <n v="18.87"/>
        <n v="20.46"/>
        <n v="1335.12"/>
        <n v="31.82"/>
        <n v="41.71"/>
        <n v="83.54"/>
        <n v="12.2"/>
        <n v="13.05"/>
        <n v="3.3"/>
        <n v="2.36"/>
        <n v="373.52"/>
        <n v="91.28"/>
        <n v="80.34"/>
        <n v="19.24"/>
        <n v="450.79"/>
        <n v="71.96"/>
        <n v="13.67"/>
        <n v="32.56"/>
        <n v="14.03"/>
        <n v="7.93"/>
        <n v="160.1"/>
        <n v="69.08"/>
        <n v="8.04"/>
        <n v="50.87"/>
        <n v="469.87"/>
        <n v="104.8"/>
        <n v="30.52"/>
        <n v="406.22"/>
        <n v="70.65"/>
        <n v="294.81"/>
        <n v="84.02"/>
        <n v="19.74"/>
        <n v="16.29"/>
        <n v="10.1"/>
        <n v="8.59"/>
        <n v="30.73"/>
        <n v="75.46"/>
        <n v="1199.23"/>
        <n v="445.38"/>
        <n v="327.51"/>
        <n v="11.38"/>
        <n v="143.98"/>
        <n v="493.7"/>
        <n v="4.88"/>
        <n v="142.64"/>
        <n v="45.65"/>
        <n v="6.25"/>
        <n v="42.61"/>
        <n v="131.07"/>
        <n v="2.64"/>
        <n v="54.68"/>
        <n v="369.43"/>
        <n v="15.41"/>
        <n v="7.49"/>
        <n v="727.99"/>
        <n v="119.72"/>
        <n v="2.81"/>
        <n v="40.35"/>
        <n v="9.42"/>
        <n v="107.26"/>
        <n v="37.76"/>
        <n v="87.89"/>
        <n v="8.16"/>
        <n v="301.62"/>
        <n v="554.84"/>
        <n v="522.95"/>
        <n v="161.05"/>
        <n v="35.04"/>
        <n v="97.09"/>
        <n v="14.45"/>
        <n v="12.83"/>
        <n v="242.8"/>
        <n v="119.49"/>
        <n v="300.09"/>
        <n v="16.89"/>
        <n v="235.05"/>
        <n v="392.3"/>
        <n v="18.82"/>
        <n v="121.96"/>
        <n v="1048.97"/>
        <n v="14.88"/>
        <n v="18.04"/>
        <n v="330.19"/>
        <n v="25.55"/>
        <n v="132.09"/>
        <n v="5.96"/>
        <n v="209.04"/>
        <n v="31.05"/>
        <n v="14.73"/>
        <n v="301.45"/>
        <n v="315.0"/>
        <n v="378.46"/>
        <n v="97.7"/>
        <n v="102.24"/>
        <n v="112.7"/>
        <n v="3.09"/>
        <n v="133.72"/>
        <n v="700.42"/>
        <n v="1.71"/>
        <n v="998.53"/>
        <n v="723.22"/>
        <n v="917.93"/>
        <n v="2.25"/>
        <n v="459.05"/>
        <n v="10.2"/>
        <n v="23.17"/>
        <n v="84.29"/>
        <n v="380.78"/>
        <n v="29.57"/>
        <n v="23.68"/>
        <n v="108.54"/>
        <n v="36.08"/>
        <n v="18.66"/>
        <n v="60.91"/>
        <n v="38.1"/>
        <n v="99.38"/>
        <n v="2.55"/>
        <n v="26.86"/>
        <n v="82.06"/>
        <n v="182.04"/>
        <n v="14.01"/>
        <n v="64.55"/>
        <n v="68.47"/>
        <n v="7999.04"/>
        <n v="167.12"/>
        <n v="479.4"/>
        <n v="13.95"/>
        <n v="191.73"/>
        <n v="103.23"/>
        <n v="284.3"/>
        <n v="35.94"/>
        <n v="166.08"/>
        <n v="33.38"/>
        <n v="197.32"/>
        <n v="47.31"/>
        <n v="200.57"/>
        <n v="97.58"/>
        <n v="2.67"/>
        <n v="18.0"/>
        <n v="4.29"/>
        <n v="15.04"/>
        <n v="209.67"/>
        <n v="369.25"/>
        <n v="10.13"/>
        <n v="166.37"/>
        <n v="14.91"/>
        <n v="119.88"/>
        <n v="883.73"/>
        <n v="46.15"/>
        <n v="55.03"/>
        <n v="24.28"/>
        <n v="280.52"/>
        <n v="307.2"/>
        <n v="299.73"/>
        <n v="19.36"/>
        <n v="8.98"/>
        <n v="102.11"/>
        <n v="59.78"/>
        <n v="72.32"/>
        <n v="146.01"/>
        <n v="1652.21"/>
        <n v="296.27"/>
        <n v="129.89"/>
        <n v="45.23"/>
        <n v="17.21"/>
        <n v="55.22"/>
        <n v="182.7"/>
        <n v="399.48"/>
        <n v="33.16"/>
        <n v="542.23"/>
        <n v="5.34"/>
        <n v="242.41"/>
        <n v="179.08"/>
        <n v="99.66"/>
        <n v="27.72"/>
        <n v="84.26"/>
        <n v="17.91"/>
        <n v="49.18"/>
        <n v="10.79"/>
        <n v="271.79"/>
        <n v="51.13"/>
        <n v="3.36"/>
        <n v="4.0"/>
        <n v="54.91"/>
        <n v="566.93"/>
        <n v="358.74"/>
        <n v="11.93"/>
        <n v="57.83"/>
        <n v="157.37"/>
        <n v="56.82"/>
        <n v="2.5"/>
        <n v="1199.7"/>
        <n v="79.91"/>
        <n v="382.77"/>
        <n v="24.04"/>
        <n v="119.4"/>
        <n v="13.04"/>
        <n v="22.7"/>
        <n v="58.08"/>
        <n v="11.81"/>
        <n v="107.03"/>
        <n v="10.46"/>
        <n v="50.37"/>
        <n v="646.38"/>
        <n v="4.98"/>
        <n v="572.37"/>
        <n v="310.63"/>
        <n v="641.65"/>
        <n v="17.68"/>
        <n v="206.73"/>
        <n v="31.87"/>
        <n v="39.34"/>
        <n v="33.95"/>
        <n v="32.5"/>
        <n v="543.32"/>
        <n v="59.49"/>
        <n v="23.61"/>
        <n v="4.07"/>
        <n v="31.46"/>
        <n v="23.28"/>
        <n v="34.93"/>
        <n v="46.99"/>
        <n v="185.95"/>
        <n v="16.96"/>
        <n v="348.61"/>
        <n v="143.01"/>
        <n v="14.8"/>
        <n v="42.63"/>
        <n v="332.22"/>
        <n v="1363.48"/>
        <n v="8.97"/>
        <n v="21.3"/>
        <n v="12.5"/>
        <n v="20.78"/>
        <n v="282.99"/>
        <n v="21.53"/>
        <n v="215.54"/>
        <n v="354.85"/>
        <n v="12.7"/>
        <n v="17.56"/>
        <n v="42.52"/>
        <n v="1983.61"/>
        <n v="28.32"/>
        <n v="149.22"/>
        <n v="11.04"/>
        <n v="1297.88"/>
        <n v="213.11"/>
        <n v="24.79"/>
        <n v="18.08"/>
        <n v="1399.32"/>
        <n v="51.11"/>
        <n v="41.33"/>
        <n v="2.59"/>
        <n v="1227.98"/>
        <n v="31.06"/>
        <n v="335.44"/>
        <n v="239.15"/>
        <n v="9.82"/>
        <n v="66.82"/>
        <n v="167.06"/>
        <n v="34.12"/>
        <n v="37.15"/>
        <n v="14.83"/>
        <n v="301.63"/>
        <n v="180.35"/>
        <n v="191.97"/>
        <n v="65.98"/>
        <n v="34.32"/>
        <n v="23.08"/>
        <n v="265.15"/>
        <n v="51.02"/>
        <n v="9.37"/>
        <n v="20.89"/>
        <n v="60.25"/>
        <n v="11.19"/>
        <n v="185.91"/>
        <n v="37.17"/>
        <n v="26.22"/>
        <n v="11.28"/>
        <n v="14.55"/>
        <n v="83.34"/>
        <n v="286.99"/>
        <n v="48.39"/>
        <n v="114.77"/>
        <n v="5.02"/>
        <n v="38.86"/>
        <n v="185.07"/>
        <n v="44.26"/>
        <n v="242.33"/>
        <n v="39.21"/>
        <n v="102.1"/>
        <n v="20.84"/>
        <n v="7.6"/>
        <n v="6.7"/>
        <n v="22.15"/>
        <n v="190.66"/>
        <n v="4.47"/>
        <n v="59.09"/>
        <n v="2.46"/>
        <n v="51.29"/>
        <n v="15.64"/>
        <n v="44.34"/>
        <n v="1140.66"/>
        <n v="280.46"/>
        <n v="33.61"/>
        <n v="10.48"/>
        <n v="105.77"/>
        <n v="191.21"/>
        <n v="322.4"/>
        <n v="29.34"/>
        <n v="371.37"/>
        <n v="5.78"/>
        <n v="68.14"/>
        <n v="1242.58"/>
        <n v="30.29"/>
        <n v="31.38"/>
        <n v="16.59"/>
        <n v="13.63"/>
        <n v="83.49"/>
        <n v="37.21"/>
        <n v="33.87"/>
        <n v="149.13"/>
        <n v="50.91"/>
        <n v="4.38"/>
        <n v="15.36"/>
        <n v="543.77"/>
        <n v="155.11"/>
        <n v="70.0"/>
        <n v="14.69"/>
        <n v="103.15"/>
        <n v="46.9"/>
        <n v="9.91"/>
        <n v="17.69"/>
        <n v="323.14"/>
        <n v="19.88"/>
        <n v="64.81"/>
        <n v="12.63"/>
        <n v="322.23"/>
        <n v="90.18"/>
        <n v="52.06"/>
        <n v="1199.52"/>
        <n v="1928.37"/>
        <n v="352.29"/>
        <n v="46.19"/>
        <n v="143.67"/>
        <n v="99.41"/>
        <n v="797.92"/>
        <n v="8.44"/>
        <n v="148.95"/>
        <n v="12.26"/>
        <n v="24.01"/>
        <n v="85.04"/>
        <n v="21.1"/>
        <n v="405.67"/>
        <n v="841.57"/>
        <n v="251.41"/>
        <n v="45.48"/>
        <n v="28.67"/>
        <n v="88.89"/>
        <n v="13.46"/>
        <n v="11.44"/>
        <n v="44.63"/>
        <n v="29.25"/>
        <n v="446.88"/>
        <n v="159.36"/>
        <n v="134.18"/>
        <n v="17.11"/>
        <n v="5.43"/>
        <n v="1113.48"/>
        <n v="32.32"/>
        <n v="539.8"/>
        <n v="167.02"/>
        <n v="392.86"/>
        <n v="516.14"/>
        <n v="1006.41"/>
        <n v="2065.16"/>
        <n v="15.27"/>
        <n v="24.98"/>
        <n v="24.85"/>
        <n v="27.06"/>
        <n v="78.51"/>
        <n v="173.33"/>
        <n v="28.89"/>
        <n v="3.8"/>
        <n v="15.55"/>
        <n v="204.29"/>
        <n v="321.44"/>
        <n v="6.13"/>
        <n v="21.28"/>
        <n v="3.7"/>
        <n v="9.0"/>
        <n v="35.61"/>
        <n v="12.91"/>
        <n v="191.09"/>
        <n v="7.67"/>
        <n v="501.68"/>
        <n v="126.74"/>
        <n v="123.49"/>
        <n v="18.21"/>
        <n v="29.51"/>
        <n v="160.25"/>
        <n v="75.6"/>
        <n v="0.62"/>
        <n v="3059.46"/>
        <n v="2.42"/>
        <n v="33.18"/>
        <n v="599.26"/>
        <n v="3.21"/>
        <n v="559.5"/>
        <n v="603.59"/>
        <n v="7.61"/>
        <n v="27.75"/>
        <n v="336.1"/>
        <n v="0.28"/>
        <n v="519.68"/>
        <n v="17.52"/>
        <n v="1166.52"/>
        <n v="14.58"/>
        <n v="9.92"/>
        <n v="154.33"/>
        <n v="2715.43"/>
        <n v="617.11"/>
        <n v="10.0"/>
        <n v="36.44"/>
        <n v="23.4"/>
        <n v="32.61"/>
        <n v="43.34"/>
        <n v="2308.89"/>
        <n v="1090.27"/>
        <n v="18.98"/>
        <n v="484.04"/>
        <n v="114.51"/>
        <n v="6.22"/>
        <n v="4.01"/>
        <n v="44.31"/>
        <n v="95.29"/>
        <n v="151.56"/>
        <n v="155.14"/>
        <n v="13.25"/>
        <n v="1618.18"/>
        <n v="98.63"/>
        <n v="31.92"/>
        <n v="13.03"/>
        <n v="155.71"/>
        <n v="124.66"/>
        <n v="601.55"/>
        <n v="1267.26"/>
        <n v="1379.42"/>
        <n v="6.04"/>
        <n v="63.23"/>
        <n v="15.5"/>
        <n v="176.99"/>
        <n v="197.65"/>
        <n v="854.7"/>
        <n v="123.48"/>
        <n v="13.61"/>
        <n v="15.49"/>
        <n v="2.43"/>
        <n v="13.89"/>
        <n v="86.12"/>
        <n v="35.71"/>
        <n v="23.57"/>
        <n v="28.47"/>
        <n v="697.14"/>
        <n v="721.86"/>
        <n v="8.27"/>
        <n v="58.24"/>
        <n v="254.22"/>
        <n v="1363.84"/>
        <n v="101.47"/>
        <n v="1113.45"/>
        <n v="168.38"/>
        <n v="6.39"/>
        <n v="282.12"/>
        <n v="10.72"/>
        <n v="107.97"/>
        <n v="82.25"/>
        <n v="19.71"/>
        <n v="65.56"/>
        <n v="3.72"/>
        <n v="107.11"/>
        <n v="44.86"/>
        <n v="10.07"/>
        <n v="6.89"/>
        <n v="117.94"/>
        <n v="1.02"/>
        <n v="55.24"/>
        <n v="194.79"/>
        <n v="24.35"/>
        <n v="18.9"/>
        <n v="28.52"/>
        <n v="5.54"/>
        <n v="4.12"/>
        <n v="31.32"/>
        <n v="40.83"/>
        <n v="119.86"/>
        <n v="30.57"/>
        <n v="6.42"/>
        <n v="19.09"/>
        <n v="1106.48"/>
        <n v="836.24"/>
        <n v="26.13"/>
        <n v="362.29"/>
        <n v="4899.48"/>
        <n v="6.48"/>
        <n v="71.17"/>
        <n v="2.16"/>
        <n v="31.25"/>
        <n v="71.13"/>
        <n v="119.85"/>
        <n v="218.69"/>
        <n v="27.9"/>
        <n v="355.72"/>
        <n v="347.79"/>
        <n v="35.78"/>
        <n v="447.43"/>
        <n v="6.24"/>
        <n v="7.75"/>
        <n v="29.09"/>
        <n v="7.79"/>
        <n v="2.77"/>
        <n v="100.68"/>
        <n v="9.9"/>
        <n v="57.92"/>
        <n v="40.93"/>
        <n v="71.29"/>
        <n v="9.6"/>
        <n v="1.1"/>
        <n v="46.01"/>
        <n v="119.77"/>
        <n v="6.14"/>
        <n v="279.45"/>
        <n v="619.12"/>
        <n v="3.73"/>
        <n v="14.37"/>
        <n v="699.67"/>
        <n v="22.2"/>
        <n v="38.22"/>
        <n v="6.15"/>
        <n v="1067.08"/>
        <n v="9.45"/>
        <n v="101.58"/>
        <n v="343.14"/>
        <n v="40.98"/>
        <n v="63.42"/>
        <n v="124.07"/>
        <n v="6.98"/>
        <n v="85.09"/>
        <n v="287.48"/>
        <n v="37.68"/>
        <n v="19.01"/>
        <n v="20.44"/>
        <n v="16.85"/>
        <n v="203.77"/>
        <n v="7.97"/>
        <n v="6.2"/>
        <n v="685.34"/>
        <n v="61.32"/>
        <n v="643.51"/>
        <n v="4.95"/>
        <n v="12.21"/>
        <n v="10.18"/>
        <n v="599.61"/>
        <n v="3.56"/>
        <n v="158.89"/>
        <n v="122.47"/>
        <n v="2244.2"/>
        <n v="61.91"/>
        <n v="454.7"/>
        <n v="195.02"/>
        <n v="362.7"/>
        <n v="10.84"/>
        <n v="53.63"/>
        <n v="9.05"/>
        <n v="125.64"/>
        <n v="24.97"/>
        <n v="45.97"/>
        <n v="447.17"/>
        <n v="109.47"/>
        <n v="272.66"/>
        <n v="31.49"/>
        <n v="21.6"/>
        <n v="15.79"/>
        <n v="49.33"/>
        <n v="172.39"/>
        <n v="179.22"/>
        <n v="257.79"/>
        <n v="1322.42"/>
        <n v="3.22"/>
        <n v="7.42"/>
        <n v="11.47"/>
        <n v="485.56"/>
        <n v="25.58"/>
        <n v="197.53"/>
        <n v="81.69"/>
        <n v="889.08"/>
        <n v="891.53"/>
        <n v="223.32"/>
        <n v="22.75"/>
        <n v="15.53"/>
        <n v="15.71"/>
        <n v="23.88"/>
        <n v="55.91"/>
        <n v="431.21"/>
        <n v="95.48"/>
        <n v="1088.07"/>
        <n v="543.35"/>
        <n v="1.18"/>
        <n v="853.99"/>
        <n v="593.18"/>
        <n v="337.21"/>
        <n v="271.26"/>
        <n v="10.64"/>
        <n v="8.57"/>
        <n v="13.85"/>
        <n v="41.19"/>
        <n v="8.39"/>
        <n v="578.55"/>
        <n v="141.09"/>
        <n v="2.63"/>
        <n v="4.08"/>
        <n v="4.15"/>
        <n v="95.3"/>
        <n v="16.98"/>
        <n v="258.27"/>
        <n v="1931.76"/>
        <n v="249.31"/>
        <n v="255.44"/>
        <n v="113.62"/>
        <n v="77.92"/>
        <n v="1.33"/>
        <n v="40.05"/>
        <n v="182.91"/>
        <n v="193.73"/>
        <n v="14.86"/>
        <n v="4.83"/>
        <n v="2.6"/>
        <n v="79.32"/>
        <n v="839.61"/>
        <n v="47.56"/>
        <n v="36.86"/>
        <n v="63.54"/>
        <n v="164.12"/>
        <n v="11.66"/>
        <n v="40.24"/>
        <n v="22.13"/>
        <n v="21.27"/>
        <n v="397.73"/>
        <n v="48.2"/>
        <n v="764.45"/>
        <n v="3610.76"/>
        <n v="254.54"/>
        <n v="37.87"/>
        <n v="1140.99"/>
        <n v="1703.65"/>
        <n v="2.62"/>
        <n v="1099.13"/>
        <n v="4.52"/>
        <n v="35.48"/>
        <n v="5.86"/>
        <n v="43.2"/>
        <n v="27.08"/>
        <n v="539.46"/>
        <n v="255.03"/>
        <n v="863.17"/>
        <n v="16.71"/>
        <n v="17.28"/>
        <n v="69.37"/>
        <n v="41.21"/>
        <n v="142.19"/>
        <n v="291.82"/>
        <n v="28.51"/>
        <n v="11.51"/>
        <n v="102.03"/>
        <n v="48.47"/>
        <n v="44.72"/>
        <n v="9.44"/>
        <n v="388.36"/>
        <n v="13.52"/>
        <n v="63.77"/>
        <n v="85.45"/>
        <n v="32.51"/>
        <n v="83.08"/>
        <n v="278.21"/>
        <n v="14.77"/>
        <n v="17.32"/>
        <n v="251.01"/>
        <n v="14.79"/>
        <n v="14.59"/>
        <n v="39.11"/>
        <n v="11.29"/>
        <n v="13.11"/>
        <n v="32.35"/>
        <n v="32.26"/>
        <n v="113.35"/>
        <n v="3.07"/>
        <n v="844.99"/>
        <n v="13.62"/>
        <n v="19.89"/>
        <n v="113.97"/>
        <n v="26.06"/>
        <n v="572.23"/>
        <n v="285.56"/>
        <n v="61.66"/>
        <n v="23.25"/>
        <n v="287.78"/>
        <n v="419.72"/>
        <n v="46.62"/>
        <n v="17.71"/>
        <n v="21.26"/>
        <n v="161.45"/>
        <n v="161.22"/>
        <n v="2.7"/>
        <n v="121.37"/>
        <n v="154.79"/>
        <n v="38.0"/>
        <n v="183.21"/>
        <n v="579.25"/>
        <n v="13.64"/>
        <n v="574.96"/>
        <n v="4.82"/>
        <n v="4.59"/>
        <n v="285.41"/>
        <n v="72.63"/>
        <n v="10.77"/>
        <n v="45.29"/>
        <n v="16.75"/>
        <n v="50.77"/>
        <n v="11.27"/>
        <n v="87.9"/>
        <n v="36.89"/>
        <n v="2.87"/>
        <n v="27.29"/>
        <n v="0.93"/>
        <n v="7.64"/>
        <n v="139.83"/>
        <n v="551.95"/>
        <n v="29.58"/>
        <n v="677.48"/>
        <n v="74.14"/>
        <n v="695.28"/>
        <n v="28.41"/>
        <n v="47.44"/>
        <n v="12.85"/>
        <n v="93.01"/>
        <n v="46.28"/>
        <n v="19.03"/>
        <n v="52.76"/>
        <n v="35.3"/>
        <n v="257.86"/>
        <n v="30.72"/>
        <n v="16.73"/>
        <n v="299.98"/>
        <n v="220.33"/>
        <n v="281.24"/>
        <n v="78.65"/>
        <n v="1.11"/>
        <n v="145.04"/>
        <n v="122.68"/>
        <n v="308.69"/>
        <n v="38.26"/>
        <n v="95.61"/>
        <n v="238.97"/>
        <n v="201.48"/>
        <n v="898.82"/>
        <n v="145.41"/>
        <n v="589.64"/>
        <n v="13.66"/>
        <n v="48.6"/>
        <n v="29.5"/>
        <n v="16.94"/>
        <n v="912.27"/>
        <n v="1089.44"/>
        <n v="447.4"/>
        <n v="15.73"/>
        <n v="399.87"/>
        <n v="158.17"/>
        <n v="12.9"/>
        <n v="83.39"/>
        <n v="80.76"/>
        <n v="348.73"/>
        <n v="9.13"/>
        <n v="18.47"/>
        <n v="239.85"/>
        <n v="167.15"/>
        <n v="104.15"/>
        <n v="484.55"/>
        <n v="122.82"/>
        <n v="154.18"/>
        <n v="342.3"/>
        <n v="8.62"/>
        <n v="651.81"/>
        <n v="66.17"/>
        <n v="17.02"/>
        <n v="87.67"/>
        <n v="6.44"/>
        <n v="21.02"/>
        <n v="250.81"/>
        <n v="204.56"/>
        <n v="10.24"/>
        <n v="154.54"/>
        <n v="115.93"/>
        <n v="75.15"/>
        <n v="39.14"/>
        <n v="392.91"/>
        <n v="407.19"/>
        <n v="164.67"/>
        <n v="334.11"/>
        <n v="239.38"/>
        <n v="37.36"/>
        <n v="945.88"/>
        <n v="151.06"/>
        <n v="85.73"/>
        <n v="72.03"/>
        <n v="59.89"/>
        <n v="76.92"/>
        <n v="119.34"/>
        <n v="263.89"/>
        <n v="363.08"/>
        <n v="14.38"/>
        <n v="29.02"/>
        <n v="427.03"/>
        <n v="220.67"/>
        <n v="152.09"/>
        <n v="1818.88"/>
        <n v="33.02"/>
        <n v="30.15"/>
        <n v="4.85"/>
        <n v="263.71"/>
        <n v="2452.69"/>
        <n v="29.43"/>
        <n v="39.24"/>
        <n v="36.0"/>
        <n v="12.86"/>
        <n v="138.95"/>
        <n v="1978.98"/>
        <n v="164.43"/>
        <n v="469.44"/>
        <n v="47.81"/>
        <n v="88.64"/>
        <n v="2.02"/>
        <n v="70.53"/>
        <n v="90.91"/>
        <n v="33.13"/>
        <n v="3039.91"/>
        <n v="90.82"/>
        <n v="452.59"/>
        <n v="51.92"/>
        <n v="15.9"/>
        <n v="27.22"/>
        <n v="243.04"/>
        <n v="159.17"/>
        <n v="1024.26"/>
        <n v="2.86"/>
        <n v="120.6"/>
        <n v="95.62"/>
        <n v="255.32"/>
        <n v="872.88"/>
        <n v="41.15"/>
        <n v="7.77"/>
        <n v="6.37"/>
        <n v="16.39"/>
        <n v="17.61"/>
        <n v="28.3"/>
        <n v="51.76"/>
        <n v="31.57"/>
        <n v="25.18"/>
        <n v="40.0"/>
        <n v="33.86"/>
        <n v="9.14"/>
        <n v="3.15"/>
        <n v="176.13"/>
        <n v="3.06"/>
        <n v="1212.8"/>
        <n v="89.31"/>
        <n v="41.61"/>
        <n v="4.89"/>
        <n v="62.24"/>
        <n v="5.88"/>
        <n v="977.05"/>
        <n v="39.83"/>
        <n v="9.79"/>
        <n v="16.26"/>
        <n v="12.32"/>
        <n v="15.52"/>
      </sharedItems>
    </cacheField>
    <cacheField name="Quantity" numFmtId="0">
      <sharedItems containsSemiMixedTypes="0" containsString="0" containsNumber="1" containsInteger="1">
        <n v="4.0"/>
        <n v="9.0"/>
        <n v="3.0"/>
        <n v="2.0"/>
        <n v="7.0"/>
        <n v="5.0"/>
        <n v="8.0"/>
        <n v="6.0"/>
        <n v="1.0"/>
      </sharedItems>
    </cacheField>
    <cacheField name="profit(without costs)" numFmtId="168">
      <sharedItems containsSemiMixedTypes="0" containsString="0" containsNumber="1">
        <n v="1047.84"/>
        <n v="2927.76"/>
        <n v="131.57999999999998"/>
        <n v="2872.7325"/>
        <n v="67.104"/>
        <n v="439.74"/>
        <n v="65.52"/>
        <n v="8164.368"/>
        <n v="166.536"/>
        <n v="1034.1000000000001"/>
        <n v="15355.655999999999"/>
        <n v="8202.815999999999"/>
        <n v="31.104"/>
        <n v="3671.784"/>
        <n v="481.67"/>
        <n v="17.808"/>
        <n v="3329.4"/>
        <n v="444.0"/>
        <n v="77.04"/>
        <n v="1921.32"/>
        <n v="204.48"/>
        <n v="116.76"/>
        <n v="362.04"/>
        <n v="71.372"/>
        <n v="8357.04"/>
        <n v="104.832"/>
        <n v="815.1299999999999"/>
        <n v="3083.43"/>
        <n v="9.618"/>
        <n v="124.2"/>
        <n v="3.264"/>
        <n v="86.304"/>
        <n v="6.858"/>
        <n v="15.76"/>
        <n v="206.304"/>
        <n v="7682.808000000001"/>
        <n v="1336.4399999999998"/>
        <n v="793.296"/>
        <n v="3726.7943999999998"/>
        <n v="1484.406"/>
        <n v="2598.176"/>
        <n v="883.008"/>
        <n v="700.92"/>
        <n v="286.848"/>
        <n v="229.89999999999998"/>
        <n v="87.30000000000001"/>
        <n v="847.84"/>
        <n v="45.0"/>
        <n v="21.8"/>
        <n v="152.88"/>
        <n v="300.72"/>
        <n v="24.64"/>
        <n v="359.96"/>
        <n v="15.26"/>
        <n v="1029.95"/>
        <n v="208.56"/>
        <n v="32.4"/>
        <n v="319.41"/>
        <n v="14.56"/>
        <n v="30.0"/>
        <n v="48.48"/>
        <n v="1.68"/>
        <n v="125.82000000000001"/>
        <n v="232.41600000000003"/>
        <n v="1320.57"/>
        <n v="717.84"/>
        <n v="1278.69"/>
        <n v="8904.192"/>
        <n v="1343.744"/>
        <n v="151.76"/>
        <n v="4.616"/>
        <n v="76.2"/>
        <n v="2495.808"/>
        <n v="291.12"/>
        <n v="218.35200000000003"/>
        <n v="8.736"/>
        <n v="67.956"/>
        <n v="190.67999999999998"/>
        <n v="135.1"/>
        <n v="624.48"/>
        <n v="50.22"/>
        <n v="134.1"/>
        <n v="192.51"/>
        <n v="401.968"/>
        <n v="1382.256"/>
        <n v="603.92"/>
        <n v="99.94999999999999"/>
        <n v="30.8"/>
        <n v="1108.576"/>
        <n v="180.9"/>
        <n v="662.2560000000001"/>
        <n v="58.32000000000001"/>
        <n v="64.80000000000001"/>
        <n v="266.70000000000005"/>
        <n v="164.8"/>
        <n v="51.138000000000005"/>
        <n v="96.53"/>
        <n v="461.808"/>
        <n v="389.4"/>
        <n v="387.74399999999997"/>
        <n v="575.856"/>
        <n v="10.728"/>
        <n v="119.60000000000001"/>
        <n v="1911.168"/>
        <n v="818.88"/>
        <n v="295.056"/>
        <n v="148.224"/>
        <n v="55.984"/>
        <n v="6.608"/>
        <n v="2039.7599999999998"/>
        <n v="41.96"/>
        <n v="379.79999999999995"/>
        <n v="136.2"/>
        <n v="160.384"/>
        <n v="18.88"/>
        <n v="95.904"/>
        <n v="521.856"/>
        <n v="7087.7699999999995"/>
        <n v="473.38200000000006"/>
        <n v="47.04"/>
        <n v="30.84"/>
        <n v="226.56"/>
        <n v="115.02"/>
        <n v="68.04"/>
        <n v="4203.906"/>
        <n v="3706.2000000000003"/>
        <n v="19.104"/>
        <n v="1951.936"/>
        <n v="732.816"/>
        <n v="2147.04"/>
        <n v="239.88"/>
        <n v="313.216"/>
        <n v="85.824"/>
        <n v="180.35999999999999"/>
        <n v="318.96"/>
        <n v="103.67999999999999"/>
        <n v="36.17999999999999"/>
        <n v="685.5840000000001"/>
        <n v="592.92"/>
        <n v="388.08"/>
        <n v="82.8"/>
        <n v="79.38"/>
        <n v="97.74"/>
        <n v="1293.3"/>
        <n v="5036.58"/>
        <n v="6047.37"/>
        <n v="375.552"/>
        <n v="1922.25"/>
        <n v="749.85"/>
        <n v="9759.199999999999"/>
        <n v="857.75"/>
        <n v="1263.36"/>
        <n v="1625.472"/>
        <n v="525.4200000000001"/>
        <n v="949.68"/>
        <n v="727.92"/>
        <n v="59.67"/>
        <n v="4118.112"/>
        <n v="102.33999999999999"/>
        <n v="6614.509999999999"/>
        <n v="53.82000000000001"/>
        <n v="54.384"/>
        <n v="227.2"/>
        <n v="249.12"/>
        <n v="69.55199999999999"/>
        <n v="57119.664000000004"/>
        <n v="1931.496"/>
        <n v="12180.42"/>
        <n v="224.448"/>
        <n v="1245.86"/>
        <n v="1007.832"/>
        <n v="188.46"/>
        <n v="998.64"/>
        <n v="3061.2960000000003"/>
        <n v="314.688"/>
        <n v="120.96000000000001"/>
        <n v="680.848"/>
        <n v="1587.208"/>
        <n v="63.52"/>
        <n v="3.28"/>
        <n v="148.896"/>
        <n v="2452.464"/>
        <n v="3527.72"/>
        <n v="1049.6499999999999"/>
        <n v="203.0"/>
        <n v="42.96"/>
        <n v="1591.2"/>
        <n v="260.568"/>
        <n v="140.112"/>
        <n v="899.136"/>
        <n v="71.76"/>
        <n v="51.84"/>
        <n v="626.352"/>
        <n v="19.9"/>
        <n v="128.51999999999998"/>
        <n v="29.632"/>
        <n v="24.192"/>
        <n v="323.82"/>
        <n v="2.946"/>
        <n v="16.056"/>
        <n v="86.976"/>
        <n v="1750.0"/>
        <n v="20.8"/>
        <n v="463.98800000000006"/>
        <n v="105.50399999999999"/>
        <n v="4002.912"/>
        <n v="335.68"/>
        <n v="527.92"/>
        <n v="63.68"/>
        <n v="209.16"/>
        <n v="367.96"/>
        <n v="145.6"/>
        <n v="94.72"/>
        <n v="1809.8"/>
        <n v="251.928"/>
        <n v="4752.0"/>
        <n v="358.336"/>
        <n v="837.54"/>
        <n v="2721.384"/>
        <n v="22.336"/>
        <n v="90.816"/>
        <n v="79.104"/>
        <n v="290.816"/>
        <n v="1919.952"/>
        <n v="108.672"/>
        <n v="8.8"/>
        <n v="2489.8"/>
        <n v="87.92"/>
        <n v="484.70400000000006"/>
        <n v="1169.0880000000002"/>
        <n v="37.296"/>
        <n v="701.58"/>
        <n v="1861.8435"/>
        <n v="15.984000000000002"/>
        <n v="774.216"/>
        <n v="1853.9279999999999"/>
        <n v="95.04"/>
        <n v="155.52"/>
        <n v="2518.08"/>
        <n v="70.128"/>
        <n v="191.904"/>
        <n v="1063.35"/>
        <n v="24.263999999999996"/>
        <n v="44.448"/>
        <n v="10009.3"/>
        <n v="833.6"/>
        <n v="239.4"/>
        <n v="7516.25"/>
        <n v="129.60000000000002"/>
        <n v="2894.112"/>
        <n v="68.49000000000001"/>
        <n v="30126.329999999998"/>
        <n v="80.58"/>
        <n v="361.92"/>
        <n v="72.792"/>
        <n v="494.20799999999997"/>
        <n v="323.52"/>
        <n v="3887.424"/>
        <n v="20.37"/>
        <n v="221.55"/>
        <n v="17.52"/>
        <n v="11.368"/>
        <n v="21419.874"/>
        <n v="17639.706000000002"/>
        <n v="1969.344"/>
        <n v="719.1"/>
        <n v="28.032"/>
        <n v="52.919999999999995"/>
        <n v="148.832"/>
        <n v="230.304"/>
        <n v="6532.56"/>
        <n v="1889.3700000000001"/>
        <n v="47.52"/>
        <n v="98.28"/>
        <n v="11.648"/>
        <n v="18.176"/>
        <n v="59.712"/>
        <n v="24.84"/>
        <n v="7800.800000000001"/>
        <n v="9349.56"/>
        <n v="1275.84"/>
        <n v="2158.2000000000003"/>
        <n v="279.936"/>
        <n v="762.174"/>
        <n v="583.584"/>
        <n v="2884.44"/>
        <n v="76.384"/>
        <n v="73.984"/>
        <n v="1023.936"/>
        <n v="347.88"/>
        <n v="2403.328"/>
        <n v="1842.816"/>
        <n v="1746.816"/>
        <n v="628.8"/>
        <n v="220.416"/>
        <n v="226.79999999999998"/>
        <n v="7577.360000000001"/>
        <n v="398.37"/>
        <n v="543.1999999999999"/>
        <n v="99.96"/>
        <n v="1314.4499999999998"/>
        <n v="26.8"/>
        <n v="39.36"/>
        <n v="363.84"/>
        <n v="2313.6"/>
        <n v="9.78"/>
        <n v="121.088"/>
        <n v="3734.144"/>
        <n v="121.856"/>
        <n v="50.112"/>
        <n v="612.7800000000001"/>
        <n v="535.1519999999999"/>
        <n v="46.656"/>
        <n v="99.136"/>
        <n v="135.882"/>
        <n v="3991.98"/>
        <n v="275.94"/>
        <n v="360.0"/>
        <n v="43.57"/>
        <n v="64.44"/>
        <n v="2263.6800000000003"/>
        <n v="899.91"/>
        <n v="47.976"/>
        <n v="290.898"/>
        <n v="54.224"/>
        <n v="786.744"/>
        <n v="100.24"/>
        <n v="37.764"/>
        <n v="20.724"/>
        <n v="4.896"/>
        <n v="42.768"/>
        <n v="8639.856"/>
        <n v="129.312"/>
        <n v="69.408"/>
        <n v="6285.168"/>
        <n v="39.68"/>
        <n v="17.856"/>
        <n v="509.97"/>
        <n v="30.992"/>
        <n v="71.928"/>
        <n v="621.6"/>
        <n v="431.784"/>
        <n v="7.56"/>
        <n v="24.56"/>
        <n v="12.96"/>
        <n v="6.79"/>
        <n v="3.048"/>
        <n v="49.12"/>
        <n v="4355.168"/>
        <n v="388.704"/>
        <n v="8.26"/>
        <n v="17.04"/>
        <n v="34.4"/>
        <n v="72.48"/>
        <n v="1943.52"/>
        <n v="62.099999999999994"/>
        <n v="20.7"/>
        <n v="488.646"/>
        <n v="5.56"/>
        <n v="47.12"/>
        <n v="1907.64"/>
        <n v="139.2"/>
        <n v="44.160000000000004"/>
        <n v="628.74"/>
        <n v="6263.52"/>
        <n v="181.44"/>
        <n v="373.968"/>
        <n v="65.28"/>
        <n v="8191.488"/>
        <n v="73.92"/>
        <n v="3832.32"/>
        <n v="594.816"/>
        <n v="2976.848"/>
        <n v="60.56399999999999"/>
        <n v="166.824"/>
        <n v="85.232"/>
        <n v="458.64"/>
        <n v="445.824"/>
        <n v="167.6"/>
        <n v="1126.3725"/>
        <n v="482.34"/>
        <n v="2.96"/>
        <n v="10.496"/>
        <n v="23.36"/>
        <n v="39.98"/>
        <n v="2217.4559999999997"/>
        <n v="16199.73"/>
        <n v="74.77199999999999"/>
        <n v="606.336"/>
        <n v="99.92"/>
        <n v="25.92"/>
        <n v="280.48"/>
        <n v="251.664"/>
        <n v="16773.859200000003"/>
        <n v="917.952"/>
        <n v="403.088"/>
        <n v="28.704"/>
        <n v="78.144"/>
        <n v="35.91"/>
        <n v="1619.55"/>
        <n v="10799.784000000001"/>
        <n v="244.35"/>
        <n v="9036.216"/>
        <n v="87.12"/>
        <n v="255.15"/>
        <n v="503.82"/>
        <n v="12031.461"/>
        <n v="1022.112"/>
        <n v="1258.7400000000002"/>
        <n v="2764.224"/>
        <n v="863.28"/>
        <n v="3454.2000000000003"/>
        <n v="23.12"/>
        <n v="83.88"/>
        <n v="137.25"/>
        <n v="1574.016"/>
        <n v="56.56"/>
        <n v="32.7"/>
        <n v="2599.2"/>
        <n v="113.6"/>
        <n v="1151.68"/>
        <n v="69.99"/>
        <n v="46.704"/>
        <n v="379.176"/>
        <n v="817.488"/>
        <n v="583.92"/>
        <n v="9.536"/>
        <n v="714.3"/>
        <n v="14.436"/>
        <n v="743.4000000000001"/>
        <n v="6047.874"/>
        <n v="1880.9279999999999"/>
        <n v="223.10399999999998"/>
        <n v="207.846"/>
        <n v="48.88"/>
        <n v="779.76"/>
        <n v="283.8"/>
        <n v="365.44"/>
        <n v="971.76"/>
        <n v="88.2"/>
        <n v="11.64"/>
        <n v="59.52"/>
        <n v="161.94"/>
        <n v="263.88"/>
        <n v="30.48"/>
        <n v="9.84"/>
        <n v="35.12"/>
        <n v="1137.456"/>
        <n v="2661.632"/>
        <n v="447.16"/>
        <n v="1166.112"/>
        <n v="4485.348"/>
        <n v="53.568000000000005"/>
        <n v="935.28"/>
        <n v="8099.19"/>
        <n v="188.48"/>
        <n v="10181.04"/>
        <n v="227.88"/>
        <n v="1483.008"/>
        <n v="626.176"/>
        <n v="1528.464"/>
        <n v="1437.3296"/>
        <n v="28.728"/>
        <n v="55.48"/>
        <n v="3068.28"/>
        <n v="2003.994"/>
        <n v="6335.7119999999995"/>
        <n v="832.68"/>
        <n v="563.85"/>
        <n v="853.65"/>
        <n v="861.84"/>
        <n v="40.2"/>
        <n v="14.7"/>
        <n v="704.25"/>
        <n v="81.81"/>
        <n v="5.96"/>
        <n v="159.98"/>
        <n v="266.40000000000003"/>
        <n v="4627.485"/>
        <n v="2519.64"/>
        <n v="16415.712"/>
        <n v="55.944"/>
        <n v="447.88800000000003"/>
        <n v="492.57599999999996"/>
        <n v="449.15"/>
        <n v="11.07"/>
        <n v="845.82"/>
        <n v="569.646"/>
        <n v="737.94"/>
        <n v="1076.544"/>
        <n v="2301.84"/>
        <n v="2174.112"/>
        <n v="623.6999999999999"/>
        <n v="180.96"/>
        <n v="119.616"/>
        <n v="6412.544"/>
        <n v="19.008"/>
        <n v="262.336"/>
        <n v="15.92"/>
        <n v="8.22"/>
        <n v="25.02"/>
        <n v="140.22"/>
        <n v="19064.85"/>
        <n v="757.8"/>
        <n v="228.24"/>
        <n v="28.608"/>
        <n v="52.92"/>
        <n v="14999.75"/>
        <n v="257.25"/>
        <n v="59.800000000000004"/>
        <n v="5630.1"/>
        <n v="128.744"/>
        <n v="906.9760000000001"/>
        <n v="98.784"/>
        <n v="843.92"/>
        <n v="496.584"/>
        <n v="596.34"/>
        <n v="22.2"/>
        <n v="2051.8559999999998"/>
        <n v="137.088"/>
        <n v="36.336"/>
        <n v="666.248"/>
        <n v="52.512"/>
        <n v="1716.48"/>
        <n v="431.46"/>
        <n v="2939.8500000000004"/>
        <n v="68.25"/>
        <n v="134.144"/>
        <n v="255.696"/>
        <n v="10.752"/>
        <n v="611.76"/>
        <n v="1135.68"/>
        <n v="2344.5"/>
        <n v="3046.912"/>
        <n v="2587.104"/>
        <n v="406.784"/>
        <n v="705.544"/>
        <n v="462.784"/>
        <n v="41.28"/>
        <n v="13.36"/>
        <n v="1501.632"/>
        <n v="68.184"/>
        <n v="52.32000000000001"/>
        <n v="10094.112"/>
        <n v="103.512"/>
        <n v="75.768"/>
        <n v="11662.02"/>
        <n v="38.912"/>
        <n v="186.29999999999998"/>
        <n v="12021.12"/>
        <n v="291.59999999999997"/>
        <n v="383.40000000000003"/>
        <n v="756.504"/>
        <n v="39.0"/>
        <n v="39.384"/>
        <n v="35.64"/>
        <n v="23.49"/>
        <n v="3369.384"/>
        <n v="826.5600000000001"/>
        <n v="729.7919999999999"/>
        <n v="174.96"/>
        <n v="4060.368"/>
        <n v="72.45"/>
        <n v="13.96"/>
        <n v="33.264"/>
        <n v="14.85"/>
        <n v="1446.48"/>
        <n v="179.28000000000003"/>
        <n v="65.7"/>
        <n v="418.27200000000005"/>
        <n v="52.751999999999995"/>
        <n v="463.68"/>
        <n v="3763.008"/>
        <n v="844.672"/>
        <n v="249.216"/>
        <n v="54.264"/>
        <n v="3250.944"/>
        <n v="283.92"/>
        <n v="1179.72"/>
        <n v="763.056"/>
        <n v="186.624"/>
        <n v="151.389"/>
        <n v="93.312"/>
        <n v="65.408"/>
        <n v="218.4"/>
        <n v="685.08"/>
        <n v="4013.64"/>
        <n v="2949.84"/>
        <n v="11.632"/>
        <n v="143.982"/>
        <n v="494.376"/>
        <n v="5.84"/>
        <n v="428.32800000000003"/>
        <n v="21.654"/>
        <n v="129.56400000000002"/>
        <n v="395.712"/>
        <n v="3.282"/>
        <n v="21.168"/>
        <n v="55.188"/>
        <n v="2587.032"/>
        <n v="109.984"/>
        <n v="8.448"/>
        <n v="728.946"/>
        <n v="479.76"/>
        <n v="14.592"/>
        <n v="40.48"/>
        <n v="9.94"/>
        <n v="107.424"/>
        <n v="37.91"/>
        <n v="88.02"/>
        <n v="52.14"/>
        <n v="1207.84"/>
        <n v="2220.84"/>
        <n v="2093.92"/>
        <n v="647.28"/>
        <n v="35.56"/>
        <n v="874.4399999999999"/>
        <n v="137.16"/>
        <n v="119.07000000000001"/>
        <n v="1947.072"/>
        <n v="958.4"/>
        <n v="2406.144"/>
        <n v="53.64"/>
        <n v="707.832"/>
        <n v="1178.82"/>
        <n v="151.056"/>
        <n v="978.624"/>
        <n v="9442.800000000001"/>
        <n v="138.816"/>
        <n v="94.2"/>
        <n v="2973.6"/>
        <n v="236.25"/>
        <n v="530.08"/>
        <n v="45.36"/>
        <n v="837.2"/>
        <n v="252.48"/>
        <n v="241.152"/>
        <n v="133.20000000000002"/>
        <n v="2844.0"/>
        <n v="379.4"/>
        <n v="97.82"/>
        <n v="103.12"/>
        <n v="454.208"/>
        <n v="13.272"/>
        <n v="537.152"/>
        <n v="4208.232"/>
        <n v="13.847999999999999"/>
        <n v="6996.024"/>
        <n v="5068.56"/>
        <n v="6431.495"/>
        <n v="19.068"/>
        <n v="459.95"/>
        <n v="166.32000000000002"/>
        <n v="595.3919999999999"/>
        <n v="2671.032"/>
        <n v="121.44"/>
        <n v="143.856"/>
        <n v="653.55"/>
        <n v="218.11199999999997"/>
        <n v="117.35999999999999"/>
        <n v="245.76"/>
        <n v="155.6"/>
        <n v="397.56"/>
        <n v="18.816000000000003"/>
        <n v="194.712"/>
        <n v="577.668"/>
        <n v="1280.958"/>
        <n v="14.352"/>
        <n v="64.96"/>
        <n v="68.6"/>
        <n v="15999.96"/>
        <n v="334.88"/>
        <n v="1439.91"/>
        <n v="43.86"/>
        <n v="191.984"/>
        <n v="208.02"/>
        <n v="569.64"/>
        <n v="73.68"/>
        <n v="1496.16"/>
        <n v="300.59999999999997"/>
        <n v="198.272"/>
        <n v="47.36"/>
        <n v="200.984"/>
        <n v="97.696"/>
        <n v="2.696"/>
        <n v="18.588"/>
        <n v="60.288"/>
        <n v="1888.92"/>
        <n v="3329.2079999999996"/>
        <n v="20.736"/>
        <n v="333.68"/>
        <n v="30.432"/>
        <n v="119.96"/>
        <n v="883.92"/>
        <n v="46.72"/>
        <n v="73.344"/>
        <n v="281.34"/>
        <n v="307.98"/>
        <n v="299.97"/>
        <n v="412.224"/>
        <n v="478.464"/>
        <n v="586.56"/>
        <n v="1321.3799999999999"/>
        <n v="6611.76"/>
        <n v="1185.48"/>
        <n v="129.92"/>
        <n v="136.752"/>
        <n v="122.97600000000001"/>
        <n v="391.94399999999996"/>
        <n v="182.72"/>
        <n v="400.032"/>
        <n v="33.63"/>
        <n v="542.646"/>
        <n v="6.3"/>
        <n v="2186.46"/>
        <n v="1619.73"/>
        <n v="897.264"/>
        <n v="251.424"/>
        <n v="764.82"/>
        <n v="168.48"/>
        <n v="449.82"/>
        <n v="70.70400000000001"/>
        <n v="1636.416"/>
        <n v="21.240000000000002"/>
        <n v="360.64000000000004"/>
        <n v="24.696"/>
        <n v="32.367999999999995"/>
        <n v="386.176"/>
        <n v="5104.08"/>
        <n v="3233.88"/>
        <n v="71.952"/>
        <n v="232.2"/>
        <n v="630.96"/>
        <n v="227.92"/>
        <n v="11.52"/>
        <n v="719.28"/>
        <n v="1150.3139999999999"/>
        <n v="122.8"/>
        <n v="599.0"/>
        <n v="13.128"/>
        <n v="524.88"/>
        <n v="37.17"/>
        <n v="431.928"/>
        <n v="79.52"/>
        <n v="356.58"/>
        <n v="4527.18"/>
        <n v="39.48"/>
        <n v="4008.0600000000004"/>
        <n v="932.64"/>
        <n v="1283.92"/>
        <n v="91.4"/>
        <n v="1035.0"/>
        <n v="161.75"/>
        <n v="38.55"/>
        <n v="201.5"/>
        <n v="172.89999999999998"/>
        <n v="131.04"/>
        <n v="4896.072"/>
        <n v="539.46"/>
        <n v="215.28000000000003"/>
        <n v="38.52"/>
        <n v="128.28"/>
        <n v="96.0"/>
        <n v="141.96"/>
        <n v="191.936"/>
        <n v="373.38"/>
        <n v="157.10399999999998"/>
        <n v="3140.352"/>
        <n v="287.92"/>
        <n v="86.08"/>
        <n v="665.88"/>
        <n v="2727.92"/>
        <n v="89.64000000000001"/>
        <n v="195.48"/>
        <n v="100.8"/>
        <n v="132.79"/>
        <n v="21.56"/>
        <n v="2555.28"/>
        <n v="200.07"/>
        <n v="1943.712"/>
        <n v="355.32"/>
        <n v="90.72"/>
        <n v="164.52"/>
        <n v="345.408"/>
        <n v="15871.744"/>
        <n v="170.39999999999998"/>
        <n v="899.8199999999999"/>
        <n v="11686.949999999999"/>
        <n v="1925.28"/>
        <n v="232.02"/>
        <n v="12599.37"/>
        <n v="259.20000000000005"/>
        <n v="5.344"/>
        <n v="41.472"/>
        <n v="3.168"/>
        <n v="1228.465"/>
        <n v="31.086"/>
        <n v="335.52"/>
        <n v="1679.79"/>
        <n v="68.74000000000001"/>
        <n v="610.1999999999999"/>
        <n v="1511.73"/>
        <n v="175.0"/>
        <n v="186.20000000000002"/>
        <n v="76.39999999999999"/>
        <n v="722.64"/>
        <n v="767.92"/>
        <n v="263.96"/>
        <n v="105.648"/>
        <n v="71.08800000000001"/>
        <n v="796.4250000000001"/>
        <n v="358.288"/>
        <n v="28.991999999999997"/>
        <n v="147.504"/>
        <n v="60.45"/>
        <n v="186.048"/>
        <n v="336.96"/>
        <n v="242.784"/>
        <n v="102.24"/>
        <n v="1151.76"/>
        <n v="195.584"/>
        <n v="807.52"/>
        <n v="46.44"/>
        <n v="349.92"/>
        <n v="557.64"/>
        <n v="44.46"/>
        <n v="242.94"/>
        <n v="39.96"/>
        <n v="102.3"/>
        <n v="21.36"/>
        <n v="60.88"/>
        <n v="57.28"/>
        <n v="66.24000000000001"/>
        <n v="207.9"/>
        <n v="574.416"/>
        <n v="15.744"/>
        <n v="177.552"/>
        <n v="5.78"/>
        <n v="103.88"/>
        <n v="15.936"/>
        <n v="44.91"/>
        <n v="1141.47"/>
        <n v="280.782"/>
        <n v="103.32"/>
        <n v="11.36"/>
        <n v="106.344"/>
        <n v="384.32"/>
        <n v="967.77"/>
        <n v="89.97"/>
        <n v="1115.91"/>
        <n v="5.892"/>
        <n v="68.472"/>
        <n v="1242.9"/>
        <n v="61.68"/>
        <n v="121.32000000000001"/>
        <n v="125.6"/>
        <n v="17.46"/>
        <n v="125.49600000000001"/>
        <n v="753.84"/>
        <n v="75.32"/>
        <n v="312.12"/>
        <n v="149.95"/>
        <n v="51.312"/>
        <n v="18.16"/>
        <n v="2175.68"/>
        <n v="1402.3799999999999"/>
        <n v="630.072"/>
        <n v="109.536"/>
        <n v="414.4"/>
        <n v="46.96"/>
        <n v="35.616"/>
        <n v="73.08"/>
        <n v="128.35199999999998"/>
        <n v="1943.856"/>
        <n v="584.64"/>
        <n v="116.64000000000001"/>
        <n v="323.136"/>
        <n v="90.93"/>
        <n v="52.776"/>
        <n v="4799.2"/>
        <n v="7715.12"/>
        <n v="1409.52"/>
        <n v="234.7"/>
        <n v="718.65"/>
        <n v="699.426"/>
        <n v="5585.608"/>
        <n v="59.976"/>
        <n v="1045.464"/>
        <n v="90.944"/>
        <n v="85.14"/>
        <n v="21.99"/>
        <n v="406.6"/>
        <n v="841.568"/>
        <n v="15.552"/>
        <n v="252.0"/>
        <n v="92.4"/>
        <n v="57.68"/>
        <n v="58.368"/>
        <n v="359.424"/>
        <n v="55.488"/>
        <n v="12.192"/>
        <n v="45.056"/>
        <n v="29.718"/>
        <n v="447.696"/>
        <n v="1279.92"/>
        <n v="1210.32"/>
        <n v="154.08"/>
        <n v="54.864000000000004"/>
        <n v="10028.448"/>
        <n v="4865.13"/>
        <n v="1509.84"/>
        <n v="3145.32"/>
        <n v="516.488"/>
        <n v="1007.232"/>
        <n v="2065.32"/>
        <n v="25.344"/>
        <n v="25.472"/>
        <n v="190.176"/>
        <n v="551.9696"/>
        <n v="521.4000000000001"/>
        <n v="236.736"/>
        <n v="38.016"/>
        <n v="124.416"/>
        <n v="1841.3999999999999"/>
        <n v="43.68"/>
        <n v="196.92"/>
        <n v="13.823999999999998"/>
        <n v="9.82"/>
        <n v="35.97"/>
        <n v="191.6"/>
        <n v="8.64"/>
        <n v="501.81"/>
        <n v="127.104"/>
        <n v="30.072"/>
        <n v="160.93"/>
        <n v="75.792"/>
        <n v="9.72"/>
        <n v="12239.928"/>
        <n v="6.564"/>
        <n v="136.08"/>
        <n v="599.292"/>
        <n v="27.136"/>
        <n v="4479.872"/>
        <n v="4831.36"/>
        <n v="55.775999999999996"/>
        <n v="195.776"/>
        <n v="2355.5699999999997"/>
        <n v="7.784000000000001"/>
        <n v="520.05"/>
        <n v="17.97"/>
        <n v="3500.76"/>
        <n v="14.624"/>
        <n v="92.07000000000001"/>
        <n v="1394.1000000000001"/>
        <n v="5431.86"/>
        <n v="1235.94"/>
        <n v="42.68"/>
        <n v="146.52"/>
        <n v="96.4"/>
        <n v="132.44"/>
        <n v="396.18"/>
        <n v="2309.65"/>
        <n v="1090.782"/>
        <n v="19.44"/>
        <n v="4361.849999999999"/>
        <n v="230.592"/>
        <n v="56.64"/>
        <n v="35.208"/>
        <n v="223.75"/>
        <n v="575.904"/>
        <n v="1365.48"/>
        <n v="1397.25"/>
        <n v="126.27"/>
        <n v="14565.329999999998"/>
        <n v="896.4"/>
        <n v="155.82"/>
        <n v="124.95"/>
        <n v="601.65"/>
        <n v="45.48"/>
        <n v="2535.06"/>
        <n v="2759.84"/>
        <n v="6.208"/>
        <n v="106.27199999999999"/>
        <n v="62.208"/>
        <n v="253.248"/>
        <n v="62.352"/>
        <n v="1240.3999999999999"/>
        <n v="1385.79"/>
        <n v="5984.58"/>
        <n v="868.77"/>
        <n v="62.784"/>
        <n v="10.512"/>
        <n v="57.708"/>
        <n v="519.72"/>
        <n v="329.61600000000004"/>
        <n v="47.936"/>
        <n v="57.456"/>
        <n v="4182.96"/>
        <n v="31.86"/>
        <n v="722.352"/>
        <n v="53.04"/>
        <n v="350.784"/>
        <n v="1527.624"/>
        <n v="4091.88"/>
        <n v="307.08"/>
        <n v="10021.536"/>
        <n v="168.464"/>
        <n v="6.72"/>
        <n v="282.888"/>
        <n v="11.16"/>
        <n v="108.4"/>
        <n v="82.344"/>
        <n v="9.088"/>
        <n v="179.424"/>
        <n v="590.112"/>
        <n v="4.416"/>
        <n v="754.404"/>
        <n v="180.864"/>
        <n v="41.664"/>
        <n v="31.488"/>
        <n v="475.128"/>
        <n v="5.792"/>
        <n v="221.88"/>
        <n v="1753.632"/>
        <n v="12.208"/>
        <n v="25.176"/>
        <n v="175.14000000000001"/>
        <n v="235.776"/>
        <n v="50.16"/>
        <n v="34.944"/>
        <n v="255.872"/>
        <n v="163.52"/>
        <n v="1079.6399999999999"/>
        <n v="282.96000000000004"/>
        <n v="61.92"/>
        <n v="79.68"/>
        <n v="4427.64"/>
        <n v="836.592"/>
        <n v="26.38"/>
        <n v="362.92"/>
        <n v="4899.93"/>
        <n v="32.400000000000006"/>
        <n v="647.784"/>
        <n v="28.349999999999998"/>
        <n v="63.968"/>
        <n v="143.968"/>
        <n v="1081.3500000000001"/>
        <n v="1972.656"/>
        <n v="57.8"/>
        <n v="711.92"/>
        <n v="696.416"/>
        <n v="71.568"/>
        <n v="4030.56"/>
        <n v="63.36"/>
        <n v="78.57000000000001"/>
        <n v="263.61"/>
        <n v="77.76"/>
        <n v="18.858"/>
        <n v="20.538"/>
        <n v="206.28000000000003"/>
        <n v="704.928"/>
        <n v="16.296"/>
        <n v="75.46"/>
        <n v="408.576"/>
        <n v="286.776"/>
        <n v="503.71999999999997"/>
        <n v="72.57600000000001"/>
        <n v="8.344"/>
        <n v="420.048"/>
        <n v="1078.497"/>
        <n v="1079.82"/>
        <n v="56.699999999999996"/>
        <n v="839.6999999999999"/>
        <n v="1859.8500000000001"/>
        <n v="13.080000000000002"/>
        <n v="45.839999999999996"/>
        <n v="4899.509999999999"/>
        <n v="160.72"/>
        <n v="270.2"/>
        <n v="46.41"/>
        <n v="163.38"/>
        <n v="7475.58"/>
        <n v="40.64"/>
        <n v="407.52"/>
        <n v="687.84"/>
        <n v="81.98"/>
        <n v="127.8"/>
        <n v="124.608"/>
        <n v="255.67200000000003"/>
        <n v="1150.08"/>
        <n v="150.72"/>
        <n v="79.92"/>
        <n v="82.32"/>
        <n v="69.52"/>
        <n v="78.48"/>
        <n v="6176.88"/>
        <n v="559.62"/>
        <n v="2576.304"/>
        <n v="51.04"/>
        <n v="43.8"/>
        <n v="2399.92"/>
        <n v="33.408"/>
        <n v="29.12"/>
        <n v="1278.144"/>
        <n v="244.96"/>
        <n v="4488.96"/>
        <n v="124.62"/>
        <n v="910.2"/>
        <n v="1756.656"/>
        <n v="1814.7"/>
        <n v="57.699999999999996"/>
        <n v="485.46"/>
        <n v="9.99"/>
        <n v="125.76"/>
        <n v="25.32"/>
        <n v="187.2"/>
        <n v="4031.37"/>
        <n v="109.48"/>
        <n v="272.94"/>
        <n v="31.92"/>
        <n v="89.52"/>
        <n v="148.68"/>
        <n v="31.056"/>
        <n v="83.78999999999999"/>
        <n v="104.04"/>
        <n v="345.0"/>
        <n v="359.94"/>
        <n v="1810.8720000000003"/>
        <n v="10583.44"/>
        <n v="30.08"/>
        <n v="43.488"/>
        <n v="15.84"/>
        <n v="108.864"/>
        <n v="4372.92"/>
        <n v="233.28000000000003"/>
        <n v="1778.22"/>
        <n v="737.28"/>
        <n v="8005.824"/>
        <n v="8030.0160000000005"/>
        <n v="2015.28"/>
        <n v="208.08"/>
        <n v="47.135999999999996"/>
        <n v="74.016"/>
        <n v="167.904"/>
        <n v="3023.496"/>
        <n v="671.8879999999999"/>
        <n v="7621.544"/>
        <n v="4352.064"/>
        <n v="14.976"/>
        <n v="6834.816"/>
        <n v="4748.544"/>
        <n v="2704.32"/>
        <n v="543.92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258.696"/>
        <n v="1931.958"/>
        <n v="2247.75"/>
        <n v="2303.424"/>
        <n v="113.79"/>
        <n v="78.15"/>
        <n v="1.728"/>
        <n v="40.56"/>
        <n v="182.94"/>
        <n v="193.86"/>
        <n v="137.51999999999998"/>
        <n v="51.12"/>
        <n v="2.78"/>
        <n v="79.96"/>
        <n v="3359.952"/>
        <n v="112.27499999999999"/>
        <n v="495.144"/>
        <n v="111.14999999999999"/>
        <n v="368.73"/>
        <n v="206.64000000000001"/>
        <n v="22.0"/>
        <n v="398.352"/>
        <n v="8.72"/>
        <n v="146.07"/>
        <n v="6882.192"/>
        <n v="32497.631999999998"/>
        <n v="2294.7705"/>
        <n v="38.82"/>
        <n v="1141.938"/>
        <n v="1704.56"/>
        <n v="3.2"/>
        <n v="5499.8"/>
        <n v="5.248"/>
        <n v="6.696"/>
        <n v="43.872"/>
        <n v="55.764"/>
        <n v="1080.096"/>
        <n v="511.36"/>
        <n v="2591.64"/>
        <n v="35.232"/>
        <n v="17.472"/>
        <n v="279.6"/>
        <n v="167.4"/>
        <n v="59.13"/>
        <n v="1285.7400000000002"/>
        <n v="2630.448"/>
        <n v="234.624"/>
        <n v="37.44"/>
        <n v="614.016"/>
        <n v="292.752"/>
        <n v="269.08799999999997"/>
        <n v="2719.01"/>
        <n v="100.464"/>
        <n v="447.94399999999996"/>
        <n v="604.464"/>
        <n v="98.91"/>
        <n v="251.64"/>
        <n v="1392.0"/>
        <n v="52.29"/>
        <n v="754.92"/>
        <n v="19.404"/>
        <n v="29.8"/>
        <n v="15.48"/>
        <n v="39.88"/>
        <n v="20.82"/>
        <n v="118.94399999999999"/>
        <n v="296.46"/>
        <n v="1027.8"/>
        <n v="27.72"/>
        <n v="6765.824"/>
        <n v="125.136"/>
        <n v="186.48"/>
        <n v="574.75"/>
        <n v="242.64000000000001"/>
        <n v="1145.52"/>
        <n v="572.76"/>
        <n v="123.92"/>
        <n v="71.97"/>
        <n v="863.9100000000001"/>
        <n v="2939.608"/>
        <n v="420.84"/>
        <n v="159.408"/>
        <n v="196.02"/>
        <n v="1457.46"/>
        <n v="1454.112"/>
        <n v="3.69"/>
        <n v="122.12"/>
        <n v="621.488"/>
        <n v="1654.56"/>
        <n v="5213.7"/>
        <n v="14.2"/>
        <n v="1727.7599999999998"/>
        <n v="20.916"/>
        <n v="1142.208"/>
        <n v="291.2"/>
        <n v="21.632"/>
        <n v="46.26"/>
        <n v="104.76"/>
        <n v="51.072"/>
        <n v="68.03999999999999"/>
        <n v="791.28"/>
        <n v="333.45"/>
        <n v="11.88"/>
        <n v="109.76"/>
        <n v="7.5600000000000005"/>
        <n v="55.72"/>
        <n v="1266.6239999999998"/>
        <n v="3315.3599999999997"/>
        <n v="225.99"/>
        <n v="29.78"/>
        <n v="677.58"/>
        <n v="75.04"/>
        <n v="1391.4"/>
        <n v="31.32"/>
        <n v="47.82"/>
        <n v="13.05"/>
        <n v="468.9"/>
        <n v="235.9"/>
        <n v="98.4"/>
        <n v="267.0"/>
        <n v="179.4"/>
        <n v="1549.674"/>
        <n v="62.8"/>
        <n v="1655.64"/>
        <n v="158.49"/>
        <n v="2708.136"/>
        <n v="1545.432"/>
        <n v="1969.9679999999998"/>
        <n v="316.56"/>
        <n v="13.916"/>
        <n v="1310.112"/>
        <n v="123.256"/>
        <n v="23.68"/>
        <n v="309.576"/>
        <n v="307.104"/>
        <n v="767.952"/>
        <n v="1919.616"/>
        <n v="1612.672"/>
        <n v="7193.088"/>
        <n v="1313.1000000000001"/>
        <n v="4720.464"/>
        <n v="112.32"/>
        <n v="98.16"/>
        <n v="153.792"/>
        <n v="7302.0"/>
        <n v="8718.0"/>
        <n v="3582.72"/>
        <n v="131.2"/>
        <n v="3199.68"/>
        <n v="1271.2"/>
        <n v="105.472"/>
        <n v="503.712"/>
        <n v="1046.52"/>
        <n v="56.519999999999996"/>
        <n v="719.9399999999999"/>
        <n v="503.88"/>
        <n v="314.54999999999995"/>
        <n v="1454.49"/>
        <n v="368.90999999999997"/>
        <n v="463.32"/>
        <n v="1027.1100000000001"/>
        <n v="3914.7000000000003"/>
        <n v="399.87"/>
        <n v="17.216"/>
        <n v="11.56"/>
        <n v="88.4"/>
        <n v="6.48"/>
        <n v="43.6"/>
        <n v="503.58"/>
        <n v="820.704"/>
        <n v="1677.6"/>
        <n v="10.304"/>
        <n v="154.764"/>
        <n v="116.784"/>
        <n v="75.48"/>
        <n v="165.76"/>
        <n v="408.006"/>
        <n v="165.28"/>
        <n v="334.768"/>
        <n v="2159.73"/>
        <n v="339.66"/>
        <n v="6624.408"/>
        <n v="1058.3999999999999"/>
        <n v="34.496"/>
        <n v="690.176"/>
        <n v="580.704"/>
        <n v="485.376"/>
        <n v="616.248"/>
        <n v="959.232"/>
        <n v="2111.68"/>
        <n v="2909.184"/>
        <n v="87.55199999999999"/>
        <n v="132.75"/>
        <n v="268.2"/>
        <n v="3846.78"/>
        <n v="458.28"/>
        <n v="21.81"/>
        <n v="5459.58"/>
        <n v="305.09999999999997"/>
        <n v="20.992"/>
        <n v="1847.1599999999999"/>
        <n v="17174.01"/>
        <n v="59.4"/>
        <n v="330.048"/>
        <n v="55.04"/>
        <n v="1115.392"/>
        <n v="11879.568000000001"/>
        <n v="988.4159999999999"/>
        <n v="2821.812"/>
        <n v="287.904"/>
        <n v="2.502"/>
        <n v="798.7679999999999"/>
        <n v="16.2"/>
        <n v="212.94"/>
        <n v="275.04"/>
        <n v="101.25"/>
        <n v="9120.0"/>
        <n v="273.6"/>
        <n v="1358.82"/>
        <n v="104.4"/>
        <n v="111.55199999999999"/>
        <n v="164.76"/>
        <n v="498.816"/>
        <n v="1952.048"/>
        <n v="1119.8880000000001"/>
        <n v="7173.011999999999"/>
        <n v="3.68"/>
        <n v="971.008"/>
        <n v="767.808"/>
        <n v="767.904"/>
        <n v="3491.76"/>
        <n v="166.16"/>
        <n v="6.848"/>
        <n v="78.03"/>
        <n v="46.815999999999995"/>
        <n v="17.28"/>
        <n v="17.712"/>
        <n v="28.91"/>
        <n v="104.272"/>
        <n v="287.712"/>
        <n v="364.14"/>
        <n v="304.83"/>
        <n v="29.183999999999997"/>
        <n v="10.272"/>
        <n v="1593.0"/>
        <n v="3.76"/>
        <n v="10915.632"/>
        <n v="809.73"/>
        <n v="5.04"/>
        <n v="62.96"/>
        <n v="5.88"/>
        <n v="977.292"/>
        <n v="86.76"/>
        <n v="120.14999999999999"/>
        <n v="71.344"/>
        <n v="117.488"/>
        <n v="91.83999999999999"/>
        <n v="163.44"/>
        <n v="112.39200000000001"/>
      </sharedItems>
    </cacheField>
    <cacheField name="Profit" numFmtId="168">
      <sharedItems containsSemiMixedTypes="0" containsString="0" containsNumber="1">
        <n v="786.5799999999999"/>
        <n v="2196.15"/>
        <n v="117.60999999999999"/>
        <n v="1915.8325"/>
        <n v="45.024"/>
        <n v="391.66"/>
        <n v="59.17999999999999"/>
        <n v="7257.588000000001"/>
        <n v="148.176"/>
        <n v="919.4800000000001"/>
        <n v="13649.946"/>
        <n v="7291.645999999999"/>
        <n v="16.394"/>
        <n v="3264.244"/>
        <n v="413.85"/>
        <n v="16.188"/>
        <n v="2664.08"/>
        <n v="389.24"/>
        <n v="69.32000000000001"/>
        <n v="1708.53"/>
        <n v="182.07"/>
        <n v="97.95"/>
        <n v="302.5"/>
        <n v="0.5720000000000027"/>
        <n v="7312.990000000001"/>
        <n v="93.442"/>
        <n v="725.4899999999999"/>
        <n v="0.9099999999998545"/>
        <n v="0.6080000000000005"/>
        <n v="0.21000000000000796"/>
        <n v="0.15399999999999991"/>
        <n v="0.4240000000000066"/>
        <n v="0.05799999999999983"/>
        <n v="0.09999999999999964"/>
        <n v="177.364"/>
        <n v="6586.138000000001"/>
        <n v="1145.6399999999999"/>
        <n v="680.936"/>
        <n v="3194.7744"/>
        <n v="1273.326"/>
        <n v="2227.816"/>
        <n v="736.668"/>
        <n v="623.49"/>
        <n v="192.13800000000003"/>
        <n v="184.05999999999997"/>
        <n v="70.18"/>
        <n v="636.38"/>
        <n v="0.4099999999999966"/>
        <n v="0.7600000000000016"/>
        <n v="115.6"/>
        <n v="225.71000000000004"/>
        <n v="18.61"/>
        <n v="270.91999999999996"/>
        <n v="0.8699999999999992"/>
        <n v="0.2400000000000091"/>
        <n v="0.5099999999999909"/>
        <n v="0.6699999999999982"/>
        <n v="0.11000000000001364"/>
        <n v="0.7800000000000011"/>
        <n v="0.379999999999999"/>
        <n v="0.07000000000000028"/>
        <n v="0.71"/>
        <n v="112.13000000000001"/>
        <n v="207.116"/>
        <n v="1174.25"/>
        <n v="638.28"/>
        <n v="1066.0"/>
        <n v="7791.9619999999995"/>
        <n v="1176.6039999999998"/>
        <n v="76.82999999999998"/>
        <n v="0.7459999999999996"/>
        <n v="57.410000000000004"/>
        <n v="1664.088"/>
        <n v="194.14"/>
        <n v="145.78200000000004"/>
        <n v="8.406"/>
        <n v="59.076"/>
        <n v="164.09999999999997"/>
        <n v="116.44999999999999"/>
        <n v="416.37"/>
        <n v="33.94"/>
        <n v="119.49"/>
        <n v="171.82999999999998"/>
        <n v="201.52800000000002"/>
        <n v="1152.4360000000001"/>
        <n v="302.84999999999997"/>
        <n v="80.17999999999999"/>
        <n v="25.53"/>
        <n v="950.446"/>
        <n v="161.49"/>
        <n v="588.7260000000001"/>
        <n v="52.05000000000001"/>
        <n v="52.110000000000014"/>
        <n v="213.40000000000003"/>
        <n v="132.25"/>
        <n v="45.888000000000005"/>
        <n v="0.8700000000000045"/>
        <n v="411.21799999999996"/>
        <n v="311.69"/>
        <n v="323.804"/>
        <n v="480.186"/>
        <n v="9.698"/>
        <n v="96.45000000000002"/>
        <n v="1673.148"/>
        <n v="716.91"/>
        <n v="258.306"/>
        <n v="74.814"/>
        <n v="28.104000000000003"/>
        <n v="4.138"/>
        <n v="1700.1299999999997"/>
        <n v="0.9399999999999977"/>
        <n v="304.49999999999994"/>
        <n v="109.39999999999999"/>
        <n v="121.20399999999998"/>
        <n v="14.32"/>
        <n v="71.934"/>
        <n v="392.176"/>
        <n v="6300.839999999999"/>
        <n v="316.4720000000001"/>
        <n v="0.21000000000000085"/>
        <n v="0.05999999999999872"/>
        <n v="0.5699999999999932"/>
        <n v="0.5799999999999983"/>
        <n v="0.9900000000000091"/>
        <n v="3603.466"/>
        <n v="3089.3"/>
        <n v="16.913999999999998"/>
        <n v="1708.146"/>
        <n v="652.206"/>
        <n v="1908.9299999999998"/>
        <n v="180.51999999999998"/>
        <n v="234.976"/>
        <n v="64.97399999999999"/>
        <n v="160.35999999999999"/>
        <n v="283.7"/>
        <n v="92.8"/>
        <n v="32.40999999999999"/>
        <n v="609.5640000000001"/>
        <n v="527.65"/>
        <n v="345.81"/>
        <n v="0.23999999999999488"/>
        <n v="70.61999999999999"/>
        <n v="87.17999999999999"/>
        <n v="1149.78"/>
        <n v="4198.01"/>
        <n v="5376.26"/>
        <n v="282.132"/>
        <n v="1538.49"/>
        <n v="599.9300000000001"/>
        <n v="7808.329999999999"/>
        <n v="687.1"/>
        <n v="1105.9599999999998"/>
        <n v="1422.5819999999999"/>
        <n v="467.5200000000001"/>
        <n v="845.05"/>
        <n v="647.39"/>
        <n v="53.2"/>
        <n v="3660.732"/>
        <n v="88.11999999999999"/>
        <n v="5670.419999999999"/>
        <n v="48.03000000000001"/>
        <n v="0.08400000000000318"/>
        <n v="199.08999999999997"/>
        <n v="222.03"/>
        <n v="60.59199999999999"/>
        <n v="48960.304000000004"/>
        <n v="1656.016"/>
        <n v="10440.7"/>
        <n v="192.548"/>
        <n v="1068.33"/>
        <n v="864.602"/>
        <n v="168.14000000000001"/>
        <n v="888.34"/>
        <n v="2721.8360000000002"/>
        <n v="262.908"/>
        <n v="101.56"/>
        <n v="584.228"/>
        <n v="1190.678"/>
        <n v="47.82000000000001"/>
        <n v="0.96"/>
        <n v="124.25599999999999"/>
        <n v="2043.944"/>
        <n v="3023.85"/>
        <n v="900.3099999999998"/>
        <n v="174.54"/>
        <n v="36.11"/>
        <n v="1414.71"/>
        <n v="223.53799999999998"/>
        <n v="120.732"/>
        <n v="0.6059999999999945"/>
        <n v="0.3200000000000074"/>
        <n v="0.3200000000000003"/>
        <n v="0.7619999999999436"/>
        <n v="0.35999999999999943"/>
        <n v="114.32999999999998"/>
        <n v="23.172"/>
        <n v="18.372"/>
        <n v="278.11"/>
        <n v="0.09600000000000009"/>
        <n v="0.21600000000000108"/>
        <n v="65.246"/>
        <n v="1531.8899999999999"/>
        <n v="18.28"/>
        <n v="398.16800000000006"/>
        <n v="71.30399999999999"/>
        <n v="3558.892"/>
        <n v="251.89"/>
        <n v="396.53999999999996"/>
        <n v="48.33"/>
        <n v="157.51999999999998"/>
        <n v="276.05999999999995"/>
        <n v="125.19"/>
        <n v="71.93"/>
        <n v="1357.84"/>
        <n v="189.308"/>
        <n v="3564.48"/>
        <n v="269.62600000000003"/>
        <n v="745.17"/>
        <n v="2419.494"/>
        <n v="17.046"/>
        <n v="68.606"/>
        <n v="60.263999999999996"/>
        <n v="218.62599999999998"/>
        <n v="1440.6019999999999"/>
        <n v="81.842"/>
        <n v="6.680000000000001"/>
        <n v="1867.71"/>
        <n v="66.14"/>
        <n v="323.6740000000001"/>
        <n v="779.8780000000002"/>
        <n v="18.846"/>
        <n v="468.1700000000001"/>
        <n v="1241.4535"/>
        <n v="11.414000000000001"/>
        <n v="516.186"/>
        <n v="1236.9279999999999"/>
        <n v="85.33000000000001"/>
        <n v="129.93"/>
        <n v="2099.1"/>
        <n v="59.138"/>
        <n v="160.364"/>
        <n v="886.18"/>
        <n v="21.093999999999994"/>
        <n v="37.678"/>
        <n v="8007.949999999999"/>
        <n v="667.48"/>
        <n v="192.03"/>
        <n v="6013.4400000000005"/>
        <n v="103.84000000000002"/>
        <n v="2573.262"/>
        <n v="61.19000000000001"/>
        <n v="26779.0"/>
        <n v="0.8199999999999932"/>
        <n v="0.7900000000000205"/>
        <n v="61.232"/>
        <n v="412.808"/>
        <n v="269.96"/>
        <n v="3239.944"/>
        <n v="0.33999999999999986"/>
        <n v="0.6800000000000068"/>
        <n v="0.8200000000000003"/>
        <n v="10.518"/>
        <n v="18360.203999999998"/>
        <n v="15119.926000000001"/>
        <n v="1641.184"/>
        <n v="639.9"/>
        <n v="14.112"/>
        <n v="46.099999999999994"/>
        <n v="111.88199999999999"/>
        <n v="173.474"/>
        <n v="5807.450000000001"/>
        <n v="1680.22"/>
        <n v="42.660000000000004"/>
        <n v="87.98"/>
        <n v="70.89999999999999"/>
        <n v="47.88000000000001"/>
        <n v="0.22799999999999976"/>
        <n v="0.005999999999996675"/>
        <n v="0.5820000000000007"/>
        <n v="0.5500000000000007"/>
        <n v="12.58"/>
        <n v="6687.270000000001"/>
        <n v="8311.46"/>
        <n v="1134.4499999999998"/>
        <n v="1918.9000000000003"/>
        <n v="249.53599999999997"/>
        <n v="508.43399999999997"/>
        <n v="389.65399999999994"/>
        <n v="1923.14"/>
        <n v="58.044"/>
        <n v="55.964"/>
        <n v="768.666"/>
        <n v="261.4"/>
        <n v="2103.908"/>
        <n v="1613.036"/>
        <n v="1528.796"/>
        <n v="550.51"/>
        <n v="192.876"/>
        <n v="194.73999999999998"/>
        <n v="6495.540000000001"/>
        <n v="341.59000000000003"/>
        <n v="466.28999999999996"/>
        <n v="85.8"/>
        <n v="1095.85"/>
        <n v="0.8100000000000023"/>
        <n v="29.95"/>
        <n v="318.4"/>
        <n v="2024.73"/>
        <n v="5.419999999999999"/>
        <n v="106.198"/>
        <n v="3268.2439999999997"/>
        <n v="107.09599999999999"/>
        <n v="44.592"/>
        <n v="525.6700000000001"/>
        <n v="356.83199999999994"/>
        <n v="31.375999999999998"/>
        <n v="0.11599999999999966"/>
        <n v="0.671999999999997"/>
        <n v="0.6199999999998909"/>
        <n v="0.5799999999999841"/>
        <n v="0.1700000000000017"/>
        <n v="57.87"/>
        <n v="2013.1100000000004"/>
        <n v="799.92"/>
        <n v="32.546"/>
        <n v="0.6080000000000041"/>
        <n v="0.24399999999999977"/>
        <n v="0.36400000000003274"/>
        <n v="1.0"/>
        <n v="0.06400000000000006"/>
        <n v="0.6899999999999977"/>
        <n v="0.5339999999999989"/>
        <n v="38.138"/>
        <n v="7680.1759999999995"/>
        <n v="115.58200000000001"/>
        <n v="62.218"/>
        <n v="5586.928"/>
        <n v="35.23"/>
        <n v="0.7360000000000007"/>
        <n v="0.040000000000020464"/>
        <n v="0.9320000000000022"/>
        <n v="0.15800000000000125"/>
        <n v="533.19"/>
        <n v="384.214"/>
        <n v="0.7899999999999991"/>
        <n v="0.010000000000001563"/>
        <n v="0.3899999999999997"/>
        <n v="0.8999999999999986"/>
        <n v="0.8279999999999998"/>
        <n v="0.759999999999998"/>
        <n v="0.10799999999926513"/>
        <n v="0.2540000000000191"/>
        <n v="0.4500000000000002"/>
        <n v="0.9699999999999989"/>
        <n v="0.29999999999999716"/>
        <n v="36.580000000000005"/>
        <n v="1296.31"/>
        <n v="42.08999999999999"/>
        <n v="0.55600000000004"/>
        <n v="0.3699999999999992"/>
        <n v="0.5899999999999963"/>
        <n v="1696.49"/>
        <n v="116.91999999999999"/>
        <n v="37.510000000000005"/>
        <n v="524.32"/>
        <n v="5220.530000000001"/>
        <n v="156.14"/>
        <n v="321.01800000000003"/>
        <n v="7167.648"/>
        <n v="65.34"/>
        <n v="3354.13"/>
        <n v="496.636"/>
        <n v="1488.628"/>
        <n v="52.763999999999996"/>
        <n v="143.514"/>
        <n v="73.182"/>
        <n v="408.23"/>
        <n v="396.814"/>
        <n v="126.28999999999999"/>
        <n v="751.5325"/>
        <n v="168.858"/>
        <n v="0.5299999999999727"/>
        <n v="0.7199999999999998"/>
        <n v="8.386000000000001"/>
        <n v="0.5999999999999979"/>
        <n v="0.8599999999999994"/>
        <n v="1971.8559999999998"/>
        <n v="14400.289999999999"/>
        <n v="63.09199999999999"/>
        <n v="531.136"/>
        <n v="50.11"/>
        <n v="13.550000000000002"/>
        <n v="211.15000000000003"/>
        <n v="215.754"/>
        <n v="14378.079200000002"/>
        <n v="786.982"/>
        <n v="345.988"/>
        <n v="19.994"/>
        <n v="39.63400000000001"/>
        <n v="1439.9299999999998"/>
        <n v="9599.924"/>
        <n v="217.28"/>
        <n v="8032.476000000001"/>
        <n v="78.35000000000001"/>
        <n v="227.70000000000002"/>
        <n v="448.11"/>
        <n v="10695.071"/>
        <n v="908.632"/>
        <n v="1119.8000000000002"/>
        <n v="2457.3740000000003"/>
        <n v="768.0799999999999"/>
        <n v="3070.8100000000004"/>
        <n v="17.66"/>
        <n v="74.92999999999999"/>
        <n v="122.02"/>
        <n v="1377.306"/>
        <n v="0.13000000000000256"/>
        <n v="0.9000000000000021"/>
        <n v="1733.2399999999998"/>
        <n v="86.13999999999999"/>
        <n v="864.3900000000001"/>
        <n v="0.6599999999999966"/>
        <n v="40.874"/>
        <n v="189.90599999999998"/>
        <n v="409.19800000000004"/>
        <n v="292.65"/>
        <n v="5.055999999999999"/>
        <n v="0.8999999999999773"/>
        <n v="10.466"/>
        <n v="495.68000000000006"/>
        <n v="5040.523999999999"/>
        <n v="1567.888"/>
        <n v="191.42399999999998"/>
        <n v="0.26599999999999113"/>
        <n v="37.32"/>
        <n v="585.3199999999999"/>
        <n v="213.38"/>
        <n v="274.97"/>
        <n v="729.59"/>
        <n v="67.06"/>
        <n v="9.47"/>
        <n v="0.740000000000002"/>
        <n v="0.3499999999999943"/>
        <n v="0.5"/>
        <n v="0.240000000000002"/>
        <n v="0.8499999999999943"/>
        <n v="853.4859999999999"/>
        <n v="1997.0320000000002"/>
        <n v="384.11"/>
        <n v="1036.962"/>
        <n v="3738.508"/>
        <n v="45.288000000000004"/>
        <n v="831.55"/>
        <n v="7199.5199999999995"/>
        <n v="411.398"/>
        <n v="165.32"/>
        <n v="8908.53"/>
        <n v="199.44"/>
        <n v="1298.578"/>
        <n v="548.5360000000001"/>
        <n v="1274.404"/>
        <n v="1232.1496"/>
        <n v="24.058"/>
        <n v="0.10999999999999943"/>
        <n v="2727.8500000000004"/>
        <n v="1782.264"/>
        <n v="5631.941999999999"/>
        <n v="740.92"/>
        <n v="502.14000000000004"/>
        <n v="759.46"/>
        <n v="766.6600000000001"/>
        <n v="0.5900000000000034"/>
        <n v="0.9899999999999984"/>
        <n v="0.4600000000000364"/>
        <n v="72.91"/>
        <n v="0.9900000000000002"/>
        <n v="0.7399999999999807"/>
        <n v="237.26000000000005"/>
        <n v="4114.115"/>
        <n v="2240.3999999999996"/>
        <n v="13680.132"/>
        <n v="48.654"/>
        <n v="384.32800000000003"/>
        <n v="422.89599999999996"/>
        <n v="0.2699999999999818"/>
        <n v="0.4900000000000002"/>
        <n v="752.62"/>
        <n v="380.006"/>
        <n v="632.5600000000001"/>
        <n v="957.4440000000001"/>
        <n v="2047.0300000000002"/>
        <n v="1933.3220000000001"/>
        <n v="555.3299999999999"/>
        <n v="158.75"/>
        <n v="104.686"/>
        <n v="5611.314"/>
        <n v="17.458"/>
        <n v="230.086"/>
        <n v="0.7699999999999996"/>
        <n v="6.430000000000001"/>
        <n v="16.95"/>
        <n v="94.41"/>
        <n v="12710.879999999997"/>
        <n v="632.41"/>
        <n v="191.15"/>
        <n v="21.458"/>
        <n v="53.150000000000006"/>
        <n v="47.5"/>
        <n v="12000.79"/>
        <n v="206.32"/>
        <n v="48.64"/>
        <n v="4504.51"/>
        <n v="110.624"/>
        <n v="777.8760000000001"/>
        <n v="85.43400000000001"/>
        <n v="633.6899999999999"/>
        <n v="441.624"/>
        <n v="530.27"/>
        <n v="1368.4759999999997"/>
        <n v="92.338"/>
        <n v="0.5459999999999994"/>
        <n v="0.8280000000000882"/>
        <n v="0.5519999999999996"/>
        <n v="1526.33"/>
        <n v="383.99"/>
        <n v="1960.5000000000005"/>
        <n v="45.739999999999995"/>
        <n v="118.04400000000001"/>
        <n v="213.916"/>
        <n v="0.18200000000000038"/>
        <n v="459.17999999999995"/>
        <n v="852.73"/>
        <n v="1876.54"/>
        <n v="2666.312"/>
        <n v="1940.444"/>
        <n v="348.844"/>
        <n v="604.9639999999999"/>
        <n v="397.134"/>
        <n v="0.5399999999999991"/>
        <n v="1251.8020000000001"/>
        <n v="57.354"/>
        <n v="44.56000000000001"/>
        <n v="8973.282"/>
        <n v="69.712"/>
        <n v="65.72800000000001"/>
        <n v="10366.78"/>
        <n v="20.041999999999998"/>
        <n v="165.83999999999997"/>
        <n v="10686.0"/>
        <n v="259.78"/>
        <n v="341.69000000000005"/>
        <n v="672.964"/>
        <n v="26.8"/>
        <n v="26.334"/>
        <n v="32.34"/>
        <n v="21.13"/>
        <n v="2995.864"/>
        <n v="735.2800000000001"/>
        <n v="649.4519999999999"/>
        <n v="155.72"/>
        <n v="3609.578"/>
        <n v="0.4900000000000091"/>
        <n v="0.2900000000000009"/>
        <n v="0.7040000000000006"/>
        <n v="71.44999999999999"/>
        <n v="1286.38"/>
        <n v="159.88000000000002"/>
        <n v="59.300000000000004"/>
        <n v="349.19200000000006"/>
        <n v="44.711999999999996"/>
        <n v="412.81"/>
        <n v="3293.138"/>
        <n v="739.8720000000001"/>
        <n v="218.696"/>
        <n v="47.494"/>
        <n v="2844.724"/>
        <n v="213.27"/>
        <n v="884.9100000000001"/>
        <n v="679.0360000000001"/>
        <n v="166.884"/>
        <n v="135.09900000000002"/>
        <n v="83.212"/>
        <n v="56.818"/>
        <n v="187.67000000000002"/>
        <n v="609.62"/>
        <n v="9600.554000000002"/>
        <n v="3568.2599999999998"/>
        <n v="2622.33"/>
        <n v="0.2519999999999989"/>
        <n v="0.0020000000000095497"/>
        <n v="0.6759999999999877"/>
        <n v="285.68800000000005"/>
        <n v="91.43799999999999"/>
        <n v="15.404"/>
        <n v="86.95400000000002"/>
        <n v="264.642"/>
        <n v="0.6419999999999999"/>
        <n v="0.48799999999999955"/>
        <n v="0.5080000000000027"/>
        <n v="2217.6020000000003"/>
        <n v="94.574"/>
        <n v="0.9580000000000002"/>
        <n v="0.9560000000000173"/>
        <n v="360.03999999999996"/>
        <n v="11.782"/>
        <n v="0.12999999999999545"/>
        <n v="0.5199999999999996"/>
        <n v="0.16400000000000148"/>
        <n v="0.14999999999999858"/>
        <n v="43.980000000000004"/>
        <n v="906.2199999999999"/>
        <n v="1666.0"/>
        <n v="1570.97"/>
        <n v="486.22999999999996"/>
        <n v="0.5200000000000031"/>
        <n v="777.3499999999999"/>
        <n v="122.71"/>
        <n v="106.24000000000001"/>
        <n v="1704.272"/>
        <n v="838.91"/>
        <n v="2106.0539999999996"/>
        <n v="36.75"/>
        <n v="472.782"/>
        <n v="786.52"/>
        <n v="132.23600000000002"/>
        <n v="856.664"/>
        <n v="8393.830000000002"/>
        <n v="123.936"/>
        <n v="76.16"/>
        <n v="2643.41"/>
        <n v="210.7"/>
        <n v="397.99"/>
        <n v="39.4"/>
        <n v="628.1600000000001"/>
        <n v="221.42999999999998"/>
        <n v="211.09199999999998"/>
        <n v="118.47000000000001"/>
        <n v="2419.934"/>
        <n v="2529.0"/>
        <n v="0.11999999999999034"/>
        <n v="0.8800000000000097"/>
        <n v="341.50800000000004"/>
        <n v="10.182"/>
        <n v="403.432"/>
        <n v="3507.812"/>
        <n v="12.137999999999998"/>
        <n v="5997.494000000001"/>
        <n v="4345.34"/>
        <n v="5513.565"/>
        <n v="16.818"/>
        <n v="32.760000000000005"/>
        <n v="143.15000000000003"/>
        <n v="511.1019999999999"/>
        <n v="2290.2520000000004"/>
        <n v="91.87"/>
        <n v="120.17599999999999"/>
        <n v="545.01"/>
        <n v="182.03199999999998"/>
        <n v="98.69999999999999"/>
        <n v="184.85"/>
        <n v="117.5"/>
        <n v="298.18"/>
        <n v="16.266000000000002"/>
        <n v="167.85199999999998"/>
        <n v="495.608"/>
        <n v="1098.9180000000001"/>
        <n v="0.3420000000000005"/>
        <n v="8000.919999999999"/>
        <n v="167.76"/>
        <n v="960.5100000000001"/>
        <n v="29.91"/>
        <n v="38.94000000000001"/>
        <n v="104.79"/>
        <n v="285.34"/>
        <n v="37.74000000000001"/>
        <n v="1330.0800000000002"/>
        <n v="267.21999999999997"/>
        <n v="0.9519999999999982"/>
        <n v="0.04999999999999716"/>
        <n v="0.4140000000000157"/>
        <n v="0.026000000000000245"/>
        <n v="0.588000000000001"/>
        <n v="0.6059999999999999"/>
        <n v="45.248"/>
        <n v="1679.25"/>
        <n v="2959.9579999999996"/>
        <n v="10.606"/>
        <n v="167.31"/>
        <n v="15.521999999999998"/>
        <n v="0.0799999999999983"/>
        <n v="0.18999999999994088"/>
        <n v="0.5700000000000003"/>
        <n v="0.44999999999999574"/>
        <n v="49.06399999999999"/>
        <n v="0.7800000000000296"/>
        <n v="159.92000000000002"/>
        <n v="0.9599999999999991"/>
        <n v="310.114"/>
        <n v="418.68399999999997"/>
        <n v="514.24"/>
        <n v="1175.37"/>
        <n v="4959.55"/>
        <n v="889.21"/>
        <n v="0.030000000000001137"/>
        <n v="91.52200000000002"/>
        <n v="105.76600000000002"/>
        <n v="336.72399999999993"/>
        <n v="0.020000000000010232"/>
        <n v="0.5519999999999641"/>
        <n v="0.47000000000000597"/>
        <n v="0.41599999999994"/>
        <n v="1944.05"/>
        <n v="1440.65"/>
        <n v="797.604"/>
        <n v="223.704"/>
        <n v="680.5600000000001"/>
        <n v="150.57"/>
        <n v="400.64"/>
        <n v="59.91400000000001"/>
        <n v="1364.626"/>
        <n v="18.130000000000003"/>
        <n v="309.51000000000005"/>
        <n v="21.336000000000002"/>
        <n v="28.367999999999995"/>
        <n v="331.26599999999996"/>
        <n v="4537.15"/>
        <n v="2875.1400000000003"/>
        <n v="60.022"/>
        <n v="174.37"/>
        <n v="473.59000000000003"/>
        <n v="171.1"/>
        <n v="9.02"/>
        <n v="9600.084"/>
        <n v="639.37"/>
        <n v="767.5439999999999"/>
        <n v="98.75999999999999"/>
        <n v="479.6"/>
        <n v="0.08800000000000097"/>
        <n v="90.89999999999999"/>
        <n v="466.8"/>
        <n v="25.36"/>
        <n v="324.898"/>
        <n v="69.06"/>
        <n v="306.21"/>
        <n v="3880.8"/>
        <n v="34.5"/>
        <n v="3435.6900000000005"/>
        <n v="622.01"/>
        <n v="642.2700000000001"/>
        <n v="73.72"/>
        <n v="828.27"/>
        <n v="129.88"/>
        <n v="31.779999999999998"/>
        <n v="162.16"/>
        <n v="138.95"/>
        <n v="98.53999999999999"/>
        <n v="4352.752"/>
        <n v="479.97"/>
        <n v="191.67000000000002"/>
        <n v="34.45"/>
        <n v="96.82"/>
        <n v="72.72"/>
        <n v="107.03"/>
        <n v="144.946"/>
        <n v="187.43"/>
        <n v="140.14399999999998"/>
        <n v="2791.7419999999997"/>
        <n v="144.91000000000003"/>
        <n v="16.04"/>
        <n v="43.449999999999996"/>
        <n v="333.65999999999997"/>
        <n v="1364.44"/>
        <n v="80.67000000000002"/>
        <n v="174.17999999999998"/>
        <n v="80.77"/>
        <n v="0.6999999999999886"/>
        <n v="0.46000000000000085"/>
        <n v="0.7799999999999976"/>
        <n v="2272.29"/>
        <n v="178.54"/>
        <n v="1728.172"/>
        <n v="0.46999999999997044"/>
        <n v="78.02"/>
        <n v="146.96"/>
        <n v="302.88800000000003"/>
        <n v="13888.134"/>
        <n v="142.07999999999998"/>
        <n v="750.5999999999999"/>
        <n v="92.63999999999999"/>
        <n v="10389.07"/>
        <n v="1712.17"/>
        <n v="207.23000000000002"/>
        <n v="146.44"/>
        <n v="11200.050000000001"/>
        <n v="208.09000000000003"/>
        <n v="0.37400000000000055"/>
        <n v="0.142000000000003"/>
        <n v="0.5780000000000003"/>
        <n v="0.48499999999989996"/>
        <n v="0.0259999999999998"/>
        <n v="0.07999999999998408"/>
        <n v="1440.6399999999999"/>
        <n v="58.92000000000001"/>
        <n v="543.3799999999999"/>
        <n v="1344.67"/>
        <n v="140.88"/>
        <n v="149.05"/>
        <n v="61.56999999999999"/>
        <n v="906.2099999999999"/>
        <n v="542.29"/>
        <n v="575.9499999999999"/>
        <n v="197.97999999999996"/>
        <n v="71.328"/>
        <n v="48.00800000000001"/>
        <n v="531.2750000000001"/>
        <n v="307.26800000000003"/>
        <n v="19.622"/>
        <n v="126.61399999999999"/>
        <n v="0.20000000000000284"/>
        <n v="0.33000000000000007"/>
        <n v="0.13800000000000523"/>
        <n v="299.78999999999996"/>
        <n v="216.564"/>
        <n v="90.96"/>
        <n v="117.02999999999999"/>
        <n v="251.54"/>
        <n v="864.77"/>
        <n v="147.19400000000002"/>
        <n v="692.75"/>
        <n v="41.42"/>
        <n v="311.06"/>
        <n v="372.57"/>
        <n v="0.6099999999999852"/>
        <n v="0.75"/>
        <n v="53.28"/>
        <n v="50.46"/>
        <n v="59.540000000000006"/>
        <n v="185.75"/>
        <n v="383.7560000000001"/>
        <n v="11.274000000000001"/>
        <n v="118.46199999999999"/>
        <n v="3.3200000000000003"/>
        <n v="52.589999999999996"/>
        <n v="0.2959999999999994"/>
        <n v="0.8099999999999454"/>
        <n v="0.32200000000000273"/>
        <n v="69.71"/>
        <n v="0.879999999999999"/>
        <n v="0.5739999999999981"/>
        <n v="193.10999999999999"/>
        <n v="645.37"/>
        <n v="60.629999999999995"/>
        <n v="744.5400000000001"/>
        <n v="0.1120000000000001"/>
        <n v="0.33199999999999363"/>
        <n v="0.3200000000001637"/>
        <n v="31.39"/>
        <n v="108.82000000000001"/>
        <n v="94.22"/>
        <n v="0.870000000000001"/>
        <n v="111.86600000000001"/>
        <n v="670.35"/>
        <n v="38.10999999999999"/>
        <n v="278.25"/>
        <n v="0.402000000000001"/>
        <n v="13.780000000000001"/>
        <n v="48.32"/>
        <n v="1631.9099999999999"/>
        <n v="1247.27"/>
        <n v="560.072"/>
        <n v="94.846"/>
        <n v="311.25"/>
        <n v="0.060000000000002274"/>
        <n v="27.576"/>
        <n v="63.17"/>
        <n v="110.66199999999998"/>
        <n v="1620.716"/>
        <n v="160.48"/>
        <n v="519.8299999999999"/>
        <n v="104.01000000000002"/>
        <n v="0.9060000000000059"/>
        <n v="0.7160000000000011"/>
        <n v="3599.68"/>
        <n v="5786.75"/>
        <n v="1057.23"/>
        <n v="188.51"/>
        <n v="574.98"/>
        <n v="600.0160000000001"/>
        <n v="4787.688"/>
        <n v="51.536"/>
        <n v="896.5139999999999"/>
        <n v="78.684"/>
        <n v="25.109999999999996"/>
        <n v="0.09999999999999432"/>
        <n v="0.889999999999997"/>
        <n v="0.9300000000000068"/>
        <n v="-0.002000000000066393"/>
        <n v="0.7519999999999989"/>
        <n v="46.92000000000001"/>
        <n v="29.009999999999998"/>
        <n v="44.658"/>
        <n v="270.534"/>
        <n v="42.028"/>
        <n v="0.7520000000000007"/>
        <n v="0.4259999999999948"/>
        <n v="0.46799999999999997"/>
        <n v="0.661999999999999"/>
        <n v="0.8160000000000309"/>
        <n v="1120.56"/>
        <n v="104.27000000000001"/>
        <n v="1076.1399999999999"/>
        <n v="136.97000000000003"/>
        <n v="49.434000000000005"/>
        <n v="8914.968"/>
        <n v="259.28"/>
        <n v="4325.33"/>
        <n v="1342.82"/>
        <n v="2752.46"/>
        <n v="0.34800000000007003"/>
        <n v="0.8220000000000027"/>
        <n v="0.16000000000030923"/>
        <n v="0.28200000000000003"/>
        <n v="0.36400000000000077"/>
        <n v="0.6219999999999999"/>
        <n v="163.11599999999999"/>
        <n v="473.4596"/>
        <n v="348.07000000000005"/>
        <n v="207.846"/>
        <n v="34.216"/>
        <n v="108.866"/>
        <n v="1637.11"/>
        <n v="2572.672"/>
        <n v="37.55"/>
        <n v="175.64"/>
        <n v="10.123999999999999"/>
        <n v="0.05000000000000071"/>
        <n v="0.9700000000000006"/>
        <n v="0.3640000000000043"/>
        <n v="0.710000000000008"/>
        <n v="0.3780000000000001"/>
        <n v="0.5619999999999976"/>
        <n v="0.19200000000000728"/>
        <n v="9.100000000000001"/>
        <n v="9180.468"/>
        <n v="4.144"/>
        <n v="102.9"/>
        <n v="0.03200000000003911"/>
        <n v="23.926"/>
        <n v="3920.3720000000003"/>
        <n v="4227.7699999999995"/>
        <n v="48.166"/>
        <n v="168.026"/>
        <n v="2019.4699999999998"/>
        <n v="7.5040000000000004"/>
        <n v="0.37000000000000455"/>
        <n v="0.4499999999999993"/>
        <n v="2334.2400000000002"/>
        <n v="0.04400000000000048"/>
        <n v="82.15"/>
        <n v="1239.7700000000002"/>
        <n v="2716.43"/>
        <n v="618.83"/>
        <n v="32.68"/>
        <n v="110.08000000000001"/>
        <n v="73.0"/>
        <n v="99.83"/>
        <n v="352.84000000000003"/>
        <n v="0.7600000000002183"/>
        <n v="0.5119999999999436"/>
        <n v="3877.8099999999995"/>
        <n v="116.08200000000001"/>
        <n v="50.42"/>
        <n v="31.198"/>
        <n v="179.44"/>
        <n v="480.614"/>
        <n v="1213.92"/>
        <n v="1242.1100000000001"/>
        <n v="113.02"/>
        <n v="12947.149999999998"/>
        <n v="797.77"/>
        <n v="259.67999999999995"/>
        <n v="0.9300000000000015"/>
        <n v="0.10999999999998522"/>
        <n v="0.29000000000000625"/>
        <n v="0.10000000000002274"/>
        <n v="23.33"/>
        <n v="1267.8"/>
        <n v="1380.42"/>
        <n v="0.16800000000000015"/>
        <n v="94.71199999999999"/>
        <n v="47.168"/>
        <n v="190.018"/>
        <n v="46.852"/>
        <n v="1063.4099999999999"/>
        <n v="1188.1399999999999"/>
        <n v="5129.88"/>
        <n v="745.29"/>
        <n v="87.19"/>
        <n v="47.294"/>
        <n v="8.082"/>
        <n v="43.818"/>
        <n v="433.6"/>
        <n v="293.90600000000006"/>
        <n v="24.366"/>
        <n v="28.986000000000004"/>
        <n v="3485.82"/>
        <n v="0.8000000000000007"/>
        <n v="0.4919999999999618"/>
        <n v="44.769999999999996"/>
        <n v="292.544"/>
        <n v="1273.404"/>
        <n v="2728.04"/>
        <n v="205.60999999999999"/>
        <n v="8908.086"/>
        <n v="800.53"/>
        <n v="0.7679999999999723"/>
        <n v="0.4399999999999995"/>
        <n v="0.4300000000000068"/>
        <n v="0.09399999999999409"/>
        <n v="0.5079999999999991"/>
        <n v="159.714"/>
        <n v="524.5519999999999"/>
        <n v="0.6960000000000002"/>
        <n v="647.294"/>
        <n v="136.00400000000002"/>
        <n v="31.594"/>
        <n v="24.598"/>
        <n v="357.188"/>
        <n v="4.772"/>
        <n v="166.64"/>
        <n v="1558.842"/>
        <n v="11.358"/>
        <n v="0.825999999999997"/>
        <n v="156.24"/>
        <n v="207.256"/>
        <n v="0.8800000000000008"/>
        <n v="44.62"/>
        <n v="30.824"/>
        <n v="224.55200000000002"/>
        <n v="122.69000000000001"/>
        <n v="959.7799999999999"/>
        <n v="252.39000000000004"/>
        <n v="55.5"/>
        <n v="60.59"/>
        <n v="3321.1600000000003"/>
        <n v="0.35199999999997544"/>
        <n v="0.25"/>
        <n v="0.6299999999999955"/>
        <n v="0.4500000000007276"/>
        <n v="25.920000000000005"/>
        <n v="576.614"/>
        <n v="26.189999999999998"/>
        <n v="32.718"/>
        <n v="72.838"/>
        <n v="961.5000000000001"/>
        <n v="1753.966"/>
        <n v="29.9"/>
        <n v="356.19999999999993"/>
        <n v="348.62600000000003"/>
        <n v="35.788"/>
        <n v="3583.13"/>
        <n v="57.12"/>
        <n v="70.82000000000001"/>
        <n v="234.52"/>
        <n v="69.97"/>
        <n v="16.218"/>
        <n v="17.768"/>
        <n v="184.20000000000005"/>
        <n v="604.248"/>
        <n v="13.975999999999999"/>
        <n v="65.55999999999999"/>
        <n v="350.656"/>
        <n v="245.846"/>
        <n v="432.42999999999995"/>
        <n v="62.976000000000006"/>
        <n v="7.244"/>
        <n v="374.038"/>
        <n v="959.0070000000001"/>
        <n v="960.05"/>
        <n v="50.559999999999995"/>
        <n v="560.25"/>
        <n v="1240.73"/>
        <n v="9.350000000000001"/>
        <n v="31.47"/>
        <n v="4199.839999999999"/>
        <n v="138.52"/>
        <n v="231.98"/>
        <n v="40.26"/>
        <n v="140.97"/>
        <n v="6408.5"/>
        <n v="31.19"/>
        <n v="305.94"/>
        <n v="344.70000000000005"/>
        <n v="41.00000000000001"/>
        <n v="64.38"/>
        <n v="155.98000000000002"/>
        <n v="0.5380000000000109"/>
        <n v="0.5799999999999992"/>
        <n v="170.58200000000002"/>
        <n v="862.5999999999999"/>
        <n v="113.03999999999999"/>
        <n v="60.91"/>
        <n v="61.879999999999995"/>
        <n v="52.669999999999995"/>
        <n v="1637.6299999999999"/>
        <n v="70.51"/>
        <n v="52.120000000000005"/>
        <n v="5491.54"/>
        <n v="498.3"/>
        <n v="1932.794"/>
        <n v="18.41"/>
        <n v="38.83"/>
        <n v="33.62"/>
        <n v="1800.31"/>
        <n v="25.128"/>
        <n v="25.560000000000002"/>
        <n v="1119.254"/>
        <n v="122.49000000000001"/>
        <n v="2244.76"/>
        <n v="62.71000000000001"/>
        <n v="455.50000000000006"/>
        <n v="1561.636"/>
        <n v="1452.0"/>
        <n v="46.86"/>
        <n v="431.83"/>
        <n v="0.9399999999999995"/>
        <n v="0.12000000000000455"/>
        <n v="0.3500000000000014"/>
        <n v="141.23"/>
        <n v="3584.2"/>
        <n v="0.010000000000005116"/>
        <n v="0.2799999999999727"/>
        <n v="0.0400000000000027"/>
        <n v="0.43000000000000327"/>
        <n v="67.91999999999999"/>
        <n v="132.89000000000001"/>
        <n v="26.106"/>
        <n v="0.7820000000000036"/>
        <n v="56.24999999999999"/>
        <n v="92.66000000000001"/>
        <n v="172.61"/>
        <n v="180.72"/>
        <n v="1553.0820000000003"/>
        <n v="9261.02"/>
        <n v="26.86"/>
        <n v="22.448"/>
        <n v="8.42"/>
        <n v="97.394"/>
        <n v="3887.36"/>
        <n v="207.70000000000005"/>
        <n v="1580.69"/>
        <n v="655.5899999999999"/>
        <n v="7116.744"/>
        <n v="7138.486000000001"/>
        <n v="1791.96"/>
        <n v="185.33"/>
        <n v="31.125999999999998"/>
        <n v="31.425999999999995"/>
        <n v="50.13600000000001"/>
        <n v="111.994"/>
        <n v="2592.286"/>
        <n v="576.4079999999999"/>
        <n v="6533.474"/>
        <n v="3808.7140000000004"/>
        <n v="13.796000000000001"/>
        <n v="5980.826"/>
        <n v="4155.364"/>
        <n v="2367.11"/>
        <n v="272.65999999999997"/>
        <n v="0.5739999999999998"/>
        <n v="0.22000000000000064"/>
        <n v="0.6700000000000017"/>
        <n v="0.5860000000000127"/>
        <n v="0.2820000000000107"/>
        <n v="0.40600000000000014"/>
        <n v="0.42300000000000004"/>
        <n v="0.5219999999999994"/>
        <n v="0.42600000000004457"/>
        <n v="0.19800000000009277"/>
        <n v="1998.44"/>
        <n v="2047.984"/>
        <n v="0.23000000000000398"/>
        <n v="0.3979999999999999"/>
        <n v="0.5100000000000051"/>
        <n v="0.13000000000002387"/>
        <n v="122.65999999999998"/>
        <n v="70.30000000000001"/>
        <n v="46.29"/>
        <n v="0.17999999999999972"/>
        <n v="0.6400000000000006"/>
        <n v="2520.342"/>
        <n v="96.29599999999999"/>
        <n v="75.41499999999999"/>
        <n v="128.364"/>
        <n v="331.024"/>
        <n v="99.49"/>
        <n v="328.49"/>
        <n v="184.51000000000002"/>
        <n v="0.7300000000000004"/>
        <n v="0.6219999999999573"/>
        <n v="0.14000000000000057"/>
        <n v="97.86999999999999"/>
        <n v="6117.742"/>
        <n v="28886.871999999996"/>
        <n v="2040.2305000000001"/>
        <n v="0.9500000000000028"/>
        <n v="0.9480000000000928"/>
        <n v="0.5800000000000001"/>
        <n v="4400.67"/>
        <n v="0.7280000000000006"/>
        <n v="0.4299999999999997"/>
        <n v="0.8359999999999994"/>
        <n v="28.684000000000005"/>
        <n v="540.636"/>
        <n v="256.33000000000004"/>
        <n v="1728.4699999999998"/>
        <n v="18.522"/>
        <n v="0.19200000000000017"/>
        <n v="210.23000000000002"/>
        <n v="126.19"/>
        <n v="52.660000000000004"/>
        <n v="1143.5500000000002"/>
        <n v="2338.6279999999997"/>
        <n v="206.114"/>
        <n v="25.93"/>
        <n v="511.986"/>
        <n v="244.282"/>
        <n v="224.36799999999997"/>
        <n v="63.13600000000001"/>
        <n v="2330.65"/>
        <n v="86.944"/>
        <n v="384.174"/>
        <n v="519.014"/>
        <n v="66.4"/>
        <n v="168.56"/>
        <n v="1113.79"/>
        <n v="30.59"/>
        <n v="34.97"/>
        <n v="503.90999999999997"/>
        <n v="16.974"/>
        <n v="15.010000000000002"/>
        <n v="0.8900000000000006"/>
        <n v="0.7700000000000031"/>
        <n v="0.902000000000001"/>
        <n v="0.03999999999999915"/>
        <n v="105.83399999999999"/>
        <n v="259.24999999999994"/>
        <n v="264.2"/>
        <n v="914.4499999999999"/>
        <n v="24.65"/>
        <n v="5920.834"/>
        <n v="111.51599999999999"/>
        <n v="166.58999999999997"/>
        <n v="460.78"/>
        <n v="216.58"/>
        <n v="573.29"/>
        <n v="287.2"/>
        <n v="62.260000000000005"/>
        <n v="48.72"/>
        <n v="576.1300000000001"/>
        <n v="2519.888"/>
        <n v="374.21999999999997"/>
        <n v="141.69799999999998"/>
        <n v="174.76000000000002"/>
        <n v="1296.01"/>
        <n v="1292.892"/>
        <n v="0.9899999999999998"/>
        <n v="466.6980000000001"/>
        <n v="311.92"/>
        <n v="1471.35"/>
        <n v="4634.45"/>
        <n v="0.5599999999999987"/>
        <n v="1152.7999999999997"/>
        <n v="10.732"/>
        <n v="16.326"/>
        <n v="856.798"/>
        <n v="218.57"/>
        <n v="10.862000000000002"/>
        <n v="88.01"/>
        <n v="0.3019999999999996"/>
        <n v="56.769999999999996"/>
        <n v="703.38"/>
        <n v="296.56"/>
        <n v="9.010000000000002"/>
        <n v="82.47"/>
        <n v="6.630000000000001"/>
        <n v="48.08"/>
        <n v="1126.7939999999999"/>
        <n v="2763.41"/>
        <n v="201.71"/>
        <n v="0.9000000000000057"/>
        <n v="696.1200000000001"/>
        <n v="16.39"/>
        <n v="29.298"/>
        <n v="0.38000000000000256"/>
        <n v="0.20000000000000107"/>
        <n v="375.89"/>
        <n v="189.62"/>
        <n v="79.37"/>
        <n v="214.24"/>
        <n v="144.10000000000002"/>
        <n v="1291.8139999999999"/>
        <n v="32.08"/>
        <n v="1472.43"/>
        <n v="141.76000000000002"/>
        <n v="2408.156"/>
        <n v="1325.102"/>
        <n v="1688.7279999999998"/>
        <n v="237.91"/>
        <n v="12.806000000000001"/>
        <n v="1165.0720000000001"/>
        <n v="0.5759999999999934"/>
        <n v="0.9800000000000004"/>
        <n v="0.8860000000000241"/>
        <n v="268.844"/>
        <n v="672.342"/>
        <n v="1680.646"/>
        <n v="1411.192"/>
        <n v="6294.268"/>
        <n v="1167.69"/>
        <n v="4130.824"/>
        <n v="98.66"/>
        <n v="49.559999999999995"/>
        <n v="236.90000000000003"/>
        <n v="136.852"/>
        <n v="6389.73"/>
        <n v="7628.5599999999995"/>
        <n v="3135.3199999999997"/>
        <n v="115.46999999999998"/>
        <n v="2799.81"/>
        <n v="1113.03"/>
        <n v="92.57199999999999"/>
        <n v="420.322"/>
        <n v="162.18"/>
        <n v="697.79"/>
        <n v="19.22"/>
        <n v="38.05"/>
        <n v="480.0899999999999"/>
        <n v="336.73"/>
        <n v="210.39999999999995"/>
        <n v="969.94"/>
        <n v="246.08999999999997"/>
        <n v="309.14"/>
        <n v="684.8100000000002"/>
        <n v="10.484"/>
        <n v="3262.8900000000003"/>
        <n v="333.7"/>
        <n v="0.1960000000000015"/>
        <n v="0.7900000000000009"/>
        <n v="0.730000000000004"/>
        <n v="0.040000000000000036"/>
        <n v="22.580000000000002"/>
        <n v="252.76999999999998"/>
        <n v="616.144"/>
        <n v="1258.62"/>
        <n v="0.22400000000001796"/>
        <n v="0.8539999999999992"/>
        <n v="0.3299999999999983"/>
        <n v="0.8399999999999963"/>
        <n v="2752.4100000000003"/>
        <n v="142.14999999999998"/>
        <n v="0.8159999999999741"/>
        <n v="0.6100000000000136"/>
        <n v="0.6579999999999586"/>
        <n v="1920.35"/>
        <n v="302.3"/>
        <n v="5678.528"/>
        <n v="907.3399999999999"/>
        <n v="30.346000000000004"/>
        <n v="604.446"/>
        <n v="508.674"/>
        <n v="425.486"/>
        <n v="539.3280000000001"/>
        <n v="839.8919999999999"/>
        <n v="1847.79"/>
        <n v="2546.1040000000003"/>
        <n v="78.55199999999999"/>
        <n v="118.37"/>
        <n v="239.17999999999998"/>
        <n v="3419.75"/>
        <n v="662.3380000000001"/>
        <n v="306.18999999999994"/>
        <n v="15.469999999999999"/>
        <n v="3640.7"/>
        <n v="272.08"/>
        <n v="94.26599999999999"/>
        <n v="16.142000000000003"/>
        <n v="1583.4499999999998"/>
        <n v="14721.319999999998"/>
        <n v="29.97"/>
        <n v="40.68"/>
        <n v="294.048"/>
        <n v="42.18"/>
        <n v="976.442"/>
        <n v="9900.588000000002"/>
        <n v="823.9859999999999"/>
        <n v="2352.372"/>
        <n v="240.094"/>
        <n v="0.2519999999999998"/>
        <n v="710.1279999999999"/>
        <n v="14.18"/>
        <n v="142.41"/>
        <n v="184.13000000000002"/>
        <n v="68.12"/>
        <n v="6080.09"/>
        <n v="182.78000000000003"/>
        <n v="906.23"/>
        <n v="52.480000000000004"/>
        <n v="95.65199999999999"/>
        <n v="137.54"/>
        <n v="443.57599999999996"/>
        <n v="1709.008"/>
        <n v="960.7180000000002"/>
        <n v="6148.751999999999"/>
        <n v="850.408"/>
        <n v="672.188"/>
        <n v="512.5840000000001"/>
        <n v="2618.88"/>
        <n v="125.00999999999999"/>
        <n v="39.34"/>
        <n v="0.6079999999999997"/>
        <n v="70.26"/>
        <n v="40.446"/>
        <n v="0.10200000000000031"/>
        <n v="0.6099999999999994"/>
        <n v="52.51200000000001"/>
        <n v="256.142"/>
        <n v="208.10000000000002"/>
        <n v="324.14"/>
        <n v="270.96999999999997"/>
        <n v="20.043999999999997"/>
        <n v="7.122"/>
        <n v="1416.87"/>
        <n v="0.6999999999999997"/>
        <n v="9702.832"/>
        <n v="720.4200000000001"/>
        <n v="341.79"/>
        <n v="0.15000000000000036"/>
        <n v="0.7199999999999989"/>
        <n v="0.0"/>
        <n v="0.2420000000000755"/>
        <n v="77.80000000000001"/>
        <n v="80.32"/>
        <n v="61.553999999999995"/>
        <n v="101.228"/>
        <n v="79.51999999999998"/>
        <n v="145.53"/>
        <n v="96.8720000000000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S1500" sheet="CleanedDataset"/>
  </cacheSource>
  <cacheFields>
    <cacheField name="Order Date" numFmtId="164">
      <sharedItems containsSemiMixedTypes="0" containsDate="1" containsString="0">
        <d v="2017-08-11T00:00:00Z"/>
        <d v="2017-12-06T00:00:00Z"/>
        <d v="2016-11-10T00:00:00Z"/>
        <d v="2015-09-06T00:00:00Z"/>
        <d v="2018-04-15T00:00:00Z"/>
        <d v="2017-05-12T00:00:00Z"/>
        <d v="2016-11-22T00:00:00Z"/>
        <d v="2015-11-11T00:00:00Z"/>
        <d v="2015-05-13T00:00:00Z"/>
        <d v="2015-08-27T00:00:00Z"/>
        <d v="2017-09-12T00:00:00Z"/>
        <d v="2018-07-16T00:00:00Z"/>
        <d v="2016-09-25T00:00:00Z"/>
        <d v="2017-01-16T00:00:00Z"/>
        <d v="2016-09-17T00:00:00Z"/>
        <d v="2018-10-19T00:00:00Z"/>
        <d v="2017-08-12T00:00:00Z"/>
        <d v="2016-12-27T00:00:00Z"/>
        <d v="2018-10-09T00:00:00Z"/>
        <d v="2017-07-17T00:00:00Z"/>
        <d v="2018-09-19T00:00:00Z"/>
        <d v="2017-11-03T00:00:00Z"/>
        <d v="2015-10-20T00:00:00Z"/>
        <d v="2017-06-20T00:00:00Z"/>
        <d v="2016-04-18T00:00:00Z"/>
        <d v="2017-11-12T00:00:00Z"/>
        <d v="2017-06-17T00:00:00Z"/>
        <d v="2016-11-24T00:00:00Z"/>
        <d v="2016-04-30T00:00:00Z"/>
        <d v="2015-05-12T00:00:00Z"/>
        <d v="2017-04-06T00:00:00Z"/>
        <d v="2017-09-18T00:00:00Z"/>
        <d v="2018-09-14T00:00:00Z"/>
        <d v="2016-04-26T00:00:00Z"/>
        <d v="2018-09-12T00:00:00Z"/>
        <d v="2015-11-26T00:00:00Z"/>
        <d v="2015-12-10T00:00:00Z"/>
        <d v="2016-03-09T00:00:00Z"/>
        <d v="2018-11-13T00:00:00Z"/>
        <d v="2018-05-28T00:00:00Z"/>
        <d v="2018-10-26T00:00:00Z"/>
        <d v="2017-05-04T00:00:00Z"/>
        <d v="2017-09-17T00:00:00Z"/>
        <d v="2016-01-31T00:00:00Z"/>
        <d v="2018-06-11T00:00:00Z"/>
        <d v="2018-09-11T00:00:00Z"/>
        <d v="2018-06-17T00:00:00Z"/>
        <d v="2017-06-09T00:00:00Z"/>
        <d v="2017-08-29T00:00:00Z"/>
        <d v="2017-01-12T00:00:00Z"/>
        <d v="2016-11-13T00:00:00Z"/>
        <d v="2018-11-23T00:00:00Z"/>
        <d v="2016-10-15T00:00:00Z"/>
        <d v="2018-12-25T00:00:00Z"/>
        <d v="2017-03-11T00:00:00Z"/>
        <d v="2015-08-25T00:00:00Z"/>
        <d v="2016-02-03T00:00:00Z"/>
        <d v="2016-05-04T00:00:00Z"/>
        <d v="2015-12-26T00:00:00Z"/>
        <d v="2015-09-20T00:00:00Z"/>
        <d v="2018-05-11T00:00:00Z"/>
        <d v="2017-06-11T00:00:00Z"/>
        <d v="2018-02-02T00:00:00Z"/>
        <d v="2017-10-13T00:00:00Z"/>
        <d v="2017-05-09T00:00:00Z"/>
        <d v="2018-09-18T00:00:00Z"/>
        <d v="2018-12-22T00:00:00Z"/>
        <d v="2016-07-09T00:00:00Z"/>
        <d v="2015-10-22T00:00:00Z"/>
        <d v="2017-03-13T00:00:00Z"/>
        <d v="2016-05-31T00:00:00Z"/>
        <d v="2016-05-28T00:00:00Z"/>
        <d v="2015-01-03T00:00:00Z"/>
        <d v="2017-11-20T00:00:00Z"/>
        <d v="2017-11-05T00:00:00Z"/>
        <d v="2016-12-28T00:00:00Z"/>
        <d v="2017-11-16T00:00:00Z"/>
        <d v="2017-07-11T00:00:00Z"/>
        <d v="2015-08-09T00:00:00Z"/>
        <d v="2015-05-08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2-10T00:00:00Z"/>
        <d v="2016-10-31T00:00:00Z"/>
        <d v="2015-03-21T00:00:00Z"/>
        <d v="2018-06-07T00:00:00Z"/>
        <d v="2018-06-24T00:00:00Z"/>
        <d v="2015-03-08T00:00:00Z"/>
        <d v="2018-12-17T00:00:00Z"/>
        <d v="2018-03-06T00:00:00Z"/>
        <d v="2018-01-12T00:00:00Z"/>
        <d v="2016-09-02T00:00:00Z"/>
        <d v="2016-02-01T00:00:00Z"/>
        <d v="2017-10-28T00:00:00Z"/>
        <d v="2016-12-24T00:00:00Z"/>
        <d v="2016-09-08T00:00:00Z"/>
        <d v="2016-02-28T00:00:00Z"/>
        <d v="2015-09-13T00:00:00Z"/>
        <d v="2018-07-04T00:00:00Z"/>
        <d v="2018-12-11T00:00:00Z"/>
        <d v="2015-01-06T00:00:00Z"/>
        <d v="2017-10-12T00:00:00Z"/>
        <d v="2017-11-09T00:00:00Z"/>
        <d v="2016-11-28T00:00:00Z"/>
        <d v="2018-08-06T00:00:00Z"/>
        <d v="2015-09-19T00:00:00Z"/>
        <d v="2017-06-06T00:00:00Z"/>
        <d v="2016-10-11T00:00:00Z"/>
        <d v="2018-06-16T00:00:00Z"/>
        <d v="2017-01-22T00:00:00Z"/>
        <d v="2018-12-28T00:00:00Z"/>
        <d v="2016-07-30T00:00:00Z"/>
        <d v="2018-09-16T00:00:00Z"/>
        <d v="2018-10-13T00:00:00Z"/>
        <d v="2016-09-26T00:00:00Z"/>
        <d v="2016-02-11T00:00:00Z"/>
        <d v="2017-12-18T00:00:00Z"/>
        <d v="2018-11-19T00:00:00Z"/>
        <d v="2016-04-05T00:00:00Z"/>
        <d v="2015-12-30T00:00:00Z"/>
        <d v="2017-12-09T00:00:00Z"/>
        <d v="2015-09-27T00:00:00Z"/>
        <d v="2015-09-08T00:00:00Z"/>
        <d v="2015-12-28T00:00:00Z"/>
        <d v="2015-04-11T00:00:00Z"/>
        <d v="2017-04-23T00:00:00Z"/>
        <d v="2018-03-11T00:00:00Z"/>
        <d v="2017-08-30T00:00:00Z"/>
        <d v="2017-04-25T00:00:00Z"/>
        <d v="2016-01-09T00:00:00Z"/>
        <d v="2015-12-07T00:00:00Z"/>
        <d v="2016-06-22T00:00:00Z"/>
        <d v="2015-04-13T00:00:00Z"/>
        <d v="2016-12-20T00:00:00Z"/>
        <d v="2018-06-15T00:00:00Z"/>
        <d v="2018-08-07T00:00:00Z"/>
        <d v="2017-01-09T00:00:00Z"/>
        <d v="2017-08-04T00:00:00Z"/>
        <d v="2018-08-03T00:00:00Z"/>
        <d v="2018-09-25T00:00:00Z"/>
        <d v="2015-09-24T00:00:00Z"/>
        <d v="2017-10-21T00:00:00Z"/>
        <d v="2018-05-29T00:00:00Z"/>
        <d v="2015-07-23T00:00:00Z"/>
        <d v="2017-09-28T00:00:00Z"/>
        <d v="2018-08-27T00:00:00Z"/>
        <d v="2016-04-28T00:00:00Z"/>
        <d v="2016-06-26T00:00:00Z"/>
        <d v="2016-11-27T00:00:00Z"/>
        <d v="2016-03-12T00:00:00Z"/>
        <d v="2015-11-24T00:00:00Z"/>
        <d v="2018-11-12T00:00:00Z"/>
        <d v="2015-09-21T00:00:00Z"/>
        <d v="2015-07-06T00:00:00Z"/>
        <d v="2018-06-30T00:00:00Z"/>
        <d v="2018-10-17T00:00:00Z"/>
        <d v="2017-08-09T00:00:00Z"/>
        <d v="2015-12-24T00:00:00Z"/>
        <d v="2015-04-16T00:00:00Z"/>
        <d v="2018-12-24T00:00:00Z"/>
        <d v="2018-08-12T00:00:00Z"/>
        <d v="2017-04-14T00:00:00Z"/>
        <d v="2018-04-03T00:00:00Z"/>
        <d v="2015-06-22T00:00:00Z"/>
        <d v="2018-08-21T00:00:00Z"/>
        <d v="2015-12-09T00:00:00Z"/>
        <d v="2018-01-10T00:00:00Z"/>
        <d v="2017-04-15T00:00:00Z"/>
        <d v="2015-12-19T00:00:00Z"/>
        <d v="2018-09-15T00:00:00Z"/>
        <d v="2018-01-20T00:00:00Z"/>
        <d v="2018-03-20T00:00:00Z"/>
        <d v="2017-01-04T00:00:00Z"/>
        <d v="2018-10-20T00:00:00Z"/>
        <d v="2017-12-13T00:00:00Z"/>
        <d v="2015-12-02T00:00:00Z"/>
        <d v="2017-09-26T00:00:00Z"/>
        <d v="2017-04-22T00:00:00Z"/>
        <d v="2016-01-17T00:00:00Z"/>
        <d v="2018-03-31T00:00:00Z"/>
        <d v="2017-12-16T00:00:00Z"/>
        <d v="2015-09-11T00:00:00Z"/>
        <d v="2017-12-07T00:00:00Z"/>
        <d v="2017-10-27T00:00:00Z"/>
        <d v="2017-06-26T00:00:00Z"/>
        <d v="2015-06-10T00:00:00Z"/>
        <d v="2015-07-22T00:00:00Z"/>
        <d v="2018-10-06T00:00:00Z"/>
        <d v="2015-10-29T00:00:00Z"/>
        <d v="2017-09-05T00:00:00Z"/>
        <d v="2017-03-18T00:00:00Z"/>
        <d v="2017-07-25T00:00:00Z"/>
        <d v="2017-05-30T00:00:00Z"/>
        <d v="2016-03-16T00:00:00Z"/>
        <d v="2018-11-26T00:00:00Z"/>
        <d v="2017-10-20T00:00:00Z"/>
        <d v="2018-12-21T00:00:00Z"/>
        <d v="2018-01-22T00:00:00Z"/>
        <d v="2016-03-22T00:00:00Z"/>
        <d v="2018-01-23T00:00:00Z"/>
        <d v="2017-05-21T00:00:00Z"/>
        <d v="2016-12-26T00:00:00Z"/>
        <d v="2018-10-21T00:00:00Z"/>
        <d v="2016-07-11T00:00:00Z"/>
        <d v="2018-07-09T00:00:00Z"/>
        <d v="2017-05-29T00:00:00Z"/>
        <d v="2017-10-07T00:00:00Z"/>
        <d v="2018-03-09T00:00:00Z"/>
        <d v="2016-07-12T00:00:00Z"/>
        <d v="2015-01-02T00:00:00Z"/>
        <d v="2017-07-14T00:00:00Z"/>
        <d v="2016-12-18T00:00:00Z"/>
        <d v="2015-11-05T00:00:00Z"/>
        <d v="2016-11-15T00:00:00Z"/>
        <d v="2018-11-09T00:00:00Z"/>
        <d v="2018-11-24T00:00:00Z"/>
        <d v="2018-06-29T00:00:00Z"/>
        <d v="2015-03-03T00:00:00Z"/>
        <d v="2017-10-06T00:00:00Z"/>
        <d v="2018-11-20T00:00:00Z"/>
        <d v="2018-07-12T00:00:00Z"/>
        <d v="2016-09-18T00:00:00Z"/>
        <d v="2018-07-20T00:00:00Z"/>
        <d v="2016-10-09T00:00:00Z"/>
        <d v="2016-03-07T00:00:00Z"/>
        <d v="2017-03-20T00:00:00Z"/>
        <d v="2015-09-01T00:00:00Z"/>
        <d v="2015-08-08T00:00:00Z"/>
        <d v="2015-03-15T00:00:00Z"/>
        <d v="2015-05-23T00:00:00Z"/>
        <d v="2017-04-28T00:00:00Z"/>
        <d v="2018-11-14T00:00:00Z"/>
        <d v="2018-08-18T00:00:00Z"/>
        <d v="2016-11-29T00:00:00Z"/>
        <d v="2018-05-19T00:00:00Z"/>
        <d v="2018-09-24T00:00:00Z"/>
        <d v="2016-04-10T00:00:00Z"/>
        <d v="2017-08-15T00:00:00Z"/>
        <d v="2017-05-20T00:00:00Z"/>
        <d v="2018-07-30T00:00:00Z"/>
        <d v="2018-07-21T00:00:00Z"/>
        <d v="2018-12-30T00:00:00Z"/>
        <d v="2017-10-23T00:00:00Z"/>
        <d v="2018-06-19T00:00:00Z"/>
        <d v="2017-08-22T00:00:00Z"/>
        <d v="2017-09-19T00:00:00Z"/>
        <d v="2016-08-24T00:00:00Z"/>
        <d v="2017-03-26T00:00:00Z"/>
        <d v="2017-04-11T00:00:00Z"/>
        <d v="2018-09-06T00:00:00Z"/>
        <d v="2018-05-12T00:00:00Z"/>
        <d v="2018-03-18T00:00:00Z"/>
        <d v="2017-11-19T00:00:00Z"/>
        <d v="2018-04-11T00:00:00Z"/>
        <d v="2015-05-07T00:00:00Z"/>
        <d v="2015-06-21T00:00:00Z"/>
        <d v="2016-03-28T00:00:00Z"/>
        <d v="2016-05-14T00:00:00Z"/>
        <d v="2018-02-09T00:00:00Z"/>
        <d v="2016-09-04T00:00:00Z"/>
        <d v="2015-02-12T00:00:00Z"/>
        <d v="2015-05-04T00:00:00Z"/>
        <d v="2015-01-07T00:00:00Z"/>
        <d v="2015-11-01T00:00:00Z"/>
        <d v="2015-02-06T00:00:00Z"/>
        <d v="2017-02-13T00:00:00Z"/>
        <d v="2017-12-15T00:00:00Z"/>
        <d v="2015-07-10T00:00:00Z"/>
        <d v="2017-07-07T00:00:00Z"/>
        <d v="2017-03-12T00:00:00Z"/>
        <d v="2018-01-21T00:00:00Z"/>
        <d v="2015-04-01T00:00:00Z"/>
        <d v="2017-08-27T00:00:00Z"/>
        <d v="2015-05-27T00:00:00Z"/>
        <d v="2018-02-10T00:00:00Z"/>
        <d v="2017-07-04T00:00:00Z"/>
        <d v="2015-12-29T00:00:00Z"/>
        <d v="2018-07-23T00:00:00Z"/>
        <d v="2016-08-31T00:00:00Z"/>
        <d v="2016-08-02T00:00:00Z"/>
        <d v="2015-01-13T00:00:00Z"/>
        <d v="2015-05-14T00:00:00Z"/>
        <d v="2017-05-19T00:00:00Z"/>
        <d v="2018-01-30T00:00:00Z"/>
        <d v="2015-06-29T00:00:00Z"/>
        <d v="2016-08-21T00:00:00Z"/>
        <d v="2016-03-10T00:00:00Z"/>
        <d v="2016-05-23T00:00:00Z"/>
        <d v="2018-03-17T00:00:00Z"/>
        <d v="2016-12-12T00:00:00Z"/>
        <d v="2018-09-21T00:00:00Z"/>
        <d v="2018-02-20T00:00:00Z"/>
        <d v="2017-08-18T00:00:00Z"/>
        <d v="2017-12-03T00:00:00Z"/>
        <d v="2018-04-22T00:00:00Z"/>
        <d v="2015-01-11T00:00:00Z"/>
        <d v="2016-03-02T00:00:00Z"/>
        <d v="2015-10-13T00:00:00Z"/>
        <d v="2018-05-14T00:00:00Z"/>
        <d v="2016-03-20T00:00:00Z"/>
        <d v="2017-09-15T00:00:00Z"/>
        <d v="2015-06-28T00:00:00Z"/>
        <d v="2018-06-20T00:00:00Z"/>
        <d v="2015-09-05T00:00:00Z"/>
        <d v="2017-07-23T00:00:00Z"/>
        <d v="2017-07-03T00:00:00Z"/>
        <d v="2016-11-20T00:00:00Z"/>
        <d v="2016-10-13T00:00:00Z"/>
        <d v="2018-01-01T00:00:00Z"/>
        <d v="2015-07-02T00:00:00Z"/>
        <d v="2017-05-28T00:00:00Z"/>
        <d v="2017-02-19T00:00:00Z"/>
        <d v="2018-10-04T00:00:00Z"/>
        <d v="2017-05-01T00:00:00Z"/>
        <d v="2015-10-01T00:00:00Z"/>
        <d v="2017-09-29T00:00:00Z"/>
        <d v="2015-06-04T00:00:00Z"/>
        <d v="2017-03-09T00:00:00Z"/>
        <d v="2016-10-19T00:00:00Z"/>
        <d v="2015-10-12T00:00:00Z"/>
        <d v="2018-08-25T00:00:00Z"/>
        <d v="2017-01-17T00:00:00Z"/>
        <d v="2015-09-17T00:00:00Z"/>
        <d v="2018-11-30T00:00:00Z"/>
        <d v="2016-09-10T00:00:00Z"/>
        <d v="2018-12-23T00:00:00Z"/>
        <d v="2017-10-22T00:00:00Z"/>
        <d v="2015-04-29T00:00:00Z"/>
        <d v="2016-04-25T00:00:00Z"/>
        <d v="2018-06-26T00:00:00Z"/>
        <d v="2018-10-14T00:00:00Z"/>
        <d v="2015-09-12T00:00:00Z"/>
        <d v="2017-10-11T00:00:00Z"/>
        <d v="2017-03-10T00:00:00Z"/>
        <d v="2015-09-09T00:00:00Z"/>
        <d v="2018-10-29T00:00:00Z"/>
        <d v="2017-10-04T00:00:00Z"/>
        <d v="2018-11-11T00:00:00Z"/>
        <d v="2018-11-27T00:00:00Z"/>
        <d v="2015-06-15T00:00:00Z"/>
        <d v="2017-05-03T00:00:00Z"/>
        <d v="2016-11-04T00:00:00Z"/>
        <d v="2016-05-10T00:00:00Z"/>
        <d v="2018-04-14T00:00:00Z"/>
        <d v="2016-12-13T00:00:00Z"/>
        <d v="2017-06-19T00:00:00Z"/>
        <d v="2016-05-29T00:00:00Z"/>
        <d v="2016-07-26T00:00:00Z"/>
        <d v="2018-11-28T00:00:00Z"/>
        <d v="2018-03-04T00:00:00Z"/>
        <d v="2018-05-15T00:00:00Z"/>
        <d v="2016-09-22T00:00:00Z"/>
        <d v="2015-09-22T00:00:00Z"/>
        <d v="2018-09-04T00:00:00Z"/>
        <d v="2015-01-16T00:00:00Z"/>
        <d v="2018-05-10T00:00:00Z"/>
        <d v="2018-09-07T00:00:00Z"/>
        <d v="2018-07-01T00:00:00Z"/>
        <d v="2016-09-12T00:00:00Z"/>
        <d v="2018-09-29T00:00:00Z"/>
        <d v="2016-10-03T00:00:00Z"/>
        <d v="2018-05-21T00:00:00Z"/>
        <d v="2016-03-29T00:00:00Z"/>
        <d v="2017-09-09T00:00:00Z"/>
        <d v="2017-08-26T00:00:00Z"/>
        <d v="2015-05-21T00:00:00Z"/>
        <d v="2016-10-28T00:00:00Z"/>
        <d v="2017-11-13T00:00:00Z"/>
        <d v="2016-07-31T00:00:00Z"/>
        <d v="2016-08-27T00:00:00Z"/>
        <d v="2016-06-11T00:00:00Z"/>
        <d v="2018-12-26T00:00:00Z"/>
        <d v="2018-01-08T00:00:00Z"/>
        <d v="2016-12-21T00:00:00Z"/>
        <d v="2016-06-07T00:00:00Z"/>
        <d v="2016-04-27T00:00:00Z"/>
        <d v="2016-06-16T00:00:00Z"/>
        <d v="2017-11-01T00:00:00Z"/>
        <d v="2015-11-07T00:00:00Z"/>
        <d v="2016-06-13T00:00:00Z"/>
        <d v="2018-12-10T00:00:00Z"/>
        <d v="2017-08-03T00:00:00Z"/>
        <d v="2016-04-04T00:00:00Z"/>
        <d v="2018-10-12T00:00:00Z"/>
        <d v="2017-11-24T00:00:00Z"/>
        <d v="2016-03-23T00:00:00Z"/>
        <d v="2016-04-16T00:00:00Z"/>
        <d v="2017-01-10T00:00:00Z"/>
        <d v="2018-09-28T00:00:00Z"/>
        <d v="2016-07-25T00:00:00Z"/>
        <d v="2017-12-11T00:00:00Z"/>
        <d v="2018-09-23T00:00:00Z"/>
        <d v="2017-01-03T00:00:00Z"/>
        <d v="2017-12-08T00:00:00Z"/>
        <d v="2018-04-06T00:00:00Z"/>
        <d v="2016-06-12T00:00:00Z"/>
        <d v="2015-06-25T00:00:00Z"/>
        <d v="2017-06-14T00:00:00Z"/>
        <d v="2018-12-18T00:00:00Z"/>
        <d v="2017-07-22T00:00:00Z"/>
        <d v="2016-04-09T00:00:00Z"/>
        <d v="2015-01-20T00:00:00Z"/>
        <d v="2017-12-04T00:00:00Z"/>
        <d v="2017-06-12T00:00:00Z"/>
        <d v="2017-05-06T00:00:00Z"/>
        <d v="2015-09-29T00:00:00Z"/>
        <d v="2016-08-05T00:00:00Z"/>
        <d v="2017-12-31T00:00:00Z"/>
        <d v="2015-12-20T00:00:00Z"/>
        <d v="2017-02-07T00:00:00Z"/>
        <d v="2015-01-09T00:00:00Z"/>
        <d v="2015-04-05T00:00:00Z"/>
        <d v="2015-10-03T00:00:00Z"/>
        <d v="2015-04-21T00:00:00Z"/>
        <d v="2016-10-22T00:00:00Z"/>
        <d v="2016-08-22T00:00:00Z"/>
        <d v="2015-12-27T00:00:00Z"/>
        <d v="2017-04-24T00:00:00Z"/>
        <d v="2018-01-14T00:00:00Z"/>
        <d v="2018-02-26T00:00:00Z"/>
        <d v="2016-09-15T00:00:00Z"/>
        <d v="2017-07-18T00:00:00Z"/>
        <d v="2018-09-09T00:00:00Z"/>
        <d v="2017-04-12T00:00:00Z"/>
        <d v="2015-11-08T00:00:00Z"/>
        <d v="2017-02-15T00:00:00Z"/>
        <d v="2015-12-12T00:00:00Z"/>
        <d v="2016-04-07T00:00:00Z"/>
        <d v="2018-10-03T00:00:00Z"/>
        <d v="2017-12-24T00:00:00Z"/>
        <d v="2018-10-23T00:00:00Z"/>
        <d v="2018-07-07T00:00:00Z"/>
        <d v="2017-04-21T00:00:00Z"/>
        <d v="2017-05-26T00:00:00Z"/>
        <d v="2017-02-05T00:00:00Z"/>
        <d v="2017-11-22T00:00:00Z"/>
        <d v="2016-05-25T00:00:00Z"/>
        <d v="2017-12-23T00:00:00Z"/>
        <d v="2016-09-19T00:00:00Z"/>
        <d v="2018-03-07T00:00:00Z"/>
        <d v="2017-09-24T00:00:00Z"/>
        <d v="2018-03-02T00:00:00Z"/>
        <d v="2018-03-03T00:00:00Z"/>
        <d v="2018-09-10T00:00:00Z"/>
        <d v="2015-09-28T00:00:00Z"/>
        <d v="2016-06-14T00:00:00Z"/>
        <d v="2017-03-30T00:00:00Z"/>
        <d v="2018-10-15T00:00:00Z"/>
        <d v="2017-05-23T00:00:00Z"/>
        <d v="2018-02-06T00:00:00Z"/>
        <d v="2015-02-16T00:00:00Z"/>
        <d v="2015-06-05T00:00:00Z"/>
        <d v="2017-05-16T00:00:00Z"/>
        <d v="2018-02-04T00:00:00Z"/>
        <d v="2018-02-01T00:00:00Z"/>
        <d v="2015-03-17T00:00:00Z"/>
        <d v="2015-03-10T00:00:00Z"/>
        <d v="2017-03-28T00:00:00Z"/>
        <d v="2018-04-05T00:00:00Z"/>
        <d v="2017-05-05T00:00:00Z"/>
        <d v="2018-04-26T00:00:00Z"/>
        <d v="2015-09-26T00:00:00Z"/>
        <d v="2018-10-11T00:00:00Z"/>
        <d v="2018-07-03T00:00:00Z"/>
        <d v="2015-01-04T00:00:00Z"/>
        <d v="2016-09-14T00:00:00Z"/>
        <d v="2015-04-08T00:00:00Z"/>
        <d v="2017-05-02T00:00:00Z"/>
        <d v="2017-01-11T00:00:00Z"/>
        <d v="2017-04-19T00:00:00Z"/>
        <d v="2017-02-09T00:00:00Z"/>
        <d v="2017-09-25T00:00:00Z"/>
        <d v="2017-09-07T00:00:00Z"/>
        <d v="2015-06-30T00:00:00Z"/>
        <d v="2018-01-28T00:00:00Z"/>
        <d v="2016-09-21T00:00:00Z"/>
        <d v="2017-12-26T00:00:00Z"/>
        <d v="2018-12-04T00:00:00Z"/>
        <d v="2018-12-19T00:00:00Z"/>
        <d v="2018-05-08T00:00:00Z"/>
        <d v="2016-01-10T00:00:00Z"/>
        <d v="2018-06-13T00:00:00Z"/>
        <d v="2015-04-23T00:00:00Z"/>
        <d v="2016-01-05T00:00:00Z"/>
        <d v="2016-07-19T00:00:00Z"/>
        <d v="2017-11-26T00:00:00Z"/>
        <d v="2018-12-06T00:00:00Z"/>
        <d v="2016-08-17T00:00:00Z"/>
        <d v="2016-01-12T00:00:00Z"/>
        <d v="2016-05-16T00:00:00Z"/>
        <d v="2016-09-24T00:00:00Z"/>
        <d v="2018-11-07T00:00:00Z"/>
        <d v="2018-03-19T00:00:00Z"/>
        <d v="2017-02-12T00:00:00Z"/>
        <d v="2017-10-14T00:00:00Z"/>
        <d v="2015-11-27T00:00:00Z"/>
        <d v="2016-03-11T00:00:00Z"/>
        <d v="2015-11-29T00:00:00Z"/>
        <d v="2018-04-30T00:00:00Z"/>
        <d v="2018-10-30T00:00:00Z"/>
        <d v="2015-12-17T00:00:00Z"/>
        <d v="2018-04-09T00:00:00Z"/>
        <d v="2017-10-17T00:00:00Z"/>
      </sharedItems>
    </cacheField>
    <cacheField name="Order Month" numFmtId="164">
      <sharedItems>
        <s v="Aug"/>
        <s v="Dec"/>
        <s v="Nov"/>
        <s v="Sep"/>
        <s v="Apr"/>
        <s v="May"/>
        <s v="Jul"/>
        <s v="Jan"/>
        <s v="Oct"/>
        <s v="Jun"/>
        <s v="Mar"/>
        <s v="Feb"/>
      </sharedItems>
    </cacheField>
    <cacheField name="Ship Date" numFmtId="164">
      <sharedItems containsSemiMixedTypes="0" containsDate="1" containsString="0">
        <d v="2017-11-11T00:00:00Z"/>
        <d v="2017-06-16T00:00:00Z"/>
        <d v="2016-10-18T00:00:00Z"/>
        <d v="2015-06-14T00:00:00Z"/>
        <d v="2018-04-20T00:00:00Z"/>
        <d v="2017-10-12T00:00:00Z"/>
        <d v="2016-11-26T00:00:00Z"/>
        <d v="2015-11-18T00:00:00Z"/>
        <d v="2015-05-15T00:00:00Z"/>
        <d v="2015-01-09T00:00:00Z"/>
        <d v="2017-12-13T00:00:00Z"/>
        <d v="2018-07-18T00:00:00Z"/>
        <d v="2016-09-30T00:00:00Z"/>
        <d v="2017-01-20T00:00:00Z"/>
        <d v="2016-09-21T00:00:00Z"/>
        <d v="2018-10-23T00:00:00Z"/>
        <d v="2016-12-31T00:00:00Z"/>
        <d v="2018-09-15T00:00:00Z"/>
        <d v="2017-07-22T00:00:00Z"/>
        <d v="2018-09-23T00:00:00Z"/>
        <d v="2017-03-13T00:00:00Z"/>
        <d v="2015-10-25T00:00:00Z"/>
        <d v="2017-06-25T00:00:00Z"/>
        <d v="2016-04-22T00:00:00Z"/>
        <d v="2017-12-17T00:00:00Z"/>
        <d v="2017-06-18T00:00:00Z"/>
        <d v="2016-11-30T00:00:00Z"/>
        <d v="2016-05-05T00:00:00Z"/>
        <d v="2015-10-12T00:00:00Z"/>
        <d v="2017-06-06T00:00:00Z"/>
        <d v="2017-09-23T00:00:00Z"/>
        <d v="2018-09-17T00:00:00Z"/>
        <d v="2016-02-05T00:00:00Z"/>
        <d v="2018-11-12T00:00:00Z"/>
        <d v="2015-01-12T00:00:00Z"/>
        <d v="2017-06-15T00:00:00Z"/>
        <d v="2015-10-16T00:00:00Z"/>
        <d v="2016-08-09T00:00:00Z"/>
        <d v="2018-11-16T00:00:00Z"/>
        <d v="2018-05-30T00:00:00Z"/>
        <d v="2018-02-11T00:00:00Z"/>
        <d v="2017-10-04T00:00:00Z"/>
        <d v="2017-09-22T00:00:00Z"/>
        <d v="2016-05-02T00:00:00Z"/>
        <d v="2018-12-11T00:00:00Z"/>
        <d v="2018-11-11T00:00:00Z"/>
        <d v="2018-06-20T00:00:00Z"/>
        <d v="2017-11-09T00:00:00Z"/>
        <d v="2017-02-09T00:00:00Z"/>
        <d v="2017-04-12T00:00:00Z"/>
        <d v="2016-11-17T00:00:00Z"/>
        <d v="2018-11-28T00:00:00Z"/>
        <d v="2016-10-20T00:00:00Z"/>
        <d v="2018-12-30T00:00:00Z"/>
        <d v="2017-10-11T00:00:00Z"/>
        <d v="2015-08-27T00:00:00Z"/>
        <d v="2016-06-03T00:00:00Z"/>
        <d v="2016-10-04T00:00:00Z"/>
        <d v="2015-12-28T00:00:00Z"/>
        <d v="2015-09-25T00:00:00Z"/>
        <d v="2018-05-02T00:00:00Z"/>
        <d v="2017-10-19T00:00:00Z"/>
        <d v="2017-07-09T00:00:00Z"/>
        <d v="2018-12-27T00:00:00Z"/>
        <d v="2016-12-09T00:00:00Z"/>
        <d v="2015-10-28T00:00:00Z"/>
        <d v="2017-09-12T00:00:00Z"/>
        <d v="2017-03-16T00:00:00Z"/>
        <d v="2016-02-06T00:00:00Z"/>
        <d v="2016-03-06T00:00:00Z"/>
        <d v="2015-06-03T00:00:00Z"/>
        <d v="2017-11-24T00:00:00Z"/>
        <d v="2017-12-05T00:00:00Z"/>
        <d v="2017-11-20T00:00:00Z"/>
        <d v="2015-12-09T00:00:00Z"/>
        <d v="2015-09-08T00:00:00Z"/>
        <d v="2015-09-19T00:00:00Z"/>
        <d v="2018-04-25T00:00:00Z"/>
        <d v="2016-11-23T00:00:00Z"/>
        <d v="2016-12-19T00:00:00Z"/>
        <d v="2015-09-12T00:00:00Z"/>
        <d v="2015-11-24T00:00:00Z"/>
        <d v="2017-02-12T00:00:00Z"/>
        <d v="2015-08-30T00:00:00Z"/>
        <d v="2016-10-14T00:00:00Z"/>
        <d v="2016-06-11T00:00:00Z"/>
        <d v="2015-03-25T00:00:00Z"/>
        <d v="2018-11-13T00:00:00Z"/>
        <d v="2018-07-13T00:00:00Z"/>
        <d v="2018-06-29T00:00:00Z"/>
        <d v="2015-05-08T00:00:00Z"/>
        <d v="2018-12-21T00:00:00Z"/>
        <d v="2018-07-06T00:00:00Z"/>
        <d v="2018-12-14T00:00:00Z"/>
        <d v="2018-07-12T00:00:00Z"/>
        <d v="2016-02-13T00:00:00Z"/>
        <d v="2016-09-01T00:00:00Z"/>
        <d v="2017-01-11T00:00:00Z"/>
        <d v="2016-12-27T00:00:00Z"/>
        <d v="2016-08-16T00:00:00Z"/>
        <d v="2016-04-03T00:00:00Z"/>
        <d v="2015-09-17T00:00:00Z"/>
        <d v="2018-12-04T00:00:00Z"/>
        <d v="2017-09-06T00:00:00Z"/>
        <d v="2015-06-06T00:00:00Z"/>
        <d v="2017-12-15T00:00:00Z"/>
        <d v="2017-09-17T00:00:00Z"/>
        <d v="2016-04-12T00:00:00Z"/>
        <d v="2018-03-12T00:00:00Z"/>
        <d v="2018-12-06T00:00:00Z"/>
        <d v="2015-09-21T00:00:00Z"/>
        <d v="2017-06-13T00:00:00Z"/>
        <d v="2016-11-15T00:00:00Z"/>
        <d v="2017-01-28T00:00:00Z"/>
        <d v="2018-12-13T00:00:00Z"/>
        <d v="2019-02-01T00:00:00Z"/>
        <d v="2016-07-31T00:00:00Z"/>
        <d v="2018-10-17T00:00:00Z"/>
        <d v="2016-09-28T00:00:00Z"/>
        <d v="2016-02-10T00:00:00Z"/>
        <d v="2017-12-20T00:00:00Z"/>
        <d v="2017-03-11T00:00:00Z"/>
        <d v="2018-11-23T00:00:00Z"/>
        <d v="2016-09-05T00:00:00Z"/>
        <d v="2016-04-01T00:00:00Z"/>
        <d v="2018-04-17T00:00:00Z"/>
        <d v="2017-09-14T00:00:00Z"/>
        <d v="2015-03-10T00:00:00Z"/>
        <d v="2015-08-16T00:00:00Z"/>
        <d v="2015-12-30T00:00:00Z"/>
        <d v="2015-09-11T00:00:00Z"/>
        <d v="2015-09-24T00:00:00Z"/>
        <d v="2017-04-27T00:00:00Z"/>
        <d v="2018-05-11T00:00:00Z"/>
        <d v="2017-01-09T00:00:00Z"/>
        <d v="2017-04-29T00:00:00Z"/>
        <d v="2016-04-09T00:00:00Z"/>
        <d v="2015-07-17T00:00:00Z"/>
        <d v="2016-06-26T00:00:00Z"/>
        <d v="2015-04-17T00:00:00Z"/>
        <d v="2016-12-24T00:00:00Z"/>
        <d v="2018-06-19T00:00:00Z"/>
        <d v="2018-12-07T00:00:00Z"/>
        <d v="2017-03-09T00:00:00Z"/>
        <d v="2017-04-13T00:00:00Z"/>
        <d v="2017-04-28T00:00:00Z"/>
        <d v="2018-11-03T00:00:00Z"/>
        <d v="2018-01-10T00:00:00Z"/>
        <d v="2015-09-29T00:00:00Z"/>
        <d v="2017-10-21T00:00:00Z"/>
        <d v="2018-04-06T00:00:00Z"/>
        <d v="2015-07-27T00:00:00Z"/>
        <d v="2017-01-10T00:00:00Z"/>
        <d v="2018-01-09T00:00:00Z"/>
        <d v="2017-10-29T00:00:00Z"/>
        <d v="2016-06-29T00:00:00Z"/>
        <d v="2016-02-12T00:00:00Z"/>
        <d v="2016-07-12T00:00:00Z"/>
        <d v="2015-11-26T00:00:00Z"/>
        <d v="2018-12-15T00:00:00Z"/>
        <d v="2015-09-23T00:00:00Z"/>
        <d v="2015-10-06T00:00:00Z"/>
        <d v="2018-05-07T00:00:00Z"/>
        <d v="2018-10-19T00:00:00Z"/>
        <d v="2016-04-11T00:00:00Z"/>
        <d v="2017-10-09T00:00:00Z"/>
        <d v="2015-12-26T00:00:00Z"/>
        <d v="2015-04-20T00:00:00Z"/>
        <d v="2018-12-29T00:00:00Z"/>
        <d v="2018-12-12T00:00:00Z"/>
        <d v="2018-07-11T00:00:00Z"/>
        <d v="2018-06-28T00:00:00Z"/>
        <d v="2017-04-18T00:00:00Z"/>
        <d v="2018-10-11T00:00:00Z"/>
        <d v="2018-09-03T00:00:00Z"/>
        <d v="2015-06-25T00:00:00Z"/>
        <d v="2018-08-23T00:00:00Z"/>
        <d v="2018-11-26T00:00:00Z"/>
        <d v="2015-09-13T00:00:00Z"/>
        <d v="2018-08-10T00:00:00Z"/>
        <d v="2017-04-21T00:00:00Z"/>
        <d v="2017-07-06T00:00:00Z"/>
        <d v="2015-12-25T00:00:00Z"/>
        <d v="2017-06-14T00:00:00Z"/>
        <d v="2018-09-19T00:00:00Z"/>
        <d v="2018-01-23T00:00:00Z"/>
        <d v="2018-03-25T00:00:00Z"/>
        <d v="2017-03-04T00:00:00Z"/>
        <d v="2018-10-24T00:00:00Z"/>
        <d v="2015-02-18T00:00:00Z"/>
        <d v="2016-12-22T00:00:00Z"/>
        <d v="2016-01-24T00:00:00Z"/>
        <d v="2018-04-04T00:00:00Z"/>
        <d v="2015-11-11T00:00:00Z"/>
        <d v="2017-07-19T00:00:00Z"/>
        <d v="2017-02-11T00:00:00Z"/>
        <d v="2017-02-07T00:00:00Z"/>
        <d v="2015-10-10T00:00:00Z"/>
        <d v="2018-06-13T00:00:00Z"/>
        <d v="2015-10-31T00:00:00Z"/>
        <d v="2015-06-13T00:00:00Z"/>
        <d v="2017-05-14T00:00:00Z"/>
        <d v="2017-03-21T00:00:00Z"/>
        <d v="2017-07-31T00:00:00Z"/>
        <d v="2017-04-06T00:00:00Z"/>
        <d v="2018-11-15T00:00:00Z"/>
        <d v="2016-03-22T00:00:00Z"/>
        <d v="2018-11-27T00:00:00Z"/>
        <d v="2017-10-23T00:00:00Z"/>
        <d v="2018-12-25T00:00:00Z"/>
        <d v="2018-01-27T00:00:00Z"/>
        <d v="2016-03-26T00:00:00Z"/>
        <d v="2018-01-25T00:00:00Z"/>
        <d v="2017-05-23T00:00:00Z"/>
        <d v="2017-02-01T00:00:00Z"/>
        <d v="2018-10-26T00:00:00Z"/>
        <d v="2016-07-09T00:00:00Z"/>
        <d v="2016-09-11T00:00:00Z"/>
        <d v="2018-11-09T00:00:00Z"/>
        <d v="2017-01-06T00:00:00Z"/>
        <d v="2017-07-16T00:00:00Z"/>
        <d v="2018-08-09T00:00:00Z"/>
        <d v="2016-08-12T00:00:00Z"/>
        <d v="2016-11-12T00:00:00Z"/>
        <d v="2015-03-02T00:00:00Z"/>
        <d v="2017-07-17T00:00:00Z"/>
        <d v="2016-12-23T00:00:00Z"/>
        <d v="2015-05-16T00:00:00Z"/>
        <d v="2018-11-22T00:00:00Z"/>
        <d v="2017-04-17T00:00:00Z"/>
        <d v="2018-12-09T00:00:00Z"/>
        <d v="2018-03-07T00:00:00Z"/>
        <d v="2015-07-03T00:00:00Z"/>
        <d v="2015-09-18T00:00:00Z"/>
        <d v="2016-09-12T00:00:00Z"/>
        <d v="2018-10-12T00:00:00Z"/>
        <d v="2019-04-01T00:00:00Z"/>
        <d v="2017-07-11T00:00:00Z"/>
        <d v="2016-09-22T00:00:00Z"/>
        <d v="2018-07-26T00:00:00Z"/>
        <d v="2016-09-14T00:00:00Z"/>
        <d v="2018-05-12T00:00:00Z"/>
        <d v="2016-09-07T00:00:00Z"/>
        <d v="2017-03-24T00:00:00Z"/>
        <d v="2015-01-13T00:00:00Z"/>
        <d v="2015-08-15T00:00:00Z"/>
        <d v="2017-07-21T00:00:00Z"/>
        <d v="2015-03-19T00:00:00Z"/>
        <d v="2015-05-27T00:00:00Z"/>
        <d v="2017-01-05T00:00:00Z"/>
        <d v="2017-09-13T00:00:00Z"/>
        <d v="2018-11-17T00:00:00Z"/>
        <d v="2015-12-31T00:00:00Z"/>
        <d v="2016-03-12T00:00:00Z"/>
        <d v="2018-05-23T00:00:00Z"/>
        <d v="2018-09-26T00:00:00Z"/>
        <d v="2016-09-10T00:00:00Z"/>
        <d v="2017-08-21T00:00:00Z"/>
        <d v="2017-05-25T00:00:00Z"/>
        <d v="2017-12-22T00:00:00Z"/>
        <d v="2018-03-08T00:00:00Z"/>
        <d v="2018-06-15T00:00:00Z"/>
        <d v="2018-07-25T00:00:00Z"/>
        <d v="2019-05-01T00:00:00Z"/>
        <d v="2017-08-04T00:00:00Z"/>
        <d v="2017-12-16T00:00:00Z"/>
        <d v="2018-06-23T00:00:00Z"/>
        <d v="2017-08-28T00:00:00Z"/>
        <d v="2017-09-19T00:00:00Z"/>
        <d v="2016-08-28T00:00:00Z"/>
        <d v="2017-03-30T00:00:00Z"/>
        <d v="2017-04-11T00:00:00Z"/>
        <d v="2018-10-06T00:00:00Z"/>
        <d v="2018-06-22T00:00:00Z"/>
        <d v="2018-08-12T00:00:00Z"/>
        <d v="2018-03-23T00:00:00Z"/>
        <d v="2018-04-11T00:00:00Z"/>
        <d v="2015-08-07T00:00:00Z"/>
        <d v="2015-06-23T00:00:00Z"/>
        <d v="2016-02-04T00:00:00Z"/>
        <d v="2016-05-17T00:00:00Z"/>
        <d v="2017-08-11T00:00:00Z"/>
        <d v="2016-04-14T00:00:00Z"/>
        <d v="2015-04-12T00:00:00Z"/>
        <d v="2015-07-04T00:00:00Z"/>
        <d v="2018-07-09T00:00:00Z"/>
        <d v="2018-05-24T00:00:00Z"/>
        <d v="2015-06-07T00:00:00Z"/>
        <d v="2015-01-14T00:00:00Z"/>
        <d v="2018-09-29T00:00:00Z"/>
        <d v="2015-07-06T00:00:00Z"/>
        <d v="2017-02-18T00:00:00Z"/>
        <d v="2017-12-19T00:00:00Z"/>
        <d v="2015-10-13T00:00:00Z"/>
        <d v="2017-12-07T00:00:00Z"/>
        <d v="2018-09-20T00:00:00Z"/>
        <d v="2017-06-12T00:00:00Z"/>
        <d v="2015-08-01T00:00:00Z"/>
        <d v="2017-03-22T00:00:00Z"/>
        <d v="2018-06-10T00:00:00Z"/>
        <d v="2017-09-04T00:00:00Z"/>
        <d v="2016-12-12T00:00:00Z"/>
        <d v="2016-02-01T00:00:00Z"/>
        <d v="2018-07-28T00:00:00Z"/>
        <d v="2018-09-22T00:00:00Z"/>
        <d v="2016-05-09T00:00:00Z"/>
        <d v="2015-01-15T00:00:00Z"/>
        <d v="2015-05-20T00:00:00Z"/>
        <d v="2017-05-24T00:00:00Z"/>
        <d v="2016-08-23T00:00:00Z"/>
        <d v="2016-06-10T00:00:00Z"/>
        <d v="2016-05-28T00:00:00Z"/>
        <d v="2018-03-21T00:00:00Z"/>
        <d v="2016-12-16T00:00:00Z"/>
        <d v="2016-06-30T00:00:00Z"/>
        <d v="2017-05-20T00:00:00Z"/>
        <d v="2015-09-26T00:00:00Z"/>
        <d v="2016-12-26T00:00:00Z"/>
        <d v="2018-02-23T00:00:00Z"/>
        <d v="2017-08-23T00:00:00Z"/>
        <d v="2017-03-17T00:00:00Z"/>
        <d v="2018-04-24T00:00:00Z"/>
        <d v="2015-07-11T00:00:00Z"/>
        <d v="2015-10-15T00:00:00Z"/>
        <d v="2018-05-14T00:00:00Z"/>
        <d v="2016-03-23T00:00:00Z"/>
        <d v="2015-02-07T00:00:00Z"/>
        <d v="2018-06-27T00:00:00Z"/>
        <d v="2018-08-28T00:00:00Z"/>
        <d v="2018-06-21T00:00:00Z"/>
        <d v="2017-07-27T00:00:00Z"/>
        <d v="2017-12-03T00:00:00Z"/>
        <d v="2016-11-25T00:00:00Z"/>
        <d v="2017-09-11T00:00:00Z"/>
        <d v="2016-10-17T00:00:00Z"/>
        <d v="2018-06-01T00:00:00Z"/>
        <d v="2015-12-02T00:00:00Z"/>
        <d v="2017-02-24T00:00:00Z"/>
        <d v="2015-08-08T00:00:00Z"/>
        <d v="2018-04-15T00:00:00Z"/>
        <d v="2015-06-16T00:00:00Z"/>
        <d v="2017-07-01T00:00:00Z"/>
        <d v="2017-02-10T00:00:00Z"/>
        <d v="2015-10-04T00:00:00Z"/>
        <d v="2017-05-09T00:00:00Z"/>
        <d v="2015-12-15T00:00:00Z"/>
        <d v="2018-08-29T00:00:00Z"/>
        <d v="2017-01-21T00:00:00Z"/>
        <d v="2018-02-12T00:00:00Z"/>
        <d v="2016-10-13T00:00:00Z"/>
        <d v="2018-12-23T00:00:00Z"/>
        <d v="2017-10-24T00:00:00Z"/>
        <d v="2015-04-05T00:00:00Z"/>
        <d v="2016-04-28T00:00:00Z"/>
        <d v="2018-02-07T00:00:00Z"/>
        <d v="2015-12-16T00:00:00Z"/>
        <d v="2018-06-26T00:00:00Z"/>
        <d v="2017-12-11T00:00:00Z"/>
        <d v="2017-06-10T00:00:00Z"/>
        <d v="2015-09-15T00:00:00Z"/>
        <d v="2018-10-31T00:00:00Z"/>
        <d v="2017-12-04T00:00:00Z"/>
        <d v="2019-03-01T00:00:00Z"/>
        <d v="2018-11-29T00:00:00Z"/>
        <d v="2015-06-21T00:00:00Z"/>
        <d v="2017-11-03T00:00:00Z"/>
        <d v="2015-12-12T00:00:00Z"/>
        <d v="2016-04-15T00:00:00Z"/>
        <d v="2017-09-20T00:00:00Z"/>
        <d v="2015-09-16T00:00:00Z"/>
        <d v="2018-06-09T00:00:00Z"/>
        <d v="2017-06-24T00:00:00Z"/>
        <d v="2018-06-11T00:00:00Z"/>
        <d v="2016-12-17T00:00:00Z"/>
        <d v="2017-06-20T00:00:00Z"/>
        <d v="2016-07-28T00:00:00Z"/>
        <d v="2018-07-04T00:00:00Z"/>
        <d v="2019-01-01T00:00:00Z"/>
        <d v="2018-04-12T00:00:00Z"/>
        <d v="2018-05-18T00:00:00Z"/>
        <d v="2018-11-19T00:00:00Z"/>
        <d v="2016-01-12T00:00:00Z"/>
        <d v="2017-04-09T00:00:00Z"/>
        <d v="2018-11-04T00:00:00Z"/>
        <d v="2015-01-18T00:00:00Z"/>
        <d v="2018-07-15T00:00:00Z"/>
        <d v="2018-10-01T00:00:00Z"/>
        <d v="2017-05-31T00:00:00Z"/>
        <d v="2017-08-10T00:00:00Z"/>
        <d v="2015-11-14T00:00:00Z"/>
        <d v="2018-05-10T00:00:00Z"/>
        <d v="2016-10-03T00:00:00Z"/>
        <d v="2018-05-26T00:00:00Z"/>
        <d v="2016-03-31T00:00:00Z"/>
        <d v="2017-08-27T00:00:00Z"/>
        <d v="2015-05-25T00:00:00Z"/>
        <d v="2016-03-11T00:00:00Z"/>
        <d v="2017-11-17T00:00:00Z"/>
        <d v="2016-08-31T00:00:00Z"/>
        <d v="2016-09-19T00:00:00Z"/>
        <d v="2016-10-07T00:00:00Z"/>
        <d v="2016-03-05T00:00:00Z"/>
        <d v="2016-06-20T00:00:00Z"/>
        <d v="2018-12-20T00:00:00Z"/>
        <d v="2017-01-13T00:00:00Z"/>
        <d v="2015-07-15T00:00:00Z"/>
        <d v="2017-11-22T00:00:00Z"/>
        <d v="2017-04-26T00:00:00Z"/>
        <d v="2016-06-14T00:00:00Z"/>
        <d v="2018-11-21T00:00:00Z"/>
        <d v="2017-09-09T00:00:00Z"/>
        <d v="2018-10-16T00:00:00Z"/>
        <d v="2015-01-06T00:00:00Z"/>
        <d v="2016-05-07T00:00:00Z"/>
        <d v="2016-08-04T00:00:00Z"/>
        <d v="2018-12-17T00:00:00Z"/>
        <d v="2017-01-12T00:00:00Z"/>
        <d v="2016-03-29T00:00:00Z"/>
        <d v="2016-04-21T00:00:00Z"/>
        <d v="2018-09-30T00:00:00Z"/>
        <d v="2016-07-29T00:00:00Z"/>
        <d v="2017-02-05T00:00:00Z"/>
        <d v="2017-11-19T00:00:00Z"/>
        <d v="2017-09-30T00:00:00Z"/>
        <d v="2018-09-25T00:00:00Z"/>
        <d v="2017-05-03T00:00:00Z"/>
        <d v="2017-12-08T00:00:00Z"/>
        <d v="2017-08-20T00:00:00Z"/>
        <d v="2016-12-13T00:00:00Z"/>
        <d v="2018-01-26T00:00:00Z"/>
        <d v="2015-06-28T00:00:00Z"/>
        <d v="2017-06-17T00:00:00Z"/>
        <d v="2018-04-27T00:00:00Z"/>
        <d v="2017-10-27T00:00:00Z"/>
        <d v="2017-07-24T00:00:00Z"/>
        <d v="2015-01-26T00:00:00Z"/>
        <d v="2016-07-03T00:00:00Z"/>
        <d v="2017-04-16T00:00:00Z"/>
        <d v="2017-07-12T00:00:00Z"/>
        <d v="2017-11-12T00:00:00Z"/>
        <d v="2017-11-15T00:00:00Z"/>
        <d v="2016-04-04T00:00:00Z"/>
        <d v="2016-05-14T00:00:00Z"/>
        <d v="2015-12-21T00:00:00Z"/>
        <d v="2017-07-07T00:00:00Z"/>
        <d v="2018-04-07T00:00:00Z"/>
        <d v="2015-05-09T00:00:00Z"/>
        <d v="2015-08-03T00:00:00Z"/>
        <d v="2015-08-05T00:00:00Z"/>
        <d v="2016-02-11T00:00:00Z"/>
        <d v="2015-03-14T00:00:00Z"/>
        <d v="2015-04-25T00:00:00Z"/>
        <d v="2016-10-26T00:00:00Z"/>
        <d v="2016-08-25T00:00:00Z"/>
        <d v="2017-05-12T00:00:00Z"/>
        <d v="2018-01-15T00:00:00Z"/>
        <d v="2015-11-30T00:00:00Z"/>
        <d v="2018-02-28T00:00:00Z"/>
        <d v="2016-09-15T00:00:00Z"/>
        <d v="2018-04-08T00:00:00Z"/>
        <d v="2017-07-18T00:00:00Z"/>
        <d v="2018-09-13T00:00:00Z"/>
        <d v="2015-07-16T00:00:00Z"/>
        <d v="2017-10-28T00:00:00Z"/>
        <d v="2017-02-22T00:00:00Z"/>
        <d v="2018-05-21T00:00:00Z"/>
        <d v="2015-12-14T00:00:00Z"/>
        <d v="2018-12-24T00:00:00Z"/>
        <d v="2018-03-14T00:00:00Z"/>
        <d v="2017-12-28T00:00:00Z"/>
        <d v="2018-10-27T00:00:00Z"/>
        <d v="2018-09-07T00:00:00Z"/>
        <d v="2015-12-29T00:00:00Z"/>
        <d v="2018-09-27T00:00:00Z"/>
        <d v="2018-08-06T00:00:00Z"/>
        <d v="2017-05-26T00:00:00Z"/>
        <d v="2017-07-05T00:00:00Z"/>
        <d v="2015-11-09T00:00:00Z"/>
        <d v="2017-06-09T00:00:00Z"/>
        <d v="2017-03-07T00:00:00Z"/>
        <d v="2016-08-07T00:00:00Z"/>
        <d v="2017-11-26T00:00:00Z"/>
        <d v="2016-01-09T00:00:00Z"/>
        <d v="2016-05-29T00:00:00Z"/>
        <d v="2017-12-12T00:00:00Z"/>
        <d v="2016-07-10T00:00:00Z"/>
        <d v="2017-12-25T00:00:00Z"/>
        <d v="2016-09-24T00:00:00Z"/>
        <d v="2018-07-07T00:00:00Z"/>
        <d v="2017-06-21T00:00:00Z"/>
        <d v="2017-12-23T00:00:00Z"/>
        <d v="2015-05-07T00:00:00Z"/>
        <d v="2018-08-02T00:00:00Z"/>
        <d v="2018-08-03T00:00:00Z"/>
        <d v="2018-10-10T00:00:00Z"/>
        <d v="2015-05-30T00:00:00Z"/>
        <d v="2016-06-18T00:00:00Z"/>
        <d v="2017-01-04T00:00:00Z"/>
        <d v="2018-10-18T00:00:00Z"/>
        <d v="2017-05-27T00:00:00Z"/>
        <d v="2018-06-06T00:00:00Z"/>
        <d v="2015-02-21T00:00:00Z"/>
        <d v="2015-10-05T00:00:00Z"/>
        <d v="2018-02-04T00:00:00Z"/>
        <d v="2018-04-01T00:00:00Z"/>
        <d v="2016-01-06T00:00:00Z"/>
        <d v="2015-03-24T00:00:00Z"/>
        <d v="2015-08-10T00:00:00Z"/>
        <d v="2017-03-31T00:00:00Z"/>
        <d v="2018-09-05T00:00:00Z"/>
        <d v="2015-01-10T00:00:00Z"/>
        <d v="2018-10-25T00:00:00Z"/>
        <d v="2018-11-07T00:00:00Z"/>
        <d v="2016-12-28T00:00:00Z"/>
        <d v="2018-12-03T00:00:00Z"/>
        <d v="2015-06-04T00:00:00Z"/>
        <d v="2017-05-02T00:00:00Z"/>
        <d v="2018-10-14T00:00:00Z"/>
        <d v="2017-05-11T00:00:00Z"/>
        <d v="2017-04-25T00:00:00Z"/>
        <d v="2015-08-04T00:00:00Z"/>
        <d v="2017-07-13T00:00:00Z"/>
        <d v="2018-01-31T00:00:00Z"/>
        <d v="2018-11-30T00:00:00Z"/>
        <d v="2017-12-30T00:00:00Z"/>
        <d v="2016-10-15T00:00:00Z"/>
        <d v="2018-08-08T00:00:00Z"/>
        <d v="2017-05-28T00:00:00Z"/>
        <d v="2018-06-16T00:00:00Z"/>
        <d v="2015-04-24T00:00:00Z"/>
        <d v="2016-07-05T00:00:00Z"/>
        <d v="2016-07-20T00:00:00Z"/>
        <d v="2017-11-29T00:00:00Z"/>
        <d v="2016-08-21T00:00:00Z"/>
        <d v="2017-03-15T00:00:00Z"/>
        <d v="2015-08-14T00:00:00Z"/>
        <d v="2016-05-16T00:00:00Z"/>
        <d v="2016-09-27T00:00:00Z"/>
        <d v="2017-11-25T00:00:00Z"/>
        <d v="2018-03-24T00:00:00Z"/>
        <d v="2018-11-20T00:00:00Z"/>
        <d v="2017-08-12T00:00:00Z"/>
        <d v="2017-10-18T00:00:00Z"/>
        <d v="2015-03-12T00:00:00Z"/>
        <d v="2016-07-11T00:00:00Z"/>
        <d v="2015-06-12T00:00:00Z"/>
        <d v="2018-05-05T00:00:00Z"/>
        <d v="2018-03-11T00:00:00Z"/>
        <d v="2015-12-19T00:00:00Z"/>
        <d v="2017-10-20T00:00:00Z"/>
        <d v="2018-11-18T00:00:00Z"/>
      </sharedItems>
    </cacheField>
    <cacheField name="Month" numFmtId="166">
      <sharedItems>
        <s v="Nov"/>
        <s v="Jun"/>
        <s v="Oct"/>
        <s v="Apr"/>
        <s v="May"/>
        <s v="Jan"/>
        <s v="Dec"/>
        <s v="Jul"/>
        <s v="Sep"/>
        <s v="Mar"/>
        <s v="Feb"/>
        <s v="Aug"/>
      </sharedItems>
    </cacheField>
    <cacheField name="Years" numFmtId="164">
      <sharedItems>
        <s v="2017"/>
        <s v="2016"/>
        <s v="2015"/>
        <s v="2018"/>
        <s v="2019"/>
      </sharedItems>
    </cacheField>
    <cacheField name="Ship Mode" numFmtId="0">
      <sharedItems>
        <s v="Second Class"/>
        <s v="Standard Class"/>
        <s v="First Class"/>
        <s v="Same Day"/>
      </sharedItems>
    </cacheField>
    <cacheField name="First Name" numFmtId="0">
      <sharedItems>
        <s v="Claire"/>
        <s v="Darrin"/>
        <s v="Sean"/>
        <s v="Brosina"/>
        <s v="Andrew"/>
        <s v="Irene"/>
        <s v="Harold"/>
        <s v="Pete"/>
        <s v="Alejandro"/>
        <s v="Zuschuss"/>
        <s v="Ken"/>
        <s v="Sandra"/>
        <s v="Emily"/>
        <s v="Eric"/>
        <s v="Tracy"/>
        <s v="Matt"/>
        <s v="Gene"/>
        <s v="Steve"/>
        <s v="Linda"/>
        <s v="Ruben"/>
        <s v="Erin"/>
        <s v="Odella"/>
        <s v="Patrick"/>
        <s v="Lena"/>
        <s v="Darren"/>
        <s v="Janet"/>
        <s v="Ted"/>
        <s v="Kunst"/>
        <s v="Paul"/>
        <s v="Brendan"/>
        <s v="Karen"/>
        <s v="Henry"/>
        <s v="Joel"/>
        <s v="Stewart"/>
        <s v="Duane"/>
        <s v="Julie"/>
        <s v="Christopher"/>
        <s v="Gary"/>
        <s v="Jim"/>
        <s v="Karl"/>
        <s v="Roger"/>
        <s v="Parhena"/>
        <s v="Katherine"/>
        <s v="Elpida"/>
        <s v="Rick"/>
        <s v="Cynthia"/>
        <s v="Clay"/>
        <s v="Ryan"/>
        <s v="Dave"/>
        <s v="Greg"/>
        <s v="Steven"/>
        <s v="Alan"/>
        <s v="Philip"/>
        <s v="Troy"/>
        <s v="Lindsay"/>
        <s v="Dorothy"/>
        <s v="Jonathan"/>
        <s v="Sally"/>
        <s v="Helen"/>
        <s v="Maureen"/>
        <s v="Justin"/>
        <s v="Tamara"/>
        <s v="Stephanie"/>
        <s v="Neil"/>
        <s v="Nora"/>
        <s v="Max"/>
        <s v="Becky"/>
        <s v="Chad"/>
        <s v="Jennifer"/>
        <s v="Shirley"/>
        <s v="David"/>
        <s v="Robert"/>
        <s v="Frank"/>
        <s v="Alice"/>
        <s v="Mark"/>
        <s v="Mary"/>
        <s v="Cassandra"/>
        <s v="Valerie"/>
        <s v="Fred"/>
        <s v="Maria"/>
        <s v="Bruce"/>
        <s v="Logan"/>
        <s v="Heather"/>
        <s v="Laurel"/>
        <s v="Joseph"/>
        <s v="Michael"/>
        <s v="Victoria"/>
        <s v="Joni"/>
        <s v="Dianna"/>
        <s v="Kelly"/>
        <s v="Delfina"/>
        <s v="Dan"/>
        <s v="Craig"/>
        <s v="Dorris"/>
        <s v="Roy"/>
        <s v="Claudia"/>
        <s v="Christine"/>
        <s v="Kristen"/>
        <s v="Barry"/>
        <s v="Jas"/>
        <s v="Nick"/>
        <s v="Corey"/>
        <s v="Shahid"/>
        <s v="Ben"/>
        <s v="Thomas"/>
        <s v="Andy"/>
        <s v="Sung"/>
        <s v="Nathan"/>
        <s v="Grace"/>
        <s v="Don"/>
        <s v="John"/>
        <s v="Doug"/>
        <s v="Alyssa"/>
        <s v="Adam"/>
        <s v="Jeremy"/>
        <s v="Katrina"/>
        <s v="Julia"/>
        <s v="Guy"/>
        <s v="Arthur"/>
        <s v="Muhammed"/>
        <s v="Allen"/>
        <s v="Russell"/>
        <s v="Laura"/>
        <s v="Denny"/>
        <s v="Dean"/>
        <s v="Mike"/>
        <s v="Jack"/>
        <s v="Bart"/>
        <s v="Victor"/>
        <s v="Saphhira"/>
        <s v="Anna"/>
        <s v="Luke"/>
        <s v="Keith"/>
        <s v="Kimberly"/>
        <s v="Caroline"/>
        <s v="Natalie"/>
        <s v="Ross"/>
        <s v="Philisse"/>
        <s v="Brenda"/>
        <s v="Raymond"/>
        <s v="Ed"/>
        <s v="Sanjit"/>
        <s v="Tanja"/>
        <s v="Maya"/>
        <s v="Xylona"/>
        <s v="Michelle"/>
        <s v="Sue"/>
        <s v="Carl"/>
        <s v="Astrea"/>
        <s v="Sonia"/>
        <s v="Rose"/>
        <s v="Maribeth"/>
        <s v="Lynn"/>
        <s v="Bradley"/>
        <s v="Brian"/>
        <s v="Patricia"/>
        <s v="Jasper"/>
        <s v="Rob"/>
        <s v="Liz"/>
        <s v="Adrian"/>
        <s v="Bill"/>
        <s v="Ashley"/>
        <s v="Olvera"/>
        <s v="Ellis"/>
        <s v="Sarah"/>
        <s v="Trudy"/>
        <s v="Carlos"/>
        <s v="Charles"/>
        <s v="Melanie"/>
        <s v="Theone"/>
        <s v="Chloris"/>
        <s v="Nona"/>
        <s v="Giulietta"/>
        <s v="Clytie"/>
        <s v="Nat"/>
        <s v="Christina"/>
        <s v="Sylvia"/>
        <s v="Meg"/>
        <s v="Annie"/>
        <s v="Chuck"/>
        <s v="Anthony"/>
        <s v="Eugene"/>
        <s v="Sibella"/>
        <s v="Tiffany"/>
        <s v="Resi"/>
        <s v="Carol"/>
        <s v="Grant"/>
        <s v="Ralph"/>
        <s v="Naresj"/>
        <s v="Jesus"/>
        <s v="Jay"/>
        <s v="Brad"/>
        <s v="Roland"/>
        <s v="Seth"/>
        <s v="Mathew"/>
        <s v="Phillina"/>
        <s v="Peter"/>
        <s v="Yoseph"/>
        <s v="Debra"/>
        <s v="Lisa"/>
        <s v="Chris"/>
        <s v="Benjamin"/>
        <s v="Bryan"/>
        <s v="Joe"/>
        <s v="Erica"/>
        <s v="Pauline"/>
        <s v="Toby"/>
        <s v="James"/>
        <s v="Eudokia"/>
        <s v="Art"/>
        <s v="Cyma"/>
        <s v="Berenike"/>
        <s v="Lauren"/>
        <s v="Jill"/>
        <s v="Pamela"/>
        <s v="Hunter"/>
        <s v="George"/>
        <s v="Jessica"/>
        <s v="Catherine"/>
        <s v="Rachel"/>
        <s v="Scott"/>
        <s v="Daniel"/>
        <s v="Ann"/>
        <s v="Sara"/>
        <s v="Mitch"/>
        <s v="Vivek"/>
        <s v="Kalyca"/>
        <s v="Hallie"/>
        <s v="Deanra"/>
        <s v="Noel"/>
        <s v="Deirdre"/>
        <s v="Nicole"/>
        <s v="Matthew"/>
        <s v="Theresa"/>
        <s v="Skye"/>
        <s v="Maurice"/>
        <s v="Penelope"/>
        <s v="Neoma"/>
        <s v="Dionis"/>
        <s v="Alex"/>
        <s v="Larry"/>
        <s v="Anne"/>
        <s v="Cathy"/>
        <s v="Stefania"/>
        <s v="Kean"/>
        <s v="Brooke"/>
        <s v="Eva"/>
        <s v="Mick"/>
        <s v="Jocasta"/>
        <s v="Suzanne"/>
        <s v="Phillip"/>
        <s v="Susan"/>
        <s v="Todd"/>
        <s v="Quincy"/>
        <s v="Evan"/>
        <s v="Jamie"/>
        <s v="Aaron"/>
        <s v="Beth"/>
        <s v="Harry"/>
        <s v="Sam"/>
        <s v="Yana"/>
        <s v="Stuart"/>
        <s v="Damala"/>
        <s v="Shui"/>
        <s v="Shaun"/>
        <s v="Thais"/>
        <s v="Cindy"/>
        <s v="Maxwell"/>
        <s v="Corinna"/>
        <s v="Jane"/>
      </sharedItems>
    </cacheField>
    <cacheField name="Surname" numFmtId="0">
      <sharedItems>
        <s v="Gute"/>
        <s v="Van Huff"/>
        <s v="O'Donnell"/>
        <s v="Hoffman"/>
        <s v="Allen"/>
        <s v="Maddox"/>
        <s v="Pawlan"/>
        <s v="Kriz"/>
        <s v="Grove"/>
        <s v="Donatelli"/>
        <s v="Black"/>
        <s v="Flanagan"/>
        <s v="Burns"/>
        <s v="Hoffmann"/>
        <s v="Blumstein"/>
        <s v="Abelman"/>
        <s v="Hale"/>
        <s v="Nguyen"/>
        <s v="Cazamias"/>
        <s v="Ausman"/>
        <s v="Smith"/>
        <s v="Nelson"/>
        <s v="Hernandez"/>
        <s v="Powers"/>
        <s v="Molinari"/>
        <s v="Butterfield"/>
        <s v="Miller"/>
        <s v="Stevenson"/>
        <s v="Sweed"/>
        <s v="Daniels"/>
        <s v="MacAllister"/>
        <s v="Eaton"/>
        <s v="Brennan"/>
        <s v="Carmichael"/>
        <s v="Noonan"/>
        <s v="Creighton"/>
        <s v="Schild"/>
        <s v="Gonzalez"/>
        <s v="Mitchum"/>
        <s v="Sink"/>
        <s v="Braun"/>
        <s v="Barcio"/>
        <s v="Norris"/>
        <s v="Ducich"/>
        <s v="Rittenbach"/>
        <s v="Bensley"/>
        <s v="Zandusky"/>
        <s v="Cacioppo"/>
        <s v="Martin"/>
        <s v="Armstrong"/>
        <s v="Voltz"/>
        <s v="Ludtke"/>
        <s v="Crowe"/>
        <s v="Kipp"/>
        <s v="Guthrie"/>
        <s v="Cartwright"/>
        <s v="Dominguez"/>
        <s v="Fox"/>
        <s v="Staebel"/>
        <s v="Shagiari"/>
        <s v="Wardle"/>
        <s v="Doherty"/>
        <s v="Hughsby"/>
        <s v="Glassco"/>
        <s v="Andreada"/>
        <s v="Gastineau"/>
        <s v="Ellison"/>
        <s v="Willingham"/>
        <s v="Phelps"/>
        <s v="Knudson"/>
        <s v="Brooks"/>
        <s v="Paige"/>
        <s v="Trevino"/>
        <s v="Murdock"/>
        <s v="Dartt"/>
        <s v="Jones"/>
        <s v="Sievert"/>
        <s v="Braxton"/>
        <s v="Jackson"/>
        <s v="Kendrick"/>
        <s v="Marley"/>
        <s v="Knutson"/>
        <s v="Merwin"/>
        <s v="McCarthy"/>
        <s v="Packer"/>
        <s v="Zewe"/>
        <s v="Brandow"/>
        <s v="Hopkins"/>
        <s v="Bertelson"/>
        <s v="Stewart"/>
        <s v="Currie"/>
        <s v="Kirkland"/>
        <s v="Elliston"/>
        <s v="Holt"/>
        <s v="Wilson"/>
        <s v="Howell"/>
        <s v="Ashbrook"/>
        <s v="Bremer"/>
        <s v="Lonsdale"/>
        <s v="Haushalter"/>
        <s v="Collister"/>
        <s v="Latchford"/>
        <s v="Reichenbach"/>
        <s v="Carreira"/>
        <s v="liebe"/>
        <s v="Collins"/>
        <s v="Hwang"/>
        <s v="Bergmann"/>
        <s v="Hastings"/>
        <s v="Gjertsen"/>
        <s v="O'Carroll"/>
        <s v="Haines"/>
        <s v="Lampkin"/>
        <s v="Schoenberger"/>
        <s v="Roper"/>
        <s v="Peterman"/>
        <s v="Seio"/>
        <s v="Gerbode"/>
        <s v="Pak"/>
        <s v="Mautz"/>
        <s v="Atkinson"/>
        <s v="Kelly"/>
        <s v="O'Brill"/>
        <s v="Lucas"/>
        <s v="Bickford"/>
        <s v="Crouse"/>
        <s v="Cheatham"/>
        <s v="Dahlen"/>
        <s v="Bellavance"/>
        <s v="Willman"/>
        <s v="Dunbar"/>
        <s v="Kennedy"/>
        <s v="Thornton"/>
        <s v="Gainer"/>
        <s v="MacIntyre"/>
        <s v="Rosenblatt"/>
        <s v="Applegate"/>
        <s v="Savely"/>
        <s v="Ordway"/>
        <s v="Katz"/>
        <s v="Gelder"/>
        <s v="Vittorini"/>
        <s v="Garza"/>
        <s v="Pistole"/>
        <s v="Preis"/>
        <s v="Shifley"/>
        <s v="Gayman"/>
        <s v="Foster"/>
        <s v="Französisch"/>
        <s v="Herrera"/>
        <s v="Carter"/>
        <s v="Jumper"/>
        <s v="Brown"/>
        <s v="Fritzler"/>
        <s v="Heidel"/>
        <s v="Baird"/>
        <s v="Overcash"/>
        <s v="Bowman"/>
        <s v="Blackwell"/>
        <s v="Buch"/>
        <s v="Chand"/>
        <s v="Norvell"/>
        <s v="Sundaresam"/>
        <s v="Herman"/>
        <s v="Pistek"/>
        <s v="Grady"/>
        <s v="Mull"/>
        <s v="Tran"/>
        <s v="Ann Reed"/>
        <s v="Weiss"/>
        <s v="Sunley"/>
        <s v="O'Brian"/>
        <s v="Dona"/>
        <s v="Yedwab"/>
        <s v="Martinez"/>
        <s v="Braden"/>
        <s v="Connell"/>
        <s v="Hirasaki"/>
        <s v="Gockenbach"/>
        <s v="Bern"/>
        <s v="Armold"/>
        <s v="Phan"/>
        <s v="Koutras"/>
        <s v="Drucker"/>
        <s v="MacKendrick"/>
        <s v="Shami"/>
        <s v="Jarboe"/>
        <s v="Toch"/>
        <s v="Pelletier"/>
        <s v="Arntzen"/>
        <s v="Farry"/>
        <s v="Ballard"/>
        <s v="Ferguson"/>
        <s v="Glocke"/>
        <s v="Soltero"/>
        <s v="Crestani"/>
        <s v="Degenhardt"/>
        <s v="Carroll"/>
        <s v="Seite"/>
        <s v="Radford"/>
        <s v="Pippenger"/>
        <s v="Kastensmidt"/>
        <s v="Shonely"/>
        <s v="Roberts"/>
        <s v="Balk"/>
        <s v="Dortch"/>
        <s v="Kelty"/>
        <s v="Gilpin"/>
        <s v="Anderson"/>
        <s v="Foulston"/>
        <s v="O'Connel"/>
        <s v="Thurman"/>
        <s v="McMath"/>
        <s v="Joy"/>
        <s v="Engle"/>
        <s v="Deggeller"/>
        <s v="Lee"/>
        <s v="Christensen"/>
        <s v="Clark"/>
        <s v="Rawles"/>
        <s v="Roelle"/>
        <s v="Reiter"/>
        <s v="Hildebrand"/>
        <s v="Parks"/>
        <s v="House"/>
        <s v="Pölking"/>
        <s v="Beeghly"/>
        <s v="Darley"/>
        <s v="Jacobs"/>
        <s v="Chen"/>
        <s v="Arnett"/>
        <s v="Patel"/>
        <s v="Barnes"/>
        <s v="Ocampo"/>
        <s v="Kimmel"/>
        <s v="Philippe"/>
        <s v="Prichep"/>
        <s v="Schwarz"/>
        <s v="Vernon"/>
        <s v="Kargatis"/>
        <s v="DeVincentis"/>
        <s v="Reese"/>
        <s v="Chapman"/>
        <s v="Fein"/>
        <s v="Sayre"/>
        <s v="Ober"/>
        <s v="Shariari"/>
        <s v="Bühler"/>
        <s v="Fjeld"/>
        <s v="Catini"/>
        <s v="Hazard"/>
        <s v="Selesnick"/>
        <s v="Johnson"/>
        <s v="Venier"/>
        <s v="Lawera"/>
        <s v="Mills"/>
        <s v="Thompson"/>
        <s v="Kamberova"/>
        <s v="Hansen"/>
        <s v="Daly"/>
        <s v="Wasserman"/>
        <s v="Caudle"/>
        <s v="McGarr"/>
        <s v="Watters"/>
        <s v="Ritter"/>
        <s v="Gardner"/>
        <s v="Lanier"/>
        <s v="Moss"/>
        <s v="Kinney"/>
        <s v="Poirier"/>
        <s v="Kampe"/>
        <s v="Magee"/>
        <s v="Southworth"/>
        <s v="Phonely"/>
        <s v="Matthias"/>
        <s v="Garverick"/>
        <s v="McVee"/>
        <s v="Leatherbury"/>
        <s v="Ludwig"/>
        <s v="Coakley"/>
        <s v="Lopez"/>
        <s v="Schnelling"/>
        <s v="Bell"/>
        <s v="Eplett"/>
        <s v="Williams"/>
        <s v="Hart"/>
        <s v="Myrick"/>
        <s v="Jenkins"/>
        <s v="Glotzbach"/>
        <s v="Payne"/>
        <s v="Carlisle"/>
        <s v="Hughes"/>
        <s v="Williamson"/>
        <s v="Airdo"/>
        <s v="Lacy"/>
        <s v="Brumley"/>
        <s v="Spruell"/>
        <s v="Waldorf"/>
        <s v="Zic"/>
        <s v="Steele"/>
        <s v="Swindell"/>
        <s v="Luxemburg"/>
        <s v="Dowd"/>
        <s v="Akin"/>
        <s v="Tillman"/>
        <s v="Meade"/>
        <s v="Redmond"/>
        <s v="Eno"/>
        <s v="Goldenen"/>
        <s v="Halladay"/>
        <s v="Dilbeck"/>
        <s v="O'Rourke"/>
        <s v="Staavos"/>
        <s v="Greer"/>
        <s v="Grinstein"/>
        <s v="Swint"/>
        <s v="DeCherney"/>
        <s v="McCrossin"/>
        <s v="Norling"/>
        <s v="Olsen"/>
        <s v="Satty"/>
        <s v="Cunningham"/>
        <s v="Tyler"/>
        <s v="Thomas"/>
        <s v="Sewall"/>
        <s v="Van Hugh"/>
        <s v="Murray"/>
        <s v="Lloyd"/>
        <s v="Hawley"/>
        <s v="Avila"/>
        <s v="Tron"/>
        <s v="Pryor"/>
        <s v="Tate"/>
        <s v="Ryan"/>
        <s v="Talbott"/>
        <s v="Ward"/>
        <s v="Perrino"/>
        <s v="Ferrer"/>
        <s v="Gillingham"/>
        <s v="Rupert"/>
        <s v="McNair"/>
        <s v="Cortes"/>
        <s v="Flathmann"/>
        <s v="Campbell"/>
        <s v="Davis"/>
        <s v="McClure"/>
        <s v="Boyes"/>
        <s v="Hirsh"/>
        <s v="Sachs"/>
        <s v="Goldwyn"/>
        <s v="Workman"/>
        <s v="Bailliet"/>
        <s v="Zrebassa"/>
        <s v="Prescott"/>
        <s v="Ballentine"/>
        <s v="Frazer"/>
        <s v="McGuire"/>
        <s v="Smayling"/>
        <s v="Blacks"/>
        <s v="Takahito"/>
        <s v="Marie"/>
        <s v="Blume"/>
        <s v="Zeldin"/>
        <s v="Granlund"/>
        <s v="Prost"/>
        <s v="Sorensen"/>
        <s v="Barton"/>
        <s v="Van"/>
        <s v="Kotsonis"/>
        <s v="Tom"/>
        <s v="Moore"/>
        <s v="Webber"/>
        <s v="Chance"/>
        <s v="Sissman"/>
        <s v="Cousins"/>
        <s v="Etezadi"/>
        <s v="Dawkins"/>
        <s v="Nockton"/>
        <s v="Schwartz"/>
        <s v="Mitchell"/>
        <s v="Lock"/>
        <s v="Sumrall"/>
        <s v="Waco"/>
        <s v="Dryer"/>
      </sharedItems>
    </cacheField>
    <cacheField name="Segment" numFmtId="0">
      <sharedItems>
        <s v="Consumer"/>
        <s v="Corporate"/>
        <s v="Home Office"/>
      </sharedItems>
    </cacheField>
    <cacheField name="City" numFmtId="0">
      <sharedItems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Norwich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</sharedItems>
    </cacheField>
    <cacheField name="State" numFmtId="0">
      <sharedItems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</sharedItems>
    </cacheField>
    <cacheField name="Region" numFmtId="0">
      <sharedItems>
        <s v="South"/>
        <s v="West"/>
        <s v="Central"/>
        <s v="East"/>
      </sharedItems>
    </cacheField>
    <cacheField name="Category" numFmtId="0">
      <sharedItems>
        <s v="Furniture"/>
        <s v="Office Supplies"/>
        <s v="Technology"/>
      </sharedItems>
    </cacheField>
    <cacheField name="Sale" numFmtId="168">
      <sharedItems containsSemiMixedTypes="0" containsString="0" containsNumber="1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.0"/>
        <n v="21.8"/>
        <n v="38.22"/>
        <n v="75.18"/>
        <n v="6.16"/>
        <n v="89.99"/>
        <n v="15.26"/>
        <n v="1029.95"/>
        <n v="208.56"/>
        <n v="32.4"/>
        <n v="319.41"/>
        <n v="14.56"/>
        <n v="30.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.0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.0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.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.0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.0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.0"/>
        <n v="32.35"/>
        <n v="7.71"/>
        <n v="40.3"/>
        <n v="34.58"/>
        <n v="32.76"/>
        <n v="544.008"/>
        <n v="59.94"/>
        <n v="4.28"/>
        <n v="32.07"/>
        <n v="24.0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.0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.0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.0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.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.0"/>
        <n v="1212.848"/>
        <n v="89.97"/>
        <n v="5.04"/>
        <n v="62.96"/>
        <n v="977.292"/>
        <n v="9.64"/>
        <n v="40.05"/>
        <n v="10.192"/>
        <n v="16.784"/>
        <n v="13.12"/>
        <n v="18.16"/>
      </sharedItems>
    </cacheField>
    <cacheField name="Item Cost" numFmtId="168">
      <sharedItems containsSemiMixedTypes="0" containsString="0" containsNumber="1">
        <n v="261.26"/>
        <n v="731.61"/>
        <n v="13.97"/>
        <n v="956.9"/>
        <n v="22.08"/>
        <n v="48.08"/>
        <n v="6.34"/>
        <n v="906.78"/>
        <n v="18.36"/>
        <n v="114.62"/>
        <n v="1705.71"/>
        <n v="911.17"/>
        <n v="14.71"/>
        <n v="407.54"/>
        <n v="67.82"/>
        <n v="1.62"/>
        <n v="665.32"/>
        <n v="54.76"/>
        <n v="7.72"/>
        <n v="212.79"/>
        <n v="22.41"/>
        <n v="18.81"/>
        <n v="59.54"/>
        <n v="70.8"/>
        <n v="1044.05"/>
        <n v="11.39"/>
        <n v="89.64"/>
        <n v="3082.52"/>
        <n v="9.01"/>
        <n v="123.99"/>
        <n v="3.11"/>
        <n v="85.88"/>
        <n v="6.8"/>
        <n v="15.66"/>
        <n v="28.94"/>
        <n v="1096.67"/>
        <n v="190.8"/>
        <n v="112.36"/>
        <n v="532.02"/>
        <n v="211.08"/>
        <n v="370.36"/>
        <n v="146.34"/>
        <n v="77.43"/>
        <n v="94.71"/>
        <n v="45.84"/>
        <n v="17.12"/>
        <n v="211.46"/>
        <n v="44.59"/>
        <n v="21.04"/>
        <n v="37.28"/>
        <n v="75.01"/>
        <n v="6.03"/>
        <n v="89.04"/>
        <n v="14.39"/>
        <n v="1029.71"/>
        <n v="208.05"/>
        <n v="31.73"/>
        <n v="319.3"/>
        <n v="13.78"/>
        <n v="29.62"/>
        <n v="48.41"/>
        <n v="0.97"/>
        <n v="13.69"/>
        <n v="25.3"/>
        <n v="146.32"/>
        <n v="79.56"/>
        <n v="212.69"/>
        <n v="1112.23"/>
        <n v="167.14"/>
        <n v="74.93"/>
        <n v="3.87"/>
        <n v="18.79"/>
        <n v="831.72"/>
        <n v="96.98"/>
        <n v="72.57"/>
        <n v="0.33"/>
        <n v="8.88"/>
        <n v="26.58"/>
        <n v="18.65"/>
        <n v="208.11"/>
        <n v="16.28"/>
        <n v="14.61"/>
        <n v="20.68"/>
        <n v="200.44"/>
        <n v="229.82"/>
        <n v="301.07"/>
        <n v="19.77"/>
        <n v="5.27"/>
        <n v="158.13"/>
        <n v="19.41"/>
        <n v="73.53"/>
        <n v="6.27"/>
        <n v="12.69"/>
        <n v="53.3"/>
        <n v="32.55"/>
        <n v="5.25"/>
        <n v="95.66"/>
        <n v="50.59"/>
        <n v="77.71"/>
        <n v="63.94"/>
        <n v="95.67"/>
        <n v="1.03"/>
        <n v="23.15"/>
        <n v="238.02"/>
        <n v="101.97"/>
        <n v="36.75"/>
        <n v="73.41"/>
        <n v="27.88"/>
        <n v="2.47"/>
        <n v="339.63"/>
        <n v="41.02"/>
        <n v="75.3"/>
        <n v="26.8"/>
        <n v="39.18"/>
        <n v="4.56"/>
        <n v="23.97"/>
        <n v="129.68"/>
        <n v="786.93"/>
        <n v="156.91"/>
        <n v="46.83"/>
        <n v="30.78"/>
        <n v="225.99"/>
        <n v="114.44"/>
        <n v="67.05"/>
        <n v="600.44"/>
        <n v="616.9"/>
        <n v="2.19"/>
        <n v="243.79"/>
        <n v="80.61"/>
        <n v="238.11"/>
        <n v="59.36"/>
        <n v="78.24"/>
        <n v="20.85"/>
        <n v="20.0"/>
        <n v="35.26"/>
        <n v="10.88"/>
        <n v="3.77"/>
        <n v="76.02"/>
        <n v="65.27"/>
        <n v="42.27"/>
        <n v="82.56"/>
        <n v="8.76"/>
        <n v="10.56"/>
        <n v="143.52"/>
        <n v="838.57"/>
        <n v="671.11"/>
        <n v="93.42"/>
        <n v="383.76"/>
        <n v="149.92"/>
        <n v="1950.87"/>
        <n v="170.65"/>
        <n v="157.4"/>
        <n v="202.89"/>
        <n v="57.9"/>
        <n v="104.63"/>
        <n v="80.53"/>
        <n v="6.47"/>
        <n v="457.38"/>
        <n v="14.22"/>
        <n v="944.09"/>
        <n v="5.79"/>
        <n v="54.3"/>
        <n v="28.11"/>
        <n v="27.09"/>
        <n v="8.96"/>
        <n v="8159.36"/>
        <n v="275.48"/>
        <n v="1739.72"/>
        <n v="31.9"/>
        <n v="177.53"/>
        <n v="143.23"/>
        <n v="20.32"/>
        <n v="110.3"/>
        <n v="339.46"/>
        <n v="51.78"/>
        <n v="19.4"/>
        <n v="96.62"/>
        <n v="396.53"/>
        <n v="15.7"/>
        <n v="2.32"/>
        <n v="24.64"/>
        <n v="408.52"/>
        <n v="503.87"/>
        <n v="149.34"/>
        <n v="28.46"/>
        <n v="6.85"/>
        <n v="176.49"/>
        <n v="37.03"/>
        <n v="19.38"/>
        <n v="898.53"/>
        <n v="71.44"/>
        <n v="51.52"/>
        <n v="625.59"/>
        <n v="19.54"/>
        <n v="14.19"/>
        <n v="6.46"/>
        <n v="5.82"/>
        <n v="45.71"/>
        <n v="2.85"/>
        <n v="15.84"/>
        <n v="21.73"/>
        <n v="218.11"/>
        <n v="2.52"/>
        <n v="65.82"/>
        <n v="34.2"/>
        <n v="444.02"/>
        <n v="83.79"/>
        <n v="131.38"/>
        <n v="15.35"/>
        <n v="51.64"/>
        <n v="91.9"/>
        <n v="20.41"/>
        <n v="22.79"/>
        <n v="451.96"/>
        <n v="62.62"/>
        <n v="1187.52"/>
        <n v="88.71"/>
        <n v="92.37"/>
        <n v="301.89"/>
        <n v="5.29"/>
        <n v="22.21"/>
        <n v="18.84"/>
        <n v="72.19"/>
        <n v="479.35"/>
        <n v="26.83"/>
        <n v="2.12"/>
        <n v="622.09"/>
        <n v="21.78"/>
        <n v="161.03"/>
        <n v="389.21"/>
        <n v="18.45"/>
        <n v="233.41"/>
        <n v="620.39"/>
        <n v="4.57"/>
        <n v="258.03"/>
        <n v="617.0"/>
        <n v="9.71"/>
        <n v="25.59"/>
        <n v="418.98"/>
        <n v="10.99"/>
        <n v="31.54"/>
        <n v="177.17"/>
        <n v="3.17"/>
        <n v="6.77"/>
        <n v="2001.35"/>
        <n v="166.12"/>
        <n v="47.37"/>
        <n v="1502.81"/>
        <n v="25.76"/>
        <n v="320.85"/>
        <n v="7.3"/>
        <n v="3347.33"/>
        <n v="79.76"/>
        <n v="361.13"/>
        <n v="11.56"/>
        <n v="81.4"/>
        <n v="53.56"/>
        <n v="647.48"/>
        <n v="20.03"/>
        <n v="220.87"/>
        <n v="16.7"/>
        <n v="0.85"/>
        <n v="3059.67"/>
        <n v="2519.78"/>
        <n v="328.16"/>
        <n v="79.2"/>
        <n v="13.92"/>
        <n v="6.82"/>
        <n v="36.95"/>
        <n v="56.83"/>
        <n v="725.11"/>
        <n v="209.15"/>
        <n v="4.86"/>
        <n v="10.3"/>
        <n v="8.48"/>
        <n v="5.94"/>
        <n v="11.42"/>
        <n v="18.17"/>
        <n v="59.13"/>
        <n v="24.29"/>
        <n v="1.98"/>
        <n v="1113.53"/>
        <n v="1038.1"/>
        <n v="141.39"/>
        <n v="239.3"/>
        <n v="30.4"/>
        <n v="253.74"/>
        <n v="193.93"/>
        <n v="961.3"/>
        <n v="18.34"/>
        <n v="18.02"/>
        <n v="255.27"/>
        <n v="86.48"/>
        <n v="299.42"/>
        <n v="229.78"/>
        <n v="218.02"/>
        <n v="78.29"/>
        <n v="27.54"/>
        <n v="32.06"/>
        <n v="1081.82"/>
        <n v="56.78"/>
        <n v="76.91"/>
        <n v="14.16"/>
        <n v="218.6"/>
        <n v="25.99"/>
        <n v="9.41"/>
        <n v="45.44"/>
        <n v="288.87"/>
        <n v="4.36"/>
        <n v="14.89"/>
        <n v="465.9"/>
        <n v="14.76"/>
        <n v="5.52"/>
        <n v="87.11"/>
        <n v="178.32"/>
        <n v="15.28"/>
        <n v="99.02"/>
        <n v="135.21"/>
        <n v="3991.36"/>
        <n v="275.36"/>
        <n v="359.42"/>
        <n v="43.4"/>
        <n v="6.57"/>
        <n v="250.57"/>
        <n v="99.99"/>
        <n v="15.43"/>
        <n v="290.29"/>
        <n v="53.98"/>
        <n v="786.38"/>
        <n v="99.24"/>
        <n v="37.7"/>
        <n v="82.11"/>
        <n v="20.19"/>
        <n v="4.8"/>
        <n v="4.63"/>
        <n v="959.68"/>
        <n v="13.73"/>
        <n v="7.19"/>
        <n v="698.24"/>
        <n v="4.45"/>
        <n v="509.93"/>
        <n v="30.06"/>
        <n v="71.77"/>
        <n v="88.41"/>
        <n v="47.57"/>
        <n v="6.69"/>
        <n v="23.77"/>
        <n v="12.95"/>
        <n v="6.4"/>
        <n v="23.66"/>
        <n v="2.22"/>
        <n v="48.36"/>
        <n v="4355.06"/>
        <n v="388.45"/>
        <n v="7.81"/>
        <n v="16.07"/>
        <n v="34.1"/>
        <n v="35.9"/>
        <n v="647.21"/>
        <n v="20.01"/>
        <n v="20.49"/>
        <n v="488.09"/>
        <n v="5.19"/>
        <n v="46.53"/>
        <n v="211.15"/>
        <n v="22.28"/>
        <n v="6.65"/>
        <n v="104.42"/>
        <n v="1042.99"/>
        <n v="52.95"/>
        <n v="7.87"/>
        <n v="1023.84"/>
        <n v="8.58"/>
        <n v="478.19"/>
        <n v="98.18"/>
        <n v="1488.22"/>
        <n v="7.8"/>
        <n v="23.31"/>
        <n v="12.05"/>
        <n v="50.41"/>
        <n v="49.01"/>
        <n v="41.31"/>
        <n v="374.84"/>
        <n v="83.07"/>
        <n v="481.81"/>
        <n v="2.24"/>
        <n v="2.11"/>
        <n v="22.76"/>
        <n v="39.12"/>
        <n v="245.6"/>
        <n v="1799.44"/>
        <n v="11.68"/>
        <n v="75.2"/>
        <n v="49.81"/>
        <n v="12.37"/>
        <n v="69.33"/>
        <n v="35.91"/>
        <n v="2395.78"/>
        <n v="130.97"/>
        <n v="57.1"/>
        <n v="8.71"/>
        <n v="38.51"/>
        <n v="35.67"/>
        <n v="179.62"/>
        <n v="1199.86"/>
        <n v="27.07"/>
        <n v="1003.74"/>
        <n v="8.77"/>
        <n v="27.45"/>
        <n v="55.71"/>
        <n v="1336.39"/>
        <n v="113.48"/>
        <n v="138.94"/>
        <n v="306.85"/>
        <n v="95.2"/>
        <n v="383.39"/>
        <n v="5.46"/>
        <n v="8.95"/>
        <n v="15.23"/>
        <n v="196.71"/>
        <n v="56.43"/>
        <n v="31.8"/>
        <n v="865.96"/>
        <n v="27.46"/>
        <n v="287.29"/>
        <n v="5.83"/>
        <n v="189.27"/>
        <n v="408.29"/>
        <n v="291.27"/>
        <n v="4.48"/>
        <n v="713.4"/>
        <n v="3.97"/>
        <n v="247.72"/>
        <n v="1007.35"/>
        <n v="313.04"/>
        <n v="31.68"/>
        <n v="207.58"/>
        <n v="194.44"/>
        <n v="70.42"/>
        <n v="90.47"/>
        <n v="242.17"/>
        <n v="21.14"/>
        <n v="2.17"/>
        <n v="58.78"/>
        <n v="161.59"/>
        <n v="263.38"/>
        <n v="30.24"/>
        <n v="9.02"/>
        <n v="34.27"/>
        <n v="283.97"/>
        <n v="664.6"/>
        <n v="63.05"/>
        <n v="129.15"/>
        <n v="746.84"/>
        <n v="8.28"/>
        <n v="103.73"/>
        <n v="899.67"/>
        <n v="23.16"/>
        <n v="1272.51"/>
        <n v="28.44"/>
        <n v="184.43"/>
        <n v="77.64"/>
        <n v="254.06"/>
        <n v="205.18"/>
        <n v="4.67"/>
        <n v="55.37"/>
        <n v="340.43"/>
        <n v="221.73"/>
        <n v="703.77"/>
        <n v="91.76"/>
        <n v="61.71"/>
        <n v="94.19"/>
        <n v="95.18"/>
        <n v="39.61"/>
        <n v="13.71"/>
        <n v="703.79"/>
        <n v="8.9"/>
        <n v="4.97"/>
        <n v="159.24"/>
        <n v="29.14"/>
        <n v="513.37"/>
        <n v="279.24"/>
        <n v="2735.58"/>
        <n v="7.29"/>
        <n v="63.56"/>
        <n v="69.68"/>
        <n v="448.88"/>
        <n v="10.58"/>
        <n v="93.2"/>
        <n v="189.64"/>
        <n v="105.38"/>
        <n v="119.1"/>
        <n v="254.81"/>
        <n v="240.79"/>
        <n v="68.37"/>
        <n v="14.93"/>
        <n v="801.23"/>
        <n v="1.55"/>
        <n v="32.25"/>
        <n v="15.15"/>
        <n v="1.79"/>
        <n v="8.07"/>
        <n v="45.81"/>
        <n v="6353.97"/>
        <n v="125.39"/>
        <n v="37.09"/>
        <n v="7.15"/>
        <n v="6.52"/>
        <n v="5.42"/>
        <n v="2998.96"/>
        <n v="50.93"/>
        <n v="11.16"/>
        <n v="1125.59"/>
        <n v="18.12"/>
        <n v="129.1"/>
        <n v="13.35"/>
        <n v="210.23"/>
        <n v="54.96"/>
        <n v="66.07"/>
        <n v="22.09"/>
        <n v="683.38"/>
        <n v="44.75"/>
        <n v="35.79"/>
        <n v="665.42"/>
        <n v="51.96"/>
        <n v="190.15"/>
        <n v="47.47"/>
        <n v="979.35"/>
        <n v="22.51"/>
        <n v="16.1"/>
        <n v="41.78"/>
        <n v="10.57"/>
        <n v="152.58"/>
        <n v="282.95"/>
        <n v="467.96"/>
        <n v="380.6"/>
        <n v="646.66"/>
        <n v="57.94"/>
        <n v="100.58"/>
        <n v="65.65"/>
        <n v="40.59"/>
        <n v="12.82"/>
        <n v="249.83"/>
        <n v="10.83"/>
        <n v="7.76"/>
        <n v="1120.83"/>
        <n v="33.8"/>
        <n v="10.04"/>
        <n v="1295.24"/>
        <n v="18.87"/>
        <n v="20.46"/>
        <n v="1335.12"/>
        <n v="31.82"/>
        <n v="41.71"/>
        <n v="83.54"/>
        <n v="12.2"/>
        <n v="13.05"/>
        <n v="3.3"/>
        <n v="2.36"/>
        <n v="373.52"/>
        <n v="91.28"/>
        <n v="80.34"/>
        <n v="19.24"/>
        <n v="450.79"/>
        <n v="71.96"/>
        <n v="13.67"/>
        <n v="32.56"/>
        <n v="14.03"/>
        <n v="7.93"/>
        <n v="160.1"/>
        <n v="69.08"/>
        <n v="8.04"/>
        <n v="50.87"/>
        <n v="469.87"/>
        <n v="104.8"/>
        <n v="30.52"/>
        <n v="406.22"/>
        <n v="70.65"/>
        <n v="294.81"/>
        <n v="84.02"/>
        <n v="19.74"/>
        <n v="16.29"/>
        <n v="10.1"/>
        <n v="8.59"/>
        <n v="30.73"/>
        <n v="75.46"/>
        <n v="1199.23"/>
        <n v="445.38"/>
        <n v="327.51"/>
        <n v="11.38"/>
        <n v="143.98"/>
        <n v="493.7"/>
        <n v="4.88"/>
        <n v="142.64"/>
        <n v="45.65"/>
        <n v="6.25"/>
        <n v="42.61"/>
        <n v="131.07"/>
        <n v="2.64"/>
        <n v="54.68"/>
        <n v="369.43"/>
        <n v="15.41"/>
        <n v="7.49"/>
        <n v="727.99"/>
        <n v="119.72"/>
        <n v="2.81"/>
        <n v="40.35"/>
        <n v="9.42"/>
        <n v="107.26"/>
        <n v="37.76"/>
        <n v="87.89"/>
        <n v="8.16"/>
        <n v="301.62"/>
        <n v="554.84"/>
        <n v="522.95"/>
        <n v="161.05"/>
        <n v="35.04"/>
        <n v="97.09"/>
        <n v="14.45"/>
        <n v="12.83"/>
        <n v="242.8"/>
        <n v="119.49"/>
        <n v="300.09"/>
        <n v="16.89"/>
        <n v="235.05"/>
        <n v="392.3"/>
        <n v="18.82"/>
        <n v="121.96"/>
        <n v="1048.97"/>
        <n v="14.88"/>
        <n v="18.04"/>
        <n v="330.19"/>
        <n v="25.55"/>
        <n v="132.09"/>
        <n v="5.96"/>
        <n v="209.04"/>
        <n v="31.05"/>
        <n v="14.73"/>
        <n v="301.45"/>
        <n v="315.0"/>
        <n v="378.46"/>
        <n v="97.7"/>
        <n v="102.24"/>
        <n v="112.7"/>
        <n v="3.09"/>
        <n v="133.72"/>
        <n v="700.42"/>
        <n v="1.71"/>
        <n v="998.53"/>
        <n v="723.22"/>
        <n v="917.93"/>
        <n v="2.25"/>
        <n v="459.05"/>
        <n v="10.2"/>
        <n v="23.17"/>
        <n v="84.29"/>
        <n v="380.78"/>
        <n v="29.57"/>
        <n v="23.68"/>
        <n v="108.54"/>
        <n v="36.08"/>
        <n v="18.66"/>
        <n v="60.91"/>
        <n v="38.1"/>
        <n v="99.38"/>
        <n v="2.55"/>
        <n v="26.86"/>
        <n v="82.06"/>
        <n v="182.04"/>
        <n v="14.01"/>
        <n v="64.55"/>
        <n v="68.47"/>
        <n v="7999.04"/>
        <n v="167.12"/>
        <n v="479.4"/>
        <n v="13.95"/>
        <n v="191.73"/>
        <n v="103.23"/>
        <n v="284.3"/>
        <n v="35.94"/>
        <n v="166.08"/>
        <n v="33.38"/>
        <n v="197.32"/>
        <n v="47.31"/>
        <n v="200.57"/>
        <n v="97.58"/>
        <n v="2.67"/>
        <n v="18.0"/>
        <n v="4.29"/>
        <n v="15.04"/>
        <n v="209.67"/>
        <n v="369.25"/>
        <n v="10.13"/>
        <n v="166.37"/>
        <n v="14.91"/>
        <n v="119.88"/>
        <n v="883.73"/>
        <n v="46.15"/>
        <n v="55.03"/>
        <n v="24.28"/>
        <n v="280.52"/>
        <n v="307.2"/>
        <n v="299.73"/>
        <n v="19.36"/>
        <n v="8.98"/>
        <n v="102.11"/>
        <n v="59.78"/>
        <n v="72.32"/>
        <n v="146.01"/>
        <n v="1652.21"/>
        <n v="296.27"/>
        <n v="129.89"/>
        <n v="45.23"/>
        <n v="17.21"/>
        <n v="55.22"/>
        <n v="182.7"/>
        <n v="399.48"/>
        <n v="33.16"/>
        <n v="542.23"/>
        <n v="5.34"/>
        <n v="242.41"/>
        <n v="179.08"/>
        <n v="99.66"/>
        <n v="27.72"/>
        <n v="84.26"/>
        <n v="17.91"/>
        <n v="49.18"/>
        <n v="10.79"/>
        <n v="271.79"/>
        <n v="51.13"/>
        <n v="3.36"/>
        <n v="4.0"/>
        <n v="54.91"/>
        <n v="566.93"/>
        <n v="358.74"/>
        <n v="11.93"/>
        <n v="57.83"/>
        <n v="157.37"/>
        <n v="56.82"/>
        <n v="2.5"/>
        <n v="1199.7"/>
        <n v="79.91"/>
        <n v="382.77"/>
        <n v="24.04"/>
        <n v="119.4"/>
        <n v="13.04"/>
        <n v="22.7"/>
        <n v="58.08"/>
        <n v="11.81"/>
        <n v="107.03"/>
        <n v="10.46"/>
        <n v="50.37"/>
        <n v="646.38"/>
        <n v="4.98"/>
        <n v="572.37"/>
        <n v="310.63"/>
        <n v="641.65"/>
        <n v="17.68"/>
        <n v="206.73"/>
        <n v="31.87"/>
        <n v="39.34"/>
        <n v="33.95"/>
        <n v="32.5"/>
        <n v="543.32"/>
        <n v="59.49"/>
        <n v="23.61"/>
        <n v="4.07"/>
        <n v="31.46"/>
        <n v="23.28"/>
        <n v="34.93"/>
        <n v="46.99"/>
        <n v="185.95"/>
        <n v="16.96"/>
        <n v="348.61"/>
        <n v="143.01"/>
        <n v="14.8"/>
        <n v="42.63"/>
        <n v="332.22"/>
        <n v="1363.48"/>
        <n v="8.97"/>
        <n v="21.3"/>
        <n v="12.5"/>
        <n v="20.78"/>
        <n v="282.99"/>
        <n v="21.53"/>
        <n v="215.54"/>
        <n v="354.85"/>
        <n v="12.7"/>
        <n v="17.56"/>
        <n v="42.52"/>
        <n v="1983.61"/>
        <n v="28.32"/>
        <n v="149.22"/>
        <n v="11.04"/>
        <n v="1297.88"/>
        <n v="213.11"/>
        <n v="24.79"/>
        <n v="18.08"/>
        <n v="1399.32"/>
        <n v="51.11"/>
        <n v="41.33"/>
        <n v="2.59"/>
        <n v="1227.98"/>
        <n v="31.06"/>
        <n v="335.44"/>
        <n v="239.15"/>
        <n v="9.82"/>
        <n v="66.82"/>
        <n v="167.06"/>
        <n v="34.12"/>
        <n v="37.15"/>
        <n v="14.83"/>
        <n v="301.63"/>
        <n v="180.35"/>
        <n v="191.97"/>
        <n v="65.98"/>
        <n v="34.32"/>
        <n v="23.08"/>
        <n v="265.15"/>
        <n v="51.02"/>
        <n v="9.37"/>
        <n v="20.89"/>
        <n v="60.25"/>
        <n v="11.19"/>
        <n v="185.91"/>
        <n v="37.17"/>
        <n v="26.22"/>
        <n v="11.28"/>
        <n v="14.55"/>
        <n v="83.34"/>
        <n v="286.99"/>
        <n v="48.39"/>
        <n v="114.77"/>
        <n v="5.02"/>
        <n v="38.86"/>
        <n v="185.07"/>
        <n v="44.26"/>
        <n v="242.33"/>
        <n v="39.21"/>
        <n v="102.1"/>
        <n v="20.84"/>
        <n v="7.6"/>
        <n v="6.7"/>
        <n v="22.15"/>
        <n v="190.66"/>
        <n v="4.47"/>
        <n v="59.09"/>
        <n v="2.46"/>
        <n v="51.29"/>
        <n v="15.64"/>
        <n v="44.34"/>
        <n v="1140.66"/>
        <n v="280.46"/>
        <n v="33.61"/>
        <n v="10.48"/>
        <n v="105.77"/>
        <n v="191.21"/>
        <n v="322.4"/>
        <n v="29.34"/>
        <n v="371.37"/>
        <n v="5.78"/>
        <n v="68.14"/>
        <n v="1242.58"/>
        <n v="30.29"/>
        <n v="31.38"/>
        <n v="16.59"/>
        <n v="13.63"/>
        <n v="83.49"/>
        <n v="37.21"/>
        <n v="33.87"/>
        <n v="149.13"/>
        <n v="50.91"/>
        <n v="4.38"/>
        <n v="15.36"/>
        <n v="543.77"/>
        <n v="155.11"/>
        <n v="70.0"/>
        <n v="14.69"/>
        <n v="103.15"/>
        <n v="46.9"/>
        <n v="9.91"/>
        <n v="17.69"/>
        <n v="323.14"/>
        <n v="19.88"/>
        <n v="64.81"/>
        <n v="12.63"/>
        <n v="322.23"/>
        <n v="90.18"/>
        <n v="52.06"/>
        <n v="1199.52"/>
        <n v="1928.37"/>
        <n v="352.29"/>
        <n v="46.19"/>
        <n v="143.67"/>
        <n v="99.41"/>
        <n v="797.92"/>
        <n v="8.44"/>
        <n v="148.95"/>
        <n v="12.26"/>
        <n v="24.01"/>
        <n v="85.04"/>
        <n v="21.1"/>
        <n v="405.67"/>
        <n v="841.57"/>
        <n v="251.41"/>
        <n v="45.48"/>
        <n v="28.67"/>
        <n v="88.89"/>
        <n v="13.46"/>
        <n v="11.44"/>
        <n v="44.63"/>
        <n v="29.25"/>
        <n v="446.88"/>
        <n v="159.36"/>
        <n v="134.18"/>
        <n v="17.11"/>
        <n v="5.43"/>
        <n v="1113.48"/>
        <n v="32.32"/>
        <n v="539.8"/>
        <n v="167.02"/>
        <n v="392.86"/>
        <n v="516.14"/>
        <n v="1006.41"/>
        <n v="2065.16"/>
        <n v="15.27"/>
        <n v="24.98"/>
        <n v="24.85"/>
        <n v="27.06"/>
        <n v="78.51"/>
        <n v="173.33"/>
        <n v="28.89"/>
        <n v="3.8"/>
        <n v="15.55"/>
        <n v="204.29"/>
        <n v="321.44"/>
        <n v="6.13"/>
        <n v="21.28"/>
        <n v="3.7"/>
        <n v="9.0"/>
        <n v="35.61"/>
        <n v="12.91"/>
        <n v="191.09"/>
        <n v="7.67"/>
        <n v="501.68"/>
        <n v="126.74"/>
        <n v="123.49"/>
        <n v="18.21"/>
        <n v="29.51"/>
        <n v="160.25"/>
        <n v="75.6"/>
        <n v="0.62"/>
        <n v="3059.46"/>
        <n v="2.42"/>
        <n v="33.18"/>
        <n v="599.26"/>
        <n v="3.21"/>
        <n v="559.5"/>
        <n v="603.59"/>
        <n v="7.61"/>
        <n v="27.75"/>
        <n v="336.1"/>
        <n v="0.28"/>
        <n v="519.68"/>
        <n v="17.52"/>
        <n v="1166.52"/>
        <n v="14.58"/>
        <n v="9.92"/>
        <n v="154.33"/>
        <n v="2715.43"/>
        <n v="617.11"/>
        <n v="10.0"/>
        <n v="36.44"/>
        <n v="23.4"/>
        <n v="32.61"/>
        <n v="43.34"/>
        <n v="2308.89"/>
        <n v="1090.27"/>
        <n v="18.98"/>
        <n v="484.04"/>
        <n v="114.51"/>
        <n v="6.22"/>
        <n v="4.01"/>
        <n v="44.31"/>
        <n v="95.29"/>
        <n v="151.56"/>
        <n v="155.14"/>
        <n v="13.25"/>
        <n v="1618.18"/>
        <n v="98.63"/>
        <n v="31.92"/>
        <n v="13.03"/>
        <n v="155.71"/>
        <n v="124.66"/>
        <n v="601.55"/>
        <n v="1267.26"/>
        <n v="1379.42"/>
        <n v="6.04"/>
        <n v="63.23"/>
        <n v="15.5"/>
        <n v="176.99"/>
        <n v="197.65"/>
        <n v="854.7"/>
        <n v="123.48"/>
        <n v="13.61"/>
        <n v="15.49"/>
        <n v="2.43"/>
        <n v="13.89"/>
        <n v="86.12"/>
        <n v="35.71"/>
        <n v="23.57"/>
        <n v="28.47"/>
        <n v="697.14"/>
        <n v="721.86"/>
        <n v="8.27"/>
        <n v="58.24"/>
        <n v="254.22"/>
        <n v="1363.84"/>
        <n v="101.47"/>
        <n v="1113.45"/>
        <n v="168.38"/>
        <n v="6.39"/>
        <n v="282.12"/>
        <n v="10.72"/>
        <n v="107.97"/>
        <n v="82.25"/>
        <n v="19.71"/>
        <n v="65.56"/>
        <n v="3.72"/>
        <n v="107.11"/>
        <n v="44.86"/>
        <n v="10.07"/>
        <n v="6.89"/>
        <n v="117.94"/>
        <n v="1.02"/>
        <n v="55.24"/>
        <n v="194.79"/>
        <n v="24.35"/>
        <n v="18.9"/>
        <n v="28.52"/>
        <n v="5.54"/>
        <n v="4.12"/>
        <n v="31.32"/>
        <n v="40.83"/>
        <n v="119.86"/>
        <n v="30.57"/>
        <n v="6.42"/>
        <n v="19.09"/>
        <n v="1106.48"/>
        <n v="836.24"/>
        <n v="26.13"/>
        <n v="362.29"/>
        <n v="4899.48"/>
        <n v="6.48"/>
        <n v="71.17"/>
        <n v="2.16"/>
        <n v="31.25"/>
        <n v="71.13"/>
        <n v="119.85"/>
        <n v="218.69"/>
        <n v="27.9"/>
        <n v="355.72"/>
        <n v="347.79"/>
        <n v="35.78"/>
        <n v="447.43"/>
        <n v="6.24"/>
        <n v="7.75"/>
        <n v="29.09"/>
        <n v="7.79"/>
        <n v="2.77"/>
        <n v="100.68"/>
        <n v="9.9"/>
        <n v="57.92"/>
        <n v="40.93"/>
        <n v="71.29"/>
        <n v="9.6"/>
        <n v="1.1"/>
        <n v="46.01"/>
        <n v="119.77"/>
        <n v="6.14"/>
        <n v="279.45"/>
        <n v="619.12"/>
        <n v="3.73"/>
        <n v="14.37"/>
        <n v="699.67"/>
        <n v="22.2"/>
        <n v="38.22"/>
        <n v="6.15"/>
        <n v="1067.08"/>
        <n v="9.45"/>
        <n v="101.58"/>
        <n v="343.14"/>
        <n v="40.98"/>
        <n v="63.42"/>
        <n v="124.07"/>
        <n v="6.98"/>
        <n v="85.09"/>
        <n v="287.48"/>
        <n v="37.68"/>
        <n v="19.01"/>
        <n v="20.44"/>
        <n v="16.85"/>
        <n v="203.77"/>
        <n v="7.97"/>
        <n v="6.2"/>
        <n v="685.34"/>
        <n v="61.32"/>
        <n v="643.51"/>
        <n v="4.95"/>
        <n v="12.21"/>
        <n v="10.18"/>
        <n v="599.61"/>
        <n v="3.56"/>
        <n v="158.89"/>
        <n v="122.47"/>
        <n v="2244.2"/>
        <n v="61.91"/>
        <n v="454.7"/>
        <n v="195.02"/>
        <n v="362.7"/>
        <n v="10.84"/>
        <n v="53.63"/>
        <n v="9.05"/>
        <n v="125.64"/>
        <n v="24.97"/>
        <n v="45.97"/>
        <n v="447.17"/>
        <n v="109.47"/>
        <n v="272.66"/>
        <n v="31.49"/>
        <n v="21.6"/>
        <n v="15.79"/>
        <n v="49.33"/>
        <n v="172.39"/>
        <n v="179.22"/>
        <n v="257.79"/>
        <n v="1322.42"/>
        <n v="3.22"/>
        <n v="7.42"/>
        <n v="11.47"/>
        <n v="485.56"/>
        <n v="25.58"/>
        <n v="197.53"/>
        <n v="81.69"/>
        <n v="889.08"/>
        <n v="891.53"/>
        <n v="223.32"/>
        <n v="22.75"/>
        <n v="15.53"/>
        <n v="15.71"/>
        <n v="23.88"/>
        <n v="55.91"/>
        <n v="431.21"/>
        <n v="95.48"/>
        <n v="1088.07"/>
        <n v="543.35"/>
        <n v="1.18"/>
        <n v="853.99"/>
        <n v="593.18"/>
        <n v="337.21"/>
        <n v="271.26"/>
        <n v="10.64"/>
        <n v="8.57"/>
        <n v="13.85"/>
        <n v="41.19"/>
        <n v="8.39"/>
        <n v="578.55"/>
        <n v="141.09"/>
        <n v="2.63"/>
        <n v="4.08"/>
        <n v="4.15"/>
        <n v="95.3"/>
        <n v="16.98"/>
        <n v="258.27"/>
        <n v="1931.76"/>
        <n v="249.31"/>
        <n v="255.44"/>
        <n v="113.62"/>
        <n v="77.92"/>
        <n v="1.33"/>
        <n v="40.05"/>
        <n v="182.91"/>
        <n v="193.73"/>
        <n v="14.86"/>
        <n v="4.83"/>
        <n v="2.6"/>
        <n v="79.32"/>
        <n v="839.61"/>
        <n v="47.56"/>
        <n v="36.86"/>
        <n v="63.54"/>
        <n v="164.12"/>
        <n v="11.66"/>
        <n v="40.24"/>
        <n v="22.13"/>
        <n v="21.27"/>
        <n v="397.73"/>
        <n v="48.2"/>
        <n v="764.45"/>
        <n v="3610.76"/>
        <n v="254.54"/>
        <n v="37.87"/>
        <n v="1140.99"/>
        <n v="1703.65"/>
        <n v="2.62"/>
        <n v="1099.13"/>
        <n v="4.52"/>
        <n v="35.48"/>
        <n v="5.86"/>
        <n v="43.2"/>
        <n v="27.08"/>
        <n v="539.46"/>
        <n v="255.03"/>
        <n v="863.17"/>
        <n v="16.71"/>
        <n v="17.28"/>
        <n v="69.37"/>
        <n v="41.21"/>
        <n v="142.19"/>
        <n v="291.82"/>
        <n v="28.51"/>
        <n v="11.51"/>
        <n v="102.03"/>
        <n v="48.47"/>
        <n v="44.72"/>
        <n v="9.44"/>
        <n v="388.36"/>
        <n v="13.52"/>
        <n v="63.77"/>
        <n v="85.45"/>
        <n v="32.51"/>
        <n v="83.08"/>
        <n v="278.21"/>
        <n v="14.77"/>
        <n v="17.32"/>
        <n v="251.01"/>
        <n v="14.79"/>
        <n v="14.59"/>
        <n v="39.11"/>
        <n v="11.29"/>
        <n v="13.11"/>
        <n v="32.35"/>
        <n v="32.26"/>
        <n v="113.35"/>
        <n v="3.07"/>
        <n v="844.99"/>
        <n v="13.62"/>
        <n v="19.89"/>
        <n v="113.97"/>
        <n v="26.06"/>
        <n v="572.23"/>
        <n v="285.56"/>
        <n v="61.66"/>
        <n v="23.25"/>
        <n v="287.78"/>
        <n v="419.72"/>
        <n v="46.62"/>
        <n v="17.71"/>
        <n v="21.26"/>
        <n v="161.45"/>
        <n v="161.22"/>
        <n v="2.7"/>
        <n v="121.37"/>
        <n v="154.79"/>
        <n v="38.0"/>
        <n v="183.21"/>
        <n v="579.25"/>
        <n v="13.64"/>
        <n v="574.96"/>
        <n v="4.82"/>
        <n v="4.59"/>
        <n v="285.41"/>
        <n v="72.63"/>
        <n v="10.77"/>
        <n v="45.29"/>
        <n v="16.75"/>
        <n v="50.77"/>
        <n v="11.27"/>
        <n v="87.9"/>
        <n v="36.89"/>
        <n v="2.87"/>
        <n v="27.29"/>
        <n v="0.93"/>
        <n v="7.64"/>
        <n v="139.83"/>
        <n v="551.95"/>
        <n v="29.58"/>
        <n v="677.48"/>
        <n v="74.14"/>
        <n v="695.28"/>
        <n v="28.41"/>
        <n v="47.44"/>
        <n v="12.85"/>
        <n v="93.01"/>
        <n v="46.28"/>
        <n v="19.03"/>
        <n v="52.76"/>
        <n v="35.3"/>
        <n v="257.86"/>
        <n v="30.72"/>
        <n v="16.73"/>
        <n v="299.98"/>
        <n v="220.33"/>
        <n v="281.24"/>
        <n v="78.65"/>
        <n v="1.11"/>
        <n v="145.04"/>
        <n v="122.68"/>
        <n v="308.69"/>
        <n v="38.26"/>
        <n v="95.61"/>
        <n v="238.97"/>
        <n v="201.48"/>
        <n v="898.82"/>
        <n v="145.41"/>
        <n v="589.64"/>
        <n v="13.66"/>
        <n v="48.6"/>
        <n v="29.5"/>
        <n v="16.94"/>
        <n v="912.27"/>
        <n v="1089.44"/>
        <n v="447.4"/>
        <n v="15.73"/>
        <n v="399.87"/>
        <n v="158.17"/>
        <n v="12.9"/>
        <n v="83.39"/>
        <n v="80.76"/>
        <n v="348.73"/>
        <n v="9.13"/>
        <n v="18.47"/>
        <n v="239.85"/>
        <n v="167.15"/>
        <n v="104.15"/>
        <n v="484.55"/>
        <n v="122.82"/>
        <n v="154.18"/>
        <n v="342.3"/>
        <n v="8.62"/>
        <n v="651.81"/>
        <n v="66.17"/>
        <n v="17.02"/>
        <n v="87.67"/>
        <n v="6.44"/>
        <n v="21.02"/>
        <n v="250.81"/>
        <n v="204.56"/>
        <n v="10.24"/>
        <n v="154.54"/>
        <n v="115.93"/>
        <n v="75.15"/>
        <n v="39.14"/>
        <n v="392.91"/>
        <n v="407.19"/>
        <n v="164.67"/>
        <n v="334.11"/>
        <n v="239.38"/>
        <n v="37.36"/>
        <n v="945.88"/>
        <n v="151.06"/>
        <n v="85.73"/>
        <n v="72.03"/>
        <n v="59.89"/>
        <n v="76.92"/>
        <n v="119.34"/>
        <n v="263.89"/>
        <n v="363.08"/>
        <n v="14.38"/>
        <n v="29.02"/>
        <n v="427.03"/>
        <n v="220.67"/>
        <n v="152.09"/>
        <n v="1818.88"/>
        <n v="33.02"/>
        <n v="30.15"/>
        <n v="4.85"/>
        <n v="263.71"/>
        <n v="2452.69"/>
        <n v="29.43"/>
        <n v="39.24"/>
        <n v="36.0"/>
        <n v="12.86"/>
        <n v="138.95"/>
        <n v="1978.98"/>
        <n v="164.43"/>
        <n v="469.44"/>
        <n v="47.81"/>
        <n v="88.64"/>
        <n v="2.02"/>
        <n v="70.53"/>
        <n v="90.91"/>
        <n v="33.13"/>
        <n v="3039.91"/>
        <n v="90.82"/>
        <n v="452.59"/>
        <n v="51.92"/>
        <n v="15.9"/>
        <n v="27.22"/>
        <n v="243.04"/>
        <n v="159.17"/>
        <n v="1024.26"/>
        <n v="2.86"/>
        <n v="120.6"/>
        <n v="95.62"/>
        <n v="255.32"/>
        <n v="872.88"/>
        <n v="41.15"/>
        <n v="7.77"/>
        <n v="6.37"/>
        <n v="16.39"/>
        <n v="17.61"/>
        <n v="28.3"/>
        <n v="51.76"/>
        <n v="31.57"/>
        <n v="25.18"/>
        <n v="40.0"/>
        <n v="33.86"/>
        <n v="9.14"/>
        <n v="3.15"/>
        <n v="176.13"/>
        <n v="3.06"/>
        <n v="1212.8"/>
        <n v="89.31"/>
        <n v="41.61"/>
        <n v="4.89"/>
        <n v="62.24"/>
        <n v="5.88"/>
        <n v="977.05"/>
        <n v="39.83"/>
        <n v="9.79"/>
        <n v="16.26"/>
        <n v="12.32"/>
        <n v="15.52"/>
      </sharedItems>
    </cacheField>
    <cacheField name="Quantity" numFmtId="0">
      <sharedItems containsSemiMixedTypes="0" containsString="0" containsNumber="1" containsInteger="1">
        <n v="4.0"/>
        <n v="9.0"/>
        <n v="3.0"/>
        <n v="2.0"/>
        <n v="7.0"/>
        <n v="5.0"/>
        <n v="8.0"/>
        <n v="6.0"/>
        <n v="1.0"/>
      </sharedItems>
    </cacheField>
    <cacheField name="profit(without costs)" numFmtId="168">
      <sharedItems containsSemiMixedTypes="0" containsString="0" containsNumber="1">
        <n v="1047.84"/>
        <n v="2927.76"/>
        <n v="131.57999999999998"/>
        <n v="2872.7325"/>
        <n v="67.104"/>
        <n v="439.74"/>
        <n v="65.52"/>
        <n v="8164.368"/>
        <n v="166.536"/>
        <n v="1034.1000000000001"/>
        <n v="15355.655999999999"/>
        <n v="8202.815999999999"/>
        <n v="31.104"/>
        <n v="3671.784"/>
        <n v="481.67"/>
        <n v="17.808"/>
        <n v="3329.4"/>
        <n v="444.0"/>
        <n v="77.04"/>
        <n v="1921.32"/>
        <n v="204.48"/>
        <n v="116.76"/>
        <n v="362.04"/>
        <n v="71.372"/>
        <n v="8357.04"/>
        <n v="104.832"/>
        <n v="815.1299999999999"/>
        <n v="3083.43"/>
        <n v="9.618"/>
        <n v="124.2"/>
        <n v="3.264"/>
        <n v="86.304"/>
        <n v="6.858"/>
        <n v="15.76"/>
        <n v="206.304"/>
        <n v="7682.808000000001"/>
        <n v="1336.4399999999998"/>
        <n v="793.296"/>
        <n v="3726.7943999999998"/>
        <n v="1484.406"/>
        <n v="2598.176"/>
        <n v="883.008"/>
        <n v="700.92"/>
        <n v="286.848"/>
        <n v="229.89999999999998"/>
        <n v="87.30000000000001"/>
        <n v="847.84"/>
        <n v="45.0"/>
        <n v="21.8"/>
        <n v="152.88"/>
        <n v="300.72"/>
        <n v="24.64"/>
        <n v="359.96"/>
        <n v="15.26"/>
        <n v="1029.95"/>
        <n v="208.56"/>
        <n v="32.4"/>
        <n v="319.41"/>
        <n v="14.56"/>
        <n v="30.0"/>
        <n v="48.48"/>
        <n v="1.68"/>
        <n v="125.82000000000001"/>
        <n v="232.41600000000003"/>
        <n v="1320.57"/>
        <n v="717.84"/>
        <n v="1278.69"/>
        <n v="8904.192"/>
        <n v="1343.744"/>
        <n v="151.76"/>
        <n v="4.616"/>
        <n v="76.2"/>
        <n v="2495.808"/>
        <n v="291.12"/>
        <n v="218.35200000000003"/>
        <n v="8.736"/>
        <n v="67.956"/>
        <n v="190.67999999999998"/>
        <n v="135.1"/>
        <n v="624.48"/>
        <n v="50.22"/>
        <n v="134.1"/>
        <n v="192.51"/>
        <n v="401.968"/>
        <n v="1382.256"/>
        <n v="603.92"/>
        <n v="99.94999999999999"/>
        <n v="30.8"/>
        <n v="1108.576"/>
        <n v="180.9"/>
        <n v="662.2560000000001"/>
        <n v="58.32000000000001"/>
        <n v="64.80000000000001"/>
        <n v="266.70000000000005"/>
        <n v="164.8"/>
        <n v="51.138000000000005"/>
        <n v="96.53"/>
        <n v="461.808"/>
        <n v="389.4"/>
        <n v="387.74399999999997"/>
        <n v="575.856"/>
        <n v="10.728"/>
        <n v="119.60000000000001"/>
        <n v="1911.168"/>
        <n v="818.88"/>
        <n v="295.056"/>
        <n v="148.224"/>
        <n v="55.984"/>
        <n v="6.608"/>
        <n v="2039.7599999999998"/>
        <n v="41.96"/>
        <n v="379.79999999999995"/>
        <n v="136.2"/>
        <n v="160.384"/>
        <n v="18.88"/>
        <n v="95.904"/>
        <n v="521.856"/>
        <n v="7087.7699999999995"/>
        <n v="473.38200000000006"/>
        <n v="47.04"/>
        <n v="30.84"/>
        <n v="226.56"/>
        <n v="115.02"/>
        <n v="68.04"/>
        <n v="4203.906"/>
        <n v="3706.2000000000003"/>
        <n v="19.104"/>
        <n v="1951.936"/>
        <n v="732.816"/>
        <n v="2147.04"/>
        <n v="239.88"/>
        <n v="313.216"/>
        <n v="85.824"/>
        <n v="180.35999999999999"/>
        <n v="318.96"/>
        <n v="103.67999999999999"/>
        <n v="36.17999999999999"/>
        <n v="685.5840000000001"/>
        <n v="592.92"/>
        <n v="388.08"/>
        <n v="82.8"/>
        <n v="79.38"/>
        <n v="97.74"/>
        <n v="1293.3"/>
        <n v="5036.58"/>
        <n v="6047.37"/>
        <n v="375.552"/>
        <n v="1922.25"/>
        <n v="749.85"/>
        <n v="9759.199999999999"/>
        <n v="857.75"/>
        <n v="1263.36"/>
        <n v="1625.472"/>
        <n v="525.4200000000001"/>
        <n v="949.68"/>
        <n v="727.92"/>
        <n v="59.67"/>
        <n v="4118.112"/>
        <n v="102.33999999999999"/>
        <n v="6614.509999999999"/>
        <n v="53.82000000000001"/>
        <n v="54.384"/>
        <n v="227.2"/>
        <n v="249.12"/>
        <n v="69.55199999999999"/>
        <n v="57119.664000000004"/>
        <n v="1931.496"/>
        <n v="12180.42"/>
        <n v="224.448"/>
        <n v="1245.86"/>
        <n v="1007.832"/>
        <n v="188.46"/>
        <n v="998.64"/>
        <n v="3061.2960000000003"/>
        <n v="314.688"/>
        <n v="120.96000000000001"/>
        <n v="680.848"/>
        <n v="1587.208"/>
        <n v="63.52"/>
        <n v="3.28"/>
        <n v="148.896"/>
        <n v="2452.464"/>
        <n v="3527.72"/>
        <n v="1049.6499999999999"/>
        <n v="203.0"/>
        <n v="42.96"/>
        <n v="1591.2"/>
        <n v="260.568"/>
        <n v="140.112"/>
        <n v="899.136"/>
        <n v="71.76"/>
        <n v="51.84"/>
        <n v="626.352"/>
        <n v="19.9"/>
        <n v="128.51999999999998"/>
        <n v="29.632"/>
        <n v="24.192"/>
        <n v="323.82"/>
        <n v="2.946"/>
        <n v="16.056"/>
        <n v="86.976"/>
        <n v="1750.0"/>
        <n v="20.8"/>
        <n v="463.98800000000006"/>
        <n v="105.50399999999999"/>
        <n v="4002.912"/>
        <n v="335.68"/>
        <n v="527.92"/>
        <n v="63.68"/>
        <n v="209.16"/>
        <n v="367.96"/>
        <n v="145.6"/>
        <n v="94.72"/>
        <n v="1809.8"/>
        <n v="251.928"/>
        <n v="4752.0"/>
        <n v="358.336"/>
        <n v="837.54"/>
        <n v="2721.384"/>
        <n v="22.336"/>
        <n v="90.816"/>
        <n v="79.104"/>
        <n v="290.816"/>
        <n v="1919.952"/>
        <n v="108.672"/>
        <n v="8.8"/>
        <n v="2489.8"/>
        <n v="87.92"/>
        <n v="484.70400000000006"/>
        <n v="1169.0880000000002"/>
        <n v="37.296"/>
        <n v="701.58"/>
        <n v="1861.8435"/>
        <n v="15.984000000000002"/>
        <n v="774.216"/>
        <n v="1853.9279999999999"/>
        <n v="95.04"/>
        <n v="155.52"/>
        <n v="2518.08"/>
        <n v="70.128"/>
        <n v="191.904"/>
        <n v="1063.35"/>
        <n v="24.263999999999996"/>
        <n v="44.448"/>
        <n v="10009.3"/>
        <n v="833.6"/>
        <n v="239.4"/>
        <n v="7516.25"/>
        <n v="129.60000000000002"/>
        <n v="2894.112"/>
        <n v="68.49000000000001"/>
        <n v="30126.329999999998"/>
        <n v="80.58"/>
        <n v="361.92"/>
        <n v="72.792"/>
        <n v="494.20799999999997"/>
        <n v="323.52"/>
        <n v="3887.424"/>
        <n v="20.37"/>
        <n v="221.55"/>
        <n v="17.52"/>
        <n v="11.368"/>
        <n v="21419.874"/>
        <n v="17639.706000000002"/>
        <n v="1969.344"/>
        <n v="719.1"/>
        <n v="28.032"/>
        <n v="52.919999999999995"/>
        <n v="148.832"/>
        <n v="230.304"/>
        <n v="6532.56"/>
        <n v="1889.3700000000001"/>
        <n v="47.52"/>
        <n v="98.28"/>
        <n v="11.648"/>
        <n v="18.176"/>
        <n v="59.712"/>
        <n v="24.84"/>
        <n v="7800.800000000001"/>
        <n v="9349.56"/>
        <n v="1275.84"/>
        <n v="2158.2000000000003"/>
        <n v="279.936"/>
        <n v="762.174"/>
        <n v="583.584"/>
        <n v="2884.44"/>
        <n v="76.384"/>
        <n v="73.984"/>
        <n v="1023.936"/>
        <n v="347.88"/>
        <n v="2403.328"/>
        <n v="1842.816"/>
        <n v="1746.816"/>
        <n v="628.8"/>
        <n v="220.416"/>
        <n v="226.79999999999998"/>
        <n v="7577.360000000001"/>
        <n v="398.37"/>
        <n v="543.1999999999999"/>
        <n v="99.96"/>
        <n v="1314.4499999999998"/>
        <n v="26.8"/>
        <n v="39.36"/>
        <n v="363.84"/>
        <n v="2313.6"/>
        <n v="9.78"/>
        <n v="121.088"/>
        <n v="3734.144"/>
        <n v="121.856"/>
        <n v="50.112"/>
        <n v="612.7800000000001"/>
        <n v="535.1519999999999"/>
        <n v="46.656"/>
        <n v="99.136"/>
        <n v="135.882"/>
        <n v="3991.98"/>
        <n v="275.94"/>
        <n v="360.0"/>
        <n v="43.57"/>
        <n v="64.44"/>
        <n v="2263.6800000000003"/>
        <n v="899.91"/>
        <n v="47.976"/>
        <n v="290.898"/>
        <n v="54.224"/>
        <n v="786.744"/>
        <n v="100.24"/>
        <n v="37.764"/>
        <n v="20.724"/>
        <n v="4.896"/>
        <n v="42.768"/>
        <n v="8639.856"/>
        <n v="129.312"/>
        <n v="69.408"/>
        <n v="6285.168"/>
        <n v="39.68"/>
        <n v="17.856"/>
        <n v="509.97"/>
        <n v="30.992"/>
        <n v="71.928"/>
        <n v="621.6"/>
        <n v="431.784"/>
        <n v="7.56"/>
        <n v="24.56"/>
        <n v="12.96"/>
        <n v="6.79"/>
        <n v="3.048"/>
        <n v="49.12"/>
        <n v="4355.168"/>
        <n v="388.704"/>
        <n v="8.26"/>
        <n v="17.04"/>
        <n v="34.4"/>
        <n v="72.48"/>
        <n v="1943.52"/>
        <n v="62.099999999999994"/>
        <n v="20.7"/>
        <n v="488.646"/>
        <n v="5.56"/>
        <n v="47.12"/>
        <n v="1907.64"/>
        <n v="139.2"/>
        <n v="44.160000000000004"/>
        <n v="628.74"/>
        <n v="6263.52"/>
        <n v="181.44"/>
        <n v="373.968"/>
        <n v="65.28"/>
        <n v="8191.488"/>
        <n v="73.92"/>
        <n v="3832.32"/>
        <n v="594.816"/>
        <n v="2976.848"/>
        <n v="60.56399999999999"/>
        <n v="166.824"/>
        <n v="85.232"/>
        <n v="458.64"/>
        <n v="445.824"/>
        <n v="167.6"/>
        <n v="1126.3725"/>
        <n v="482.34"/>
        <n v="2.96"/>
        <n v="10.496"/>
        <n v="23.36"/>
        <n v="39.98"/>
        <n v="2217.4559999999997"/>
        <n v="16199.73"/>
        <n v="74.77199999999999"/>
        <n v="606.336"/>
        <n v="99.92"/>
        <n v="25.92"/>
        <n v="280.48"/>
        <n v="251.664"/>
        <n v="16773.859200000003"/>
        <n v="917.952"/>
        <n v="403.088"/>
        <n v="28.704"/>
        <n v="78.144"/>
        <n v="35.91"/>
        <n v="1619.55"/>
        <n v="10799.784000000001"/>
        <n v="244.35"/>
        <n v="9036.216"/>
        <n v="87.12"/>
        <n v="255.15"/>
        <n v="503.82"/>
        <n v="12031.461"/>
        <n v="1022.112"/>
        <n v="1258.7400000000002"/>
        <n v="2764.224"/>
        <n v="863.28"/>
        <n v="3454.2000000000003"/>
        <n v="23.12"/>
        <n v="83.88"/>
        <n v="137.25"/>
        <n v="1574.016"/>
        <n v="56.56"/>
        <n v="32.7"/>
        <n v="2599.2"/>
        <n v="113.6"/>
        <n v="1151.68"/>
        <n v="69.99"/>
        <n v="46.704"/>
        <n v="379.176"/>
        <n v="817.488"/>
        <n v="583.92"/>
        <n v="9.536"/>
        <n v="714.3"/>
        <n v="14.436"/>
        <n v="743.4000000000001"/>
        <n v="6047.874"/>
        <n v="1880.9279999999999"/>
        <n v="223.10399999999998"/>
        <n v="207.846"/>
        <n v="48.88"/>
        <n v="779.76"/>
        <n v="283.8"/>
        <n v="365.44"/>
        <n v="971.76"/>
        <n v="88.2"/>
        <n v="11.64"/>
        <n v="59.52"/>
        <n v="161.94"/>
        <n v="263.88"/>
        <n v="30.48"/>
        <n v="9.84"/>
        <n v="35.12"/>
        <n v="1137.456"/>
        <n v="2661.632"/>
        <n v="447.16"/>
        <n v="1166.112"/>
        <n v="4485.348"/>
        <n v="53.568000000000005"/>
        <n v="935.28"/>
        <n v="8099.19"/>
        <n v="188.48"/>
        <n v="10181.04"/>
        <n v="227.88"/>
        <n v="1483.008"/>
        <n v="626.176"/>
        <n v="1528.464"/>
        <n v="1437.3296"/>
        <n v="28.728"/>
        <n v="55.48"/>
        <n v="3068.28"/>
        <n v="2003.994"/>
        <n v="6335.7119999999995"/>
        <n v="832.68"/>
        <n v="563.85"/>
        <n v="853.65"/>
        <n v="861.84"/>
        <n v="40.2"/>
        <n v="14.7"/>
        <n v="704.25"/>
        <n v="81.81"/>
        <n v="5.96"/>
        <n v="159.98"/>
        <n v="266.40000000000003"/>
        <n v="4627.485"/>
        <n v="2519.64"/>
        <n v="16415.712"/>
        <n v="55.944"/>
        <n v="447.88800000000003"/>
        <n v="492.57599999999996"/>
        <n v="449.15"/>
        <n v="11.07"/>
        <n v="845.82"/>
        <n v="569.646"/>
        <n v="737.94"/>
        <n v="1076.544"/>
        <n v="2301.84"/>
        <n v="2174.112"/>
        <n v="623.6999999999999"/>
        <n v="180.96"/>
        <n v="119.616"/>
        <n v="6412.544"/>
        <n v="19.008"/>
        <n v="262.336"/>
        <n v="15.92"/>
        <n v="8.22"/>
        <n v="25.02"/>
        <n v="140.22"/>
        <n v="19064.85"/>
        <n v="757.8"/>
        <n v="228.24"/>
        <n v="28.608"/>
        <n v="52.92"/>
        <n v="14999.75"/>
        <n v="257.25"/>
        <n v="59.800000000000004"/>
        <n v="5630.1"/>
        <n v="128.744"/>
        <n v="906.9760000000001"/>
        <n v="98.784"/>
        <n v="843.92"/>
        <n v="496.584"/>
        <n v="596.34"/>
        <n v="22.2"/>
        <n v="2051.8559999999998"/>
        <n v="137.088"/>
        <n v="36.336"/>
        <n v="666.248"/>
        <n v="52.512"/>
        <n v="1716.48"/>
        <n v="431.46"/>
        <n v="2939.8500000000004"/>
        <n v="68.25"/>
        <n v="134.144"/>
        <n v="255.696"/>
        <n v="10.752"/>
        <n v="611.76"/>
        <n v="1135.68"/>
        <n v="2344.5"/>
        <n v="3046.912"/>
        <n v="2587.104"/>
        <n v="406.784"/>
        <n v="705.544"/>
        <n v="462.784"/>
        <n v="41.28"/>
        <n v="13.36"/>
        <n v="1501.632"/>
        <n v="68.184"/>
        <n v="52.32000000000001"/>
        <n v="10094.112"/>
        <n v="103.512"/>
        <n v="75.768"/>
        <n v="11662.02"/>
        <n v="38.912"/>
        <n v="186.29999999999998"/>
        <n v="12021.12"/>
        <n v="291.59999999999997"/>
        <n v="383.40000000000003"/>
        <n v="756.504"/>
        <n v="39.0"/>
        <n v="39.384"/>
        <n v="35.64"/>
        <n v="23.49"/>
        <n v="3369.384"/>
        <n v="826.5600000000001"/>
        <n v="729.7919999999999"/>
        <n v="174.96"/>
        <n v="4060.368"/>
        <n v="72.45"/>
        <n v="13.96"/>
        <n v="33.264"/>
        <n v="14.85"/>
        <n v="1446.48"/>
        <n v="179.28000000000003"/>
        <n v="65.7"/>
        <n v="418.27200000000005"/>
        <n v="52.751999999999995"/>
        <n v="463.68"/>
        <n v="3763.008"/>
        <n v="844.672"/>
        <n v="249.216"/>
        <n v="54.264"/>
        <n v="3250.944"/>
        <n v="283.92"/>
        <n v="1179.72"/>
        <n v="763.056"/>
        <n v="186.624"/>
        <n v="151.389"/>
        <n v="93.312"/>
        <n v="65.408"/>
        <n v="218.4"/>
        <n v="685.08"/>
        <n v="4013.64"/>
        <n v="2949.84"/>
        <n v="11.632"/>
        <n v="143.982"/>
        <n v="494.376"/>
        <n v="5.84"/>
        <n v="428.32800000000003"/>
        <n v="21.654"/>
        <n v="129.56400000000002"/>
        <n v="395.712"/>
        <n v="3.282"/>
        <n v="21.168"/>
        <n v="55.188"/>
        <n v="2587.032"/>
        <n v="109.984"/>
        <n v="8.448"/>
        <n v="728.946"/>
        <n v="479.76"/>
        <n v="14.592"/>
        <n v="40.48"/>
        <n v="9.94"/>
        <n v="107.424"/>
        <n v="37.91"/>
        <n v="88.02"/>
        <n v="52.14"/>
        <n v="1207.84"/>
        <n v="2220.84"/>
        <n v="2093.92"/>
        <n v="647.28"/>
        <n v="35.56"/>
        <n v="874.4399999999999"/>
        <n v="137.16"/>
        <n v="119.07000000000001"/>
        <n v="1947.072"/>
        <n v="958.4"/>
        <n v="2406.144"/>
        <n v="53.64"/>
        <n v="707.832"/>
        <n v="1178.82"/>
        <n v="151.056"/>
        <n v="978.624"/>
        <n v="9442.800000000001"/>
        <n v="138.816"/>
        <n v="94.2"/>
        <n v="2973.6"/>
        <n v="236.25"/>
        <n v="530.08"/>
        <n v="45.36"/>
        <n v="837.2"/>
        <n v="252.48"/>
        <n v="241.152"/>
        <n v="133.20000000000002"/>
        <n v="2844.0"/>
        <n v="379.4"/>
        <n v="97.82"/>
        <n v="103.12"/>
        <n v="454.208"/>
        <n v="13.272"/>
        <n v="537.152"/>
        <n v="4208.232"/>
        <n v="13.847999999999999"/>
        <n v="6996.024"/>
        <n v="5068.56"/>
        <n v="6431.495"/>
        <n v="19.068"/>
        <n v="459.95"/>
        <n v="166.32000000000002"/>
        <n v="595.3919999999999"/>
        <n v="2671.032"/>
        <n v="121.44"/>
        <n v="143.856"/>
        <n v="653.55"/>
        <n v="218.11199999999997"/>
        <n v="117.35999999999999"/>
        <n v="245.76"/>
        <n v="155.6"/>
        <n v="397.56"/>
        <n v="18.816000000000003"/>
        <n v="194.712"/>
        <n v="577.668"/>
        <n v="1280.958"/>
        <n v="14.352"/>
        <n v="64.96"/>
        <n v="68.6"/>
        <n v="15999.96"/>
        <n v="334.88"/>
        <n v="1439.91"/>
        <n v="43.86"/>
        <n v="191.984"/>
        <n v="208.02"/>
        <n v="569.64"/>
        <n v="73.68"/>
        <n v="1496.16"/>
        <n v="300.59999999999997"/>
        <n v="198.272"/>
        <n v="47.36"/>
        <n v="200.984"/>
        <n v="97.696"/>
        <n v="2.696"/>
        <n v="18.588"/>
        <n v="60.288"/>
        <n v="1888.92"/>
        <n v="3329.2079999999996"/>
        <n v="20.736"/>
        <n v="333.68"/>
        <n v="30.432"/>
        <n v="119.96"/>
        <n v="883.92"/>
        <n v="46.72"/>
        <n v="73.344"/>
        <n v="281.34"/>
        <n v="307.98"/>
        <n v="299.97"/>
        <n v="412.224"/>
        <n v="478.464"/>
        <n v="586.56"/>
        <n v="1321.3799999999999"/>
        <n v="6611.76"/>
        <n v="1185.48"/>
        <n v="129.92"/>
        <n v="136.752"/>
        <n v="122.97600000000001"/>
        <n v="391.94399999999996"/>
        <n v="182.72"/>
        <n v="400.032"/>
        <n v="33.63"/>
        <n v="542.646"/>
        <n v="6.3"/>
        <n v="2186.46"/>
        <n v="1619.73"/>
        <n v="897.264"/>
        <n v="251.424"/>
        <n v="764.82"/>
        <n v="168.48"/>
        <n v="449.82"/>
        <n v="70.70400000000001"/>
        <n v="1636.416"/>
        <n v="21.240000000000002"/>
        <n v="360.64000000000004"/>
        <n v="24.696"/>
        <n v="32.367999999999995"/>
        <n v="386.176"/>
        <n v="5104.08"/>
        <n v="3233.88"/>
        <n v="71.952"/>
        <n v="232.2"/>
        <n v="630.96"/>
        <n v="227.92"/>
        <n v="11.52"/>
        <n v="719.28"/>
        <n v="1150.3139999999999"/>
        <n v="122.8"/>
        <n v="599.0"/>
        <n v="13.128"/>
        <n v="524.88"/>
        <n v="37.17"/>
        <n v="431.928"/>
        <n v="79.52"/>
        <n v="356.58"/>
        <n v="4527.18"/>
        <n v="39.48"/>
        <n v="4008.0600000000004"/>
        <n v="932.64"/>
        <n v="1283.92"/>
        <n v="91.4"/>
        <n v="1035.0"/>
        <n v="161.75"/>
        <n v="38.55"/>
        <n v="201.5"/>
        <n v="172.89999999999998"/>
        <n v="131.04"/>
        <n v="4896.072"/>
        <n v="539.46"/>
        <n v="215.28000000000003"/>
        <n v="38.52"/>
        <n v="128.28"/>
        <n v="96.0"/>
        <n v="141.96"/>
        <n v="191.936"/>
        <n v="373.38"/>
        <n v="157.10399999999998"/>
        <n v="3140.352"/>
        <n v="287.92"/>
        <n v="86.08"/>
        <n v="665.88"/>
        <n v="2727.92"/>
        <n v="89.64000000000001"/>
        <n v="195.48"/>
        <n v="100.8"/>
        <n v="132.79"/>
        <n v="21.56"/>
        <n v="2555.28"/>
        <n v="200.07"/>
        <n v="1943.712"/>
        <n v="355.32"/>
        <n v="90.72"/>
        <n v="164.52"/>
        <n v="345.408"/>
        <n v="15871.744"/>
        <n v="170.39999999999998"/>
        <n v="899.8199999999999"/>
        <n v="11686.949999999999"/>
        <n v="1925.28"/>
        <n v="232.02"/>
        <n v="12599.37"/>
        <n v="259.20000000000005"/>
        <n v="5.344"/>
        <n v="41.472"/>
        <n v="3.168"/>
        <n v="1228.465"/>
        <n v="31.086"/>
        <n v="335.52"/>
        <n v="1679.79"/>
        <n v="68.74000000000001"/>
        <n v="610.1999999999999"/>
        <n v="1511.73"/>
        <n v="175.0"/>
        <n v="186.20000000000002"/>
        <n v="76.39999999999999"/>
        <n v="722.64"/>
        <n v="767.92"/>
        <n v="263.96"/>
        <n v="105.648"/>
        <n v="71.08800000000001"/>
        <n v="796.4250000000001"/>
        <n v="358.288"/>
        <n v="28.991999999999997"/>
        <n v="147.504"/>
        <n v="60.45"/>
        <n v="186.048"/>
        <n v="336.96"/>
        <n v="242.784"/>
        <n v="102.24"/>
        <n v="1151.76"/>
        <n v="195.584"/>
        <n v="807.52"/>
        <n v="46.44"/>
        <n v="349.92"/>
        <n v="557.64"/>
        <n v="44.46"/>
        <n v="242.94"/>
        <n v="39.96"/>
        <n v="102.3"/>
        <n v="21.36"/>
        <n v="60.88"/>
        <n v="57.28"/>
        <n v="66.24000000000001"/>
        <n v="207.9"/>
        <n v="574.416"/>
        <n v="15.744"/>
        <n v="177.552"/>
        <n v="5.78"/>
        <n v="103.88"/>
        <n v="15.936"/>
        <n v="44.91"/>
        <n v="1141.47"/>
        <n v="280.782"/>
        <n v="103.32"/>
        <n v="11.36"/>
        <n v="106.344"/>
        <n v="384.32"/>
        <n v="967.77"/>
        <n v="89.97"/>
        <n v="1115.91"/>
        <n v="5.892"/>
        <n v="68.472"/>
        <n v="1242.9"/>
        <n v="61.68"/>
        <n v="121.32000000000001"/>
        <n v="125.6"/>
        <n v="17.46"/>
        <n v="125.49600000000001"/>
        <n v="753.84"/>
        <n v="75.32"/>
        <n v="312.12"/>
        <n v="149.95"/>
        <n v="51.312"/>
        <n v="18.16"/>
        <n v="2175.68"/>
        <n v="1402.3799999999999"/>
        <n v="630.072"/>
        <n v="109.536"/>
        <n v="414.4"/>
        <n v="46.96"/>
        <n v="35.616"/>
        <n v="73.08"/>
        <n v="128.35199999999998"/>
        <n v="1943.856"/>
        <n v="584.64"/>
        <n v="116.64000000000001"/>
        <n v="323.136"/>
        <n v="90.93"/>
        <n v="52.776"/>
        <n v="4799.2"/>
        <n v="7715.12"/>
        <n v="1409.52"/>
        <n v="234.7"/>
        <n v="718.65"/>
        <n v="699.426"/>
        <n v="5585.608"/>
        <n v="59.976"/>
        <n v="1045.464"/>
        <n v="90.944"/>
        <n v="85.14"/>
        <n v="21.99"/>
        <n v="406.6"/>
        <n v="841.568"/>
        <n v="15.552"/>
        <n v="252.0"/>
        <n v="92.4"/>
        <n v="57.68"/>
        <n v="58.368"/>
        <n v="359.424"/>
        <n v="55.488"/>
        <n v="12.192"/>
        <n v="45.056"/>
        <n v="29.718"/>
        <n v="447.696"/>
        <n v="1279.92"/>
        <n v="1210.32"/>
        <n v="154.08"/>
        <n v="54.864000000000004"/>
        <n v="10028.448"/>
        <n v="4865.13"/>
        <n v="1509.84"/>
        <n v="3145.32"/>
        <n v="516.488"/>
        <n v="1007.232"/>
        <n v="2065.32"/>
        <n v="25.344"/>
        <n v="25.472"/>
        <n v="190.176"/>
        <n v="551.9696"/>
        <n v="521.4000000000001"/>
        <n v="236.736"/>
        <n v="38.016"/>
        <n v="124.416"/>
        <n v="1841.3999999999999"/>
        <n v="43.68"/>
        <n v="196.92"/>
        <n v="13.823999999999998"/>
        <n v="9.82"/>
        <n v="35.97"/>
        <n v="191.6"/>
        <n v="8.64"/>
        <n v="501.81"/>
        <n v="127.104"/>
        <n v="30.072"/>
        <n v="160.93"/>
        <n v="75.792"/>
        <n v="9.72"/>
        <n v="12239.928"/>
        <n v="6.564"/>
        <n v="136.08"/>
        <n v="599.292"/>
        <n v="27.136"/>
        <n v="4479.872"/>
        <n v="4831.36"/>
        <n v="55.775999999999996"/>
        <n v="195.776"/>
        <n v="2355.5699999999997"/>
        <n v="7.784000000000001"/>
        <n v="520.05"/>
        <n v="17.97"/>
        <n v="3500.76"/>
        <n v="14.624"/>
        <n v="92.07000000000001"/>
        <n v="1394.1000000000001"/>
        <n v="5431.86"/>
        <n v="1235.94"/>
        <n v="42.68"/>
        <n v="146.52"/>
        <n v="96.4"/>
        <n v="132.44"/>
        <n v="396.18"/>
        <n v="2309.65"/>
        <n v="1090.782"/>
        <n v="19.44"/>
        <n v="4361.849999999999"/>
        <n v="230.592"/>
        <n v="56.64"/>
        <n v="35.208"/>
        <n v="223.75"/>
        <n v="575.904"/>
        <n v="1365.48"/>
        <n v="1397.25"/>
        <n v="126.27"/>
        <n v="14565.329999999998"/>
        <n v="896.4"/>
        <n v="155.82"/>
        <n v="124.95"/>
        <n v="601.65"/>
        <n v="45.48"/>
        <n v="2535.06"/>
        <n v="2759.84"/>
        <n v="6.208"/>
        <n v="106.27199999999999"/>
        <n v="62.208"/>
        <n v="253.248"/>
        <n v="62.352"/>
        <n v="1240.3999999999999"/>
        <n v="1385.79"/>
        <n v="5984.58"/>
        <n v="868.77"/>
        <n v="62.784"/>
        <n v="10.512"/>
        <n v="57.708"/>
        <n v="519.72"/>
        <n v="329.61600000000004"/>
        <n v="47.936"/>
        <n v="57.456"/>
        <n v="4182.96"/>
        <n v="31.86"/>
        <n v="722.352"/>
        <n v="53.04"/>
        <n v="350.784"/>
        <n v="1527.624"/>
        <n v="4091.88"/>
        <n v="307.08"/>
        <n v="10021.536"/>
        <n v="168.464"/>
        <n v="6.72"/>
        <n v="282.888"/>
        <n v="11.16"/>
        <n v="108.4"/>
        <n v="82.344"/>
        <n v="9.088"/>
        <n v="179.424"/>
        <n v="590.112"/>
        <n v="4.416"/>
        <n v="754.404"/>
        <n v="180.864"/>
        <n v="41.664"/>
        <n v="31.488"/>
        <n v="475.128"/>
        <n v="5.792"/>
        <n v="221.88"/>
        <n v="1753.632"/>
        <n v="12.208"/>
        <n v="25.176"/>
        <n v="175.14000000000001"/>
        <n v="235.776"/>
        <n v="50.16"/>
        <n v="34.944"/>
        <n v="255.872"/>
        <n v="163.52"/>
        <n v="1079.6399999999999"/>
        <n v="282.96000000000004"/>
        <n v="61.92"/>
        <n v="79.68"/>
        <n v="4427.64"/>
        <n v="836.592"/>
        <n v="26.38"/>
        <n v="362.92"/>
        <n v="4899.93"/>
        <n v="32.400000000000006"/>
        <n v="647.784"/>
        <n v="28.349999999999998"/>
        <n v="63.968"/>
        <n v="143.968"/>
        <n v="1081.3500000000001"/>
        <n v="1972.656"/>
        <n v="57.8"/>
        <n v="711.92"/>
        <n v="696.416"/>
        <n v="71.568"/>
        <n v="4030.56"/>
        <n v="63.36"/>
        <n v="78.57000000000001"/>
        <n v="263.61"/>
        <n v="77.76"/>
        <n v="18.858"/>
        <n v="20.538"/>
        <n v="206.28000000000003"/>
        <n v="704.928"/>
        <n v="16.296"/>
        <n v="75.46"/>
        <n v="408.576"/>
        <n v="286.776"/>
        <n v="503.71999999999997"/>
        <n v="72.57600000000001"/>
        <n v="8.344"/>
        <n v="420.048"/>
        <n v="1078.497"/>
        <n v="1079.82"/>
        <n v="56.699999999999996"/>
        <n v="839.6999999999999"/>
        <n v="1859.8500000000001"/>
        <n v="13.080000000000002"/>
        <n v="45.839999999999996"/>
        <n v="4899.509999999999"/>
        <n v="160.72"/>
        <n v="270.2"/>
        <n v="46.41"/>
        <n v="163.38"/>
        <n v="7475.58"/>
        <n v="40.64"/>
        <n v="407.52"/>
        <n v="687.84"/>
        <n v="81.98"/>
        <n v="127.8"/>
        <n v="124.608"/>
        <n v="255.67200000000003"/>
        <n v="1150.08"/>
        <n v="150.72"/>
        <n v="79.92"/>
        <n v="82.32"/>
        <n v="69.52"/>
        <n v="78.48"/>
        <n v="6176.88"/>
        <n v="559.62"/>
        <n v="2576.304"/>
        <n v="51.04"/>
        <n v="43.8"/>
        <n v="2399.92"/>
        <n v="33.408"/>
        <n v="29.12"/>
        <n v="1278.144"/>
        <n v="244.96"/>
        <n v="4488.96"/>
        <n v="124.62"/>
        <n v="910.2"/>
        <n v="1756.656"/>
        <n v="1814.7"/>
        <n v="57.699999999999996"/>
        <n v="485.46"/>
        <n v="9.99"/>
        <n v="125.76"/>
        <n v="25.32"/>
        <n v="187.2"/>
        <n v="4031.37"/>
        <n v="109.48"/>
        <n v="272.94"/>
        <n v="31.92"/>
        <n v="89.52"/>
        <n v="148.68"/>
        <n v="31.056"/>
        <n v="83.78999999999999"/>
        <n v="104.04"/>
        <n v="345.0"/>
        <n v="359.94"/>
        <n v="1810.8720000000003"/>
        <n v="10583.44"/>
        <n v="30.08"/>
        <n v="43.488"/>
        <n v="15.84"/>
        <n v="108.864"/>
        <n v="4372.92"/>
        <n v="233.28000000000003"/>
        <n v="1778.22"/>
        <n v="737.28"/>
        <n v="8005.824"/>
        <n v="8030.0160000000005"/>
        <n v="2015.28"/>
        <n v="208.08"/>
        <n v="47.135999999999996"/>
        <n v="74.016"/>
        <n v="167.904"/>
        <n v="3023.496"/>
        <n v="671.8879999999999"/>
        <n v="7621.544"/>
        <n v="4352.064"/>
        <n v="14.976"/>
        <n v="6834.816"/>
        <n v="4748.544"/>
        <n v="2704.32"/>
        <n v="543.92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258.696"/>
        <n v="1931.958"/>
        <n v="2247.75"/>
        <n v="2303.424"/>
        <n v="113.79"/>
        <n v="78.15"/>
        <n v="1.728"/>
        <n v="40.56"/>
        <n v="182.94"/>
        <n v="193.86"/>
        <n v="137.51999999999998"/>
        <n v="51.12"/>
        <n v="2.78"/>
        <n v="79.96"/>
        <n v="3359.952"/>
        <n v="112.27499999999999"/>
        <n v="495.144"/>
        <n v="111.14999999999999"/>
        <n v="368.73"/>
        <n v="206.64000000000001"/>
        <n v="22.0"/>
        <n v="398.352"/>
        <n v="8.72"/>
        <n v="146.07"/>
        <n v="6882.192"/>
        <n v="32497.631999999998"/>
        <n v="2294.7705"/>
        <n v="38.82"/>
        <n v="1141.938"/>
        <n v="1704.56"/>
        <n v="3.2"/>
        <n v="5499.8"/>
        <n v="5.248"/>
        <n v="6.696"/>
        <n v="43.872"/>
        <n v="55.764"/>
        <n v="1080.096"/>
        <n v="511.36"/>
        <n v="2591.64"/>
        <n v="35.232"/>
        <n v="17.472"/>
        <n v="279.6"/>
        <n v="167.4"/>
        <n v="59.13"/>
        <n v="1285.7400000000002"/>
        <n v="2630.448"/>
        <n v="234.624"/>
        <n v="37.44"/>
        <n v="614.016"/>
        <n v="292.752"/>
        <n v="269.08799999999997"/>
        <n v="2719.01"/>
        <n v="100.464"/>
        <n v="447.94399999999996"/>
        <n v="604.464"/>
        <n v="98.91"/>
        <n v="251.64"/>
        <n v="1392.0"/>
        <n v="52.29"/>
        <n v="754.92"/>
        <n v="19.404"/>
        <n v="29.8"/>
        <n v="15.48"/>
        <n v="39.88"/>
        <n v="20.82"/>
        <n v="118.94399999999999"/>
        <n v="296.46"/>
        <n v="1027.8"/>
        <n v="27.72"/>
        <n v="6765.824"/>
        <n v="125.136"/>
        <n v="186.48"/>
        <n v="574.75"/>
        <n v="242.64000000000001"/>
        <n v="1145.52"/>
        <n v="572.76"/>
        <n v="123.92"/>
        <n v="71.97"/>
        <n v="863.9100000000001"/>
        <n v="2939.608"/>
        <n v="420.84"/>
        <n v="159.408"/>
        <n v="196.02"/>
        <n v="1457.46"/>
        <n v="1454.112"/>
        <n v="3.69"/>
        <n v="122.12"/>
        <n v="621.488"/>
        <n v="1654.56"/>
        <n v="5213.7"/>
        <n v="14.2"/>
        <n v="1727.7599999999998"/>
        <n v="20.916"/>
        <n v="1142.208"/>
        <n v="291.2"/>
        <n v="21.632"/>
        <n v="46.26"/>
        <n v="104.76"/>
        <n v="51.072"/>
        <n v="68.03999999999999"/>
        <n v="791.28"/>
        <n v="333.45"/>
        <n v="11.88"/>
        <n v="109.76"/>
        <n v="7.5600000000000005"/>
        <n v="55.72"/>
        <n v="1266.6239999999998"/>
        <n v="3315.3599999999997"/>
        <n v="225.99"/>
        <n v="29.78"/>
        <n v="677.58"/>
        <n v="75.04"/>
        <n v="1391.4"/>
        <n v="31.32"/>
        <n v="47.82"/>
        <n v="13.05"/>
        <n v="468.9"/>
        <n v="235.9"/>
        <n v="98.4"/>
        <n v="267.0"/>
        <n v="179.4"/>
        <n v="1549.674"/>
        <n v="62.8"/>
        <n v="1655.64"/>
        <n v="158.49"/>
        <n v="2708.136"/>
        <n v="1545.432"/>
        <n v="1969.9679999999998"/>
        <n v="316.56"/>
        <n v="13.916"/>
        <n v="1310.112"/>
        <n v="123.256"/>
        <n v="23.68"/>
        <n v="309.576"/>
        <n v="307.104"/>
        <n v="767.952"/>
        <n v="1919.616"/>
        <n v="1612.672"/>
        <n v="7193.088"/>
        <n v="1313.1000000000001"/>
        <n v="4720.464"/>
        <n v="112.32"/>
        <n v="98.16"/>
        <n v="153.792"/>
        <n v="7302.0"/>
        <n v="8718.0"/>
        <n v="3582.72"/>
        <n v="131.2"/>
        <n v="3199.68"/>
        <n v="1271.2"/>
        <n v="105.472"/>
        <n v="503.712"/>
        <n v="1046.52"/>
        <n v="56.519999999999996"/>
        <n v="719.9399999999999"/>
        <n v="503.88"/>
        <n v="314.54999999999995"/>
        <n v="1454.49"/>
        <n v="368.90999999999997"/>
        <n v="463.32"/>
        <n v="1027.1100000000001"/>
        <n v="3914.7000000000003"/>
        <n v="399.87"/>
        <n v="17.216"/>
        <n v="11.56"/>
        <n v="88.4"/>
        <n v="6.48"/>
        <n v="43.6"/>
        <n v="503.58"/>
        <n v="820.704"/>
        <n v="1677.6"/>
        <n v="10.304"/>
        <n v="154.764"/>
        <n v="116.784"/>
        <n v="75.48"/>
        <n v="165.76"/>
        <n v="408.006"/>
        <n v="165.28"/>
        <n v="334.768"/>
        <n v="2159.73"/>
        <n v="339.66"/>
        <n v="6624.408"/>
        <n v="1058.3999999999999"/>
        <n v="34.496"/>
        <n v="690.176"/>
        <n v="580.704"/>
        <n v="485.376"/>
        <n v="616.248"/>
        <n v="959.232"/>
        <n v="2111.68"/>
        <n v="2909.184"/>
        <n v="87.55199999999999"/>
        <n v="132.75"/>
        <n v="268.2"/>
        <n v="3846.78"/>
        <n v="458.28"/>
        <n v="21.81"/>
        <n v="5459.58"/>
        <n v="305.09999999999997"/>
        <n v="20.992"/>
        <n v="1847.1599999999999"/>
        <n v="17174.01"/>
        <n v="59.4"/>
        <n v="330.048"/>
        <n v="55.04"/>
        <n v="1115.392"/>
        <n v="11879.568000000001"/>
        <n v="988.4159999999999"/>
        <n v="2821.812"/>
        <n v="287.904"/>
        <n v="2.502"/>
        <n v="798.7679999999999"/>
        <n v="16.2"/>
        <n v="212.94"/>
        <n v="275.04"/>
        <n v="101.25"/>
        <n v="9120.0"/>
        <n v="273.6"/>
        <n v="1358.82"/>
        <n v="104.4"/>
        <n v="111.55199999999999"/>
        <n v="164.76"/>
        <n v="498.816"/>
        <n v="1952.048"/>
        <n v="1119.8880000000001"/>
        <n v="7173.011999999999"/>
        <n v="3.68"/>
        <n v="971.008"/>
        <n v="767.808"/>
        <n v="767.904"/>
        <n v="3491.76"/>
        <n v="166.16"/>
        <n v="6.848"/>
        <n v="78.03"/>
        <n v="46.815999999999995"/>
        <n v="17.28"/>
        <n v="17.712"/>
        <n v="28.91"/>
        <n v="104.272"/>
        <n v="287.712"/>
        <n v="364.14"/>
        <n v="304.83"/>
        <n v="29.183999999999997"/>
        <n v="10.272"/>
        <n v="1593.0"/>
        <n v="3.76"/>
        <n v="10915.632"/>
        <n v="809.73"/>
        <n v="5.04"/>
        <n v="62.96"/>
        <n v="5.88"/>
        <n v="977.292"/>
        <n v="86.76"/>
        <n v="120.14999999999999"/>
        <n v="71.344"/>
        <n v="117.488"/>
        <n v="91.83999999999999"/>
        <n v="163.44"/>
        <n v="112.39200000000001"/>
      </sharedItems>
    </cacheField>
    <cacheField name="Profit" numFmtId="168">
      <sharedItems containsSemiMixedTypes="0" containsString="0" containsNumber="1">
        <n v="786.5799999999999"/>
        <n v="2196.15"/>
        <n v="117.60999999999999"/>
        <n v="1915.8325"/>
        <n v="45.024"/>
        <n v="391.66"/>
        <n v="59.17999999999999"/>
        <n v="7257.588000000001"/>
        <n v="148.176"/>
        <n v="919.4800000000001"/>
        <n v="13649.946"/>
        <n v="7291.645999999999"/>
        <n v="16.394"/>
        <n v="3264.244"/>
        <n v="413.85"/>
        <n v="16.188"/>
        <n v="2664.08"/>
        <n v="389.24"/>
        <n v="69.32000000000001"/>
        <n v="1708.53"/>
        <n v="182.07"/>
        <n v="97.95"/>
        <n v="302.5"/>
        <n v="0.5720000000000027"/>
        <n v="7312.990000000001"/>
        <n v="93.442"/>
        <n v="725.4899999999999"/>
        <n v="0.9099999999998545"/>
        <n v="0.6080000000000005"/>
        <n v="0.21000000000000796"/>
        <n v="0.15399999999999991"/>
        <n v="0.4240000000000066"/>
        <n v="0.05799999999999983"/>
        <n v="0.09999999999999964"/>
        <n v="177.364"/>
        <n v="6586.138000000001"/>
        <n v="1145.6399999999999"/>
        <n v="680.936"/>
        <n v="3194.7744"/>
        <n v="1273.326"/>
        <n v="2227.816"/>
        <n v="736.668"/>
        <n v="623.49"/>
        <n v="192.13800000000003"/>
        <n v="184.05999999999997"/>
        <n v="70.18"/>
        <n v="636.38"/>
        <n v="0.4099999999999966"/>
        <n v="0.7600000000000016"/>
        <n v="115.6"/>
        <n v="225.71000000000004"/>
        <n v="18.61"/>
        <n v="270.91999999999996"/>
        <n v="0.8699999999999992"/>
        <n v="0.2400000000000091"/>
        <n v="0.5099999999999909"/>
        <n v="0.6699999999999982"/>
        <n v="0.11000000000001364"/>
        <n v="0.7800000000000011"/>
        <n v="0.379999999999999"/>
        <n v="0.07000000000000028"/>
        <n v="0.71"/>
        <n v="112.13000000000001"/>
        <n v="207.116"/>
        <n v="1174.25"/>
        <n v="638.28"/>
        <n v="1066.0"/>
        <n v="7791.9619999999995"/>
        <n v="1176.6039999999998"/>
        <n v="76.82999999999998"/>
        <n v="0.7459999999999996"/>
        <n v="57.410000000000004"/>
        <n v="1664.088"/>
        <n v="194.14"/>
        <n v="145.78200000000004"/>
        <n v="8.406"/>
        <n v="59.076"/>
        <n v="164.09999999999997"/>
        <n v="116.44999999999999"/>
        <n v="416.37"/>
        <n v="33.94"/>
        <n v="119.49"/>
        <n v="171.82999999999998"/>
        <n v="201.52800000000002"/>
        <n v="1152.4360000000001"/>
        <n v="302.84999999999997"/>
        <n v="80.17999999999999"/>
        <n v="25.53"/>
        <n v="950.446"/>
        <n v="161.49"/>
        <n v="588.7260000000001"/>
        <n v="52.05000000000001"/>
        <n v="52.110000000000014"/>
        <n v="213.40000000000003"/>
        <n v="132.25"/>
        <n v="45.888000000000005"/>
        <n v="0.8700000000000045"/>
        <n v="411.21799999999996"/>
        <n v="311.69"/>
        <n v="323.804"/>
        <n v="480.186"/>
        <n v="9.698"/>
        <n v="96.45000000000002"/>
        <n v="1673.148"/>
        <n v="716.91"/>
        <n v="258.306"/>
        <n v="74.814"/>
        <n v="28.104000000000003"/>
        <n v="4.138"/>
        <n v="1700.1299999999997"/>
        <n v="0.9399999999999977"/>
        <n v="304.49999999999994"/>
        <n v="109.39999999999999"/>
        <n v="121.20399999999998"/>
        <n v="14.32"/>
        <n v="71.934"/>
        <n v="392.176"/>
        <n v="6300.839999999999"/>
        <n v="316.4720000000001"/>
        <n v="0.21000000000000085"/>
        <n v="0.05999999999999872"/>
        <n v="0.5699999999999932"/>
        <n v="0.5799999999999983"/>
        <n v="0.9900000000000091"/>
        <n v="3603.466"/>
        <n v="3089.3"/>
        <n v="16.913999999999998"/>
        <n v="1708.146"/>
        <n v="652.206"/>
        <n v="1908.9299999999998"/>
        <n v="180.51999999999998"/>
        <n v="234.976"/>
        <n v="64.97399999999999"/>
        <n v="160.35999999999999"/>
        <n v="283.7"/>
        <n v="92.8"/>
        <n v="32.40999999999999"/>
        <n v="609.5640000000001"/>
        <n v="527.65"/>
        <n v="345.81"/>
        <n v="0.23999999999999488"/>
        <n v="70.61999999999999"/>
        <n v="87.17999999999999"/>
        <n v="1149.78"/>
        <n v="4198.01"/>
        <n v="5376.26"/>
        <n v="282.132"/>
        <n v="1538.49"/>
        <n v="599.9300000000001"/>
        <n v="7808.329999999999"/>
        <n v="687.1"/>
        <n v="1105.9599999999998"/>
        <n v="1422.5819999999999"/>
        <n v="467.5200000000001"/>
        <n v="845.05"/>
        <n v="647.39"/>
        <n v="53.2"/>
        <n v="3660.732"/>
        <n v="88.11999999999999"/>
        <n v="5670.419999999999"/>
        <n v="48.03000000000001"/>
        <n v="0.08400000000000318"/>
        <n v="199.08999999999997"/>
        <n v="222.03"/>
        <n v="60.59199999999999"/>
        <n v="48960.304000000004"/>
        <n v="1656.016"/>
        <n v="10440.7"/>
        <n v="192.548"/>
        <n v="1068.33"/>
        <n v="864.602"/>
        <n v="168.14000000000001"/>
        <n v="888.34"/>
        <n v="2721.8360000000002"/>
        <n v="262.908"/>
        <n v="101.56"/>
        <n v="584.228"/>
        <n v="1190.678"/>
        <n v="47.82000000000001"/>
        <n v="0.96"/>
        <n v="124.25599999999999"/>
        <n v="2043.944"/>
        <n v="3023.85"/>
        <n v="900.3099999999998"/>
        <n v="174.54"/>
        <n v="36.11"/>
        <n v="1414.71"/>
        <n v="223.53799999999998"/>
        <n v="120.732"/>
        <n v="0.6059999999999945"/>
        <n v="0.3200000000000074"/>
        <n v="0.3200000000000003"/>
        <n v="0.7619999999999436"/>
        <n v="0.35999999999999943"/>
        <n v="114.32999999999998"/>
        <n v="23.172"/>
        <n v="18.372"/>
        <n v="278.11"/>
        <n v="0.09600000000000009"/>
        <n v="0.21600000000000108"/>
        <n v="65.246"/>
        <n v="1531.8899999999999"/>
        <n v="18.28"/>
        <n v="398.16800000000006"/>
        <n v="71.30399999999999"/>
        <n v="3558.892"/>
        <n v="251.89"/>
        <n v="396.53999999999996"/>
        <n v="48.33"/>
        <n v="157.51999999999998"/>
        <n v="276.05999999999995"/>
        <n v="125.19"/>
        <n v="71.93"/>
        <n v="1357.84"/>
        <n v="189.308"/>
        <n v="3564.48"/>
        <n v="269.62600000000003"/>
        <n v="745.17"/>
        <n v="2419.494"/>
        <n v="17.046"/>
        <n v="68.606"/>
        <n v="60.263999999999996"/>
        <n v="218.62599999999998"/>
        <n v="1440.6019999999999"/>
        <n v="81.842"/>
        <n v="6.680000000000001"/>
        <n v="1867.71"/>
        <n v="66.14"/>
        <n v="323.6740000000001"/>
        <n v="779.8780000000002"/>
        <n v="18.846"/>
        <n v="468.1700000000001"/>
        <n v="1241.4535"/>
        <n v="11.414000000000001"/>
        <n v="516.186"/>
        <n v="1236.9279999999999"/>
        <n v="85.33000000000001"/>
        <n v="129.93"/>
        <n v="2099.1"/>
        <n v="59.138"/>
        <n v="160.364"/>
        <n v="886.18"/>
        <n v="21.093999999999994"/>
        <n v="37.678"/>
        <n v="8007.949999999999"/>
        <n v="667.48"/>
        <n v="192.03"/>
        <n v="6013.4400000000005"/>
        <n v="103.84000000000002"/>
        <n v="2573.262"/>
        <n v="61.19000000000001"/>
        <n v="26779.0"/>
        <n v="0.8199999999999932"/>
        <n v="0.7900000000000205"/>
        <n v="61.232"/>
        <n v="412.808"/>
        <n v="269.96"/>
        <n v="3239.944"/>
        <n v="0.33999999999999986"/>
        <n v="0.6800000000000068"/>
        <n v="0.8200000000000003"/>
        <n v="10.518"/>
        <n v="18360.203999999998"/>
        <n v="15119.926000000001"/>
        <n v="1641.184"/>
        <n v="639.9"/>
        <n v="14.112"/>
        <n v="46.099999999999994"/>
        <n v="111.88199999999999"/>
        <n v="173.474"/>
        <n v="5807.450000000001"/>
        <n v="1680.22"/>
        <n v="42.660000000000004"/>
        <n v="87.98"/>
        <n v="70.89999999999999"/>
        <n v="47.88000000000001"/>
        <n v="0.22799999999999976"/>
        <n v="0.005999999999996675"/>
        <n v="0.5820000000000007"/>
        <n v="0.5500000000000007"/>
        <n v="12.58"/>
        <n v="6687.270000000001"/>
        <n v="8311.46"/>
        <n v="1134.4499999999998"/>
        <n v="1918.9000000000003"/>
        <n v="249.53599999999997"/>
        <n v="508.43399999999997"/>
        <n v="389.65399999999994"/>
        <n v="1923.14"/>
        <n v="58.044"/>
        <n v="55.964"/>
        <n v="768.666"/>
        <n v="261.4"/>
        <n v="2103.908"/>
        <n v="1613.036"/>
        <n v="1528.796"/>
        <n v="550.51"/>
        <n v="192.876"/>
        <n v="194.73999999999998"/>
        <n v="6495.540000000001"/>
        <n v="341.59000000000003"/>
        <n v="466.28999999999996"/>
        <n v="85.8"/>
        <n v="1095.85"/>
        <n v="0.8100000000000023"/>
        <n v="29.95"/>
        <n v="318.4"/>
        <n v="2024.73"/>
        <n v="5.419999999999999"/>
        <n v="106.198"/>
        <n v="3268.2439999999997"/>
        <n v="107.09599999999999"/>
        <n v="44.592"/>
        <n v="525.6700000000001"/>
        <n v="356.83199999999994"/>
        <n v="31.375999999999998"/>
        <n v="0.11599999999999966"/>
        <n v="0.671999999999997"/>
        <n v="0.6199999999998909"/>
        <n v="0.5799999999999841"/>
        <n v="0.1700000000000017"/>
        <n v="57.87"/>
        <n v="2013.1100000000004"/>
        <n v="799.92"/>
        <n v="32.546"/>
        <n v="0.6080000000000041"/>
        <n v="0.24399999999999977"/>
        <n v="0.36400000000003274"/>
        <n v="1.0"/>
        <n v="0.06400000000000006"/>
        <n v="0.6899999999999977"/>
        <n v="0.5339999999999989"/>
        <n v="38.138"/>
        <n v="7680.1759999999995"/>
        <n v="115.58200000000001"/>
        <n v="62.218"/>
        <n v="5586.928"/>
        <n v="35.23"/>
        <n v="0.7360000000000007"/>
        <n v="0.040000000000020464"/>
        <n v="0.9320000000000022"/>
        <n v="0.15800000000000125"/>
        <n v="533.19"/>
        <n v="384.214"/>
        <n v="0.7899999999999991"/>
        <n v="0.010000000000001563"/>
        <n v="0.3899999999999997"/>
        <n v="0.8999999999999986"/>
        <n v="0.8279999999999998"/>
        <n v="0.759999999999998"/>
        <n v="0.10799999999926513"/>
        <n v="0.2540000000000191"/>
        <n v="0.4500000000000002"/>
        <n v="0.9699999999999989"/>
        <n v="0.29999999999999716"/>
        <n v="36.580000000000005"/>
        <n v="1296.31"/>
        <n v="42.08999999999999"/>
        <n v="0.55600000000004"/>
        <n v="0.3699999999999992"/>
        <n v="0.5899999999999963"/>
        <n v="1696.49"/>
        <n v="116.91999999999999"/>
        <n v="37.510000000000005"/>
        <n v="524.32"/>
        <n v="5220.530000000001"/>
        <n v="156.14"/>
        <n v="321.01800000000003"/>
        <n v="7167.648"/>
        <n v="65.34"/>
        <n v="3354.13"/>
        <n v="496.636"/>
        <n v="1488.628"/>
        <n v="52.763999999999996"/>
        <n v="143.514"/>
        <n v="73.182"/>
        <n v="408.23"/>
        <n v="396.814"/>
        <n v="126.28999999999999"/>
        <n v="751.5325"/>
        <n v="168.858"/>
        <n v="0.5299999999999727"/>
        <n v="0.7199999999999998"/>
        <n v="8.386000000000001"/>
        <n v="0.5999999999999979"/>
        <n v="0.8599999999999994"/>
        <n v="1971.8559999999998"/>
        <n v="14400.289999999999"/>
        <n v="63.09199999999999"/>
        <n v="531.136"/>
        <n v="50.11"/>
        <n v="13.550000000000002"/>
        <n v="211.15000000000003"/>
        <n v="215.754"/>
        <n v="14378.079200000002"/>
        <n v="786.982"/>
        <n v="345.988"/>
        <n v="19.994"/>
        <n v="39.63400000000001"/>
        <n v="1439.9299999999998"/>
        <n v="9599.924"/>
        <n v="217.28"/>
        <n v="8032.476000000001"/>
        <n v="78.35000000000001"/>
        <n v="227.70000000000002"/>
        <n v="448.11"/>
        <n v="10695.071"/>
        <n v="908.632"/>
        <n v="1119.8000000000002"/>
        <n v="2457.3740000000003"/>
        <n v="768.0799999999999"/>
        <n v="3070.8100000000004"/>
        <n v="17.66"/>
        <n v="74.92999999999999"/>
        <n v="122.02"/>
        <n v="1377.306"/>
        <n v="0.13000000000000256"/>
        <n v="0.9000000000000021"/>
        <n v="1733.2399999999998"/>
        <n v="86.13999999999999"/>
        <n v="864.3900000000001"/>
        <n v="0.6599999999999966"/>
        <n v="40.874"/>
        <n v="189.90599999999998"/>
        <n v="409.19800000000004"/>
        <n v="292.65"/>
        <n v="5.055999999999999"/>
        <n v="0.8999999999999773"/>
        <n v="10.466"/>
        <n v="495.68000000000006"/>
        <n v="5040.523999999999"/>
        <n v="1567.888"/>
        <n v="191.42399999999998"/>
        <n v="0.26599999999999113"/>
        <n v="37.32"/>
        <n v="585.3199999999999"/>
        <n v="213.38"/>
        <n v="274.97"/>
        <n v="729.59"/>
        <n v="67.06"/>
        <n v="9.47"/>
        <n v="0.740000000000002"/>
        <n v="0.3499999999999943"/>
        <n v="0.5"/>
        <n v="0.240000000000002"/>
        <n v="0.8499999999999943"/>
        <n v="853.4859999999999"/>
        <n v="1997.0320000000002"/>
        <n v="384.11"/>
        <n v="1036.962"/>
        <n v="3738.508"/>
        <n v="45.288000000000004"/>
        <n v="831.55"/>
        <n v="7199.5199999999995"/>
        <n v="411.398"/>
        <n v="165.32"/>
        <n v="8908.53"/>
        <n v="199.44"/>
        <n v="1298.578"/>
        <n v="548.5360000000001"/>
        <n v="1274.404"/>
        <n v="1232.1496"/>
        <n v="24.058"/>
        <n v="0.10999999999999943"/>
        <n v="2727.8500000000004"/>
        <n v="1782.264"/>
        <n v="5631.941999999999"/>
        <n v="740.92"/>
        <n v="502.14000000000004"/>
        <n v="759.46"/>
        <n v="766.6600000000001"/>
        <n v="0.5900000000000034"/>
        <n v="0.9899999999999984"/>
        <n v="0.4600000000000364"/>
        <n v="72.91"/>
        <n v="0.9900000000000002"/>
        <n v="0.7399999999999807"/>
        <n v="237.26000000000005"/>
        <n v="4114.115"/>
        <n v="2240.3999999999996"/>
        <n v="13680.132"/>
        <n v="48.654"/>
        <n v="384.32800000000003"/>
        <n v="422.89599999999996"/>
        <n v="0.2699999999999818"/>
        <n v="0.4900000000000002"/>
        <n v="752.62"/>
        <n v="380.006"/>
        <n v="632.5600000000001"/>
        <n v="957.4440000000001"/>
        <n v="2047.0300000000002"/>
        <n v="1933.3220000000001"/>
        <n v="555.3299999999999"/>
        <n v="158.75"/>
        <n v="104.686"/>
        <n v="5611.314"/>
        <n v="17.458"/>
        <n v="230.086"/>
        <n v="0.7699999999999996"/>
        <n v="6.430000000000001"/>
        <n v="16.95"/>
        <n v="94.41"/>
        <n v="12710.879999999997"/>
        <n v="632.41"/>
        <n v="191.15"/>
        <n v="21.458"/>
        <n v="53.150000000000006"/>
        <n v="47.5"/>
        <n v="12000.79"/>
        <n v="206.32"/>
        <n v="48.64"/>
        <n v="4504.51"/>
        <n v="110.624"/>
        <n v="777.8760000000001"/>
        <n v="85.43400000000001"/>
        <n v="633.6899999999999"/>
        <n v="441.624"/>
        <n v="530.27"/>
        <n v="1368.4759999999997"/>
        <n v="92.338"/>
        <n v="0.5459999999999994"/>
        <n v="0.8280000000000882"/>
        <n v="0.5519999999999996"/>
        <n v="1526.33"/>
        <n v="383.99"/>
        <n v="1960.5000000000005"/>
        <n v="45.739999999999995"/>
        <n v="118.04400000000001"/>
        <n v="213.916"/>
        <n v="0.18200000000000038"/>
        <n v="459.17999999999995"/>
        <n v="852.73"/>
        <n v="1876.54"/>
        <n v="2666.312"/>
        <n v="1940.444"/>
        <n v="348.844"/>
        <n v="604.9639999999999"/>
        <n v="397.134"/>
        <n v="0.5399999999999991"/>
        <n v="1251.8020000000001"/>
        <n v="57.354"/>
        <n v="44.56000000000001"/>
        <n v="8973.282"/>
        <n v="69.712"/>
        <n v="65.72800000000001"/>
        <n v="10366.78"/>
        <n v="20.041999999999998"/>
        <n v="165.83999999999997"/>
        <n v="10686.0"/>
        <n v="259.78"/>
        <n v="341.69000000000005"/>
        <n v="672.964"/>
        <n v="26.8"/>
        <n v="26.334"/>
        <n v="32.34"/>
        <n v="21.13"/>
        <n v="2995.864"/>
        <n v="735.2800000000001"/>
        <n v="649.4519999999999"/>
        <n v="155.72"/>
        <n v="3609.578"/>
        <n v="0.4900000000000091"/>
        <n v="0.2900000000000009"/>
        <n v="0.7040000000000006"/>
        <n v="71.44999999999999"/>
        <n v="1286.38"/>
        <n v="159.88000000000002"/>
        <n v="59.300000000000004"/>
        <n v="349.19200000000006"/>
        <n v="44.711999999999996"/>
        <n v="412.81"/>
        <n v="3293.138"/>
        <n v="739.8720000000001"/>
        <n v="218.696"/>
        <n v="47.494"/>
        <n v="2844.724"/>
        <n v="213.27"/>
        <n v="884.9100000000001"/>
        <n v="679.0360000000001"/>
        <n v="166.884"/>
        <n v="135.09900000000002"/>
        <n v="83.212"/>
        <n v="56.818"/>
        <n v="187.67000000000002"/>
        <n v="609.62"/>
        <n v="9600.554000000002"/>
        <n v="3568.2599999999998"/>
        <n v="2622.33"/>
        <n v="0.2519999999999989"/>
        <n v="0.0020000000000095497"/>
        <n v="0.6759999999999877"/>
        <n v="285.68800000000005"/>
        <n v="91.43799999999999"/>
        <n v="15.404"/>
        <n v="86.95400000000002"/>
        <n v="264.642"/>
        <n v="0.6419999999999999"/>
        <n v="0.48799999999999955"/>
        <n v="0.5080000000000027"/>
        <n v="2217.6020000000003"/>
        <n v="94.574"/>
        <n v="0.9580000000000002"/>
        <n v="0.9560000000000173"/>
        <n v="360.03999999999996"/>
        <n v="11.782"/>
        <n v="0.12999999999999545"/>
        <n v="0.5199999999999996"/>
        <n v="0.16400000000000148"/>
        <n v="0.14999999999999858"/>
        <n v="43.980000000000004"/>
        <n v="906.2199999999999"/>
        <n v="1666.0"/>
        <n v="1570.97"/>
        <n v="486.22999999999996"/>
        <n v="0.5200000000000031"/>
        <n v="777.3499999999999"/>
        <n v="122.71"/>
        <n v="106.24000000000001"/>
        <n v="1704.272"/>
        <n v="838.91"/>
        <n v="2106.0539999999996"/>
        <n v="36.75"/>
        <n v="472.782"/>
        <n v="786.52"/>
        <n v="132.23600000000002"/>
        <n v="856.664"/>
        <n v="8393.830000000002"/>
        <n v="123.936"/>
        <n v="76.16"/>
        <n v="2643.41"/>
        <n v="210.7"/>
        <n v="397.99"/>
        <n v="39.4"/>
        <n v="628.1600000000001"/>
        <n v="221.42999999999998"/>
        <n v="211.09199999999998"/>
        <n v="118.47000000000001"/>
        <n v="2419.934"/>
        <n v="2529.0"/>
        <n v="0.11999999999999034"/>
        <n v="0.8800000000000097"/>
        <n v="341.50800000000004"/>
        <n v="10.182"/>
        <n v="403.432"/>
        <n v="3507.812"/>
        <n v="12.137999999999998"/>
        <n v="5997.494000000001"/>
        <n v="4345.34"/>
        <n v="5513.565"/>
        <n v="16.818"/>
        <n v="32.760000000000005"/>
        <n v="143.15000000000003"/>
        <n v="511.1019999999999"/>
        <n v="2290.2520000000004"/>
        <n v="91.87"/>
        <n v="120.17599999999999"/>
        <n v="545.01"/>
        <n v="182.03199999999998"/>
        <n v="98.69999999999999"/>
        <n v="184.85"/>
        <n v="117.5"/>
        <n v="298.18"/>
        <n v="16.266000000000002"/>
        <n v="167.85199999999998"/>
        <n v="495.608"/>
        <n v="1098.9180000000001"/>
        <n v="0.3420000000000005"/>
        <n v="8000.919999999999"/>
        <n v="167.76"/>
        <n v="960.5100000000001"/>
        <n v="29.91"/>
        <n v="38.94000000000001"/>
        <n v="104.79"/>
        <n v="285.34"/>
        <n v="37.74000000000001"/>
        <n v="1330.0800000000002"/>
        <n v="267.21999999999997"/>
        <n v="0.9519999999999982"/>
        <n v="0.04999999999999716"/>
        <n v="0.4140000000000157"/>
        <n v="0.026000000000000245"/>
        <n v="0.588000000000001"/>
        <n v="0.6059999999999999"/>
        <n v="45.248"/>
        <n v="1679.25"/>
        <n v="2959.9579999999996"/>
        <n v="10.606"/>
        <n v="167.31"/>
        <n v="15.521999999999998"/>
        <n v="0.0799999999999983"/>
        <n v="0.18999999999994088"/>
        <n v="0.5700000000000003"/>
        <n v="0.44999999999999574"/>
        <n v="49.06399999999999"/>
        <n v="0.7800000000000296"/>
        <n v="159.92000000000002"/>
        <n v="0.9599999999999991"/>
        <n v="310.114"/>
        <n v="418.68399999999997"/>
        <n v="514.24"/>
        <n v="1175.37"/>
        <n v="4959.55"/>
        <n v="889.21"/>
        <n v="0.030000000000001137"/>
        <n v="91.52200000000002"/>
        <n v="105.76600000000002"/>
        <n v="336.72399999999993"/>
        <n v="0.020000000000010232"/>
        <n v="0.5519999999999641"/>
        <n v="0.47000000000000597"/>
        <n v="0.41599999999994"/>
        <n v="1944.05"/>
        <n v="1440.65"/>
        <n v="797.604"/>
        <n v="223.704"/>
        <n v="680.5600000000001"/>
        <n v="150.57"/>
        <n v="400.64"/>
        <n v="59.91400000000001"/>
        <n v="1364.626"/>
        <n v="18.130000000000003"/>
        <n v="309.51000000000005"/>
        <n v="21.336000000000002"/>
        <n v="28.367999999999995"/>
        <n v="331.26599999999996"/>
        <n v="4537.15"/>
        <n v="2875.1400000000003"/>
        <n v="60.022"/>
        <n v="174.37"/>
        <n v="473.59000000000003"/>
        <n v="171.1"/>
        <n v="9.02"/>
        <n v="9600.084"/>
        <n v="639.37"/>
        <n v="767.5439999999999"/>
        <n v="98.75999999999999"/>
        <n v="479.6"/>
        <n v="0.08800000000000097"/>
        <n v="90.89999999999999"/>
        <n v="466.8"/>
        <n v="25.36"/>
        <n v="324.898"/>
        <n v="69.06"/>
        <n v="306.21"/>
        <n v="3880.8"/>
        <n v="34.5"/>
        <n v="3435.6900000000005"/>
        <n v="622.01"/>
        <n v="642.2700000000001"/>
        <n v="73.72"/>
        <n v="828.27"/>
        <n v="129.88"/>
        <n v="31.779999999999998"/>
        <n v="162.16"/>
        <n v="138.95"/>
        <n v="98.53999999999999"/>
        <n v="4352.752"/>
        <n v="479.97"/>
        <n v="191.67000000000002"/>
        <n v="34.45"/>
        <n v="96.82"/>
        <n v="72.72"/>
        <n v="107.03"/>
        <n v="144.946"/>
        <n v="187.43"/>
        <n v="140.14399999999998"/>
        <n v="2791.7419999999997"/>
        <n v="144.91000000000003"/>
        <n v="16.04"/>
        <n v="43.449999999999996"/>
        <n v="333.65999999999997"/>
        <n v="1364.44"/>
        <n v="80.67000000000002"/>
        <n v="174.17999999999998"/>
        <n v="80.77"/>
        <n v="0.6999999999999886"/>
        <n v="0.46000000000000085"/>
        <n v="0.7799999999999976"/>
        <n v="2272.29"/>
        <n v="178.54"/>
        <n v="1728.172"/>
        <n v="0.46999999999997044"/>
        <n v="78.02"/>
        <n v="146.96"/>
        <n v="302.88800000000003"/>
        <n v="13888.134"/>
        <n v="142.07999999999998"/>
        <n v="750.5999999999999"/>
        <n v="92.63999999999999"/>
        <n v="10389.07"/>
        <n v="1712.17"/>
        <n v="207.23000000000002"/>
        <n v="146.44"/>
        <n v="11200.050000000001"/>
        <n v="208.09000000000003"/>
        <n v="0.37400000000000055"/>
        <n v="0.142000000000003"/>
        <n v="0.5780000000000003"/>
        <n v="0.48499999999989996"/>
        <n v="0.0259999999999998"/>
        <n v="0.07999999999998408"/>
        <n v="1440.6399999999999"/>
        <n v="58.92000000000001"/>
        <n v="543.3799999999999"/>
        <n v="1344.67"/>
        <n v="140.88"/>
        <n v="149.05"/>
        <n v="61.56999999999999"/>
        <n v="906.2099999999999"/>
        <n v="542.29"/>
        <n v="575.9499999999999"/>
        <n v="197.97999999999996"/>
        <n v="71.328"/>
        <n v="48.00800000000001"/>
        <n v="531.2750000000001"/>
        <n v="307.26800000000003"/>
        <n v="19.622"/>
        <n v="126.61399999999999"/>
        <n v="0.20000000000000284"/>
        <n v="0.33000000000000007"/>
        <n v="0.13800000000000523"/>
        <n v="299.78999999999996"/>
        <n v="216.564"/>
        <n v="90.96"/>
        <n v="117.02999999999999"/>
        <n v="251.54"/>
        <n v="864.77"/>
        <n v="147.19400000000002"/>
        <n v="692.75"/>
        <n v="41.42"/>
        <n v="311.06"/>
        <n v="372.57"/>
        <n v="0.6099999999999852"/>
        <n v="0.75"/>
        <n v="53.28"/>
        <n v="50.46"/>
        <n v="59.540000000000006"/>
        <n v="185.75"/>
        <n v="383.7560000000001"/>
        <n v="11.274000000000001"/>
        <n v="118.46199999999999"/>
        <n v="3.3200000000000003"/>
        <n v="52.589999999999996"/>
        <n v="0.2959999999999994"/>
        <n v="0.8099999999999454"/>
        <n v="0.32200000000000273"/>
        <n v="69.71"/>
        <n v="0.879999999999999"/>
        <n v="0.5739999999999981"/>
        <n v="193.10999999999999"/>
        <n v="645.37"/>
        <n v="60.629999999999995"/>
        <n v="744.5400000000001"/>
        <n v="0.1120000000000001"/>
        <n v="0.33199999999999363"/>
        <n v="0.3200000000001637"/>
        <n v="31.39"/>
        <n v="108.82000000000001"/>
        <n v="94.22"/>
        <n v="0.870000000000001"/>
        <n v="111.86600000000001"/>
        <n v="670.35"/>
        <n v="38.10999999999999"/>
        <n v="278.25"/>
        <n v="0.402000000000001"/>
        <n v="13.780000000000001"/>
        <n v="48.32"/>
        <n v="1631.9099999999999"/>
        <n v="1247.27"/>
        <n v="560.072"/>
        <n v="94.846"/>
        <n v="311.25"/>
        <n v="0.060000000000002274"/>
        <n v="27.576"/>
        <n v="63.17"/>
        <n v="110.66199999999998"/>
        <n v="1620.716"/>
        <n v="160.48"/>
        <n v="519.8299999999999"/>
        <n v="104.01000000000002"/>
        <n v="0.9060000000000059"/>
        <n v="0.7160000000000011"/>
        <n v="3599.68"/>
        <n v="5786.75"/>
        <n v="1057.23"/>
        <n v="188.51"/>
        <n v="574.98"/>
        <n v="600.0160000000001"/>
        <n v="4787.688"/>
        <n v="51.536"/>
        <n v="896.5139999999999"/>
        <n v="78.684"/>
        <n v="25.109999999999996"/>
        <n v="0.09999999999999432"/>
        <n v="0.889999999999997"/>
        <n v="0.9300000000000068"/>
        <n v="-0.002000000000066393"/>
        <n v="0.7519999999999989"/>
        <n v="46.92000000000001"/>
        <n v="29.009999999999998"/>
        <n v="44.658"/>
        <n v="270.534"/>
        <n v="42.028"/>
        <n v="0.7520000000000007"/>
        <n v="0.4259999999999948"/>
        <n v="0.46799999999999997"/>
        <n v="0.661999999999999"/>
        <n v="0.8160000000000309"/>
        <n v="1120.56"/>
        <n v="104.27000000000001"/>
        <n v="1076.1399999999999"/>
        <n v="136.97000000000003"/>
        <n v="49.434000000000005"/>
        <n v="8914.968"/>
        <n v="259.28"/>
        <n v="4325.33"/>
        <n v="1342.82"/>
        <n v="2752.46"/>
        <n v="0.34800000000007003"/>
        <n v="0.8220000000000027"/>
        <n v="0.16000000000030923"/>
        <n v="0.28200000000000003"/>
        <n v="0.36400000000000077"/>
        <n v="0.6219999999999999"/>
        <n v="163.11599999999999"/>
        <n v="473.4596"/>
        <n v="348.07000000000005"/>
        <n v="207.846"/>
        <n v="34.216"/>
        <n v="108.866"/>
        <n v="1637.11"/>
        <n v="2572.672"/>
        <n v="37.55"/>
        <n v="175.64"/>
        <n v="10.123999999999999"/>
        <n v="0.05000000000000071"/>
        <n v="0.9700000000000006"/>
        <n v="0.3640000000000043"/>
        <n v="0.710000000000008"/>
        <n v="0.3780000000000001"/>
        <n v="0.5619999999999976"/>
        <n v="0.19200000000000728"/>
        <n v="9.100000000000001"/>
        <n v="9180.468"/>
        <n v="4.144"/>
        <n v="102.9"/>
        <n v="0.03200000000003911"/>
        <n v="23.926"/>
        <n v="3920.3720000000003"/>
        <n v="4227.7699999999995"/>
        <n v="48.166"/>
        <n v="168.026"/>
        <n v="2019.4699999999998"/>
        <n v="7.5040000000000004"/>
        <n v="0.37000000000000455"/>
        <n v="0.4499999999999993"/>
        <n v="2334.2400000000002"/>
        <n v="0.04400000000000048"/>
        <n v="82.15"/>
        <n v="1239.7700000000002"/>
        <n v="2716.43"/>
        <n v="618.83"/>
        <n v="32.68"/>
        <n v="110.08000000000001"/>
        <n v="73.0"/>
        <n v="99.83"/>
        <n v="352.84000000000003"/>
        <n v="0.7600000000002183"/>
        <n v="0.5119999999999436"/>
        <n v="3877.8099999999995"/>
        <n v="116.08200000000001"/>
        <n v="50.42"/>
        <n v="31.198"/>
        <n v="179.44"/>
        <n v="480.614"/>
        <n v="1213.92"/>
        <n v="1242.1100000000001"/>
        <n v="113.02"/>
        <n v="12947.149999999998"/>
        <n v="797.77"/>
        <n v="259.67999999999995"/>
        <n v="0.9300000000000015"/>
        <n v="0.10999999999998522"/>
        <n v="0.29000000000000625"/>
        <n v="0.10000000000002274"/>
        <n v="23.33"/>
        <n v="1267.8"/>
        <n v="1380.42"/>
        <n v="0.16800000000000015"/>
        <n v="94.71199999999999"/>
        <n v="47.168"/>
        <n v="190.018"/>
        <n v="46.852"/>
        <n v="1063.4099999999999"/>
        <n v="1188.1399999999999"/>
        <n v="5129.88"/>
        <n v="745.29"/>
        <n v="87.19"/>
        <n v="47.294"/>
        <n v="8.082"/>
        <n v="43.818"/>
        <n v="433.6"/>
        <n v="293.90600000000006"/>
        <n v="24.366"/>
        <n v="28.986000000000004"/>
        <n v="3485.82"/>
        <n v="0.8000000000000007"/>
        <n v="0.4919999999999618"/>
        <n v="44.769999999999996"/>
        <n v="292.544"/>
        <n v="1273.404"/>
        <n v="2728.04"/>
        <n v="205.60999999999999"/>
        <n v="8908.086"/>
        <n v="800.53"/>
        <n v="0.7679999999999723"/>
        <n v="0.4399999999999995"/>
        <n v="0.4300000000000068"/>
        <n v="0.09399999999999409"/>
        <n v="0.5079999999999991"/>
        <n v="159.714"/>
        <n v="524.5519999999999"/>
        <n v="0.6960000000000002"/>
        <n v="647.294"/>
        <n v="136.00400000000002"/>
        <n v="31.594"/>
        <n v="24.598"/>
        <n v="357.188"/>
        <n v="4.772"/>
        <n v="166.64"/>
        <n v="1558.842"/>
        <n v="11.358"/>
        <n v="0.825999999999997"/>
        <n v="156.24"/>
        <n v="207.256"/>
        <n v="0.8800000000000008"/>
        <n v="44.62"/>
        <n v="30.824"/>
        <n v="224.55200000000002"/>
        <n v="122.69000000000001"/>
        <n v="959.7799999999999"/>
        <n v="252.39000000000004"/>
        <n v="55.5"/>
        <n v="60.59"/>
        <n v="3321.1600000000003"/>
        <n v="0.35199999999997544"/>
        <n v="0.25"/>
        <n v="0.6299999999999955"/>
        <n v="0.4500000000007276"/>
        <n v="25.920000000000005"/>
        <n v="576.614"/>
        <n v="26.189999999999998"/>
        <n v="32.718"/>
        <n v="72.838"/>
        <n v="961.5000000000001"/>
        <n v="1753.966"/>
        <n v="29.9"/>
        <n v="356.19999999999993"/>
        <n v="348.62600000000003"/>
        <n v="35.788"/>
        <n v="3583.13"/>
        <n v="57.12"/>
        <n v="70.82000000000001"/>
        <n v="234.52"/>
        <n v="69.97"/>
        <n v="16.218"/>
        <n v="17.768"/>
        <n v="184.20000000000005"/>
        <n v="604.248"/>
        <n v="13.975999999999999"/>
        <n v="65.55999999999999"/>
        <n v="350.656"/>
        <n v="245.846"/>
        <n v="432.42999999999995"/>
        <n v="62.976000000000006"/>
        <n v="7.244"/>
        <n v="374.038"/>
        <n v="959.0070000000001"/>
        <n v="960.05"/>
        <n v="50.559999999999995"/>
        <n v="560.25"/>
        <n v="1240.73"/>
        <n v="9.350000000000001"/>
        <n v="31.47"/>
        <n v="4199.839999999999"/>
        <n v="138.52"/>
        <n v="231.98"/>
        <n v="40.26"/>
        <n v="140.97"/>
        <n v="6408.5"/>
        <n v="31.19"/>
        <n v="305.94"/>
        <n v="344.70000000000005"/>
        <n v="41.00000000000001"/>
        <n v="64.38"/>
        <n v="155.98000000000002"/>
        <n v="0.5380000000000109"/>
        <n v="0.5799999999999992"/>
        <n v="170.58200000000002"/>
        <n v="862.5999999999999"/>
        <n v="113.03999999999999"/>
        <n v="60.91"/>
        <n v="61.879999999999995"/>
        <n v="52.669999999999995"/>
        <n v="1637.6299999999999"/>
        <n v="70.51"/>
        <n v="52.120000000000005"/>
        <n v="5491.54"/>
        <n v="498.3"/>
        <n v="1932.794"/>
        <n v="18.41"/>
        <n v="38.83"/>
        <n v="33.62"/>
        <n v="1800.31"/>
        <n v="25.128"/>
        <n v="25.560000000000002"/>
        <n v="1119.254"/>
        <n v="122.49000000000001"/>
        <n v="2244.76"/>
        <n v="62.71000000000001"/>
        <n v="455.50000000000006"/>
        <n v="1561.636"/>
        <n v="1452.0"/>
        <n v="46.86"/>
        <n v="431.83"/>
        <n v="0.9399999999999995"/>
        <n v="0.12000000000000455"/>
        <n v="0.3500000000000014"/>
        <n v="141.23"/>
        <n v="3584.2"/>
        <n v="0.010000000000005116"/>
        <n v="0.2799999999999727"/>
        <n v="0.0400000000000027"/>
        <n v="0.43000000000000327"/>
        <n v="67.91999999999999"/>
        <n v="132.89000000000001"/>
        <n v="26.106"/>
        <n v="0.7820000000000036"/>
        <n v="56.24999999999999"/>
        <n v="92.66000000000001"/>
        <n v="172.61"/>
        <n v="180.72"/>
        <n v="1553.0820000000003"/>
        <n v="9261.02"/>
        <n v="26.86"/>
        <n v="22.448"/>
        <n v="8.42"/>
        <n v="97.394"/>
        <n v="3887.36"/>
        <n v="207.70000000000005"/>
        <n v="1580.69"/>
        <n v="655.5899999999999"/>
        <n v="7116.744"/>
        <n v="7138.486000000001"/>
        <n v="1791.96"/>
        <n v="185.33"/>
        <n v="31.125999999999998"/>
        <n v="31.425999999999995"/>
        <n v="50.13600000000001"/>
        <n v="111.994"/>
        <n v="2592.286"/>
        <n v="576.4079999999999"/>
        <n v="6533.474"/>
        <n v="3808.7140000000004"/>
        <n v="13.796000000000001"/>
        <n v="5980.826"/>
        <n v="4155.364"/>
        <n v="2367.11"/>
        <n v="272.65999999999997"/>
        <n v="0.5739999999999998"/>
        <n v="0.22000000000000064"/>
        <n v="0.6700000000000017"/>
        <n v="0.5860000000000127"/>
        <n v="0.2820000000000107"/>
        <n v="0.40600000000000014"/>
        <n v="0.42300000000000004"/>
        <n v="0.5219999999999994"/>
        <n v="0.42600000000004457"/>
        <n v="0.19800000000009277"/>
        <n v="1998.44"/>
        <n v="2047.984"/>
        <n v="0.23000000000000398"/>
        <n v="0.3979999999999999"/>
        <n v="0.5100000000000051"/>
        <n v="0.13000000000002387"/>
        <n v="122.65999999999998"/>
        <n v="70.30000000000001"/>
        <n v="46.29"/>
        <n v="0.17999999999999972"/>
        <n v="0.6400000000000006"/>
        <n v="2520.342"/>
        <n v="96.29599999999999"/>
        <n v="75.41499999999999"/>
        <n v="128.364"/>
        <n v="331.024"/>
        <n v="99.49"/>
        <n v="328.49"/>
        <n v="184.51000000000002"/>
        <n v="0.7300000000000004"/>
        <n v="0.6219999999999573"/>
        <n v="0.14000000000000057"/>
        <n v="97.86999999999999"/>
        <n v="6117.742"/>
        <n v="28886.871999999996"/>
        <n v="2040.2305000000001"/>
        <n v="0.9500000000000028"/>
        <n v="0.9480000000000928"/>
        <n v="0.5800000000000001"/>
        <n v="4400.67"/>
        <n v="0.7280000000000006"/>
        <n v="0.4299999999999997"/>
        <n v="0.8359999999999994"/>
        <n v="28.684000000000005"/>
        <n v="540.636"/>
        <n v="256.33000000000004"/>
        <n v="1728.4699999999998"/>
        <n v="18.522"/>
        <n v="0.19200000000000017"/>
        <n v="210.23000000000002"/>
        <n v="126.19"/>
        <n v="52.660000000000004"/>
        <n v="1143.5500000000002"/>
        <n v="2338.6279999999997"/>
        <n v="206.114"/>
        <n v="25.93"/>
        <n v="511.986"/>
        <n v="244.282"/>
        <n v="224.36799999999997"/>
        <n v="63.13600000000001"/>
        <n v="2330.65"/>
        <n v="86.944"/>
        <n v="384.174"/>
        <n v="519.014"/>
        <n v="66.4"/>
        <n v="168.56"/>
        <n v="1113.79"/>
        <n v="30.59"/>
        <n v="34.97"/>
        <n v="503.90999999999997"/>
        <n v="16.974"/>
        <n v="15.010000000000002"/>
        <n v="0.8900000000000006"/>
        <n v="0.7700000000000031"/>
        <n v="0.902000000000001"/>
        <n v="0.03999999999999915"/>
        <n v="105.83399999999999"/>
        <n v="259.24999999999994"/>
        <n v="264.2"/>
        <n v="914.4499999999999"/>
        <n v="24.65"/>
        <n v="5920.834"/>
        <n v="111.51599999999999"/>
        <n v="166.58999999999997"/>
        <n v="460.78"/>
        <n v="216.58"/>
        <n v="573.29"/>
        <n v="287.2"/>
        <n v="62.260000000000005"/>
        <n v="48.72"/>
        <n v="576.1300000000001"/>
        <n v="2519.888"/>
        <n v="374.21999999999997"/>
        <n v="141.69799999999998"/>
        <n v="174.76000000000002"/>
        <n v="1296.01"/>
        <n v="1292.892"/>
        <n v="0.9899999999999998"/>
        <n v="466.6980000000001"/>
        <n v="311.92"/>
        <n v="1471.35"/>
        <n v="4634.45"/>
        <n v="0.5599999999999987"/>
        <n v="1152.7999999999997"/>
        <n v="10.732"/>
        <n v="16.326"/>
        <n v="856.798"/>
        <n v="218.57"/>
        <n v="10.862000000000002"/>
        <n v="88.01"/>
        <n v="0.3019999999999996"/>
        <n v="56.769999999999996"/>
        <n v="703.38"/>
        <n v="296.56"/>
        <n v="9.010000000000002"/>
        <n v="82.47"/>
        <n v="6.630000000000001"/>
        <n v="48.08"/>
        <n v="1126.7939999999999"/>
        <n v="2763.41"/>
        <n v="201.71"/>
        <n v="0.9000000000000057"/>
        <n v="696.1200000000001"/>
        <n v="16.39"/>
        <n v="29.298"/>
        <n v="0.38000000000000256"/>
        <n v="0.20000000000000107"/>
        <n v="375.89"/>
        <n v="189.62"/>
        <n v="79.37"/>
        <n v="214.24"/>
        <n v="144.10000000000002"/>
        <n v="1291.8139999999999"/>
        <n v="32.08"/>
        <n v="1472.43"/>
        <n v="141.76000000000002"/>
        <n v="2408.156"/>
        <n v="1325.102"/>
        <n v="1688.7279999999998"/>
        <n v="237.91"/>
        <n v="12.806000000000001"/>
        <n v="1165.0720000000001"/>
        <n v="0.5759999999999934"/>
        <n v="0.9800000000000004"/>
        <n v="0.8860000000000241"/>
        <n v="268.844"/>
        <n v="672.342"/>
        <n v="1680.646"/>
        <n v="1411.192"/>
        <n v="6294.268"/>
        <n v="1167.69"/>
        <n v="4130.824"/>
        <n v="98.66"/>
        <n v="49.559999999999995"/>
        <n v="236.90000000000003"/>
        <n v="136.852"/>
        <n v="6389.73"/>
        <n v="7628.5599999999995"/>
        <n v="3135.3199999999997"/>
        <n v="115.46999999999998"/>
        <n v="2799.81"/>
        <n v="1113.03"/>
        <n v="92.57199999999999"/>
        <n v="420.322"/>
        <n v="162.18"/>
        <n v="697.79"/>
        <n v="19.22"/>
        <n v="38.05"/>
        <n v="480.0899999999999"/>
        <n v="336.73"/>
        <n v="210.39999999999995"/>
        <n v="969.94"/>
        <n v="246.08999999999997"/>
        <n v="309.14"/>
        <n v="684.8100000000002"/>
        <n v="10.484"/>
        <n v="3262.8900000000003"/>
        <n v="333.7"/>
        <n v="0.1960000000000015"/>
        <n v="0.7900000000000009"/>
        <n v="0.730000000000004"/>
        <n v="0.040000000000000036"/>
        <n v="22.580000000000002"/>
        <n v="252.76999999999998"/>
        <n v="616.144"/>
        <n v="1258.62"/>
        <n v="0.22400000000001796"/>
        <n v="0.8539999999999992"/>
        <n v="0.3299999999999983"/>
        <n v="0.8399999999999963"/>
        <n v="2752.4100000000003"/>
        <n v="142.14999999999998"/>
        <n v="0.8159999999999741"/>
        <n v="0.6100000000000136"/>
        <n v="0.6579999999999586"/>
        <n v="1920.35"/>
        <n v="302.3"/>
        <n v="5678.528"/>
        <n v="907.3399999999999"/>
        <n v="30.346000000000004"/>
        <n v="604.446"/>
        <n v="508.674"/>
        <n v="425.486"/>
        <n v="539.3280000000001"/>
        <n v="839.8919999999999"/>
        <n v="1847.79"/>
        <n v="2546.1040000000003"/>
        <n v="78.55199999999999"/>
        <n v="118.37"/>
        <n v="239.17999999999998"/>
        <n v="3419.75"/>
        <n v="662.3380000000001"/>
        <n v="306.18999999999994"/>
        <n v="15.469999999999999"/>
        <n v="3640.7"/>
        <n v="272.08"/>
        <n v="94.26599999999999"/>
        <n v="16.142000000000003"/>
        <n v="1583.4499999999998"/>
        <n v="14721.319999999998"/>
        <n v="29.97"/>
        <n v="40.68"/>
        <n v="294.048"/>
        <n v="42.18"/>
        <n v="976.442"/>
        <n v="9900.588000000002"/>
        <n v="823.9859999999999"/>
        <n v="2352.372"/>
        <n v="240.094"/>
        <n v="0.2519999999999998"/>
        <n v="710.1279999999999"/>
        <n v="14.18"/>
        <n v="142.41"/>
        <n v="184.13000000000002"/>
        <n v="68.12"/>
        <n v="6080.09"/>
        <n v="182.78000000000003"/>
        <n v="906.23"/>
        <n v="52.480000000000004"/>
        <n v="95.65199999999999"/>
        <n v="137.54"/>
        <n v="443.57599999999996"/>
        <n v="1709.008"/>
        <n v="960.7180000000002"/>
        <n v="6148.751999999999"/>
        <n v="850.408"/>
        <n v="672.188"/>
        <n v="512.5840000000001"/>
        <n v="2618.88"/>
        <n v="125.00999999999999"/>
        <n v="39.34"/>
        <n v="0.6079999999999997"/>
        <n v="70.26"/>
        <n v="40.446"/>
        <n v="0.10200000000000031"/>
        <n v="0.6099999999999994"/>
        <n v="52.51200000000001"/>
        <n v="256.142"/>
        <n v="208.10000000000002"/>
        <n v="324.14"/>
        <n v="270.96999999999997"/>
        <n v="20.043999999999997"/>
        <n v="7.122"/>
        <n v="1416.87"/>
        <n v="0.6999999999999997"/>
        <n v="9702.832"/>
        <n v="720.4200000000001"/>
        <n v="341.79"/>
        <n v="0.15000000000000036"/>
        <n v="0.7199999999999989"/>
        <n v="0.0"/>
        <n v="0.2420000000000755"/>
        <n v="77.80000000000001"/>
        <n v="80.32"/>
        <n v="61.553999999999995"/>
        <n v="101.228"/>
        <n v="79.51999999999998"/>
        <n v="145.53"/>
        <n v="96.87200000000001"/>
      </sharedItems>
    </cacheField>
    <cacheField name="Loss" numFmtId="168">
      <sharedItems containsSemiMixedTypes="0" containsString="0" containsNumber="1">
        <n v="261.26"/>
        <n v="731.6100000000001"/>
        <n v="13.969999999999999"/>
        <n v="956.9000000000001"/>
        <n v="22.08"/>
        <n v="48.079999999999984"/>
        <n v="6.340000000000003"/>
        <n v="906.7799999999997"/>
        <n v="18.360000000000014"/>
        <n v="114.62"/>
        <n v="1705.7099999999991"/>
        <n v="911.1700000000001"/>
        <n v="14.71"/>
        <n v="407.53999999999996"/>
        <n v="67.82"/>
        <n v="1.620000000000001"/>
        <n v="665.3200000000002"/>
        <n v="54.75999999999999"/>
        <n v="7.719999999999999"/>
        <n v="212.78999999999996"/>
        <n v="22.409999999999997"/>
        <n v="18.810000000000002"/>
        <n v="59.54000000000002"/>
        <n v="70.8"/>
        <n v="1044.0500000000002"/>
        <n v="11.39"/>
        <n v="89.63999999999999"/>
        <n v="3082.52"/>
        <n v="9.01"/>
        <n v="123.99"/>
        <n v="3.11"/>
        <n v="85.88"/>
        <n v="6.8"/>
        <n v="15.66"/>
        <n v="28.939999999999998"/>
        <n v="1096.67"/>
        <n v="190.79999999999995"/>
        <n v="112.36000000000001"/>
        <n v="532.02"/>
        <n v="211.07999999999993"/>
        <n v="370.3600000000001"/>
        <n v="146.34000000000003"/>
        <n v="77.42999999999995"/>
        <n v="94.70999999999998"/>
        <n v="45.84"/>
        <n v="17.120000000000005"/>
        <n v="211.46000000000004"/>
        <n v="44.59"/>
        <n v="21.04"/>
        <n v="37.28"/>
        <n v="75.00999999999999"/>
        <n v="6.030000000000001"/>
        <n v="89.04000000000002"/>
        <n v="14.39"/>
        <n v="1029.71"/>
        <n v="208.05"/>
        <n v="31.73"/>
        <n v="319.3"/>
        <n v="13.78"/>
        <n v="29.62"/>
        <n v="48.41"/>
        <n v="0.97"/>
        <n v="13.689999999999998"/>
        <n v="25.30000000000001"/>
        <n v="146.31999999999994"/>
        <n v="79.56000000000006"/>
        <n v="212.69000000000005"/>
        <n v="1112.2299999999996"/>
        <n v="167.1400000000001"/>
        <n v="74.93"/>
        <n v="3.87"/>
        <n v="18.79"/>
        <n v="831.72"/>
        <n v="96.98000000000002"/>
        <n v="72.57"/>
        <n v="0.33000000000000007"/>
        <n v="8.880000000000003"/>
        <n v="26.580000000000013"/>
        <n v="18.650000000000006"/>
        <n v="208.11"/>
        <n v="16.28"/>
        <n v="14.61"/>
        <n v="20.680000000000007"/>
        <n v="200.44"/>
        <n v="229.81999999999994"/>
        <n v="301.07"/>
        <n v="19.769999999999996"/>
        <n v="5.27"/>
        <n v="158.13"/>
        <n v="19.409999999999997"/>
        <n v="73.52999999999997"/>
        <n v="6.269999999999996"/>
        <n v="12.689999999999998"/>
        <n v="53.30000000000001"/>
        <n v="32.55000000000001"/>
        <n v="5.25"/>
        <n v="95.66"/>
        <n v="50.59000000000003"/>
        <n v="77.70999999999998"/>
        <n v="63.94"/>
        <n v="95.67000000000002"/>
        <n v="1.0299999999999994"/>
        <n v="23.14999999999999"/>
        <n v="238.01999999999998"/>
        <n v="101.97000000000003"/>
        <n v="36.75"/>
        <n v="73.41"/>
        <n v="27.88"/>
        <n v="2.4699999999999998"/>
        <n v="339.6300000000001"/>
        <n v="41.02"/>
        <n v="75.30000000000001"/>
        <n v="26.799999999999997"/>
        <n v="39.18000000000001"/>
        <n v="4.559999999999999"/>
        <n v="23.97"/>
        <n v="129.68"/>
        <n v="786.9300000000003"/>
        <n v="156.90999999999997"/>
        <n v="46.83"/>
        <n v="30.78"/>
        <n v="225.99"/>
        <n v="114.44"/>
        <n v="67.05"/>
        <n v="600.44"/>
        <n v="616.9000000000001"/>
        <n v="2.1900000000000013"/>
        <n v="243.78999999999996"/>
        <n v="80.61000000000001"/>
        <n v="238.11000000000013"/>
        <n v="59.360000000000014"/>
        <n v="78.24000000000001"/>
        <n v="20.85000000000001"/>
        <n v="20.0"/>
        <n v="35.25999999999999"/>
        <n v="10.879999999999995"/>
        <n v="3.770000000000003"/>
        <n v="76.01999999999998"/>
        <n v="65.26999999999998"/>
        <n v="42.26999999999998"/>
        <n v="82.56"/>
        <n v="8.760000000000005"/>
        <n v="10.560000000000002"/>
        <n v="143.51999999999998"/>
        <n v="838.5699999999997"/>
        <n v="671.1099999999997"/>
        <n v="93.42000000000002"/>
        <n v="383.76"/>
        <n v="149.91999999999996"/>
        <n v="1950.87"/>
        <n v="170.64999999999998"/>
        <n v="157.4000000000001"/>
        <n v="202.8900000000001"/>
        <n v="57.89999999999998"/>
        <n v="104.63"/>
        <n v="80.52999999999997"/>
        <n v="6.469999999999999"/>
        <n v="457.3800000000001"/>
        <n v="14.219999999999999"/>
        <n v="944.0900000000001"/>
        <n v="5.789999999999999"/>
        <n v="54.3"/>
        <n v="28.110000000000014"/>
        <n v="27.090000000000003"/>
        <n v="8.96"/>
        <n v="8159.360000000001"/>
        <n v="275.48"/>
        <n v="1739.7199999999993"/>
        <n v="31.900000000000006"/>
        <n v="177.52999999999997"/>
        <n v="143.23000000000002"/>
        <n v="20.319999999999993"/>
        <n v="110.29999999999995"/>
        <n v="339.46000000000004"/>
        <n v="51.77999999999997"/>
        <n v="19.400000000000006"/>
        <n v="96.62"/>
        <n v="396.53"/>
        <n v="15.699999999999996"/>
        <n v="2.32"/>
        <n v="24.64"/>
        <n v="408.52"/>
        <n v="503.8699999999999"/>
        <n v="149.34000000000003"/>
        <n v="28.460000000000008"/>
        <n v="6.850000000000001"/>
        <n v="176.49"/>
        <n v="37.03"/>
        <n v="19.379999999999995"/>
        <n v="898.53"/>
        <n v="71.44"/>
        <n v="51.52"/>
        <n v="625.59"/>
        <n v="19.54"/>
        <n v="14.189999999999998"/>
        <n v="6.460000000000001"/>
        <n v="5.82"/>
        <n v="45.70999999999998"/>
        <n v="2.85"/>
        <n v="15.84"/>
        <n v="21.730000000000004"/>
        <n v="218.11000000000013"/>
        <n v="2.5199999999999996"/>
        <n v="65.82"/>
        <n v="34.2"/>
        <n v="444.02"/>
        <n v="83.79000000000002"/>
        <n v="131.38"/>
        <n v="15.350000000000001"/>
        <n v="51.640000000000015"/>
        <n v="91.90000000000003"/>
        <n v="20.409999999999997"/>
        <n v="22.789999999999992"/>
        <n v="451.96000000000004"/>
        <n v="62.620000000000005"/>
        <n v="1187.52"/>
        <n v="88.70999999999998"/>
        <n v="92.37"/>
        <n v="301.8899999999999"/>
        <n v="5.289999999999999"/>
        <n v="22.210000000000008"/>
        <n v="18.840000000000003"/>
        <n v="72.19"/>
        <n v="479.35000000000014"/>
        <n v="26.83"/>
        <n v="2.12"/>
        <n v="622.0900000000001"/>
        <n v="21.78"/>
        <n v="161.02999999999997"/>
        <n v="389.21000000000004"/>
        <n v="18.45"/>
        <n v="233.40999999999997"/>
        <n v="620.3899999999999"/>
        <n v="4.57"/>
        <n v="258.03"/>
        <n v="617.0"/>
        <n v="9.709999999999994"/>
        <n v="25.590000000000003"/>
        <n v="418.98"/>
        <n v="10.990000000000002"/>
        <n v="31.539999999999992"/>
        <n v="177.16999999999996"/>
        <n v="3.1700000000000017"/>
        <n v="6.770000000000003"/>
        <n v="2001.3500000000004"/>
        <n v="166.12"/>
        <n v="47.370000000000005"/>
        <n v="1502.8099999999995"/>
        <n v="25.760000000000005"/>
        <n v="320.8499999999999"/>
        <n v="7.299999999999997"/>
        <n v="3347.329999999998"/>
        <n v="79.76"/>
        <n v="361.13"/>
        <n v="11.560000000000002"/>
        <n v="81.39999999999998"/>
        <n v="53.56"/>
        <n v="647.48"/>
        <n v="20.03"/>
        <n v="220.87"/>
        <n v="16.7"/>
        <n v="0.8499999999999996"/>
        <n v="3059.670000000002"/>
        <n v="2519.7800000000007"/>
        <n v="328.1600000000001"/>
        <n v="79.20000000000005"/>
        <n v="13.92"/>
        <n v="6.82"/>
        <n v="36.95"/>
        <n v="56.83000000000001"/>
        <n v="725.1099999999997"/>
        <n v="209.1500000000001"/>
        <n v="4.859999999999999"/>
        <n v="10.299999999999997"/>
        <n v="8.480000000000004"/>
        <n v="5.939999999999998"/>
        <n v="11.42"/>
        <n v="18.17"/>
        <n v="59.13"/>
        <n v="24.29"/>
        <n v="1.9800000000000004"/>
        <n v="1113.5299999999997"/>
        <n v="1038.1000000000004"/>
        <n v="141.3900000000001"/>
        <n v="239.29999999999995"/>
        <n v="30.400000000000006"/>
        <n v="253.74"/>
        <n v="193.93"/>
        <n v="961.3"/>
        <n v="18.340000000000003"/>
        <n v="18.019999999999996"/>
        <n v="255.26999999999998"/>
        <n v="86.48000000000002"/>
        <n v="299.4200000000001"/>
        <n v="229.77999999999997"/>
        <n v="218.01999999999998"/>
        <n v="78.28999999999996"/>
        <n v="27.539999999999992"/>
        <n v="32.06"/>
        <n v="1081.8199999999997"/>
        <n v="56.77999999999997"/>
        <n v="76.90999999999997"/>
        <n v="14.159999999999997"/>
        <n v="218.5999999999999"/>
        <n v="25.99"/>
        <n v="9.41"/>
        <n v="45.44"/>
        <n v="288.8699999999999"/>
        <n v="4.36"/>
        <n v="14.89"/>
        <n v="465.9000000000001"/>
        <n v="14.760000000000005"/>
        <n v="5.520000000000003"/>
        <n v="87.11000000000001"/>
        <n v="178.32"/>
        <n v="15.280000000000001"/>
        <n v="99.02"/>
        <n v="135.21"/>
        <n v="3991.36"/>
        <n v="275.36"/>
        <n v="359.42"/>
        <n v="43.4"/>
        <n v="6.57"/>
        <n v="250.56999999999994"/>
        <n v="99.99000000000001"/>
        <n v="15.43"/>
        <n v="290.29"/>
        <n v="53.98"/>
        <n v="786.38"/>
        <n v="99.24"/>
        <n v="37.7"/>
        <n v="82.11"/>
        <n v="20.19"/>
        <n v="4.8"/>
        <n v="4.630000000000003"/>
        <n v="959.6800000000003"/>
        <n v="13.730000000000004"/>
        <n v="7.189999999999998"/>
        <n v="698.2399999999998"/>
        <n v="4.450000000000003"/>
        <n v="17.12"/>
        <n v="509.93"/>
        <n v="30.06"/>
        <n v="71.77"/>
        <n v="88.40999999999997"/>
        <n v="47.56999999999999"/>
        <n v="6.69"/>
        <n v="23.77"/>
        <n v="12.95"/>
        <n v="6.4"/>
        <n v="23.66"/>
        <n v="2.22"/>
        <n v="48.36"/>
        <n v="4355.06"/>
        <n v="388.45"/>
        <n v="7.81"/>
        <n v="16.07"/>
        <n v="34.1"/>
        <n v="35.9"/>
        <n v="647.21"/>
        <n v="20.010000000000005"/>
        <n v="20.49"/>
        <n v="488.09"/>
        <n v="5.19"/>
        <n v="46.53"/>
        <n v="211.1500000000001"/>
        <n v="22.28"/>
        <n v="6.649999999999999"/>
        <n v="104.41999999999996"/>
        <n v="1042.9899999999998"/>
        <n v="52.94999999999999"/>
        <n v="7.869999999999997"/>
        <n v="1023.8400000000001"/>
        <n v="8.579999999999998"/>
        <n v="478.19000000000005"/>
        <n v="98.18"/>
        <n v="1488.22"/>
        <n v="7.799999999999997"/>
        <n v="23.310000000000002"/>
        <n v="12.049999999999997"/>
        <n v="50.40999999999997"/>
        <n v="49.00999999999999"/>
        <n v="41.31"/>
        <n v="374.8399999999999"/>
        <n v="83.07"/>
        <n v="481.81"/>
        <n v="2.24"/>
        <n v="2.1099999999999994"/>
        <n v="22.76"/>
        <n v="39.12"/>
        <n v="245.5999999999999"/>
        <n v="1799.4400000000005"/>
        <n v="11.68"/>
        <n v="75.20000000000005"/>
        <n v="49.81"/>
        <n v="12.37"/>
        <n v="69.32999999999998"/>
        <n v="35.91"/>
        <n v="2395.7800000000007"/>
        <n v="130.97000000000003"/>
        <n v="57.10000000000002"/>
        <n v="8.71"/>
        <n v="38.51"/>
        <n v="35.67"/>
        <n v="179.62000000000012"/>
        <n v="1199.8600000000006"/>
        <n v="27.069999999999993"/>
        <n v="1003.7399999999998"/>
        <n v="8.769999999999996"/>
        <n v="27.44999999999999"/>
        <n v="55.70999999999998"/>
        <n v="1336.3899999999994"/>
        <n v="113.48000000000002"/>
        <n v="138.94000000000005"/>
        <n v="306.8499999999999"/>
        <n v="95.20000000000005"/>
        <n v="383.3899999999999"/>
        <n v="5.460000000000001"/>
        <n v="8.950000000000003"/>
        <n v="15.230000000000004"/>
        <n v="196.71000000000004"/>
        <n v="56.43"/>
        <n v="31.8"/>
        <n v="865.96"/>
        <n v="27.460000000000008"/>
        <n v="287.28999999999996"/>
        <n v="69.33"/>
        <n v="5.829999999999998"/>
        <n v="189.27"/>
        <n v="408.29"/>
        <n v="291.27"/>
        <n v="4.48"/>
        <n v="713.4"/>
        <n v="3.9700000000000006"/>
        <n v="247.72000000000003"/>
        <n v="1007.3500000000004"/>
        <n v="313.03999999999996"/>
        <n v="31.680000000000007"/>
        <n v="207.58"/>
        <n v="194.44000000000005"/>
        <n v="70.42000000000002"/>
        <n v="90.46999999999997"/>
        <n v="242.16999999999996"/>
        <n v="21.14"/>
        <n v="2.17"/>
        <n v="58.78"/>
        <n v="161.59"/>
        <n v="263.38"/>
        <n v="30.24"/>
        <n v="9.02"/>
        <n v="34.27"/>
        <n v="283.97"/>
        <n v="664.5999999999999"/>
        <n v="63.05000000000001"/>
        <n v="129.1500000000001"/>
        <n v="746.8400000000001"/>
        <n v="8.280000000000001"/>
        <n v="103.73000000000002"/>
        <n v="899.6700000000001"/>
        <n v="23.159999999999997"/>
        <n v="1272.5100000000002"/>
        <n v="28.439999999999998"/>
        <n v="184.43000000000006"/>
        <n v="77.63999999999999"/>
        <n v="254.05999999999995"/>
        <n v="205.18000000000006"/>
        <n v="4.670000000000002"/>
        <n v="55.37"/>
        <n v="340.42999999999984"/>
        <n v="221.73000000000002"/>
        <n v="703.7700000000004"/>
        <n v="91.75999999999999"/>
        <n v="61.70999999999998"/>
        <n v="94.18999999999994"/>
        <n v="95.17999999999995"/>
        <n v="39.61"/>
        <n v="13.71"/>
        <n v="703.79"/>
        <n v="8.900000000000006"/>
        <n v="4.97"/>
        <n v="159.24"/>
        <n v="29.139999999999986"/>
        <n v="513.3699999999999"/>
        <n v="279.24000000000024"/>
        <n v="2735.58"/>
        <n v="7.289999999999999"/>
        <n v="63.56"/>
        <n v="69.68"/>
        <n v="448.88"/>
        <n v="10.58"/>
        <n v="93.20000000000005"/>
        <n v="189.64"/>
        <n v="105.38"/>
        <n v="119.10000000000002"/>
        <n v="254.80999999999995"/>
        <n v="240.78999999999996"/>
        <n v="68.37"/>
        <n v="14.929999999999993"/>
        <n v="801.2299999999996"/>
        <n v="1.5500000000000007"/>
        <n v="32.25"/>
        <n v="15.15"/>
        <n v="1.79"/>
        <n v="8.07"/>
        <n v="45.81"/>
        <n v="6353.970000000001"/>
        <n v="125.38999999999999"/>
        <n v="37.09"/>
        <n v="7.150000000000002"/>
        <n v="6.519999999999996"/>
        <n v="5.420000000000002"/>
        <n v="2998.959999999999"/>
        <n v="50.93000000000001"/>
        <n v="11.160000000000004"/>
        <n v="1125.5900000000001"/>
        <n v="18.120000000000005"/>
        <n v="129.10000000000002"/>
        <n v="13.349999999999994"/>
        <n v="210.23000000000002"/>
        <n v="54.95999999999998"/>
        <n v="66.07000000000005"/>
        <n v="22.09"/>
        <n v="683.3800000000001"/>
        <n v="44.75"/>
        <n v="35.79"/>
        <n v="665.42"/>
        <n v="51.96"/>
        <n v="190.1500000000001"/>
        <n v="47.46999999999997"/>
        <n v="979.3499999999999"/>
        <n v="22.510000000000005"/>
        <n v="16.099999999999994"/>
        <n v="41.78"/>
        <n v="10.57"/>
        <n v="152.58000000000004"/>
        <n v="282.95000000000005"/>
        <n v="467.96000000000004"/>
        <n v="380.5999999999999"/>
        <n v="646.6599999999999"/>
        <n v="57.94"/>
        <n v="100.58000000000004"/>
        <n v="65.64999999999998"/>
        <n v="40.59"/>
        <n v="12.82"/>
        <n v="249.82999999999993"/>
        <n v="10.829999999999998"/>
        <n v="7.759999999999998"/>
        <n v="1120.83"/>
        <n v="33.8"/>
        <n v="10.039999999999992"/>
        <n v="1295.2399999999998"/>
        <n v="18.87"/>
        <n v="20.460000000000008"/>
        <n v="1335.1200000000008"/>
        <n v="31.819999999999993"/>
        <n v="41.70999999999998"/>
        <n v="83.53999999999996"/>
        <n v="12.2"/>
        <n v="13.05"/>
        <n v="3.299999999999997"/>
        <n v="2.3599999999999994"/>
        <n v="373.52"/>
        <n v="91.27999999999997"/>
        <n v="80.34000000000003"/>
        <n v="19.24000000000001"/>
        <n v="450.78999999999996"/>
        <n v="71.96"/>
        <n v="13.67"/>
        <n v="32.56"/>
        <n v="14.03"/>
        <n v="7.930000000000007"/>
        <n v="160.0999999999999"/>
        <n v="6.399999999999999"/>
        <n v="69.07999999999998"/>
        <n v="8.04"/>
        <n v="50.870000000000005"/>
        <n v="469.8699999999999"/>
        <n v="104.79999999999995"/>
        <n v="30.52000000000001"/>
        <n v="406.2199999999998"/>
        <n v="70.65"/>
        <n v="294.80999999999995"/>
        <n v="84.01999999999998"/>
        <n v="19.74000000000001"/>
        <n v="16.289999999999992"/>
        <n v="10.099999999999994"/>
        <n v="8.590000000000003"/>
        <n v="30.72999999999999"/>
        <n v="75.46000000000004"/>
        <n v="1199.2299999999996"/>
        <n v="445.3800000000001"/>
        <n v="327.5100000000002"/>
        <n v="11.38"/>
        <n v="143.98"/>
        <n v="493.7"/>
        <n v="4.88"/>
        <n v="142.64"/>
        <n v="45.650000000000006"/>
        <n v="6.25"/>
        <n v="42.61"/>
        <n v="131.07"/>
        <n v="2.64"/>
        <n v="20.68"/>
        <n v="54.68"/>
        <n v="369.42999999999984"/>
        <n v="15.409999999999997"/>
        <n v="7.49"/>
        <n v="727.99"/>
        <n v="119.72000000000003"/>
        <n v="2.8100000000000005"/>
        <n v="40.35"/>
        <n v="9.42"/>
        <n v="107.26"/>
        <n v="37.76"/>
        <n v="87.89"/>
        <n v="8.159999999999997"/>
        <n v="301.62"/>
        <n v="554.8400000000001"/>
        <n v="522.95"/>
        <n v="161.05"/>
        <n v="35.04"/>
        <n v="97.09000000000003"/>
        <n v="14.450000000000003"/>
        <n v="12.829999999999998"/>
        <n v="242.79999999999995"/>
        <n v="119.49000000000001"/>
        <n v="300.09000000000015"/>
        <n v="16.89"/>
        <n v="235.05"/>
        <n v="392.29999999999995"/>
        <n v="18.819999999999993"/>
        <n v="121.96000000000004"/>
        <n v="1048.9699999999993"/>
        <n v="14.879999999999995"/>
        <n v="18.040000000000006"/>
        <n v="330.19000000000005"/>
        <n v="25.55000000000001"/>
        <n v="132.09000000000003"/>
        <n v="5.960000000000001"/>
        <n v="209.03999999999996"/>
        <n v="31.05000000000001"/>
        <n v="30.060000000000002"/>
        <n v="14.730000000000004"/>
        <n v="301.4499999999998"/>
        <n v="315.0"/>
        <n v="378.46"/>
        <n v="97.7"/>
        <n v="102.24"/>
        <n v="112.69999999999999"/>
        <n v="3.09"/>
        <n v="133.72000000000003"/>
        <n v="700.4200000000001"/>
        <n v="1.7100000000000009"/>
        <n v="998.5299999999997"/>
        <n v="723.2200000000003"/>
        <n v="917.9300000000003"/>
        <n v="2.25"/>
        <n v="459.05"/>
        <n v="10.199999999999996"/>
        <n v="23.169999999999987"/>
        <n v="84.29000000000002"/>
        <n v="380.77999999999975"/>
        <n v="29.569999999999993"/>
        <n v="23.680000000000007"/>
        <n v="108.53999999999996"/>
        <n v="36.079999999999984"/>
        <n v="18.659999999999997"/>
        <n v="60.91"/>
        <n v="38.099999999999994"/>
        <n v="99.38"/>
        <n v="2.5500000000000007"/>
        <n v="26.860000000000014"/>
        <n v="82.06"/>
        <n v="182.03999999999996"/>
        <n v="14.01"/>
        <n v="64.55"/>
        <n v="68.47"/>
        <n v="7999.04"/>
        <n v="167.12"/>
        <n v="479.4"/>
        <n v="13.95"/>
        <n v="191.73"/>
        <n v="103.23"/>
        <n v="284.3"/>
        <n v="35.94"/>
        <n v="166.07999999999993"/>
        <n v="33.379999999999995"/>
        <n v="197.32"/>
        <n v="47.31"/>
        <n v="200.57"/>
        <n v="97.58"/>
        <n v="2.67"/>
        <n v="18.0"/>
        <n v="4.29"/>
        <n v="15.04"/>
        <n v="209.67000000000007"/>
        <n v="369.25"/>
        <n v="10.13"/>
        <n v="166.37"/>
        <n v="14.91"/>
        <n v="119.88"/>
        <n v="883.73"/>
        <n v="46.15"/>
        <n v="55.03"/>
        <n v="24.28"/>
        <n v="280.52"/>
        <n v="307.2"/>
        <n v="299.73"/>
        <n v="19.360000000000014"/>
        <n v="8.98"/>
        <n v="102.11000000000001"/>
        <n v="59.78000000000003"/>
        <n v="72.31999999999994"/>
        <n v="146.01"/>
        <n v="1652.21"/>
        <n v="296.27"/>
        <n v="129.89"/>
        <n v="45.22999999999999"/>
        <n v="17.209999999999994"/>
        <n v="55.22000000000003"/>
        <n v="182.7"/>
        <n v="399.48"/>
        <n v="33.16"/>
        <n v="542.23"/>
        <n v="5.34"/>
        <n v="242.41000000000008"/>
        <n v="179.07999999999993"/>
        <n v="99.65999999999997"/>
        <n v="27.72"/>
        <n v="84.25999999999999"/>
        <n v="17.909999999999997"/>
        <n v="49.18000000000001"/>
        <n v="10.79"/>
        <n v="271.78999999999996"/>
        <n v="3.1099999999999994"/>
        <n v="51.129999999999995"/>
        <n v="3.3599999999999994"/>
        <n v="4.0"/>
        <n v="54.910000000000025"/>
        <n v="566.9300000000003"/>
        <n v="358.7399999999998"/>
        <n v="11.93"/>
        <n v="57.829999999999984"/>
        <n v="157.37"/>
        <n v="56.81999999999999"/>
        <n v="2.5"/>
        <n v="1199.7000000000007"/>
        <n v="79.90999999999997"/>
        <n v="382.77"/>
        <n v="24.040000000000006"/>
        <n v="119.39999999999998"/>
        <n v="13.04"/>
        <n v="22.700000000000003"/>
        <n v="58.079999999999984"/>
        <n v="11.810000000000002"/>
        <n v="107.02999999999997"/>
        <n v="10.459999999999994"/>
        <n v="50.370000000000005"/>
        <n v="646.3800000000001"/>
        <n v="4.979999999999997"/>
        <n v="572.3699999999999"/>
        <n v="310.63"/>
        <n v="641.65"/>
        <n v="17.680000000000007"/>
        <n v="206.73000000000002"/>
        <n v="31.870000000000005"/>
        <n v="6.77"/>
        <n v="39.34"/>
        <n v="33.94999999999999"/>
        <n v="32.5"/>
        <n v="543.3199999999997"/>
        <n v="59.49000000000001"/>
        <n v="23.610000000000014"/>
        <n v="4.07"/>
        <n v="31.460000000000008"/>
        <n v="23.28"/>
        <n v="34.93000000000001"/>
        <n v="46.99000000000001"/>
        <n v="185.95"/>
        <n v="16.960000000000008"/>
        <n v="348.6100000000001"/>
        <n v="143.01"/>
        <n v="14.8"/>
        <n v="42.63"/>
        <n v="332.22"/>
        <n v="1363.48"/>
        <n v="8.969999999999999"/>
        <n v="21.30000000000001"/>
        <n v="132.09"/>
        <n v="12.5"/>
        <n v="20.78"/>
        <n v="282.99000000000024"/>
        <n v="21.53"/>
        <n v="215.53999999999996"/>
        <n v="354.85"/>
        <n v="12.700000000000003"/>
        <n v="17.560000000000002"/>
        <n v="42.51999999999998"/>
        <n v="1983.6100000000006"/>
        <n v="28.319999999999993"/>
        <n v="149.22000000000003"/>
        <n v="11.040000000000006"/>
        <n v="1297.8799999999992"/>
        <n v="213.1099999999999"/>
        <n v="24.789999999999992"/>
        <n v="18.080000000000013"/>
        <n v="1399.3199999999997"/>
        <n v="51.110000000000014"/>
        <n v="41.33"/>
        <n v="2.59"/>
        <n v="1227.98"/>
        <n v="31.06"/>
        <n v="335.44"/>
        <n v="239.1500000000001"/>
        <n v="9.82"/>
        <n v="66.82000000000005"/>
        <n v="167.05999999999995"/>
        <n v="34.120000000000005"/>
        <n v="37.150000000000006"/>
        <n v="14.829999999999998"/>
        <n v="301.63"/>
        <n v="180.35000000000002"/>
        <n v="191.97000000000003"/>
        <n v="65.98000000000002"/>
        <n v="34.31999999999999"/>
        <n v="23.08"/>
        <n v="265.15"/>
        <n v="51.01999999999998"/>
        <n v="9.369999999999997"/>
        <n v="20.89"/>
        <n v="60.25"/>
        <n v="11.19"/>
        <n v="185.91"/>
        <n v="37.170000000000016"/>
        <n v="26.22"/>
        <n v="11.280000000000001"/>
        <n v="14.549999999999997"/>
        <n v="83.34"/>
        <n v="286.99"/>
        <n v="48.389999999999986"/>
        <n v="114.76999999999998"/>
        <n v="5.019999999999996"/>
        <n v="38.860000000000014"/>
        <n v="185.07"/>
        <n v="44.26"/>
        <n v="242.33"/>
        <n v="39.21"/>
        <n v="102.1"/>
        <n v="20.84"/>
        <n v="7.600000000000001"/>
        <n v="6.700000000000003"/>
        <n v="22.150000000000006"/>
        <n v="190.65999999999997"/>
        <n v="4.469999999999999"/>
        <n v="59.09"/>
        <n v="2.46"/>
        <n v="51.29"/>
        <n v="15.64"/>
        <n v="44.34"/>
        <n v="1140.66"/>
        <n v="280.46"/>
        <n v="33.61"/>
        <n v="10.48"/>
        <n v="105.77"/>
        <n v="191.21"/>
        <n v="322.4"/>
        <n v="29.340000000000003"/>
        <n v="371.37"/>
        <n v="5.78"/>
        <n v="68.14"/>
        <n v="1242.58"/>
        <n v="30.29"/>
        <n v="31.379999999999995"/>
        <n v="16.59"/>
        <n v="13.629999999999995"/>
        <n v="83.49000000000001"/>
        <n v="37.21"/>
        <n v="33.870000000000005"/>
        <n v="149.13"/>
        <n v="50.91"/>
        <n v="4.379999999999999"/>
        <n v="15.36"/>
        <n v="543.77"/>
        <n v="155.1099999999999"/>
        <n v="70.0"/>
        <n v="14.689999999999998"/>
        <n v="103.14999999999998"/>
        <n v="46.9"/>
        <n v="9.909999999999997"/>
        <n v="17.689999999999998"/>
        <n v="323.1400000000001"/>
        <n v="19.879999999999995"/>
        <n v="64.81000000000006"/>
        <n v="12.629999999999995"/>
        <n v="322.23"/>
        <n v="90.18"/>
        <n v="52.06"/>
        <n v="1199.52"/>
        <n v="1928.37"/>
        <n v="352.28999999999996"/>
        <n v="46.19"/>
        <n v="143.66999999999996"/>
        <n v="99.40999999999997"/>
        <n v="797.9200000000001"/>
        <n v="8.439999999999998"/>
        <n v="148.95000000000005"/>
        <n v="12.260000000000005"/>
        <n v="24.01"/>
        <n v="85.04"/>
        <n v="21.1"/>
        <n v="405.67"/>
        <n v="841.57"/>
        <n v="251.41"/>
        <n v="45.48"/>
        <n v="28.67"/>
        <n v="88.88999999999999"/>
        <n v="13.46"/>
        <n v="11.44"/>
        <n v="44.63"/>
        <n v="29.25"/>
        <n v="446.88"/>
        <n v="159.36000000000013"/>
        <n v="12.370000000000005"/>
        <n v="134.18000000000006"/>
        <n v="17.109999999999985"/>
        <n v="5.43"/>
        <n v="1113.4799999999996"/>
        <n v="32.31999999999999"/>
        <n v="539.8000000000002"/>
        <n v="167.01999999999998"/>
        <n v="392.8600000000001"/>
        <n v="516.14"/>
        <n v="1006.41"/>
        <n v="2065.16"/>
        <n v="15.27"/>
        <n v="24.98"/>
        <n v="24.85"/>
        <n v="27.060000000000002"/>
        <n v="78.50999999999999"/>
        <n v="173.33000000000004"/>
        <n v="28.889999999999986"/>
        <n v="3.799999999999997"/>
        <n v="15.549999999999997"/>
        <n v="204.28999999999996"/>
        <n v="321.44000000000005"/>
        <n v="6.130000000000003"/>
        <n v="21.28"/>
        <n v="3.6999999999999993"/>
        <n v="9.0"/>
        <n v="35.61"/>
        <n v="12.91"/>
        <n v="191.09"/>
        <n v="7.67"/>
        <n v="501.68"/>
        <n v="126.74"/>
        <n v="123.49"/>
        <n v="18.21"/>
        <n v="29.51"/>
        <n v="160.25"/>
        <n v="75.6"/>
        <n v="0.6199999999999992"/>
        <n v="3059.459999999999"/>
        <n v="2.42"/>
        <n v="33.18000000000001"/>
        <n v="599.26"/>
        <n v="3.210000000000001"/>
        <n v="559.5"/>
        <n v="603.5900000000001"/>
        <n v="7.609999999999999"/>
        <n v="27.75"/>
        <n v="336.0999999999999"/>
        <n v="0.28000000000000025"/>
        <n v="519.68"/>
        <n v="17.52"/>
        <n v="1166.52"/>
        <n v="14.58"/>
        <n v="9.920000000000002"/>
        <n v="154.32999999999993"/>
        <n v="2715.43"/>
        <n v="617.11"/>
        <n v="10.0"/>
        <n v="36.44"/>
        <n v="23.400000000000006"/>
        <n v="32.61"/>
        <n v="43.339999999999975"/>
        <n v="2308.89"/>
        <n v="1090.27"/>
        <n v="18.98"/>
        <n v="484.03999999999996"/>
        <n v="114.51"/>
        <n v="6.219999999999999"/>
        <n v="4.009999999999998"/>
        <n v="44.31"/>
        <n v="95.29000000000002"/>
        <n v="151.55999999999995"/>
        <n v="155.13999999999987"/>
        <n v="13.25"/>
        <n v="1618.1800000000003"/>
        <n v="98.63"/>
        <n v="31.920000000000016"/>
        <n v="13.03"/>
        <n v="155.71"/>
        <n v="124.66"/>
        <n v="601.55"/>
        <n v="22.15"/>
        <n v="1267.26"/>
        <n v="1379.42"/>
        <n v="6.04"/>
        <n v="63.22999999999999"/>
        <n v="15.5"/>
        <n v="176.99"/>
        <n v="197.6500000000001"/>
        <n v="854.6999999999998"/>
        <n v="123.48000000000002"/>
        <n v="13.61"/>
        <n v="15.490000000000002"/>
        <n v="2.4299999999999997"/>
        <n v="13.89"/>
        <n v="86.12"/>
        <n v="35.70999999999998"/>
        <n v="23.57"/>
        <n v="28.47"/>
        <n v="697.1399999999999"/>
        <n v="721.86"/>
        <n v="8.270000000000003"/>
        <n v="58.24000000000001"/>
        <n v="254.22000000000003"/>
        <n v="1363.8400000000001"/>
        <n v="101.47"/>
        <n v="1113.4500000000007"/>
        <n v="168.38"/>
        <n v="6.39"/>
        <n v="282.12"/>
        <n v="10.72"/>
        <n v="107.97"/>
        <n v="82.25"/>
        <n v="8.58"/>
        <n v="19.710000000000008"/>
        <n v="65.56000000000006"/>
        <n v="3.72"/>
        <n v="107.11000000000001"/>
        <n v="44.859999999999985"/>
        <n v="10.07"/>
        <n v="6.890000000000001"/>
        <n v="117.94"/>
        <n v="1.0199999999999996"/>
        <n v="55.24000000000001"/>
        <n v="194.78999999999996"/>
        <n v="24.35"/>
        <n v="18.900000000000006"/>
        <n v="28.52000000000001"/>
        <n v="7.76"/>
        <n v="5.539999999999999"/>
        <n v="4.120000000000001"/>
        <n v="31.319999999999993"/>
        <n v="40.83"/>
        <n v="119.86000000000001"/>
        <n v="30.569999999999993"/>
        <n v="6.420000000000002"/>
        <n v="19.090000000000003"/>
        <n v="1106.48"/>
        <n v="836.24"/>
        <n v="26.13"/>
        <n v="362.29"/>
        <n v="4899.48"/>
        <n v="6.48"/>
        <n v="71.16999999999996"/>
        <n v="2.16"/>
        <n v="31.25"/>
        <n v="71.13"/>
        <n v="119.85000000000002"/>
        <n v="218.69000000000005"/>
        <n v="27.9"/>
        <n v="355.72"/>
        <n v="347.79"/>
        <n v="35.78"/>
        <n v="447.42999999999984"/>
        <n v="6.240000000000002"/>
        <n v="7.75"/>
        <n v="29.090000000000003"/>
        <n v="7.790000000000006"/>
        <n v="2.6400000000000006"/>
        <n v="2.7699999999999996"/>
        <n v="22.079999999999984"/>
        <n v="100.67999999999995"/>
        <n v="2.3200000000000003"/>
        <n v="9.900000000000006"/>
        <n v="57.920000000000016"/>
        <n v="40.93000000000001"/>
        <n v="71.29000000000002"/>
        <n v="9.600000000000001"/>
        <n v="1.0999999999999996"/>
        <n v="46.00999999999999"/>
        <n v="119.76999999999998"/>
        <n v="6.140000000000001"/>
        <n v="279.44999999999993"/>
        <n v="619.1200000000001"/>
        <n v="3.7300000000000004"/>
        <n v="14.369999999999997"/>
        <n v="699.6700000000001"/>
        <n v="22.19999999999999"/>
        <n v="38.22"/>
        <n v="6.149999999999999"/>
        <n v="1067.08"/>
        <n v="9.45"/>
        <n v="101.57999999999998"/>
        <n v="343.14"/>
        <n v="40.98"/>
        <n v="63.42"/>
        <n v="18.97999999999999"/>
        <n v="124.07"/>
        <n v="6.98"/>
        <n v="85.09"/>
        <n v="287.48"/>
        <n v="37.68000000000001"/>
        <n v="19.010000000000005"/>
        <n v="20.439999999999998"/>
        <n v="16.85"/>
        <n v="203.76999999999998"/>
        <n v="7.969999999999999"/>
        <n v="6.200000000000003"/>
        <n v="685.3400000000001"/>
        <n v="61.31999999999999"/>
        <n v="643.51"/>
        <n v="4.949999999999999"/>
        <n v="12.21"/>
        <n v="10.18"/>
        <n v="599.6100000000001"/>
        <n v="3.5599999999999987"/>
        <n v="158.8900000000001"/>
        <n v="122.47"/>
        <n v="2244.2"/>
        <n v="61.91"/>
        <n v="454.7"/>
        <n v="195.01999999999998"/>
        <n v="362.70000000000005"/>
        <n v="10.839999999999996"/>
        <n v="53.629999999999995"/>
        <n v="9.05"/>
        <n v="125.64"/>
        <n v="24.97"/>
        <n v="45.97"/>
        <n v="447.1700000000001"/>
        <n v="109.47"/>
        <n v="272.66"/>
        <n v="19.4"/>
        <n v="31.49"/>
        <n v="21.60000000000001"/>
        <n v="15.789999999999992"/>
        <n v="49.33"/>
        <n v="27.54"/>
        <n v="11.379999999999995"/>
        <n v="172.39"/>
        <n v="179.22"/>
        <n v="257.78999999999996"/>
        <n v="1322.42"/>
        <n v="3.219999999999999"/>
        <n v="7.42"/>
        <n v="11.469999999999999"/>
        <n v="485.55999999999995"/>
        <n v="25.579999999999984"/>
        <n v="197.52999999999997"/>
        <n v="81.69000000000005"/>
        <n v="889.0799999999999"/>
        <n v="891.5299999999997"/>
        <n v="223.31999999999994"/>
        <n v="22.75"/>
        <n v="15.530000000000001"/>
        <n v="15.71"/>
        <n v="23.879999999999995"/>
        <n v="55.91"/>
        <n v="431.21000000000004"/>
        <n v="95.48000000000002"/>
        <n v="1088.0699999999997"/>
        <n v="543.3499999999999"/>
        <n v="1.1799999999999997"/>
        <n v="853.9899999999998"/>
        <n v="593.1800000000003"/>
        <n v="337.21000000000004"/>
        <n v="271.26"/>
        <n v="10.64"/>
        <n v="8.57"/>
        <n v="13.85"/>
        <n v="41.19"/>
        <n v="8.39"/>
        <n v="578.55"/>
        <n v="141.09"/>
        <n v="2.63"/>
        <n v="4.08"/>
        <n v="4.15"/>
        <n v="95.3"/>
        <n v="16.98"/>
        <n v="258.27"/>
        <n v="1931.76"/>
        <n v="249.30999999999995"/>
        <n v="255.44000000000005"/>
        <n v="113.62"/>
        <n v="77.92"/>
        <n v="1.33"/>
        <n v="40.05"/>
        <n v="182.91"/>
        <n v="193.73"/>
        <n v="14.86"/>
        <n v="8.269999999999996"/>
        <n v="4.829999999999998"/>
        <n v="2.6"/>
        <n v="79.32"/>
        <n v="839.6100000000001"/>
        <n v="47.56"/>
        <n v="36.86"/>
        <n v="63.53999999999999"/>
        <n v="164.12"/>
        <n v="11.659999999999997"/>
        <n v="40.24000000000001"/>
        <n v="22.129999999999995"/>
        <n v="21.27"/>
        <n v="397.73"/>
        <n v="48.2"/>
        <n v="764.4499999999998"/>
        <n v="3610.760000000002"/>
        <n v="254.53999999999996"/>
        <n v="37.87"/>
        <n v="1140.99"/>
        <n v="1703.65"/>
        <n v="2.62"/>
        <n v="1099.13"/>
        <n v="4.52"/>
        <n v="35.48"/>
        <n v="5.86"/>
        <n v="43.2"/>
        <n v="27.08"/>
        <n v="539.46"/>
        <n v="255.02999999999997"/>
        <n v="863.1700000000001"/>
        <n v="16.71"/>
        <n v="17.28"/>
        <n v="69.37"/>
        <n v="41.21000000000001"/>
        <n v="142.19000000000005"/>
        <n v="291.82000000000016"/>
        <n v="28.50999999999999"/>
        <n v="11.509999999999998"/>
        <n v="102.02999999999997"/>
        <n v="48.47"/>
        <n v="44.72"/>
        <n v="9.439999999999998"/>
        <n v="388.3600000000001"/>
        <n v="13.519999999999996"/>
        <n v="63.76999999999998"/>
        <n v="85.45000000000005"/>
        <n v="32.50999999999999"/>
        <n v="83.07999999999998"/>
        <n v="278.21000000000004"/>
        <n v="14.77"/>
        <n v="17.32"/>
        <n v="251.01"/>
        <n v="14.79"/>
        <n v="14.59"/>
        <n v="39.11"/>
        <n v="11.29"/>
        <n v="13.11"/>
        <n v="32.35000000000002"/>
        <n v="32.25999999999999"/>
        <n v="113.35000000000002"/>
        <n v="3.0700000000000003"/>
        <n v="844.9899999999998"/>
        <n v="13.620000000000005"/>
        <n v="19.890000000000015"/>
        <n v="113.97000000000003"/>
        <n v="26.060000000000002"/>
        <n v="572.23"/>
        <n v="285.56"/>
        <n v="61.66"/>
        <n v="23.25"/>
        <n v="287.78"/>
        <n v="419.72000000000025"/>
        <n v="46.620000000000005"/>
        <n v="17.710000000000008"/>
        <n v="21.25999999999999"/>
        <n v="161.45000000000005"/>
        <n v="161.22000000000003"/>
        <n v="2.7"/>
        <n v="121.37"/>
        <n v="154.78999999999996"/>
        <n v="38.0"/>
        <n v="183.21000000000004"/>
        <n v="579.25"/>
        <n v="13.64"/>
        <n v="574.96"/>
        <n v="4.82"/>
        <n v="4.59"/>
        <n v="285.4100000000001"/>
        <n v="72.63"/>
        <n v="10.77"/>
        <n v="45.29"/>
        <n v="16.75"/>
        <n v="50.77"/>
        <n v="11.269999999999996"/>
        <n v="87.89999999999998"/>
        <n v="36.889999999999986"/>
        <n v="2.869999999999999"/>
        <n v="27.290000000000006"/>
        <n v="0.9299999999999997"/>
        <n v="7.640000000000001"/>
        <n v="139.82999999999993"/>
        <n v="551.9499999999998"/>
        <n v="29.58"/>
        <n v="677.48"/>
        <n v="74.14"/>
        <n v="695.28"/>
        <n v="14.93"/>
        <n v="28.41"/>
        <n v="47.44"/>
        <n v="12.85"/>
        <n v="93.00999999999999"/>
        <n v="46.28"/>
        <n v="19.03"/>
        <n v="52.75999999999999"/>
        <n v="35.29999999999998"/>
        <n v="257.8600000000001"/>
        <n v="30.72"/>
        <n v="16.72999999999999"/>
        <n v="299.98"/>
        <n v="220.32999999999993"/>
        <n v="281.24"/>
        <n v="78.65"/>
        <n v="1.1099999999999994"/>
        <n v="145.03999999999996"/>
        <n v="122.68"/>
        <n v="22.7"/>
        <n v="308.69"/>
        <n v="38.25999999999999"/>
        <n v="95.61000000000001"/>
        <n v="238.97000000000003"/>
        <n v="201.48000000000002"/>
        <n v="898.8199999999997"/>
        <n v="145.41000000000008"/>
        <n v="589.6400000000003"/>
        <n v="13.659999999999997"/>
        <n v="48.6"/>
        <n v="29.5"/>
        <n v="16.939999999999998"/>
        <n v="912.2700000000004"/>
        <n v="1089.4400000000005"/>
        <n v="447.4000000000001"/>
        <n v="15.730000000000004"/>
        <n v="399.8699999999999"/>
        <n v="158.17000000000007"/>
        <n v="12.900000000000006"/>
        <n v="83.38999999999999"/>
        <n v="80.75999999999999"/>
        <n v="348.73"/>
        <n v="9.129999999999999"/>
        <n v="18.47"/>
        <n v="239.85000000000002"/>
        <n v="167.14999999999998"/>
        <n v="104.15"/>
        <n v="484.54999999999995"/>
        <n v="122.82"/>
        <n v="154.18"/>
        <n v="342.29999999999995"/>
        <n v="8.62"/>
        <n v="651.81"/>
        <n v="66.17000000000002"/>
        <n v="17.02"/>
        <n v="87.67"/>
        <n v="6.44"/>
        <n v="21.02"/>
        <n v="250.81"/>
        <n v="204.55999999999995"/>
        <n v="10.24"/>
        <n v="154.54"/>
        <n v="115.93"/>
        <n v="75.15"/>
        <n v="39.14"/>
        <n v="392.90999999999985"/>
        <n v="407.19"/>
        <n v="164.67"/>
        <n v="334.11"/>
        <n v="239.3800000000001"/>
        <n v="37.360000000000014"/>
        <n v="945.8800000000001"/>
        <n v="151.05999999999995"/>
        <n v="4.149999999999999"/>
        <n v="85.73000000000002"/>
        <n v="72.02999999999997"/>
        <n v="59.889999999999986"/>
        <n v="76.91999999999996"/>
        <n v="119.34000000000003"/>
        <n v="263.8899999999999"/>
        <n v="363.0799999999999"/>
        <n v="14.379999999999995"/>
        <n v="29.02000000000001"/>
        <n v="427.0300000000002"/>
        <n v="220.66999999999996"/>
        <n v="152.09000000000003"/>
        <n v="6.34"/>
        <n v="1818.88"/>
        <n v="33.01999999999998"/>
        <n v="30.150000000000006"/>
        <n v="4.849999999999998"/>
        <n v="263.71000000000004"/>
        <n v="2452.6900000000005"/>
        <n v="29.43"/>
        <n v="39.24"/>
        <n v="36.0"/>
        <n v="12.86"/>
        <n v="138.95000000000005"/>
        <n v="1978.9799999999996"/>
        <n v="164.43000000000006"/>
        <n v="469.44000000000005"/>
        <n v="47.81"/>
        <n v="88.63999999999999"/>
        <n v="2.0199999999999996"/>
        <n v="70.53"/>
        <n v="90.91"/>
        <n v="33.129999999999995"/>
        <n v="3039.91"/>
        <n v="90.82"/>
        <n v="452.5899999999999"/>
        <n v="51.92"/>
        <n v="15.900000000000006"/>
        <n v="27.22"/>
        <n v="243.03999999999996"/>
        <n v="159.16999999999996"/>
        <n v="1024.2600000000002"/>
        <n v="2.86"/>
        <n v="120.60000000000002"/>
        <n v="95.62"/>
        <n v="255.31999999999994"/>
        <n v="872.8800000000001"/>
        <n v="41.150000000000006"/>
        <n v="6.24"/>
        <n v="7.769999999999996"/>
        <n v="6.369999999999997"/>
        <n v="16.39"/>
        <n v="17.61"/>
        <n v="28.3"/>
        <n v="51.76"/>
        <n v="31.569999999999993"/>
        <n v="25.180000000000007"/>
        <n v="40.0"/>
        <n v="33.860000000000014"/>
        <n v="9.14"/>
        <n v="3.1500000000000004"/>
        <n v="176.1300000000001"/>
        <n v="3.06"/>
        <n v="1212.7999999999993"/>
        <n v="89.30999999999995"/>
        <n v="41.610000000000014"/>
        <n v="4.89"/>
        <n v="62.24"/>
        <n v="5.88"/>
        <n v="977.05"/>
        <n v="8.959999999999994"/>
        <n v="39.83"/>
        <n v="9.79"/>
        <n v="16.260000000000005"/>
        <n v="12.320000000000007"/>
        <n v="15.519999999999996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B7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Row" compact="0" numFmtId="164" outline="0" multipleItemSelectionAllowed="1" showAll="0" sortType="ascending">
      <items>
        <item x="2"/>
        <item x="1"/>
        <item x="0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</pivotFields>
  <rowFields>
    <field x="4"/>
  </rowFields>
  <dataFields>
    <dataField name="SUM of Profit" fld="17" baseField="0"/>
  </dataFields>
</pivotTableDefinition>
</file>

<file path=xl/pivotTables/pivotTable2.xml><?xml version="1.0" encoding="utf-8"?>
<pivotTableDefinition xmlns="http://schemas.openxmlformats.org/spreadsheetml/2006/main" name="Pivot Table 2 2" cacheId="1" dataCaption="" compact="0" compactData="0">
  <location ref="C1:D6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hip Mode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5"/>
  </rowFields>
  <dataFields>
    <dataField name="SUM of Item Cost" fld="14" baseField="0"/>
  </dataFields>
</pivotTableDefinition>
</file>

<file path=xl/pivotTables/pivotTable3.xml><?xml version="1.0" encoding="utf-8"?>
<pivotTableDefinition xmlns="http://schemas.openxmlformats.org/spreadsheetml/2006/main" name="Pivot Table 2 3" cacheId="1" dataCaption="" compact="0" compactData="0">
  <location ref="E1:F6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11"/>
  </rowFields>
  <dataFields>
    <dataField name="SUM of Profit" fld="17" baseField="0"/>
  </dataFields>
</pivotTableDefinition>
</file>

<file path=xl/pivotTables/pivotTable4.xml><?xml version="1.0" encoding="utf-8"?>
<pivotTableDefinition xmlns="http://schemas.openxmlformats.org/spreadsheetml/2006/main" name="Pivot Table 2 4" cacheId="1" dataCaption="" compact="0" compactData="0">
  <location ref="A9:B51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10"/>
  </rowFields>
  <dataFields>
    <dataField name="SUM of Profit" fld="17" baseField="0"/>
  </dataFields>
</pivotTableDefinition>
</file>

<file path=xl/pivotTables/pivotTable5.xml><?xml version="1.0" encoding="utf-8"?>
<pivotTableDefinition xmlns="http://schemas.openxmlformats.org/spreadsheetml/2006/main" name="Pivot Table 2 5" cacheId="1" dataCaption="" compact="0" compactData="0">
  <location ref="C9:D13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axis="axisRow" compact="0" outline="0" multipleItemSelectionAllowed="1" showAll="0" sortType="descending">
      <items>
        <item x="2"/>
        <item x="1"/>
        <item x="0"/>
        <item t="default"/>
      </items>
    </pivotField>
    <pivotField name="Sale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12"/>
  </rowFields>
  <dataFields>
    <dataField name="SUM of Sale" fld="13" baseField="0"/>
  </dataFields>
</pivotTableDefinition>
</file>

<file path=xl/pivotTables/pivotTable6.xml><?xml version="1.0" encoding="utf-8"?>
<pivotTableDefinition xmlns="http://schemas.openxmlformats.org/spreadsheetml/2006/main" name="Pivot Table 2 6" cacheId="1" dataCaption="" compact="0" compactData="0">
  <location ref="C15:D21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Row" compact="0" numFmtId="164" outline="0" multipleItemSelectionAllowed="1" showAll="0" sortType="ascending">
      <items>
        <item x="2"/>
        <item x="1"/>
        <item x="0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4"/>
  </rowFields>
  <dataFields>
    <dataField name="SUM of Loss" fld="18" baseField="0"/>
  </dataFields>
</pivotTableDefinition>
</file>

<file path=xl/pivotTables/pivotTable7.xml><?xml version="1.0" encoding="utf-8"?>
<pivotTableDefinition xmlns="http://schemas.openxmlformats.org/spreadsheetml/2006/main" name="Dashboard" cacheId="1" dataCaption="" compact="0" compactData="0">
  <location ref="A47:B53" firstHeaderRow="0" firstDataRow="1" firstDataCol="0"/>
  <pivotFields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t="default"/>
      </items>
    </pivotField>
    <pivotField name="Order Month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Ship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t="default"/>
      </items>
    </pivotField>
    <pivotField name="Month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s" axis="axisRow" compact="0" numFmtId="164" outline="0" multipleItemSelectionAllowed="1" showAll="0" sortType="ascending">
      <items>
        <item x="2"/>
        <item x="1"/>
        <item x="0"/>
        <item x="3"/>
        <item x="4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Firs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t="default"/>
      </items>
    </pivotField>
    <pivotField name="Sur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ale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t="default"/>
      </items>
    </pivotField>
    <pivotField name="Item Cost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t="default"/>
      </items>
    </pivotField>
    <pivotField name="profit(without costs)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t="default"/>
      </items>
    </pivotField>
    <pivotField name="Profit" dataField="1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t="default"/>
      </items>
    </pivotField>
    <pivotField name="Loss" compact="0" numFmtId="168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t="default"/>
      </items>
    </pivotField>
  </pivotFields>
  <rowFields>
    <field x="4"/>
  </rowFields>
  <dataFields>
    <dataField name="SUM of Profit" fld="17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7.xm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3" width="12.13"/>
    <col customWidth="1" min="4" max="4" width="11.13"/>
    <col customWidth="1" min="5" max="5" width="12.38"/>
    <col customWidth="1" min="6" max="6" width="13.38"/>
    <col customWidth="1" min="7" max="7" width="17.63"/>
    <col customWidth="1" min="8" max="8" width="20.38"/>
    <col customWidth="1" min="9" max="9" width="18.88"/>
    <col customWidth="1" min="10" max="10" width="10.5"/>
    <col customWidth="1" min="11" max="12" width="14.25"/>
    <col customWidth="1" min="13" max="13" width="15.5"/>
    <col customWidth="1" min="14" max="14" width="15.88"/>
    <col customWidth="1" min="15" max="15" width="13.13"/>
    <col customWidth="1" min="16" max="16" width="9.13"/>
    <col customWidth="1" min="17" max="17" width="12.13"/>
    <col customWidth="1" min="18" max="18" width="8.38"/>
    <col customWidth="1" min="19" max="19" width="10.25"/>
    <col customWidth="1" min="20" max="20" width="8.38"/>
  </cols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3" t="s">
        <v>16</v>
      </c>
      <c r="S1" s="1" t="s">
        <v>17</v>
      </c>
      <c r="T1" s="4" t="s">
        <v>18</v>
      </c>
    </row>
    <row r="2">
      <c r="A2" s="1" t="s">
        <v>19</v>
      </c>
      <c r="B2" s="2">
        <v>42958.0</v>
      </c>
      <c r="C2" s="2" t="str">
        <f t="shared" ref="C2:C1500" si="1">text(B2,"MMM")</f>
        <v>Aug</v>
      </c>
      <c r="D2" s="5">
        <v>43050.0</v>
      </c>
      <c r="E2" s="1" t="s">
        <v>20</v>
      </c>
      <c r="F2" s="1" t="s">
        <v>21</v>
      </c>
      <c r="G2" s="1" t="s">
        <v>22</v>
      </c>
      <c r="H2" s="1" t="str">
        <f>IFERROR(__xludf.DUMMYFUNCTION("split(G2,"" "")"),"Claire")</f>
        <v>Claire</v>
      </c>
      <c r="I2" s="1" t="str">
        <f>IFERROR(__xludf.DUMMYFUNCTION("""COMPUTED_VALUE"""),"Gute")</f>
        <v>Gute</v>
      </c>
      <c r="J2" s="1" t="s">
        <v>23</v>
      </c>
      <c r="K2" s="1" t="s">
        <v>24</v>
      </c>
      <c r="L2" s="1" t="str">
        <f t="shared" ref="L2:L1500" si="2">PROPER(K2)</f>
        <v>Henderson</v>
      </c>
      <c r="M2" s="1" t="s">
        <v>25</v>
      </c>
      <c r="N2" s="1" t="str">
        <f t="shared" ref="N2:N1500" si="3">proper(M2)</f>
        <v>Kentucky</v>
      </c>
      <c r="O2" s="1">
        <v>42420.0</v>
      </c>
      <c r="P2" s="1" t="s">
        <v>26</v>
      </c>
      <c r="Q2" s="1" t="s">
        <v>27</v>
      </c>
      <c r="R2" s="3">
        <v>261.96</v>
      </c>
      <c r="S2" s="1">
        <v>4.0</v>
      </c>
      <c r="T2" s="4">
        <v>261.26</v>
      </c>
    </row>
    <row r="3">
      <c r="A3" s="1" t="s">
        <v>19</v>
      </c>
      <c r="B3" s="2">
        <v>42958.0</v>
      </c>
      <c r="C3" s="2" t="str">
        <f t="shared" si="1"/>
        <v>Aug</v>
      </c>
      <c r="D3" s="5">
        <v>43050.0</v>
      </c>
      <c r="E3" s="1" t="s">
        <v>20</v>
      </c>
      <c r="F3" s="1" t="s">
        <v>21</v>
      </c>
      <c r="G3" s="1" t="s">
        <v>22</v>
      </c>
      <c r="H3" s="1" t="str">
        <f>IFERROR(__xludf.DUMMYFUNCTION("split(G3,"" "")"),"Claire")</f>
        <v>Claire</v>
      </c>
      <c r="I3" s="1" t="str">
        <f>IFERROR(__xludf.DUMMYFUNCTION("""COMPUTED_VALUE"""),"Gute")</f>
        <v>Gute</v>
      </c>
      <c r="J3" s="1" t="s">
        <v>23</v>
      </c>
      <c r="K3" s="1" t="s">
        <v>24</v>
      </c>
      <c r="L3" s="1" t="str">
        <f t="shared" si="2"/>
        <v>Henderson</v>
      </c>
      <c r="M3" s="1" t="s">
        <v>25</v>
      </c>
      <c r="N3" s="1" t="str">
        <f t="shared" si="3"/>
        <v>Kentucky</v>
      </c>
      <c r="O3" s="1">
        <v>42420.0</v>
      </c>
      <c r="P3" s="1" t="s">
        <v>26</v>
      </c>
      <c r="Q3" s="1" t="s">
        <v>27</v>
      </c>
      <c r="R3" s="3">
        <v>731.94</v>
      </c>
      <c r="S3" s="1">
        <v>4.0</v>
      </c>
      <c r="T3" s="4">
        <v>731.61</v>
      </c>
    </row>
    <row r="4">
      <c r="A4" s="1" t="s">
        <v>28</v>
      </c>
      <c r="B4" s="2">
        <v>43075.0</v>
      </c>
      <c r="C4" s="2" t="str">
        <f t="shared" si="1"/>
        <v>Dec</v>
      </c>
      <c r="D4" s="1" t="s">
        <v>29</v>
      </c>
      <c r="E4" s="1" t="s">
        <v>20</v>
      </c>
      <c r="F4" s="1" t="s">
        <v>30</v>
      </c>
      <c r="G4" s="1" t="s">
        <v>31</v>
      </c>
      <c r="H4" s="1" t="s">
        <v>32</v>
      </c>
      <c r="I4" s="1" t="s">
        <v>33</v>
      </c>
      <c r="J4" s="1" t="s">
        <v>34</v>
      </c>
      <c r="K4" s="1" t="s">
        <v>35</v>
      </c>
      <c r="L4" s="1" t="str">
        <f t="shared" si="2"/>
        <v>Los Angeles</v>
      </c>
      <c r="M4" s="1" t="s">
        <v>36</v>
      </c>
      <c r="N4" s="1" t="str">
        <f t="shared" si="3"/>
        <v>California</v>
      </c>
      <c r="O4" s="1">
        <v>90036.0</v>
      </c>
      <c r="P4" s="1" t="s">
        <v>37</v>
      </c>
      <c r="Q4" s="1" t="s">
        <v>38</v>
      </c>
      <c r="R4" s="3">
        <v>14.62</v>
      </c>
      <c r="S4" s="1">
        <v>9.0</v>
      </c>
      <c r="T4" s="4">
        <v>13.97</v>
      </c>
    </row>
    <row r="5">
      <c r="A5" s="1" t="s">
        <v>39</v>
      </c>
      <c r="B5" s="2">
        <v>42684.0</v>
      </c>
      <c r="C5" s="2" t="str">
        <f t="shared" si="1"/>
        <v>Nov</v>
      </c>
      <c r="D5" s="1" t="s">
        <v>40</v>
      </c>
      <c r="E5" s="1" t="s">
        <v>41</v>
      </c>
      <c r="F5" s="1" t="s">
        <v>42</v>
      </c>
      <c r="G5" s="1" t="s">
        <v>43</v>
      </c>
      <c r="H5" s="1" t="str">
        <f>IFERROR(__xludf.DUMMYFUNCTION("split(G5,"" "")"),"Sean")</f>
        <v>Sean</v>
      </c>
      <c r="I5" s="1" t="str">
        <f>IFERROR(__xludf.DUMMYFUNCTION("""COMPUTED_VALUE"""),"O'Donnell")</f>
        <v>O'Donnell</v>
      </c>
      <c r="J5" s="1" t="s">
        <v>23</v>
      </c>
      <c r="K5" s="1" t="s">
        <v>44</v>
      </c>
      <c r="L5" s="1" t="str">
        <f t="shared" si="2"/>
        <v>Fort Lauderdale</v>
      </c>
      <c r="M5" s="1" t="s">
        <v>45</v>
      </c>
      <c r="N5" s="1" t="str">
        <f t="shared" si="3"/>
        <v>Florida</v>
      </c>
      <c r="O5" s="1">
        <v>33311.0</v>
      </c>
      <c r="P5" s="1" t="s">
        <v>26</v>
      </c>
      <c r="Q5" s="1" t="s">
        <v>27</v>
      </c>
      <c r="R5" s="3">
        <v>957.5775</v>
      </c>
      <c r="S5" s="1">
        <v>3.0</v>
      </c>
      <c r="T5" s="4">
        <v>956.9</v>
      </c>
    </row>
    <row r="6">
      <c r="A6" s="1" t="s">
        <v>39</v>
      </c>
      <c r="B6" s="2">
        <v>42684.0</v>
      </c>
      <c r="C6" s="2" t="str">
        <f t="shared" si="1"/>
        <v>Nov</v>
      </c>
      <c r="D6" s="1" t="s">
        <v>40</v>
      </c>
      <c r="E6" s="1" t="s">
        <v>41</v>
      </c>
      <c r="F6" s="1" t="s">
        <v>42</v>
      </c>
      <c r="G6" s="1" t="s">
        <v>43</v>
      </c>
      <c r="H6" s="1" t="str">
        <f>IFERROR(__xludf.DUMMYFUNCTION("split(G6,"" "")"),"Sean")</f>
        <v>Sean</v>
      </c>
      <c r="I6" s="1" t="str">
        <f>IFERROR(__xludf.DUMMYFUNCTION("""COMPUTED_VALUE"""),"O'Donnell")</f>
        <v>O'Donnell</v>
      </c>
      <c r="J6" s="1" t="s">
        <v>23</v>
      </c>
      <c r="K6" s="1" t="s">
        <v>44</v>
      </c>
      <c r="L6" s="1" t="str">
        <f t="shared" si="2"/>
        <v>Fort Lauderdale</v>
      </c>
      <c r="M6" s="1" t="s">
        <v>45</v>
      </c>
      <c r="N6" s="1" t="str">
        <f t="shared" si="3"/>
        <v>Florida</v>
      </c>
      <c r="O6" s="1">
        <v>33311.0</v>
      </c>
      <c r="P6" s="1" t="s">
        <v>26</v>
      </c>
      <c r="Q6" s="1" t="s">
        <v>38</v>
      </c>
      <c r="R6" s="3">
        <v>22.368</v>
      </c>
      <c r="S6" s="1">
        <v>3.0</v>
      </c>
      <c r="T6" s="4">
        <v>22.08</v>
      </c>
    </row>
    <row r="7">
      <c r="A7" s="1" t="s">
        <v>46</v>
      </c>
      <c r="B7" s="2">
        <v>42253.0</v>
      </c>
      <c r="C7" s="2" t="str">
        <f t="shared" si="1"/>
        <v>Sep</v>
      </c>
      <c r="D7" s="1" t="s">
        <v>47</v>
      </c>
      <c r="E7" s="1" t="s">
        <v>41</v>
      </c>
      <c r="F7" s="1" t="s">
        <v>48</v>
      </c>
      <c r="G7" s="1" t="s">
        <v>49</v>
      </c>
      <c r="H7" s="1" t="str">
        <f>IFERROR(__xludf.DUMMYFUNCTION("split(G7,"" "")"),"Brosina")</f>
        <v>Brosina</v>
      </c>
      <c r="I7" s="1" t="str">
        <f>IFERROR(__xludf.DUMMYFUNCTION("""COMPUTED_VALUE"""),"Hoffman")</f>
        <v>Hoffman</v>
      </c>
      <c r="J7" s="1" t="s">
        <v>23</v>
      </c>
      <c r="K7" s="1" t="s">
        <v>50</v>
      </c>
      <c r="L7" s="1" t="str">
        <f t="shared" si="2"/>
        <v>Los Angeles</v>
      </c>
      <c r="M7" s="1" t="s">
        <v>36</v>
      </c>
      <c r="N7" s="1" t="str">
        <f t="shared" si="3"/>
        <v>California</v>
      </c>
      <c r="O7" s="1">
        <v>90032.0</v>
      </c>
      <c r="P7" s="1" t="s">
        <v>37</v>
      </c>
      <c r="Q7" s="1" t="s">
        <v>27</v>
      </c>
      <c r="R7" s="3">
        <v>48.86</v>
      </c>
      <c r="S7" s="1">
        <v>9.0</v>
      </c>
      <c r="T7" s="4">
        <v>48.08</v>
      </c>
    </row>
    <row r="8">
      <c r="A8" s="1" t="s">
        <v>46</v>
      </c>
      <c r="B8" s="2">
        <v>42253.0</v>
      </c>
      <c r="C8" s="2" t="str">
        <f t="shared" si="1"/>
        <v>Sep</v>
      </c>
      <c r="D8" s="1" t="s">
        <v>47</v>
      </c>
      <c r="E8" s="1" t="s">
        <v>41</v>
      </c>
      <c r="F8" s="1" t="s">
        <v>48</v>
      </c>
      <c r="G8" s="1" t="s">
        <v>49</v>
      </c>
      <c r="H8" s="1" t="str">
        <f>IFERROR(__xludf.DUMMYFUNCTION("split(G8,"" "")"),"Brosina")</f>
        <v>Brosina</v>
      </c>
      <c r="I8" s="1" t="str">
        <f>IFERROR(__xludf.DUMMYFUNCTION("""COMPUTED_VALUE"""),"Hoffman")</f>
        <v>Hoffman</v>
      </c>
      <c r="J8" s="1" t="s">
        <v>23</v>
      </c>
      <c r="K8" s="1" t="s">
        <v>50</v>
      </c>
      <c r="L8" s="1" t="str">
        <f t="shared" si="2"/>
        <v>Los Angeles</v>
      </c>
      <c r="M8" s="1" t="s">
        <v>36</v>
      </c>
      <c r="N8" s="1" t="str">
        <f t="shared" si="3"/>
        <v>California</v>
      </c>
      <c r="O8" s="1">
        <v>90032.0</v>
      </c>
      <c r="P8" s="1" t="s">
        <v>37</v>
      </c>
      <c r="Q8" s="1" t="s">
        <v>38</v>
      </c>
      <c r="R8" s="3">
        <v>7.28</v>
      </c>
      <c r="S8" s="1">
        <v>9.0</v>
      </c>
      <c r="T8" s="4">
        <v>6.34</v>
      </c>
    </row>
    <row r="9">
      <c r="A9" s="1" t="s">
        <v>46</v>
      </c>
      <c r="B9" s="2">
        <v>42253.0</v>
      </c>
      <c r="C9" s="2" t="str">
        <f t="shared" si="1"/>
        <v>Sep</v>
      </c>
      <c r="D9" s="1" t="s">
        <v>47</v>
      </c>
      <c r="E9" s="1" t="s">
        <v>41</v>
      </c>
      <c r="F9" s="1" t="s">
        <v>48</v>
      </c>
      <c r="G9" s="1" t="s">
        <v>49</v>
      </c>
      <c r="H9" s="1" t="str">
        <f>IFERROR(__xludf.DUMMYFUNCTION("split(G9,"" "")"),"Brosina")</f>
        <v>Brosina</v>
      </c>
      <c r="I9" s="1" t="str">
        <f>IFERROR(__xludf.DUMMYFUNCTION("""COMPUTED_VALUE"""),"Hoffman")</f>
        <v>Hoffman</v>
      </c>
      <c r="J9" s="1" t="s">
        <v>23</v>
      </c>
      <c r="K9" s="1" t="s">
        <v>50</v>
      </c>
      <c r="L9" s="1" t="str">
        <f t="shared" si="2"/>
        <v>Los Angeles</v>
      </c>
      <c r="M9" s="1" t="s">
        <v>36</v>
      </c>
      <c r="N9" s="1" t="str">
        <f t="shared" si="3"/>
        <v>California</v>
      </c>
      <c r="O9" s="1">
        <v>90032.0</v>
      </c>
      <c r="P9" s="1" t="s">
        <v>37</v>
      </c>
      <c r="Q9" s="1" t="s">
        <v>51</v>
      </c>
      <c r="R9" s="3">
        <v>907.152</v>
      </c>
      <c r="S9" s="1">
        <v>9.0</v>
      </c>
      <c r="T9" s="4">
        <v>906.78</v>
      </c>
    </row>
    <row r="10">
      <c r="A10" s="1" t="s">
        <v>46</v>
      </c>
      <c r="B10" s="2">
        <v>42253.0</v>
      </c>
      <c r="C10" s="2" t="str">
        <f t="shared" si="1"/>
        <v>Sep</v>
      </c>
      <c r="D10" s="1" t="s">
        <v>47</v>
      </c>
      <c r="E10" s="1" t="s">
        <v>41</v>
      </c>
      <c r="F10" s="1" t="s">
        <v>48</v>
      </c>
      <c r="G10" s="1" t="s">
        <v>49</v>
      </c>
      <c r="H10" s="1" t="str">
        <f>IFERROR(__xludf.DUMMYFUNCTION("split(G10,"" "")"),"Brosina")</f>
        <v>Brosina</v>
      </c>
      <c r="I10" s="1" t="str">
        <f>IFERROR(__xludf.DUMMYFUNCTION("""COMPUTED_VALUE"""),"Hoffman")</f>
        <v>Hoffman</v>
      </c>
      <c r="J10" s="1" t="s">
        <v>23</v>
      </c>
      <c r="K10" s="1" t="s">
        <v>50</v>
      </c>
      <c r="L10" s="1" t="str">
        <f t="shared" si="2"/>
        <v>Los Angeles</v>
      </c>
      <c r="M10" s="1" t="s">
        <v>36</v>
      </c>
      <c r="N10" s="1" t="str">
        <f t="shared" si="3"/>
        <v>California</v>
      </c>
      <c r="O10" s="1">
        <v>90032.0</v>
      </c>
      <c r="P10" s="1" t="s">
        <v>37</v>
      </c>
      <c r="Q10" s="1" t="s">
        <v>38</v>
      </c>
      <c r="R10" s="3">
        <v>18.504</v>
      </c>
      <c r="S10" s="1">
        <v>9.0</v>
      </c>
      <c r="T10" s="4">
        <v>18.36</v>
      </c>
    </row>
    <row r="11">
      <c r="A11" s="1" t="s">
        <v>46</v>
      </c>
      <c r="B11" s="2">
        <v>42253.0</v>
      </c>
      <c r="C11" s="2" t="str">
        <f t="shared" si="1"/>
        <v>Sep</v>
      </c>
      <c r="D11" s="1" t="s">
        <v>47</v>
      </c>
      <c r="E11" s="1" t="s">
        <v>41</v>
      </c>
      <c r="F11" s="1" t="s">
        <v>48</v>
      </c>
      <c r="G11" s="1" t="s">
        <v>49</v>
      </c>
      <c r="H11" s="1" t="str">
        <f>IFERROR(__xludf.DUMMYFUNCTION("split(G11,"" "")"),"Brosina")</f>
        <v>Brosina</v>
      </c>
      <c r="I11" s="1" t="str">
        <f>IFERROR(__xludf.DUMMYFUNCTION("""COMPUTED_VALUE"""),"Hoffman")</f>
        <v>Hoffman</v>
      </c>
      <c r="J11" s="1" t="s">
        <v>23</v>
      </c>
      <c r="K11" s="1" t="s">
        <v>35</v>
      </c>
      <c r="L11" s="1" t="str">
        <f t="shared" si="2"/>
        <v>Los Angeles</v>
      </c>
      <c r="M11" s="1" t="s">
        <v>36</v>
      </c>
      <c r="N11" s="1" t="str">
        <f t="shared" si="3"/>
        <v>California</v>
      </c>
      <c r="O11" s="1">
        <v>90032.0</v>
      </c>
      <c r="P11" s="1" t="s">
        <v>37</v>
      </c>
      <c r="Q11" s="1" t="s">
        <v>38</v>
      </c>
      <c r="R11" s="3">
        <v>114.9</v>
      </c>
      <c r="S11" s="1">
        <v>9.0</v>
      </c>
      <c r="T11" s="4">
        <v>114.62</v>
      </c>
    </row>
    <row r="12">
      <c r="A12" s="1" t="s">
        <v>46</v>
      </c>
      <c r="B12" s="2">
        <v>42253.0</v>
      </c>
      <c r="C12" s="2" t="str">
        <f t="shared" si="1"/>
        <v>Sep</v>
      </c>
      <c r="D12" s="1" t="s">
        <v>47</v>
      </c>
      <c r="E12" s="1" t="s">
        <v>41</v>
      </c>
      <c r="F12" s="1" t="s">
        <v>48</v>
      </c>
      <c r="G12" s="1" t="s">
        <v>49</v>
      </c>
      <c r="H12" s="1" t="str">
        <f>IFERROR(__xludf.DUMMYFUNCTION("split(G12,"" "")"),"Brosina")</f>
        <v>Brosina</v>
      </c>
      <c r="I12" s="1" t="str">
        <f>IFERROR(__xludf.DUMMYFUNCTION("""COMPUTED_VALUE"""),"Hoffman")</f>
        <v>Hoffman</v>
      </c>
      <c r="J12" s="1" t="s">
        <v>23</v>
      </c>
      <c r="K12" s="1" t="s">
        <v>35</v>
      </c>
      <c r="L12" s="1" t="str">
        <f t="shared" si="2"/>
        <v>Los Angeles</v>
      </c>
      <c r="M12" s="1" t="s">
        <v>36</v>
      </c>
      <c r="N12" s="1" t="str">
        <f t="shared" si="3"/>
        <v>California</v>
      </c>
      <c r="O12" s="1">
        <v>90032.0</v>
      </c>
      <c r="P12" s="1" t="s">
        <v>37</v>
      </c>
      <c r="Q12" s="1" t="s">
        <v>27</v>
      </c>
      <c r="R12" s="3">
        <v>1706.184</v>
      </c>
      <c r="S12" s="1">
        <v>9.0</v>
      </c>
      <c r="T12" s="4">
        <v>1705.71</v>
      </c>
    </row>
    <row r="13">
      <c r="A13" s="1" t="s">
        <v>46</v>
      </c>
      <c r="B13" s="2">
        <v>42253.0</v>
      </c>
      <c r="C13" s="2" t="str">
        <f t="shared" si="1"/>
        <v>Sep</v>
      </c>
      <c r="D13" s="1" t="s">
        <v>47</v>
      </c>
      <c r="E13" s="1" t="s">
        <v>41</v>
      </c>
      <c r="F13" s="1" t="s">
        <v>48</v>
      </c>
      <c r="G13" s="1" t="s">
        <v>49</v>
      </c>
      <c r="H13" s="1" t="str">
        <f>IFERROR(__xludf.DUMMYFUNCTION("split(G13,"" "")"),"Brosina")</f>
        <v>Brosina</v>
      </c>
      <c r="I13" s="1" t="str">
        <f>IFERROR(__xludf.DUMMYFUNCTION("""COMPUTED_VALUE"""),"Hoffman")</f>
        <v>Hoffman</v>
      </c>
      <c r="J13" s="1" t="s">
        <v>23</v>
      </c>
      <c r="K13" s="1" t="s">
        <v>35</v>
      </c>
      <c r="L13" s="1" t="str">
        <f t="shared" si="2"/>
        <v>Los Angeles</v>
      </c>
      <c r="M13" s="1" t="s">
        <v>52</v>
      </c>
      <c r="N13" s="1" t="str">
        <f t="shared" si="3"/>
        <v>California</v>
      </c>
      <c r="O13" s="1">
        <v>90032.0</v>
      </c>
      <c r="P13" s="1" t="s">
        <v>37</v>
      </c>
      <c r="Q13" s="1" t="s">
        <v>51</v>
      </c>
      <c r="R13" s="3">
        <v>911.424</v>
      </c>
      <c r="S13" s="1">
        <v>9.0</v>
      </c>
      <c r="T13" s="4">
        <v>911.17</v>
      </c>
    </row>
    <row r="14">
      <c r="A14" s="1" t="s">
        <v>53</v>
      </c>
      <c r="B14" s="2">
        <v>43205.0</v>
      </c>
      <c r="C14" s="2" t="str">
        <f t="shared" si="1"/>
        <v>Apr</v>
      </c>
      <c r="D14" s="1" t="s">
        <v>54</v>
      </c>
      <c r="E14" s="1" t="s">
        <v>41</v>
      </c>
      <c r="F14" s="1" t="s">
        <v>55</v>
      </c>
      <c r="G14" s="1" t="s">
        <v>56</v>
      </c>
      <c r="H14" s="1" t="str">
        <f>IFERROR(__xludf.DUMMYFUNCTION("split(G14,"" "")"),"Andrew")</f>
        <v>Andrew</v>
      </c>
      <c r="I14" s="1" t="str">
        <f>IFERROR(__xludf.DUMMYFUNCTION("""COMPUTED_VALUE"""),"Allen")</f>
        <v>Allen</v>
      </c>
      <c r="J14" s="1" t="s">
        <v>23</v>
      </c>
      <c r="K14" s="1" t="s">
        <v>57</v>
      </c>
      <c r="L14" s="1" t="str">
        <f t="shared" si="2"/>
        <v>Concord</v>
      </c>
      <c r="M14" s="1" t="s">
        <v>58</v>
      </c>
      <c r="N14" s="1" t="str">
        <f t="shared" si="3"/>
        <v>North Carolina</v>
      </c>
      <c r="O14" s="1">
        <v>28027.0</v>
      </c>
      <c r="P14" s="1" t="s">
        <v>26</v>
      </c>
      <c r="Q14" s="1" t="s">
        <v>38</v>
      </c>
      <c r="R14" s="3">
        <v>15.552</v>
      </c>
      <c r="S14" s="1">
        <v>2.0</v>
      </c>
      <c r="T14" s="4">
        <v>14.71</v>
      </c>
    </row>
    <row r="15">
      <c r="A15" s="1" t="s">
        <v>59</v>
      </c>
      <c r="B15" s="2">
        <v>42867.0</v>
      </c>
      <c r="C15" s="2" t="str">
        <f t="shared" si="1"/>
        <v>May</v>
      </c>
      <c r="D15" s="5">
        <v>43020.0</v>
      </c>
      <c r="E15" s="1" t="s">
        <v>41</v>
      </c>
      <c r="F15" s="1" t="s">
        <v>60</v>
      </c>
      <c r="G15" s="1" t="s">
        <v>61</v>
      </c>
      <c r="H15" s="1" t="str">
        <f>IFERROR(__xludf.DUMMYFUNCTION("split(G15,"" "")"),"Irene")</f>
        <v>Irene</v>
      </c>
      <c r="I15" s="1" t="str">
        <f>IFERROR(__xludf.DUMMYFUNCTION("""COMPUTED_VALUE"""),"Maddox")</f>
        <v>Maddox</v>
      </c>
      <c r="J15" s="1" t="s">
        <v>23</v>
      </c>
      <c r="K15" s="1" t="s">
        <v>62</v>
      </c>
      <c r="L15" s="1" t="str">
        <f t="shared" si="2"/>
        <v>Seattle</v>
      </c>
      <c r="M15" s="1" t="s">
        <v>63</v>
      </c>
      <c r="N15" s="1" t="str">
        <f t="shared" si="3"/>
        <v>Washington</v>
      </c>
      <c r="O15" s="1">
        <v>98103.0</v>
      </c>
      <c r="P15" s="1" t="s">
        <v>37</v>
      </c>
      <c r="Q15" s="1" t="s">
        <v>38</v>
      </c>
      <c r="R15" s="3">
        <v>407.976</v>
      </c>
      <c r="S15" s="1">
        <v>9.0</v>
      </c>
      <c r="T15" s="4">
        <v>407.54</v>
      </c>
    </row>
    <row r="16">
      <c r="A16" s="1" t="s">
        <v>64</v>
      </c>
      <c r="B16" s="2">
        <v>42696.0</v>
      </c>
      <c r="C16" s="2" t="str">
        <f t="shared" si="1"/>
        <v>Nov</v>
      </c>
      <c r="D16" s="1" t="s">
        <v>65</v>
      </c>
      <c r="E16" s="1" t="s">
        <v>41</v>
      </c>
      <c r="F16" s="1" t="s">
        <v>66</v>
      </c>
      <c r="G16" s="1" t="s">
        <v>67</v>
      </c>
      <c r="H16" s="1" t="str">
        <f>IFERROR(__xludf.DUMMYFUNCTION("split(G16,"" "")"),"Harold")</f>
        <v>Harold</v>
      </c>
      <c r="I16" s="1" t="str">
        <f>IFERROR(__xludf.DUMMYFUNCTION("""COMPUTED_VALUE"""),"Pawlan")</f>
        <v>Pawlan</v>
      </c>
      <c r="J16" s="1" t="s">
        <v>68</v>
      </c>
      <c r="K16" s="1" t="s">
        <v>69</v>
      </c>
      <c r="L16" s="1" t="str">
        <f t="shared" si="2"/>
        <v>Fort Worth</v>
      </c>
      <c r="M16" s="1" t="s">
        <v>70</v>
      </c>
      <c r="N16" s="1" t="str">
        <f t="shared" si="3"/>
        <v>Texas</v>
      </c>
      <c r="O16" s="1">
        <v>76106.0</v>
      </c>
      <c r="P16" s="1" t="s">
        <v>71</v>
      </c>
      <c r="Q16" s="1" t="s">
        <v>38</v>
      </c>
      <c r="R16" s="3">
        <v>68.81</v>
      </c>
      <c r="S16" s="1">
        <v>7.0</v>
      </c>
      <c r="T16" s="4">
        <v>67.82</v>
      </c>
    </row>
    <row r="17">
      <c r="A17" s="1" t="s">
        <v>64</v>
      </c>
      <c r="B17" s="2">
        <v>42696.0</v>
      </c>
      <c r="C17" s="2" t="str">
        <f t="shared" si="1"/>
        <v>Nov</v>
      </c>
      <c r="D17" s="1" t="s">
        <v>65</v>
      </c>
      <c r="E17" s="1" t="s">
        <v>41</v>
      </c>
      <c r="F17" s="1" t="s">
        <v>66</v>
      </c>
      <c r="G17" s="1" t="s">
        <v>67</v>
      </c>
      <c r="H17" s="1" t="str">
        <f>IFERROR(__xludf.DUMMYFUNCTION("split(G17,"" "")"),"Harold")</f>
        <v>Harold</v>
      </c>
      <c r="I17" s="1" t="str">
        <f>IFERROR(__xludf.DUMMYFUNCTION("""COMPUTED_VALUE"""),"Pawlan")</f>
        <v>Pawlan</v>
      </c>
      <c r="J17" s="1" t="s">
        <v>68</v>
      </c>
      <c r="K17" s="1" t="s">
        <v>69</v>
      </c>
      <c r="L17" s="1" t="str">
        <f t="shared" si="2"/>
        <v>Fort Worth</v>
      </c>
      <c r="M17" s="1" t="s">
        <v>70</v>
      </c>
      <c r="N17" s="1" t="str">
        <f t="shared" si="3"/>
        <v>Texas</v>
      </c>
      <c r="O17" s="1">
        <v>76106.0</v>
      </c>
      <c r="P17" s="1" t="s">
        <v>71</v>
      </c>
      <c r="Q17" s="1" t="s">
        <v>38</v>
      </c>
      <c r="R17" s="3">
        <v>2.544</v>
      </c>
      <c r="S17" s="1">
        <v>7.0</v>
      </c>
      <c r="T17" s="4">
        <v>1.62</v>
      </c>
    </row>
    <row r="18">
      <c r="A18" s="1" t="s">
        <v>72</v>
      </c>
      <c r="B18" s="2">
        <v>42319.0</v>
      </c>
      <c r="C18" s="2" t="str">
        <f t="shared" si="1"/>
        <v>Nov</v>
      </c>
      <c r="D18" s="1" t="s">
        <v>73</v>
      </c>
      <c r="E18" s="1" t="s">
        <v>41</v>
      </c>
      <c r="F18" s="1" t="s">
        <v>74</v>
      </c>
      <c r="G18" s="1" t="s">
        <v>75</v>
      </c>
      <c r="H18" s="1" t="str">
        <f>IFERROR(__xludf.DUMMYFUNCTION("split(G18,"" "")"),"Pete")</f>
        <v>Pete</v>
      </c>
      <c r="I18" s="1" t="str">
        <f>IFERROR(__xludf.DUMMYFUNCTION("""COMPUTED_VALUE"""),"Kriz")</f>
        <v>Kriz</v>
      </c>
      <c r="J18" s="1" t="s">
        <v>23</v>
      </c>
      <c r="K18" s="1" t="s">
        <v>76</v>
      </c>
      <c r="L18" s="1" t="str">
        <f t="shared" si="2"/>
        <v>Madison</v>
      </c>
      <c r="M18" s="1" t="s">
        <v>77</v>
      </c>
      <c r="N18" s="1" t="str">
        <f t="shared" si="3"/>
        <v>Wisconsin</v>
      </c>
      <c r="O18" s="1">
        <v>53711.0</v>
      </c>
      <c r="P18" s="1" t="s">
        <v>71</v>
      </c>
      <c r="Q18" s="1" t="s">
        <v>38</v>
      </c>
      <c r="R18" s="3">
        <v>665.88</v>
      </c>
      <c r="S18" s="1">
        <v>5.0</v>
      </c>
      <c r="T18" s="4">
        <v>665.32</v>
      </c>
    </row>
    <row r="19">
      <c r="A19" s="1" t="s">
        <v>78</v>
      </c>
      <c r="B19" s="2">
        <v>42137.0</v>
      </c>
      <c r="C19" s="2" t="str">
        <f t="shared" si="1"/>
        <v>May</v>
      </c>
      <c r="D19" s="1" t="s">
        <v>79</v>
      </c>
      <c r="E19" s="1" t="s">
        <v>20</v>
      </c>
      <c r="F19" s="1" t="s">
        <v>80</v>
      </c>
      <c r="G19" s="1" t="s">
        <v>81</v>
      </c>
      <c r="H19" s="1" t="str">
        <f>IFERROR(__xludf.DUMMYFUNCTION("split(G19,"" "")"),"Alejandro")</f>
        <v>Alejandro</v>
      </c>
      <c r="I19" s="1" t="str">
        <f>IFERROR(__xludf.DUMMYFUNCTION("""COMPUTED_VALUE"""),"Grove")</f>
        <v>Grove</v>
      </c>
      <c r="J19" s="1" t="s">
        <v>23</v>
      </c>
      <c r="K19" s="1" t="s">
        <v>82</v>
      </c>
      <c r="L19" s="1" t="str">
        <f t="shared" si="2"/>
        <v>West Jordan</v>
      </c>
      <c r="M19" s="1" t="s">
        <v>83</v>
      </c>
      <c r="N19" s="1" t="str">
        <f t="shared" si="3"/>
        <v>Utah</v>
      </c>
      <c r="O19" s="1">
        <v>84084.0</v>
      </c>
      <c r="P19" s="1" t="s">
        <v>37</v>
      </c>
      <c r="Q19" s="1" t="s">
        <v>38</v>
      </c>
      <c r="R19" s="3">
        <v>55.5</v>
      </c>
      <c r="S19" s="1">
        <v>8.0</v>
      </c>
      <c r="T19" s="4">
        <v>54.76</v>
      </c>
    </row>
    <row r="20">
      <c r="A20" s="1" t="s">
        <v>84</v>
      </c>
      <c r="B20" s="2">
        <v>42243.0</v>
      </c>
      <c r="C20" s="2" t="str">
        <f t="shared" si="1"/>
        <v>Aug</v>
      </c>
      <c r="D20" s="6">
        <v>42013.0</v>
      </c>
      <c r="E20" s="1" t="s">
        <v>20</v>
      </c>
      <c r="F20" s="1" t="s">
        <v>85</v>
      </c>
      <c r="G20" s="1" t="s">
        <v>86</v>
      </c>
      <c r="H20" s="1" t="str">
        <f>IFERROR(__xludf.DUMMYFUNCTION("split(G20,"" "")"),"Zuschuss")</f>
        <v>Zuschuss</v>
      </c>
      <c r="I20" s="1" t="str">
        <f>IFERROR(__xludf.DUMMYFUNCTION("""COMPUTED_VALUE"""),"Donatelli")</f>
        <v>Donatelli</v>
      </c>
      <c r="J20" s="1" t="s">
        <v>23</v>
      </c>
      <c r="K20" s="1" t="s">
        <v>87</v>
      </c>
      <c r="L20" s="1" t="str">
        <f t="shared" si="2"/>
        <v>San Francisco</v>
      </c>
      <c r="M20" s="1" t="s">
        <v>52</v>
      </c>
      <c r="N20" s="1" t="str">
        <f t="shared" si="3"/>
        <v>California</v>
      </c>
      <c r="O20" s="1">
        <v>94109.0</v>
      </c>
      <c r="P20" s="1" t="s">
        <v>37</v>
      </c>
      <c r="Q20" s="1" t="s">
        <v>38</v>
      </c>
      <c r="R20" s="3">
        <v>8.56</v>
      </c>
      <c r="S20" s="1">
        <v>9.0</v>
      </c>
      <c r="T20" s="4">
        <v>7.72</v>
      </c>
    </row>
    <row r="21">
      <c r="A21" s="1" t="s">
        <v>84</v>
      </c>
      <c r="B21" s="2">
        <v>42243.0</v>
      </c>
      <c r="C21" s="2" t="str">
        <f t="shared" si="1"/>
        <v>Aug</v>
      </c>
      <c r="D21" s="6">
        <v>42013.0</v>
      </c>
      <c r="E21" s="1" t="s">
        <v>20</v>
      </c>
      <c r="F21" s="1" t="s">
        <v>85</v>
      </c>
      <c r="G21" s="1" t="s">
        <v>86</v>
      </c>
      <c r="H21" s="1" t="str">
        <f>IFERROR(__xludf.DUMMYFUNCTION("split(G21,"" "")"),"Zuschuss")</f>
        <v>Zuschuss</v>
      </c>
      <c r="I21" s="1" t="str">
        <f>IFERROR(__xludf.DUMMYFUNCTION("""COMPUTED_VALUE"""),"Donatelli")</f>
        <v>Donatelli</v>
      </c>
      <c r="J21" s="1" t="s">
        <v>23</v>
      </c>
      <c r="K21" s="1" t="s">
        <v>87</v>
      </c>
      <c r="L21" s="1" t="str">
        <f t="shared" si="2"/>
        <v>San Francisco</v>
      </c>
      <c r="M21" s="1" t="s">
        <v>52</v>
      </c>
      <c r="N21" s="1" t="str">
        <f t="shared" si="3"/>
        <v>California</v>
      </c>
      <c r="O21" s="1">
        <v>94109.0</v>
      </c>
      <c r="P21" s="1" t="s">
        <v>37</v>
      </c>
      <c r="Q21" s="1" t="s">
        <v>51</v>
      </c>
      <c r="R21" s="3">
        <v>213.48</v>
      </c>
      <c r="S21" s="1">
        <v>9.0</v>
      </c>
      <c r="T21" s="4">
        <v>212.79</v>
      </c>
    </row>
    <row r="22">
      <c r="A22" s="1" t="s">
        <v>84</v>
      </c>
      <c r="B22" s="2">
        <v>42243.0</v>
      </c>
      <c r="C22" s="2" t="str">
        <f t="shared" si="1"/>
        <v>Aug</v>
      </c>
      <c r="D22" s="6">
        <v>42013.0</v>
      </c>
      <c r="E22" s="1" t="s">
        <v>20</v>
      </c>
      <c r="F22" s="1" t="s">
        <v>85</v>
      </c>
      <c r="G22" s="1" t="s">
        <v>86</v>
      </c>
      <c r="H22" s="1" t="str">
        <f>IFERROR(__xludf.DUMMYFUNCTION("split(G22,"" "")"),"Zuschuss")</f>
        <v>Zuschuss</v>
      </c>
      <c r="I22" s="1" t="str">
        <f>IFERROR(__xludf.DUMMYFUNCTION("""COMPUTED_VALUE"""),"Donatelli")</f>
        <v>Donatelli</v>
      </c>
      <c r="J22" s="1" t="s">
        <v>23</v>
      </c>
      <c r="K22" s="1" t="s">
        <v>87</v>
      </c>
      <c r="L22" s="1" t="str">
        <f t="shared" si="2"/>
        <v>San Francisco</v>
      </c>
      <c r="M22" s="1" t="s">
        <v>52</v>
      </c>
      <c r="N22" s="1" t="str">
        <f t="shared" si="3"/>
        <v>California</v>
      </c>
      <c r="O22" s="1">
        <v>94109.0</v>
      </c>
      <c r="P22" s="1" t="s">
        <v>37</v>
      </c>
      <c r="Q22" s="1" t="s">
        <v>38</v>
      </c>
      <c r="R22" s="3">
        <v>22.72</v>
      </c>
      <c r="S22" s="1">
        <v>9.0</v>
      </c>
      <c r="T22" s="4">
        <v>22.41</v>
      </c>
    </row>
    <row r="23">
      <c r="A23" s="1" t="s">
        <v>88</v>
      </c>
      <c r="B23" s="2">
        <v>42990.0</v>
      </c>
      <c r="C23" s="2" t="str">
        <f t="shared" si="1"/>
        <v>Sep</v>
      </c>
      <c r="D23" s="1" t="s">
        <v>89</v>
      </c>
      <c r="E23" s="1" t="s">
        <v>41</v>
      </c>
      <c r="F23" s="1" t="s">
        <v>90</v>
      </c>
      <c r="G23" s="1" t="s">
        <v>91</v>
      </c>
      <c r="H23" s="1" t="str">
        <f>IFERROR(__xludf.DUMMYFUNCTION("split(G23,"" "")"),"Ken")</f>
        <v>Ken</v>
      </c>
      <c r="I23" s="1" t="str">
        <f>IFERROR(__xludf.DUMMYFUNCTION("""COMPUTED_VALUE"""),"Black")</f>
        <v>Black</v>
      </c>
      <c r="J23" s="1" t="s">
        <v>34</v>
      </c>
      <c r="K23" s="1" t="s">
        <v>92</v>
      </c>
      <c r="L23" s="1" t="str">
        <f t="shared" si="2"/>
        <v>Fremont</v>
      </c>
      <c r="M23" s="1" t="s">
        <v>93</v>
      </c>
      <c r="N23" s="1" t="str">
        <f t="shared" si="3"/>
        <v>Nebraska</v>
      </c>
      <c r="O23" s="1">
        <v>68025.0</v>
      </c>
      <c r="P23" s="1" t="s">
        <v>71</v>
      </c>
      <c r="Q23" s="1" t="s">
        <v>38</v>
      </c>
      <c r="R23" s="3">
        <v>19.46</v>
      </c>
      <c r="S23" s="1">
        <v>6.0</v>
      </c>
      <c r="T23" s="4">
        <v>18.81</v>
      </c>
    </row>
    <row r="24">
      <c r="A24" s="1" t="s">
        <v>88</v>
      </c>
      <c r="B24" s="2">
        <v>42990.0</v>
      </c>
      <c r="C24" s="2" t="str">
        <f t="shared" si="1"/>
        <v>Sep</v>
      </c>
      <c r="D24" s="1" t="s">
        <v>89</v>
      </c>
      <c r="E24" s="1" t="s">
        <v>41</v>
      </c>
      <c r="F24" s="1" t="s">
        <v>90</v>
      </c>
      <c r="G24" s="1" t="s">
        <v>91</v>
      </c>
      <c r="H24" s="1" t="str">
        <f>IFERROR(__xludf.DUMMYFUNCTION("split(G24,"" "")"),"Ken")</f>
        <v>Ken</v>
      </c>
      <c r="I24" s="1" t="str">
        <f>IFERROR(__xludf.DUMMYFUNCTION("""COMPUTED_VALUE"""),"Black")</f>
        <v>Black</v>
      </c>
      <c r="J24" s="1" t="s">
        <v>34</v>
      </c>
      <c r="K24" s="1" t="s">
        <v>92</v>
      </c>
      <c r="L24" s="1" t="str">
        <f t="shared" si="2"/>
        <v>Fremont</v>
      </c>
      <c r="M24" s="1" t="s">
        <v>93</v>
      </c>
      <c r="N24" s="1" t="str">
        <f t="shared" si="3"/>
        <v>Nebraska</v>
      </c>
      <c r="O24" s="1">
        <v>68025.0</v>
      </c>
      <c r="P24" s="1" t="s">
        <v>71</v>
      </c>
      <c r="Q24" s="1" t="s">
        <v>38</v>
      </c>
      <c r="R24" s="3">
        <v>60.34</v>
      </c>
      <c r="S24" s="1">
        <v>6.0</v>
      </c>
      <c r="T24" s="4">
        <v>59.54</v>
      </c>
    </row>
    <row r="25">
      <c r="A25" s="1" t="s">
        <v>94</v>
      </c>
      <c r="B25" s="2">
        <v>43297.0</v>
      </c>
      <c r="C25" s="2" t="str">
        <f t="shared" si="1"/>
        <v>Jul</v>
      </c>
      <c r="D25" s="1" t="s">
        <v>95</v>
      </c>
      <c r="E25" s="1" t="s">
        <v>20</v>
      </c>
      <c r="F25" s="1" t="s">
        <v>96</v>
      </c>
      <c r="G25" s="1" t="s">
        <v>97</v>
      </c>
      <c r="H25" s="1" t="str">
        <f>IFERROR(__xludf.DUMMYFUNCTION("split(G25,"" "")"),"Sandra")</f>
        <v>Sandra</v>
      </c>
      <c r="I25" s="1" t="str">
        <f>IFERROR(__xludf.DUMMYFUNCTION("""COMPUTED_VALUE"""),"Flanagan")</f>
        <v>Flanagan</v>
      </c>
      <c r="J25" s="1" t="s">
        <v>23</v>
      </c>
      <c r="K25" s="1" t="s">
        <v>98</v>
      </c>
      <c r="L25" s="1" t="str">
        <f t="shared" si="2"/>
        <v>Philadelphia</v>
      </c>
      <c r="M25" s="1" t="s">
        <v>99</v>
      </c>
      <c r="N25" s="1" t="str">
        <f t="shared" si="3"/>
        <v>Pennsylvania</v>
      </c>
      <c r="O25" s="1">
        <v>19140.0</v>
      </c>
      <c r="P25" s="1" t="s">
        <v>100</v>
      </c>
      <c r="Q25" s="1" t="s">
        <v>27</v>
      </c>
      <c r="R25" s="3">
        <v>71.372</v>
      </c>
      <c r="S25" s="1">
        <v>1.0</v>
      </c>
      <c r="T25" s="4">
        <v>70.8</v>
      </c>
    </row>
    <row r="26">
      <c r="A26" s="1" t="s">
        <v>101</v>
      </c>
      <c r="B26" s="2">
        <v>42638.0</v>
      </c>
      <c r="C26" s="2" t="str">
        <f t="shared" si="1"/>
        <v>Sep</v>
      </c>
      <c r="D26" s="1" t="s">
        <v>102</v>
      </c>
      <c r="E26" s="1" t="s">
        <v>41</v>
      </c>
      <c r="F26" s="1" t="s">
        <v>103</v>
      </c>
      <c r="G26" s="1" t="s">
        <v>104</v>
      </c>
      <c r="H26" s="1" t="str">
        <f>IFERROR(__xludf.DUMMYFUNCTION("split(G26,"" "")"),"Emily")</f>
        <v>Emily</v>
      </c>
      <c r="I26" s="1" t="str">
        <f>IFERROR(__xludf.DUMMYFUNCTION("""COMPUTED_VALUE"""),"Burns")</f>
        <v>Burns</v>
      </c>
      <c r="J26" s="1" t="s">
        <v>23</v>
      </c>
      <c r="K26" s="1" t="s">
        <v>105</v>
      </c>
      <c r="L26" s="1" t="str">
        <f t="shared" si="2"/>
        <v>Orem</v>
      </c>
      <c r="M26" s="1" t="s">
        <v>83</v>
      </c>
      <c r="N26" s="1" t="str">
        <f t="shared" si="3"/>
        <v>Utah</v>
      </c>
      <c r="O26" s="1">
        <v>84057.0</v>
      </c>
      <c r="P26" s="1" t="s">
        <v>37</v>
      </c>
      <c r="Q26" s="1" t="s">
        <v>27</v>
      </c>
      <c r="R26" s="3">
        <v>1044.63</v>
      </c>
      <c r="S26" s="1">
        <v>8.0</v>
      </c>
      <c r="T26" s="4">
        <v>1044.05</v>
      </c>
    </row>
    <row r="27">
      <c r="A27" s="1" t="s">
        <v>106</v>
      </c>
      <c r="B27" s="2">
        <v>42751.0</v>
      </c>
      <c r="C27" s="2" t="str">
        <f t="shared" si="1"/>
        <v>Jan</v>
      </c>
      <c r="D27" s="1" t="s">
        <v>107</v>
      </c>
      <c r="E27" s="1" t="s">
        <v>20</v>
      </c>
      <c r="F27" s="1" t="s">
        <v>108</v>
      </c>
      <c r="G27" s="1" t="s">
        <v>109</v>
      </c>
      <c r="H27" s="1" t="str">
        <f>IFERROR(__xludf.DUMMYFUNCTION("split(G27,"" "")"),"Eric")</f>
        <v>Eric</v>
      </c>
      <c r="I27" s="1" t="str">
        <f>IFERROR(__xludf.DUMMYFUNCTION("""COMPUTED_VALUE"""),"Hoffmann")</f>
        <v>Hoffmann</v>
      </c>
      <c r="J27" s="1" t="s">
        <v>23</v>
      </c>
      <c r="K27" s="1" t="s">
        <v>35</v>
      </c>
      <c r="L27" s="1" t="str">
        <f t="shared" si="2"/>
        <v>Los Angeles</v>
      </c>
      <c r="M27" s="1" t="s">
        <v>52</v>
      </c>
      <c r="N27" s="1" t="str">
        <f t="shared" si="3"/>
        <v>California</v>
      </c>
      <c r="O27" s="1">
        <v>90049.0</v>
      </c>
      <c r="P27" s="1" t="s">
        <v>37</v>
      </c>
      <c r="Q27" s="1" t="s">
        <v>38</v>
      </c>
      <c r="R27" s="3">
        <v>11.648</v>
      </c>
      <c r="S27" s="1">
        <v>9.0</v>
      </c>
      <c r="T27" s="4">
        <v>11.39</v>
      </c>
    </row>
    <row r="28">
      <c r="A28" s="1" t="s">
        <v>106</v>
      </c>
      <c r="B28" s="2">
        <v>42751.0</v>
      </c>
      <c r="C28" s="2" t="str">
        <f t="shared" si="1"/>
        <v>Jan</v>
      </c>
      <c r="D28" s="1" t="s">
        <v>107</v>
      </c>
      <c r="E28" s="1" t="s">
        <v>20</v>
      </c>
      <c r="F28" s="1" t="s">
        <v>108</v>
      </c>
      <c r="G28" s="1" t="s">
        <v>109</v>
      </c>
      <c r="H28" s="1" t="str">
        <f>IFERROR(__xludf.DUMMYFUNCTION("split(G28,"" "")"),"Eric")</f>
        <v>Eric</v>
      </c>
      <c r="I28" s="1" t="str">
        <f>IFERROR(__xludf.DUMMYFUNCTION("""COMPUTED_VALUE"""),"Hoffmann")</f>
        <v>Hoffmann</v>
      </c>
      <c r="J28" s="1" t="s">
        <v>23</v>
      </c>
      <c r="K28" s="1" t="s">
        <v>35</v>
      </c>
      <c r="L28" s="1" t="str">
        <f t="shared" si="2"/>
        <v>Los Angeles</v>
      </c>
      <c r="M28" s="1" t="s">
        <v>52</v>
      </c>
      <c r="N28" s="1" t="str">
        <f t="shared" si="3"/>
        <v>California</v>
      </c>
      <c r="O28" s="1">
        <v>90049.0</v>
      </c>
      <c r="P28" s="1" t="s">
        <v>37</v>
      </c>
      <c r="Q28" s="1" t="s">
        <v>51</v>
      </c>
      <c r="R28" s="3">
        <v>90.57</v>
      </c>
      <c r="S28" s="1">
        <v>9.0</v>
      </c>
      <c r="T28" s="4">
        <v>89.64</v>
      </c>
    </row>
    <row r="29">
      <c r="A29" s="1" t="s">
        <v>110</v>
      </c>
      <c r="B29" s="2">
        <v>42630.0</v>
      </c>
      <c r="C29" s="2" t="str">
        <f t="shared" si="1"/>
        <v>Sep</v>
      </c>
      <c r="D29" s="1" t="s">
        <v>111</v>
      </c>
      <c r="E29" s="1" t="s">
        <v>41</v>
      </c>
      <c r="F29" s="1" t="s">
        <v>112</v>
      </c>
      <c r="G29" s="1" t="s">
        <v>113</v>
      </c>
      <c r="H29" s="1" t="str">
        <f>IFERROR(__xludf.DUMMYFUNCTION("split(G29,"" "")"),"Tracy")</f>
        <v>Tracy</v>
      </c>
      <c r="I29" s="1" t="str">
        <f>IFERROR(__xludf.DUMMYFUNCTION("""COMPUTED_VALUE"""),"Blumstein")</f>
        <v>Blumstein</v>
      </c>
      <c r="J29" s="1" t="s">
        <v>23</v>
      </c>
      <c r="K29" s="1" t="s">
        <v>98</v>
      </c>
      <c r="L29" s="1" t="str">
        <f t="shared" si="2"/>
        <v>Philadelphia</v>
      </c>
      <c r="M29" s="1" t="s">
        <v>99</v>
      </c>
      <c r="N29" s="1" t="str">
        <f t="shared" si="3"/>
        <v>Pennsylvania</v>
      </c>
      <c r="O29" s="1">
        <v>19140.0</v>
      </c>
      <c r="P29" s="1" t="s">
        <v>100</v>
      </c>
      <c r="Q29" s="1" t="s">
        <v>27</v>
      </c>
      <c r="R29" s="3">
        <v>3083.43</v>
      </c>
      <c r="S29" s="1">
        <v>1.0</v>
      </c>
      <c r="T29" s="4">
        <v>3082.52</v>
      </c>
    </row>
    <row r="30">
      <c r="A30" s="1" t="s">
        <v>110</v>
      </c>
      <c r="B30" s="2">
        <v>42630.0</v>
      </c>
      <c r="C30" s="2" t="str">
        <f t="shared" si="1"/>
        <v>Sep</v>
      </c>
      <c r="D30" s="1" t="s">
        <v>111</v>
      </c>
      <c r="E30" s="1" t="s">
        <v>41</v>
      </c>
      <c r="F30" s="1" t="s">
        <v>112</v>
      </c>
      <c r="G30" s="1" t="s">
        <v>113</v>
      </c>
      <c r="H30" s="1" t="str">
        <f>IFERROR(__xludf.DUMMYFUNCTION("split(G30,"" "")"),"Tracy")</f>
        <v>Tracy</v>
      </c>
      <c r="I30" s="1" t="str">
        <f>IFERROR(__xludf.DUMMYFUNCTION("""COMPUTED_VALUE"""),"Blumstein")</f>
        <v>Blumstein</v>
      </c>
      <c r="J30" s="1" t="s">
        <v>23</v>
      </c>
      <c r="K30" s="1" t="s">
        <v>114</v>
      </c>
      <c r="L30" s="1" t="str">
        <f t="shared" si="2"/>
        <v>Philadelphia</v>
      </c>
      <c r="M30" s="1" t="s">
        <v>99</v>
      </c>
      <c r="N30" s="1" t="str">
        <f t="shared" si="3"/>
        <v>Pennsylvania</v>
      </c>
      <c r="O30" s="1">
        <v>19140.0</v>
      </c>
      <c r="P30" s="1" t="s">
        <v>100</v>
      </c>
      <c r="Q30" s="1" t="s">
        <v>38</v>
      </c>
      <c r="R30" s="3">
        <v>9.618</v>
      </c>
      <c r="S30" s="1">
        <v>1.0</v>
      </c>
      <c r="T30" s="4">
        <v>9.01</v>
      </c>
    </row>
    <row r="31">
      <c r="A31" s="1" t="s">
        <v>110</v>
      </c>
      <c r="B31" s="2">
        <v>42630.0</v>
      </c>
      <c r="C31" s="2" t="str">
        <f t="shared" si="1"/>
        <v>Sep</v>
      </c>
      <c r="D31" s="1" t="s">
        <v>111</v>
      </c>
      <c r="E31" s="1" t="s">
        <v>41</v>
      </c>
      <c r="F31" s="1" t="s">
        <v>112</v>
      </c>
      <c r="G31" s="1" t="s">
        <v>113</v>
      </c>
      <c r="H31" s="1" t="str">
        <f>IFERROR(__xludf.DUMMYFUNCTION("split(G31,"" "")"),"Tracy")</f>
        <v>Tracy</v>
      </c>
      <c r="I31" s="1" t="str">
        <f>IFERROR(__xludf.DUMMYFUNCTION("""COMPUTED_VALUE"""),"Blumstein")</f>
        <v>Blumstein</v>
      </c>
      <c r="J31" s="1" t="s">
        <v>23</v>
      </c>
      <c r="K31" s="1" t="s">
        <v>98</v>
      </c>
      <c r="L31" s="1" t="str">
        <f t="shared" si="2"/>
        <v>Philadelphia</v>
      </c>
      <c r="M31" s="1" t="s">
        <v>99</v>
      </c>
      <c r="N31" s="1" t="str">
        <f t="shared" si="3"/>
        <v>Pennsylvania</v>
      </c>
      <c r="O31" s="1">
        <v>19140.0</v>
      </c>
      <c r="P31" s="1" t="s">
        <v>100</v>
      </c>
      <c r="Q31" s="1" t="s">
        <v>27</v>
      </c>
      <c r="R31" s="3">
        <v>124.2</v>
      </c>
      <c r="S31" s="1">
        <v>1.0</v>
      </c>
      <c r="T31" s="4">
        <v>123.99</v>
      </c>
    </row>
    <row r="32">
      <c r="A32" s="1" t="s">
        <v>110</v>
      </c>
      <c r="B32" s="2">
        <v>42630.0</v>
      </c>
      <c r="C32" s="2" t="str">
        <f t="shared" si="1"/>
        <v>Sep</v>
      </c>
      <c r="D32" s="1" t="s">
        <v>111</v>
      </c>
      <c r="E32" s="1" t="s">
        <v>41</v>
      </c>
      <c r="F32" s="1" t="s">
        <v>112</v>
      </c>
      <c r="G32" s="1" t="s">
        <v>113</v>
      </c>
      <c r="H32" s="1" t="str">
        <f>IFERROR(__xludf.DUMMYFUNCTION("split(G32,"" "")"),"Tracy")</f>
        <v>Tracy</v>
      </c>
      <c r="I32" s="1" t="str">
        <f>IFERROR(__xludf.DUMMYFUNCTION("""COMPUTED_VALUE"""),"Blumstein")</f>
        <v>Blumstein</v>
      </c>
      <c r="J32" s="1" t="s">
        <v>23</v>
      </c>
      <c r="K32" s="1" t="s">
        <v>98</v>
      </c>
      <c r="L32" s="1" t="str">
        <f t="shared" si="2"/>
        <v>Philadelphia</v>
      </c>
      <c r="M32" s="1" t="s">
        <v>99</v>
      </c>
      <c r="N32" s="1" t="str">
        <f t="shared" si="3"/>
        <v>Pennsylvania</v>
      </c>
      <c r="O32" s="1">
        <v>19140.0</v>
      </c>
      <c r="P32" s="1" t="s">
        <v>100</v>
      </c>
      <c r="Q32" s="1" t="s">
        <v>38</v>
      </c>
      <c r="R32" s="3">
        <v>3.264</v>
      </c>
      <c r="S32" s="1">
        <v>1.0</v>
      </c>
      <c r="T32" s="4">
        <v>3.11</v>
      </c>
    </row>
    <row r="33">
      <c r="A33" s="1" t="s">
        <v>110</v>
      </c>
      <c r="B33" s="2">
        <v>42630.0</v>
      </c>
      <c r="C33" s="2" t="str">
        <f t="shared" si="1"/>
        <v>Sep</v>
      </c>
      <c r="D33" s="1" t="s">
        <v>111</v>
      </c>
      <c r="E33" s="1" t="s">
        <v>41</v>
      </c>
      <c r="F33" s="1" t="s">
        <v>112</v>
      </c>
      <c r="G33" s="1" t="s">
        <v>113</v>
      </c>
      <c r="H33" s="1" t="str">
        <f>IFERROR(__xludf.DUMMYFUNCTION("split(G33,"" "")"),"Tracy")</f>
        <v>Tracy</v>
      </c>
      <c r="I33" s="1" t="str">
        <f>IFERROR(__xludf.DUMMYFUNCTION("""COMPUTED_VALUE"""),"Blumstein")</f>
        <v>Blumstein</v>
      </c>
      <c r="J33" s="1" t="s">
        <v>23</v>
      </c>
      <c r="K33" s="1" t="s">
        <v>98</v>
      </c>
      <c r="L33" s="1" t="str">
        <f t="shared" si="2"/>
        <v>Philadelphia</v>
      </c>
      <c r="M33" s="1" t="s">
        <v>99</v>
      </c>
      <c r="N33" s="1" t="str">
        <f t="shared" si="3"/>
        <v>Pennsylvania</v>
      </c>
      <c r="O33" s="1">
        <v>19140.0</v>
      </c>
      <c r="P33" s="1" t="s">
        <v>100</v>
      </c>
      <c r="Q33" s="1" t="s">
        <v>38</v>
      </c>
      <c r="R33" s="3">
        <v>86.304</v>
      </c>
      <c r="S33" s="1">
        <v>1.0</v>
      </c>
      <c r="T33" s="4">
        <v>85.88</v>
      </c>
    </row>
    <row r="34">
      <c r="A34" s="1" t="s">
        <v>110</v>
      </c>
      <c r="B34" s="2">
        <v>42630.0</v>
      </c>
      <c r="C34" s="2" t="str">
        <f t="shared" si="1"/>
        <v>Sep</v>
      </c>
      <c r="D34" s="1" t="s">
        <v>111</v>
      </c>
      <c r="E34" s="1" t="s">
        <v>41</v>
      </c>
      <c r="F34" s="1" t="s">
        <v>112</v>
      </c>
      <c r="G34" s="1" t="s">
        <v>113</v>
      </c>
      <c r="H34" s="1" t="str">
        <f>IFERROR(__xludf.DUMMYFUNCTION("split(G34,"" "")"),"Tracy")</f>
        <v>Tracy</v>
      </c>
      <c r="I34" s="1" t="str">
        <f>IFERROR(__xludf.DUMMYFUNCTION("""COMPUTED_VALUE"""),"Blumstein")</f>
        <v>Blumstein</v>
      </c>
      <c r="J34" s="1" t="s">
        <v>23</v>
      </c>
      <c r="K34" s="1" t="s">
        <v>98</v>
      </c>
      <c r="L34" s="1" t="str">
        <f t="shared" si="2"/>
        <v>Philadelphia</v>
      </c>
      <c r="M34" s="1" t="s">
        <v>99</v>
      </c>
      <c r="N34" s="1" t="str">
        <f t="shared" si="3"/>
        <v>Pennsylvania</v>
      </c>
      <c r="O34" s="1">
        <v>19140.0</v>
      </c>
      <c r="P34" s="1" t="s">
        <v>100</v>
      </c>
      <c r="Q34" s="1" t="s">
        <v>38</v>
      </c>
      <c r="R34" s="3">
        <v>6.858</v>
      </c>
      <c r="S34" s="1">
        <v>1.0</v>
      </c>
      <c r="T34" s="4">
        <v>6.8</v>
      </c>
    </row>
    <row r="35">
      <c r="A35" s="1" t="s">
        <v>110</v>
      </c>
      <c r="B35" s="2">
        <v>42630.0</v>
      </c>
      <c r="C35" s="2" t="str">
        <f t="shared" si="1"/>
        <v>Sep</v>
      </c>
      <c r="D35" s="1" t="s">
        <v>111</v>
      </c>
      <c r="E35" s="1" t="s">
        <v>41</v>
      </c>
      <c r="F35" s="1" t="s">
        <v>112</v>
      </c>
      <c r="G35" s="1" t="s">
        <v>113</v>
      </c>
      <c r="H35" s="1" t="str">
        <f>IFERROR(__xludf.DUMMYFUNCTION("split(G35,"" "")"),"Tracy")</f>
        <v>Tracy</v>
      </c>
      <c r="I35" s="1" t="str">
        <f>IFERROR(__xludf.DUMMYFUNCTION("""COMPUTED_VALUE"""),"Blumstein")</f>
        <v>Blumstein</v>
      </c>
      <c r="J35" s="1" t="s">
        <v>23</v>
      </c>
      <c r="K35" s="1" t="s">
        <v>98</v>
      </c>
      <c r="L35" s="1" t="str">
        <f t="shared" si="2"/>
        <v>Philadelphia</v>
      </c>
      <c r="M35" s="1" t="s">
        <v>99</v>
      </c>
      <c r="N35" s="1" t="str">
        <f t="shared" si="3"/>
        <v>Pennsylvania</v>
      </c>
      <c r="O35" s="1">
        <v>19140.0</v>
      </c>
      <c r="P35" s="1" t="s">
        <v>100</v>
      </c>
      <c r="Q35" s="1" t="s">
        <v>38</v>
      </c>
      <c r="R35" s="3">
        <v>15.76</v>
      </c>
      <c r="S35" s="1">
        <v>1.0</v>
      </c>
      <c r="T35" s="4">
        <v>15.66</v>
      </c>
    </row>
    <row r="36">
      <c r="A36" s="1" t="s">
        <v>115</v>
      </c>
      <c r="B36" s="2">
        <v>43392.0</v>
      </c>
      <c r="C36" s="2" t="str">
        <f t="shared" si="1"/>
        <v>Oct</v>
      </c>
      <c r="D36" s="1" t="s">
        <v>116</v>
      </c>
      <c r="E36" s="1" t="s">
        <v>20</v>
      </c>
      <c r="F36" s="1" t="s">
        <v>117</v>
      </c>
      <c r="G36" s="1" t="s">
        <v>118</v>
      </c>
      <c r="H36" s="1" t="str">
        <f>IFERROR(__xludf.DUMMYFUNCTION("split(G36,"" "")"),"Matt")</f>
        <v>Matt</v>
      </c>
      <c r="I36" s="1" t="str">
        <f>IFERROR(__xludf.DUMMYFUNCTION("""COMPUTED_VALUE"""),"Abelman")</f>
        <v>Abelman</v>
      </c>
      <c r="J36" s="1" t="s">
        <v>68</v>
      </c>
      <c r="K36" s="1" t="s">
        <v>119</v>
      </c>
      <c r="L36" s="1" t="str">
        <f t="shared" si="2"/>
        <v>Houston</v>
      </c>
      <c r="M36" s="1" t="s">
        <v>70</v>
      </c>
      <c r="N36" s="1" t="str">
        <f t="shared" si="3"/>
        <v>Texas</v>
      </c>
      <c r="O36" s="1">
        <v>77095.0</v>
      </c>
      <c r="P36" s="1" t="s">
        <v>71</v>
      </c>
      <c r="Q36" s="1" t="s">
        <v>38</v>
      </c>
      <c r="R36" s="3">
        <v>29.472</v>
      </c>
      <c r="S36" s="1">
        <v>7.0</v>
      </c>
      <c r="T36" s="4">
        <v>28.94</v>
      </c>
    </row>
    <row r="37">
      <c r="A37" s="1" t="s">
        <v>120</v>
      </c>
      <c r="B37" s="2">
        <v>42959.0</v>
      </c>
      <c r="C37" s="2" t="str">
        <f t="shared" si="1"/>
        <v>Aug</v>
      </c>
      <c r="D37" s="5">
        <v>43020.0</v>
      </c>
      <c r="E37" s="1" t="s">
        <v>121</v>
      </c>
      <c r="F37" s="1" t="s">
        <v>122</v>
      </c>
      <c r="G37" s="1" t="s">
        <v>123</v>
      </c>
      <c r="H37" s="1" t="str">
        <f>IFERROR(__xludf.DUMMYFUNCTION("split(G37,"" "")"),"Gene")</f>
        <v>Gene</v>
      </c>
      <c r="I37" s="1" t="str">
        <f>IFERROR(__xludf.DUMMYFUNCTION("""COMPUTED_VALUE"""),"Hale")</f>
        <v>Hale</v>
      </c>
      <c r="J37" s="1" t="s">
        <v>34</v>
      </c>
      <c r="K37" s="1" t="s">
        <v>124</v>
      </c>
      <c r="L37" s="1" t="str">
        <f t="shared" si="2"/>
        <v>Richardson</v>
      </c>
      <c r="M37" s="1" t="s">
        <v>70</v>
      </c>
      <c r="N37" s="1" t="str">
        <f t="shared" si="3"/>
        <v>Texas</v>
      </c>
      <c r="O37" s="1">
        <v>75080.0</v>
      </c>
      <c r="P37" s="1" t="s">
        <v>71</v>
      </c>
      <c r="Q37" s="1" t="s">
        <v>51</v>
      </c>
      <c r="R37" s="3">
        <v>1097.544</v>
      </c>
      <c r="S37" s="1">
        <v>7.0</v>
      </c>
      <c r="T37" s="4">
        <v>1096.67</v>
      </c>
    </row>
    <row r="38">
      <c r="A38" s="1" t="s">
        <v>120</v>
      </c>
      <c r="B38" s="2">
        <v>42959.0</v>
      </c>
      <c r="C38" s="2" t="str">
        <f t="shared" si="1"/>
        <v>Aug</v>
      </c>
      <c r="D38" s="5">
        <v>43020.0</v>
      </c>
      <c r="E38" s="1" t="s">
        <v>121</v>
      </c>
      <c r="F38" s="1" t="s">
        <v>122</v>
      </c>
      <c r="G38" s="1" t="s">
        <v>123</v>
      </c>
      <c r="H38" s="1" t="str">
        <f>IFERROR(__xludf.DUMMYFUNCTION("split(G38,"" "")"),"Gene")</f>
        <v>Gene</v>
      </c>
      <c r="I38" s="1" t="str">
        <f>IFERROR(__xludf.DUMMYFUNCTION("""COMPUTED_VALUE"""),"Hale")</f>
        <v>Hale</v>
      </c>
      <c r="J38" s="1" t="s">
        <v>34</v>
      </c>
      <c r="K38" s="1" t="s">
        <v>124</v>
      </c>
      <c r="L38" s="1" t="str">
        <f t="shared" si="2"/>
        <v>Richardson</v>
      </c>
      <c r="M38" s="1" t="s">
        <v>70</v>
      </c>
      <c r="N38" s="1" t="str">
        <f t="shared" si="3"/>
        <v>Texas</v>
      </c>
      <c r="O38" s="1">
        <v>75080.0</v>
      </c>
      <c r="P38" s="1" t="s">
        <v>71</v>
      </c>
      <c r="Q38" s="1" t="s">
        <v>27</v>
      </c>
      <c r="R38" s="3">
        <v>190.92</v>
      </c>
      <c r="S38" s="1">
        <v>7.0</v>
      </c>
      <c r="T38" s="4">
        <v>190.8</v>
      </c>
    </row>
    <row r="39">
      <c r="A39" s="1" t="s">
        <v>125</v>
      </c>
      <c r="B39" s="2">
        <v>42731.0</v>
      </c>
      <c r="C39" s="2" t="str">
        <f t="shared" si="1"/>
        <v>Dec</v>
      </c>
      <c r="D39" s="1" t="s">
        <v>126</v>
      </c>
      <c r="E39" s="1" t="s">
        <v>41</v>
      </c>
      <c r="F39" s="1" t="s">
        <v>127</v>
      </c>
      <c r="G39" s="1" t="s">
        <v>128</v>
      </c>
      <c r="H39" s="1" t="str">
        <f>IFERROR(__xludf.DUMMYFUNCTION("split(G39,"" "")"),"Steve")</f>
        <v>Steve</v>
      </c>
      <c r="I39" s="1" t="str">
        <f>IFERROR(__xludf.DUMMYFUNCTION("""COMPUTED_VALUE"""),"Nguyen")</f>
        <v>Nguyen</v>
      </c>
      <c r="J39" s="1" t="s">
        <v>68</v>
      </c>
      <c r="K39" s="1" t="s">
        <v>129</v>
      </c>
      <c r="L39" s="1" t="str">
        <f t="shared" si="2"/>
        <v>Houston</v>
      </c>
      <c r="M39" s="1" t="s">
        <v>70</v>
      </c>
      <c r="N39" s="1" t="str">
        <f t="shared" si="3"/>
        <v>Texas</v>
      </c>
      <c r="O39" s="1">
        <v>77041.0</v>
      </c>
      <c r="P39" s="1" t="s">
        <v>71</v>
      </c>
      <c r="Q39" s="1" t="s">
        <v>38</v>
      </c>
      <c r="R39" s="3">
        <v>113.328</v>
      </c>
      <c r="S39" s="1">
        <v>7.0</v>
      </c>
      <c r="T39" s="4">
        <v>112.36</v>
      </c>
    </row>
    <row r="40">
      <c r="A40" s="1" t="s">
        <v>125</v>
      </c>
      <c r="B40" s="2">
        <v>42731.0</v>
      </c>
      <c r="C40" s="2" t="str">
        <f t="shared" si="1"/>
        <v>Dec</v>
      </c>
      <c r="D40" s="1" t="s">
        <v>126</v>
      </c>
      <c r="E40" s="1" t="s">
        <v>41</v>
      </c>
      <c r="F40" s="1" t="s">
        <v>127</v>
      </c>
      <c r="G40" s="1" t="s">
        <v>128</v>
      </c>
      <c r="H40" s="1" t="str">
        <f>IFERROR(__xludf.DUMMYFUNCTION("split(G40,"" "")"),"Steve")</f>
        <v>Steve</v>
      </c>
      <c r="I40" s="1" t="str">
        <f>IFERROR(__xludf.DUMMYFUNCTION("""COMPUTED_VALUE"""),"Nguyen")</f>
        <v>Nguyen</v>
      </c>
      <c r="J40" s="1" t="s">
        <v>68</v>
      </c>
      <c r="K40" s="1" t="s">
        <v>129</v>
      </c>
      <c r="L40" s="1" t="str">
        <f t="shared" si="2"/>
        <v>Houston</v>
      </c>
      <c r="M40" s="1" t="s">
        <v>70</v>
      </c>
      <c r="N40" s="1" t="str">
        <f t="shared" si="3"/>
        <v>Texas</v>
      </c>
      <c r="O40" s="1">
        <v>77041.0</v>
      </c>
      <c r="P40" s="1" t="s">
        <v>71</v>
      </c>
      <c r="Q40" s="1" t="s">
        <v>27</v>
      </c>
      <c r="R40" s="3">
        <v>532.3992</v>
      </c>
      <c r="S40" s="1">
        <v>7.0</v>
      </c>
      <c r="T40" s="4">
        <v>532.02</v>
      </c>
    </row>
    <row r="41">
      <c r="A41" s="1" t="s">
        <v>125</v>
      </c>
      <c r="B41" s="2">
        <v>42731.0</v>
      </c>
      <c r="C41" s="2" t="str">
        <f t="shared" si="1"/>
        <v>Dec</v>
      </c>
      <c r="D41" s="1" t="s">
        <v>126</v>
      </c>
      <c r="E41" s="1" t="s">
        <v>41</v>
      </c>
      <c r="F41" s="1" t="s">
        <v>127</v>
      </c>
      <c r="G41" s="1" t="s">
        <v>128</v>
      </c>
      <c r="H41" s="1" t="str">
        <f>IFERROR(__xludf.DUMMYFUNCTION("split(G41,"" "")"),"Steve")</f>
        <v>Steve</v>
      </c>
      <c r="I41" s="1" t="str">
        <f>IFERROR(__xludf.DUMMYFUNCTION("""COMPUTED_VALUE"""),"Nguyen")</f>
        <v>Nguyen</v>
      </c>
      <c r="J41" s="1" t="s">
        <v>68</v>
      </c>
      <c r="K41" s="1" t="s">
        <v>129</v>
      </c>
      <c r="L41" s="1" t="str">
        <f t="shared" si="2"/>
        <v>Houston</v>
      </c>
      <c r="M41" s="1" t="s">
        <v>70</v>
      </c>
      <c r="N41" s="1" t="str">
        <f t="shared" si="3"/>
        <v>Texas</v>
      </c>
      <c r="O41" s="1">
        <v>77041.0</v>
      </c>
      <c r="P41" s="1" t="s">
        <v>71</v>
      </c>
      <c r="Q41" s="1" t="s">
        <v>27</v>
      </c>
      <c r="R41" s="3">
        <v>212.058</v>
      </c>
      <c r="S41" s="1">
        <v>7.0</v>
      </c>
      <c r="T41" s="4">
        <v>211.08</v>
      </c>
    </row>
    <row r="42">
      <c r="A42" s="1" t="s">
        <v>125</v>
      </c>
      <c r="B42" s="2">
        <v>42731.0</v>
      </c>
      <c r="C42" s="2" t="str">
        <f t="shared" si="1"/>
        <v>Dec</v>
      </c>
      <c r="D42" s="1" t="s">
        <v>126</v>
      </c>
      <c r="E42" s="1" t="s">
        <v>41</v>
      </c>
      <c r="F42" s="1" t="s">
        <v>127</v>
      </c>
      <c r="G42" s="1" t="s">
        <v>128</v>
      </c>
      <c r="H42" s="1" t="str">
        <f>IFERROR(__xludf.DUMMYFUNCTION("split(G42,"" "")"),"Steve")</f>
        <v>Steve</v>
      </c>
      <c r="I42" s="1" t="str">
        <f>IFERROR(__xludf.DUMMYFUNCTION("""COMPUTED_VALUE"""),"Nguyen")</f>
        <v>Nguyen</v>
      </c>
      <c r="J42" s="1" t="s">
        <v>68</v>
      </c>
      <c r="K42" s="1" t="s">
        <v>129</v>
      </c>
      <c r="L42" s="1" t="str">
        <f t="shared" si="2"/>
        <v>Houston</v>
      </c>
      <c r="M42" s="1" t="s">
        <v>70</v>
      </c>
      <c r="N42" s="1" t="str">
        <f t="shared" si="3"/>
        <v>Texas</v>
      </c>
      <c r="O42" s="1">
        <v>77041.0</v>
      </c>
      <c r="P42" s="1" t="s">
        <v>71</v>
      </c>
      <c r="Q42" s="1" t="s">
        <v>51</v>
      </c>
      <c r="R42" s="3">
        <v>371.168</v>
      </c>
      <c r="S42" s="1">
        <v>7.0</v>
      </c>
      <c r="T42" s="4">
        <v>370.36</v>
      </c>
    </row>
    <row r="43">
      <c r="A43" s="1" t="s">
        <v>130</v>
      </c>
      <c r="B43" s="2">
        <v>43382.0</v>
      </c>
      <c r="C43" s="2" t="str">
        <f t="shared" si="1"/>
        <v>Oct</v>
      </c>
      <c r="D43" s="1" t="s">
        <v>131</v>
      </c>
      <c r="E43" s="1" t="s">
        <v>41</v>
      </c>
      <c r="F43" s="1" t="s">
        <v>132</v>
      </c>
      <c r="G43" s="1" t="s">
        <v>133</v>
      </c>
      <c r="H43" s="1" t="str">
        <f>IFERROR(__xludf.DUMMYFUNCTION("split(G43,"" "")"),"Linda")</f>
        <v>Linda</v>
      </c>
      <c r="I43" s="1" t="str">
        <f>IFERROR(__xludf.DUMMYFUNCTION("""COMPUTED_VALUE"""),"Cazamias")</f>
        <v>Cazamias</v>
      </c>
      <c r="J43" s="1" t="s">
        <v>34</v>
      </c>
      <c r="K43" s="1" t="s">
        <v>134</v>
      </c>
      <c r="L43" s="1" t="str">
        <f t="shared" si="2"/>
        <v>Naperville</v>
      </c>
      <c r="M43" s="1" t="s">
        <v>135</v>
      </c>
      <c r="N43" s="1" t="str">
        <f t="shared" si="3"/>
        <v>Illinois</v>
      </c>
      <c r="O43" s="1">
        <v>60540.0</v>
      </c>
      <c r="P43" s="1" t="s">
        <v>71</v>
      </c>
      <c r="Q43" s="1" t="s">
        <v>51</v>
      </c>
      <c r="R43" s="3">
        <v>147.168</v>
      </c>
      <c r="S43" s="1">
        <v>6.0</v>
      </c>
      <c r="T43" s="4">
        <v>146.34</v>
      </c>
    </row>
    <row r="44">
      <c r="A44" s="1" t="s">
        <v>136</v>
      </c>
      <c r="B44" s="2">
        <v>42933.0</v>
      </c>
      <c r="C44" s="2" t="str">
        <f t="shared" si="1"/>
        <v>Jul</v>
      </c>
      <c r="D44" s="1" t="s">
        <v>137</v>
      </c>
      <c r="E44" s="1" t="s">
        <v>41</v>
      </c>
      <c r="F44" s="1" t="s">
        <v>138</v>
      </c>
      <c r="G44" s="1" t="s">
        <v>139</v>
      </c>
      <c r="H44" s="1" t="str">
        <f>IFERROR(__xludf.DUMMYFUNCTION("split(G44,"" "")"),"Ruben")</f>
        <v>Ruben</v>
      </c>
      <c r="I44" s="1" t="str">
        <f>IFERROR(__xludf.DUMMYFUNCTION("""COMPUTED_VALUE"""),"Ausman")</f>
        <v>Ausman</v>
      </c>
      <c r="J44" s="1" t="s">
        <v>34</v>
      </c>
      <c r="K44" s="1" t="s">
        <v>35</v>
      </c>
      <c r="L44" s="1" t="str">
        <f t="shared" si="2"/>
        <v>Los Angeles</v>
      </c>
      <c r="M44" s="1" t="s">
        <v>52</v>
      </c>
      <c r="N44" s="1" t="str">
        <f t="shared" si="3"/>
        <v>California</v>
      </c>
      <c r="O44" s="1">
        <v>90049.0</v>
      </c>
      <c r="P44" s="1" t="s">
        <v>37</v>
      </c>
      <c r="Q44" s="1" t="s">
        <v>38</v>
      </c>
      <c r="R44" s="3">
        <v>77.88</v>
      </c>
      <c r="S44" s="1">
        <v>9.0</v>
      </c>
      <c r="T44" s="4">
        <v>77.43</v>
      </c>
    </row>
    <row r="45">
      <c r="A45" s="1" t="s">
        <v>140</v>
      </c>
      <c r="B45" s="2">
        <v>43362.0</v>
      </c>
      <c r="C45" s="2" t="str">
        <f t="shared" si="1"/>
        <v>Sep</v>
      </c>
      <c r="D45" s="1" t="s">
        <v>141</v>
      </c>
      <c r="E45" s="1" t="s">
        <v>41</v>
      </c>
      <c r="F45" s="1" t="s">
        <v>142</v>
      </c>
      <c r="G45" s="1" t="s">
        <v>143</v>
      </c>
      <c r="H45" s="1" t="str">
        <f>IFERROR(__xludf.DUMMYFUNCTION("split(G45,"" "")"),"Erin")</f>
        <v>Erin</v>
      </c>
      <c r="I45" s="1" t="str">
        <f>IFERROR(__xludf.DUMMYFUNCTION("""COMPUTED_VALUE"""),"Smith")</f>
        <v>Smith</v>
      </c>
      <c r="J45" s="1" t="s">
        <v>34</v>
      </c>
      <c r="K45" s="1" t="s">
        <v>144</v>
      </c>
      <c r="L45" s="1" t="str">
        <f t="shared" si="2"/>
        <v>Melbourne</v>
      </c>
      <c r="M45" s="1" t="s">
        <v>145</v>
      </c>
      <c r="N45" s="1" t="str">
        <f t="shared" si="3"/>
        <v>Florida</v>
      </c>
      <c r="O45" s="1">
        <v>32935.0</v>
      </c>
      <c r="P45" s="1" t="s">
        <v>26</v>
      </c>
      <c r="Q45" s="1" t="s">
        <v>38</v>
      </c>
      <c r="R45" s="3">
        <v>95.616</v>
      </c>
      <c r="S45" s="1">
        <v>3.0</v>
      </c>
      <c r="T45" s="4">
        <v>94.71</v>
      </c>
    </row>
    <row r="46">
      <c r="A46" s="1" t="s">
        <v>146</v>
      </c>
      <c r="B46" s="2">
        <v>43042.0</v>
      </c>
      <c r="C46" s="2" t="str">
        <f t="shared" si="1"/>
        <v>Nov</v>
      </c>
      <c r="D46" s="1" t="s">
        <v>147</v>
      </c>
      <c r="E46" s="1" t="s">
        <v>121</v>
      </c>
      <c r="F46" s="1" t="s">
        <v>148</v>
      </c>
      <c r="G46" s="1" t="s">
        <v>149</v>
      </c>
      <c r="H46" s="1" t="str">
        <f>IFERROR(__xludf.DUMMYFUNCTION("split(G46,"" "")"),"Odella")</f>
        <v>Odella</v>
      </c>
      <c r="I46" s="1" t="str">
        <f>IFERROR(__xludf.DUMMYFUNCTION("""COMPUTED_VALUE"""),"Nelson")</f>
        <v>Nelson</v>
      </c>
      <c r="J46" s="1" t="s">
        <v>34</v>
      </c>
      <c r="K46" s="1" t="s">
        <v>150</v>
      </c>
      <c r="L46" s="1" t="str">
        <f t="shared" si="2"/>
        <v>Eagan</v>
      </c>
      <c r="M46" s="1" t="s">
        <v>151</v>
      </c>
      <c r="N46" s="1" t="str">
        <f t="shared" si="3"/>
        <v>Minnesota</v>
      </c>
      <c r="O46" s="1">
        <v>55122.0</v>
      </c>
      <c r="P46" s="1" t="s">
        <v>71</v>
      </c>
      <c r="Q46" s="1" t="s">
        <v>51</v>
      </c>
      <c r="R46" s="3">
        <v>45.98</v>
      </c>
      <c r="S46" s="1">
        <v>5.0</v>
      </c>
      <c r="T46" s="4">
        <v>45.84</v>
      </c>
    </row>
    <row r="47">
      <c r="A47" s="1" t="s">
        <v>146</v>
      </c>
      <c r="B47" s="2">
        <v>43042.0</v>
      </c>
      <c r="C47" s="2" t="str">
        <f t="shared" si="1"/>
        <v>Nov</v>
      </c>
      <c r="D47" s="1" t="s">
        <v>147</v>
      </c>
      <c r="E47" s="1" t="s">
        <v>121</v>
      </c>
      <c r="F47" s="1" t="s">
        <v>148</v>
      </c>
      <c r="G47" s="1" t="s">
        <v>149</v>
      </c>
      <c r="H47" s="1" t="str">
        <f>IFERROR(__xludf.DUMMYFUNCTION("split(G47,"" "")"),"Odella")</f>
        <v>Odella</v>
      </c>
      <c r="I47" s="1" t="str">
        <f>IFERROR(__xludf.DUMMYFUNCTION("""COMPUTED_VALUE"""),"Nelson")</f>
        <v>Nelson</v>
      </c>
      <c r="J47" s="1" t="s">
        <v>34</v>
      </c>
      <c r="K47" s="1" t="s">
        <v>150</v>
      </c>
      <c r="L47" s="1" t="str">
        <f t="shared" si="2"/>
        <v>Eagan</v>
      </c>
      <c r="M47" s="1" t="s">
        <v>151</v>
      </c>
      <c r="N47" s="1" t="str">
        <f t="shared" si="3"/>
        <v>Minnesota</v>
      </c>
      <c r="O47" s="1">
        <v>55122.0</v>
      </c>
      <c r="P47" s="1" t="s">
        <v>71</v>
      </c>
      <c r="Q47" s="1" t="s">
        <v>38</v>
      </c>
      <c r="R47" s="3">
        <v>17.46</v>
      </c>
      <c r="S47" s="1">
        <v>5.0</v>
      </c>
      <c r="T47" s="4">
        <v>17.12</v>
      </c>
    </row>
    <row r="48">
      <c r="A48" s="1" t="s">
        <v>152</v>
      </c>
      <c r="B48" s="2">
        <v>42297.0</v>
      </c>
      <c r="C48" s="2" t="str">
        <f t="shared" si="1"/>
        <v>Oct</v>
      </c>
      <c r="D48" s="1" t="s">
        <v>153</v>
      </c>
      <c r="E48" s="1" t="s">
        <v>20</v>
      </c>
      <c r="F48" s="1" t="s">
        <v>154</v>
      </c>
      <c r="G48" s="1" t="s">
        <v>155</v>
      </c>
      <c r="H48" s="1" t="str">
        <f>IFERROR(__xludf.DUMMYFUNCTION("split(G48,"" "")"),"Patrick")</f>
        <v>Patrick</v>
      </c>
      <c r="I48" s="1" t="str">
        <f>IFERROR(__xludf.DUMMYFUNCTION("""COMPUTED_VALUE"""),"O'Donnell")</f>
        <v>O'Donnell</v>
      </c>
      <c r="J48" s="1" t="s">
        <v>23</v>
      </c>
      <c r="K48" s="1" t="s">
        <v>156</v>
      </c>
      <c r="L48" s="1" t="str">
        <f t="shared" si="2"/>
        <v>Westland</v>
      </c>
      <c r="M48" s="1" t="s">
        <v>157</v>
      </c>
      <c r="N48" s="1" t="str">
        <f t="shared" si="3"/>
        <v>Michigan</v>
      </c>
      <c r="O48" s="1">
        <v>48185.0</v>
      </c>
      <c r="P48" s="1" t="s">
        <v>71</v>
      </c>
      <c r="Q48" s="1" t="s">
        <v>38</v>
      </c>
      <c r="R48" s="3">
        <v>211.96</v>
      </c>
      <c r="S48" s="1">
        <v>4.0</v>
      </c>
      <c r="T48" s="4">
        <v>211.46</v>
      </c>
    </row>
    <row r="49">
      <c r="A49" s="1" t="s">
        <v>158</v>
      </c>
      <c r="B49" s="2">
        <v>42906.0</v>
      </c>
      <c r="C49" s="2" t="str">
        <f t="shared" si="1"/>
        <v>Jun</v>
      </c>
      <c r="D49" s="1" t="s">
        <v>159</v>
      </c>
      <c r="E49" s="1" t="s">
        <v>41</v>
      </c>
      <c r="F49" s="1" t="s">
        <v>160</v>
      </c>
      <c r="G49" s="1" t="s">
        <v>161</v>
      </c>
      <c r="H49" s="1" t="str">
        <f>IFERROR(__xludf.DUMMYFUNCTION("split(G49,"" "")"),"Lena")</f>
        <v>Lena</v>
      </c>
      <c r="I49" s="1" t="str">
        <f>IFERROR(__xludf.DUMMYFUNCTION("""COMPUTED_VALUE"""),"Hernandez")</f>
        <v>Hernandez</v>
      </c>
      <c r="J49" s="1" t="s">
        <v>23</v>
      </c>
      <c r="K49" s="1" t="s">
        <v>162</v>
      </c>
      <c r="L49" s="1" t="str">
        <f t="shared" si="2"/>
        <v>Dover</v>
      </c>
      <c r="M49" s="1" t="s">
        <v>163</v>
      </c>
      <c r="N49" s="1" t="str">
        <f t="shared" si="3"/>
        <v>Delaware</v>
      </c>
      <c r="O49" s="1">
        <v>19901.0</v>
      </c>
      <c r="P49" s="1" t="s">
        <v>100</v>
      </c>
      <c r="Q49" s="1" t="s">
        <v>51</v>
      </c>
      <c r="R49" s="3">
        <v>45.0</v>
      </c>
      <c r="S49" s="1">
        <v>1.0</v>
      </c>
      <c r="T49" s="4">
        <v>44.59</v>
      </c>
    </row>
    <row r="50">
      <c r="A50" s="1" t="s">
        <v>158</v>
      </c>
      <c r="B50" s="2">
        <v>42906.0</v>
      </c>
      <c r="C50" s="2" t="str">
        <f t="shared" si="1"/>
        <v>Jun</v>
      </c>
      <c r="D50" s="1" t="s">
        <v>159</v>
      </c>
      <c r="E50" s="1" t="s">
        <v>41</v>
      </c>
      <c r="F50" s="1" t="s">
        <v>160</v>
      </c>
      <c r="G50" s="1" t="s">
        <v>161</v>
      </c>
      <c r="H50" s="1" t="str">
        <f>IFERROR(__xludf.DUMMYFUNCTION("split(G50,"" "")"),"Lena")</f>
        <v>Lena</v>
      </c>
      <c r="I50" s="1" t="str">
        <f>IFERROR(__xludf.DUMMYFUNCTION("""COMPUTED_VALUE"""),"Hernandez")</f>
        <v>Hernandez</v>
      </c>
      <c r="J50" s="1" t="s">
        <v>23</v>
      </c>
      <c r="K50" s="1" t="s">
        <v>162</v>
      </c>
      <c r="L50" s="1" t="str">
        <f t="shared" si="2"/>
        <v>Dover</v>
      </c>
      <c r="M50" s="1" t="s">
        <v>163</v>
      </c>
      <c r="N50" s="1" t="str">
        <f t="shared" si="3"/>
        <v>Delaware</v>
      </c>
      <c r="O50" s="1">
        <v>19901.0</v>
      </c>
      <c r="P50" s="1" t="s">
        <v>100</v>
      </c>
      <c r="Q50" s="1" t="s">
        <v>51</v>
      </c>
      <c r="R50" s="3">
        <v>21.8</v>
      </c>
      <c r="S50" s="1">
        <v>1.0</v>
      </c>
      <c r="T50" s="4">
        <v>21.04</v>
      </c>
    </row>
    <row r="51">
      <c r="A51" s="1" t="s">
        <v>164</v>
      </c>
      <c r="B51" s="2">
        <v>42478.0</v>
      </c>
      <c r="C51" s="2" t="str">
        <f t="shared" si="1"/>
        <v>Apr</v>
      </c>
      <c r="D51" s="1" t="s">
        <v>165</v>
      </c>
      <c r="E51" s="1" t="s">
        <v>41</v>
      </c>
      <c r="F51" s="1" t="s">
        <v>166</v>
      </c>
      <c r="G51" s="1" t="s">
        <v>167</v>
      </c>
      <c r="H51" s="1" t="str">
        <f>IFERROR(__xludf.DUMMYFUNCTION("split(G51,"" "")"),"Darren")</f>
        <v>Darren</v>
      </c>
      <c r="I51" s="1" t="str">
        <f>IFERROR(__xludf.DUMMYFUNCTION("""COMPUTED_VALUE"""),"Powers")</f>
        <v>Powers</v>
      </c>
      <c r="J51" s="1" t="s">
        <v>23</v>
      </c>
      <c r="K51" s="1" t="s">
        <v>168</v>
      </c>
      <c r="L51" s="1" t="str">
        <f t="shared" si="2"/>
        <v>New Albany</v>
      </c>
      <c r="M51" s="1" t="s">
        <v>169</v>
      </c>
      <c r="N51" s="1" t="str">
        <f t="shared" si="3"/>
        <v>Indiana</v>
      </c>
      <c r="O51" s="1">
        <v>47150.0</v>
      </c>
      <c r="P51" s="1" t="s">
        <v>71</v>
      </c>
      <c r="Q51" s="1" t="s">
        <v>38</v>
      </c>
      <c r="R51" s="3">
        <v>38.22</v>
      </c>
      <c r="S51" s="1">
        <v>4.0</v>
      </c>
      <c r="T51" s="4">
        <v>37.28</v>
      </c>
    </row>
    <row r="52">
      <c r="A52" s="1" t="s">
        <v>164</v>
      </c>
      <c r="B52" s="2">
        <v>42478.0</v>
      </c>
      <c r="C52" s="2" t="str">
        <f t="shared" si="1"/>
        <v>Apr</v>
      </c>
      <c r="D52" s="1" t="s">
        <v>165</v>
      </c>
      <c r="E52" s="1" t="s">
        <v>41</v>
      </c>
      <c r="F52" s="1" t="s">
        <v>166</v>
      </c>
      <c r="G52" s="1" t="s">
        <v>167</v>
      </c>
      <c r="H52" s="1" t="str">
        <f>IFERROR(__xludf.DUMMYFUNCTION("split(G52,"" "")"),"Darren")</f>
        <v>Darren</v>
      </c>
      <c r="I52" s="1" t="str">
        <f>IFERROR(__xludf.DUMMYFUNCTION("""COMPUTED_VALUE"""),"Powers")</f>
        <v>Powers</v>
      </c>
      <c r="J52" s="1" t="s">
        <v>23</v>
      </c>
      <c r="K52" s="1" t="s">
        <v>168</v>
      </c>
      <c r="L52" s="1" t="str">
        <f t="shared" si="2"/>
        <v>New Albany</v>
      </c>
      <c r="M52" s="1" t="s">
        <v>169</v>
      </c>
      <c r="N52" s="1" t="str">
        <f t="shared" si="3"/>
        <v>Indiana</v>
      </c>
      <c r="O52" s="1">
        <v>47150.0</v>
      </c>
      <c r="P52" s="1" t="s">
        <v>71</v>
      </c>
      <c r="Q52" s="1" t="s">
        <v>38</v>
      </c>
      <c r="R52" s="3">
        <v>75.18</v>
      </c>
      <c r="S52" s="1">
        <v>4.0</v>
      </c>
      <c r="T52" s="4">
        <v>75.01</v>
      </c>
    </row>
    <row r="53">
      <c r="A53" s="1" t="s">
        <v>164</v>
      </c>
      <c r="B53" s="2">
        <v>42478.0</v>
      </c>
      <c r="C53" s="2" t="str">
        <f t="shared" si="1"/>
        <v>Apr</v>
      </c>
      <c r="D53" s="1" t="s">
        <v>165</v>
      </c>
      <c r="E53" s="1" t="s">
        <v>41</v>
      </c>
      <c r="F53" s="1" t="s">
        <v>166</v>
      </c>
      <c r="G53" s="1" t="s">
        <v>167</v>
      </c>
      <c r="H53" s="1" t="str">
        <f>IFERROR(__xludf.DUMMYFUNCTION("split(G53,"" "")"),"Darren")</f>
        <v>Darren</v>
      </c>
      <c r="I53" s="1" t="str">
        <f>IFERROR(__xludf.DUMMYFUNCTION("""COMPUTED_VALUE"""),"Powers")</f>
        <v>Powers</v>
      </c>
      <c r="J53" s="1" t="s">
        <v>23</v>
      </c>
      <c r="K53" s="1" t="s">
        <v>168</v>
      </c>
      <c r="L53" s="1" t="str">
        <f t="shared" si="2"/>
        <v>New Albany</v>
      </c>
      <c r="M53" s="1" t="s">
        <v>169</v>
      </c>
      <c r="N53" s="1" t="str">
        <f t="shared" si="3"/>
        <v>Indiana</v>
      </c>
      <c r="O53" s="1">
        <v>47150.0</v>
      </c>
      <c r="P53" s="1" t="s">
        <v>71</v>
      </c>
      <c r="Q53" s="1" t="s">
        <v>27</v>
      </c>
      <c r="R53" s="3">
        <v>6.16</v>
      </c>
      <c r="S53" s="1">
        <v>4.0</v>
      </c>
      <c r="T53" s="4">
        <v>6.03</v>
      </c>
    </row>
    <row r="54">
      <c r="A54" s="1" t="s">
        <v>164</v>
      </c>
      <c r="B54" s="2">
        <v>42478.0</v>
      </c>
      <c r="C54" s="2" t="str">
        <f t="shared" si="1"/>
        <v>Apr</v>
      </c>
      <c r="D54" s="1" t="s">
        <v>165</v>
      </c>
      <c r="E54" s="1" t="s">
        <v>41</v>
      </c>
      <c r="F54" s="1" t="s">
        <v>166</v>
      </c>
      <c r="G54" s="1" t="s">
        <v>167</v>
      </c>
      <c r="H54" s="1" t="str">
        <f>IFERROR(__xludf.DUMMYFUNCTION("split(G54,"" "")"),"Darren")</f>
        <v>Darren</v>
      </c>
      <c r="I54" s="1" t="str">
        <f>IFERROR(__xludf.DUMMYFUNCTION("""COMPUTED_VALUE"""),"Powers")</f>
        <v>Powers</v>
      </c>
      <c r="J54" s="1" t="s">
        <v>23</v>
      </c>
      <c r="K54" s="1" t="s">
        <v>168</v>
      </c>
      <c r="L54" s="1" t="str">
        <f t="shared" si="2"/>
        <v>New Albany</v>
      </c>
      <c r="M54" s="1" t="s">
        <v>169</v>
      </c>
      <c r="N54" s="1" t="str">
        <f t="shared" si="3"/>
        <v>Indiana</v>
      </c>
      <c r="O54" s="1">
        <v>47150.0</v>
      </c>
      <c r="P54" s="1" t="s">
        <v>71</v>
      </c>
      <c r="Q54" s="1" t="s">
        <v>27</v>
      </c>
      <c r="R54" s="3">
        <v>89.99</v>
      </c>
      <c r="S54" s="1">
        <v>4.0</v>
      </c>
      <c r="T54" s="4">
        <v>89.04</v>
      </c>
    </row>
    <row r="55">
      <c r="A55" s="1" t="s">
        <v>170</v>
      </c>
      <c r="B55" s="2">
        <v>43051.0</v>
      </c>
      <c r="C55" s="2" t="str">
        <f t="shared" si="1"/>
        <v>Nov</v>
      </c>
      <c r="D55" s="1" t="s">
        <v>171</v>
      </c>
      <c r="E55" s="1" t="s">
        <v>41</v>
      </c>
      <c r="F55" s="1" t="s">
        <v>172</v>
      </c>
      <c r="G55" s="1" t="s">
        <v>173</v>
      </c>
      <c r="H55" s="1" t="str">
        <f>IFERROR(__xludf.DUMMYFUNCTION("split(G55,"" "")"),"Janet")</f>
        <v>Janet</v>
      </c>
      <c r="I55" s="1" t="str">
        <f>IFERROR(__xludf.DUMMYFUNCTION("""COMPUTED_VALUE"""),"Molinari")</f>
        <v>Molinari</v>
      </c>
      <c r="J55" s="1" t="s">
        <v>34</v>
      </c>
      <c r="K55" s="1" t="s">
        <v>174</v>
      </c>
      <c r="L55" s="1" t="str">
        <f t="shared" si="2"/>
        <v>New York City</v>
      </c>
      <c r="M55" s="1" t="s">
        <v>175</v>
      </c>
      <c r="N55" s="1" t="str">
        <f t="shared" si="3"/>
        <v>New York</v>
      </c>
      <c r="O55" s="1">
        <v>10024.0</v>
      </c>
      <c r="P55" s="1" t="s">
        <v>100</v>
      </c>
      <c r="Q55" s="1" t="s">
        <v>38</v>
      </c>
      <c r="R55" s="3">
        <v>15.26</v>
      </c>
      <c r="S55" s="1">
        <v>1.0</v>
      </c>
      <c r="T55" s="4">
        <v>14.39</v>
      </c>
    </row>
    <row r="56">
      <c r="A56" s="1" t="s">
        <v>170</v>
      </c>
      <c r="B56" s="2">
        <v>43051.0</v>
      </c>
      <c r="C56" s="2" t="str">
        <f t="shared" si="1"/>
        <v>Nov</v>
      </c>
      <c r="D56" s="1" t="s">
        <v>171</v>
      </c>
      <c r="E56" s="1" t="s">
        <v>41</v>
      </c>
      <c r="F56" s="1" t="s">
        <v>172</v>
      </c>
      <c r="G56" s="1" t="s">
        <v>173</v>
      </c>
      <c r="H56" s="1" t="str">
        <f>IFERROR(__xludf.DUMMYFUNCTION("split(G56,"" "")"),"Janet")</f>
        <v>Janet</v>
      </c>
      <c r="I56" s="1" t="str">
        <f>IFERROR(__xludf.DUMMYFUNCTION("""COMPUTED_VALUE"""),"Molinari")</f>
        <v>Molinari</v>
      </c>
      <c r="J56" s="1" t="s">
        <v>34</v>
      </c>
      <c r="K56" s="1" t="s">
        <v>174</v>
      </c>
      <c r="L56" s="1" t="str">
        <f t="shared" si="2"/>
        <v>New York City</v>
      </c>
      <c r="M56" s="1" t="s">
        <v>175</v>
      </c>
      <c r="N56" s="1" t="str">
        <f t="shared" si="3"/>
        <v>New York</v>
      </c>
      <c r="O56" s="1">
        <v>10024.0</v>
      </c>
      <c r="P56" s="1" t="s">
        <v>100</v>
      </c>
      <c r="Q56" s="1" t="s">
        <v>51</v>
      </c>
      <c r="R56" s="3">
        <v>1029.95</v>
      </c>
      <c r="S56" s="1">
        <v>1.0</v>
      </c>
      <c r="T56" s="4">
        <v>1029.71</v>
      </c>
    </row>
    <row r="57">
      <c r="A57" s="1" t="s">
        <v>176</v>
      </c>
      <c r="B57" s="2">
        <v>42903.0</v>
      </c>
      <c r="C57" s="2" t="str">
        <f t="shared" si="1"/>
        <v>Jun</v>
      </c>
      <c r="D57" s="1" t="s">
        <v>177</v>
      </c>
      <c r="E57" s="1" t="s">
        <v>121</v>
      </c>
      <c r="F57" s="1" t="s">
        <v>178</v>
      </c>
      <c r="G57" s="1" t="s">
        <v>179</v>
      </c>
      <c r="H57" s="1" t="str">
        <f>IFERROR(__xludf.DUMMYFUNCTION("split(G57,"" "")"),"Ted")</f>
        <v>Ted</v>
      </c>
      <c r="I57" s="1" t="str">
        <f>IFERROR(__xludf.DUMMYFUNCTION("""COMPUTED_VALUE"""),"Butterfield")</f>
        <v>Butterfield</v>
      </c>
      <c r="J57" s="1" t="s">
        <v>23</v>
      </c>
      <c r="K57" s="1" t="s">
        <v>180</v>
      </c>
      <c r="L57" s="1" t="str">
        <f t="shared" si="2"/>
        <v>Troy</v>
      </c>
      <c r="M57" s="1" t="s">
        <v>175</v>
      </c>
      <c r="N57" s="1" t="str">
        <f t="shared" si="3"/>
        <v>New York</v>
      </c>
      <c r="O57" s="1">
        <v>12180.0</v>
      </c>
      <c r="P57" s="1" t="s">
        <v>100</v>
      </c>
      <c r="Q57" s="1" t="s">
        <v>38</v>
      </c>
      <c r="R57" s="3">
        <v>208.56</v>
      </c>
      <c r="S57" s="1">
        <v>1.0</v>
      </c>
      <c r="T57" s="4">
        <v>208.05</v>
      </c>
    </row>
    <row r="58">
      <c r="A58" s="1" t="s">
        <v>176</v>
      </c>
      <c r="B58" s="2">
        <v>42903.0</v>
      </c>
      <c r="C58" s="2" t="str">
        <f t="shared" si="1"/>
        <v>Jun</v>
      </c>
      <c r="D58" s="1" t="s">
        <v>177</v>
      </c>
      <c r="E58" s="1" t="s">
        <v>121</v>
      </c>
      <c r="F58" s="1" t="s">
        <v>178</v>
      </c>
      <c r="G58" s="1" t="s">
        <v>179</v>
      </c>
      <c r="H58" s="1" t="str">
        <f>IFERROR(__xludf.DUMMYFUNCTION("split(G58,"" "")"),"Ted")</f>
        <v>Ted</v>
      </c>
      <c r="I58" s="1" t="str">
        <f>IFERROR(__xludf.DUMMYFUNCTION("""COMPUTED_VALUE"""),"Butterfield")</f>
        <v>Butterfield</v>
      </c>
      <c r="J58" s="1" t="s">
        <v>23</v>
      </c>
      <c r="K58" s="1" t="s">
        <v>180</v>
      </c>
      <c r="L58" s="1" t="str">
        <f t="shared" si="2"/>
        <v>Troy</v>
      </c>
      <c r="M58" s="1" t="s">
        <v>175</v>
      </c>
      <c r="N58" s="1" t="str">
        <f t="shared" si="3"/>
        <v>New York</v>
      </c>
      <c r="O58" s="1">
        <v>12180.0</v>
      </c>
      <c r="P58" s="1" t="s">
        <v>100</v>
      </c>
      <c r="Q58" s="1" t="s">
        <v>38</v>
      </c>
      <c r="R58" s="3">
        <v>32.4</v>
      </c>
      <c r="S58" s="1">
        <v>1.0</v>
      </c>
      <c r="T58" s="4">
        <v>31.73</v>
      </c>
    </row>
    <row r="59">
      <c r="A59" s="1" t="s">
        <v>176</v>
      </c>
      <c r="B59" s="2">
        <v>42903.0</v>
      </c>
      <c r="C59" s="2" t="str">
        <f t="shared" si="1"/>
        <v>Jun</v>
      </c>
      <c r="D59" s="1" t="s">
        <v>177</v>
      </c>
      <c r="E59" s="1" t="s">
        <v>121</v>
      </c>
      <c r="F59" s="1" t="s">
        <v>178</v>
      </c>
      <c r="G59" s="1" t="s">
        <v>179</v>
      </c>
      <c r="H59" s="1" t="str">
        <f>IFERROR(__xludf.DUMMYFUNCTION("split(G59,"" "")"),"Ted")</f>
        <v>Ted</v>
      </c>
      <c r="I59" s="1" t="str">
        <f>IFERROR(__xludf.DUMMYFUNCTION("""COMPUTED_VALUE"""),"Butterfield")</f>
        <v>Butterfield</v>
      </c>
      <c r="J59" s="1" t="s">
        <v>23</v>
      </c>
      <c r="K59" s="1" t="s">
        <v>180</v>
      </c>
      <c r="L59" s="1" t="str">
        <f t="shared" si="2"/>
        <v>Troy</v>
      </c>
      <c r="M59" s="1" t="s">
        <v>175</v>
      </c>
      <c r="N59" s="1" t="str">
        <f t="shared" si="3"/>
        <v>New York</v>
      </c>
      <c r="O59" s="1">
        <v>12180.0</v>
      </c>
      <c r="P59" s="1" t="s">
        <v>100</v>
      </c>
      <c r="Q59" s="1" t="s">
        <v>27</v>
      </c>
      <c r="R59" s="3">
        <v>319.41</v>
      </c>
      <c r="S59" s="1">
        <v>1.0</v>
      </c>
      <c r="T59" s="4">
        <v>319.3</v>
      </c>
    </row>
    <row r="60">
      <c r="A60" s="1" t="s">
        <v>176</v>
      </c>
      <c r="B60" s="2">
        <v>42903.0</v>
      </c>
      <c r="C60" s="2" t="str">
        <f t="shared" si="1"/>
        <v>Jun</v>
      </c>
      <c r="D60" s="1" t="s">
        <v>177</v>
      </c>
      <c r="E60" s="1" t="s">
        <v>121</v>
      </c>
      <c r="F60" s="1" t="s">
        <v>178</v>
      </c>
      <c r="G60" s="1" t="s">
        <v>179</v>
      </c>
      <c r="H60" s="1" t="str">
        <f>IFERROR(__xludf.DUMMYFUNCTION("split(G60,"" "")"),"Ted")</f>
        <v>Ted</v>
      </c>
      <c r="I60" s="1" t="str">
        <f>IFERROR(__xludf.DUMMYFUNCTION("""COMPUTED_VALUE"""),"Butterfield")</f>
        <v>Butterfield</v>
      </c>
      <c r="J60" s="1" t="s">
        <v>23</v>
      </c>
      <c r="K60" s="1" t="s">
        <v>180</v>
      </c>
      <c r="L60" s="1" t="str">
        <f t="shared" si="2"/>
        <v>Troy</v>
      </c>
      <c r="M60" s="1" t="s">
        <v>175</v>
      </c>
      <c r="N60" s="1" t="str">
        <f t="shared" si="3"/>
        <v>New York</v>
      </c>
      <c r="O60" s="1">
        <v>12180.0</v>
      </c>
      <c r="P60" s="1" t="s">
        <v>100</v>
      </c>
      <c r="Q60" s="1" t="s">
        <v>38</v>
      </c>
      <c r="R60" s="3">
        <v>14.56</v>
      </c>
      <c r="S60" s="1">
        <v>1.0</v>
      </c>
      <c r="T60" s="4">
        <v>13.78</v>
      </c>
    </row>
    <row r="61">
      <c r="A61" s="1" t="s">
        <v>176</v>
      </c>
      <c r="B61" s="2">
        <v>42903.0</v>
      </c>
      <c r="C61" s="2" t="str">
        <f t="shared" si="1"/>
        <v>Jun</v>
      </c>
      <c r="D61" s="1" t="s">
        <v>177</v>
      </c>
      <c r="E61" s="1" t="s">
        <v>121</v>
      </c>
      <c r="F61" s="1" t="s">
        <v>178</v>
      </c>
      <c r="G61" s="1" t="s">
        <v>179</v>
      </c>
      <c r="H61" s="1" t="str">
        <f>IFERROR(__xludf.DUMMYFUNCTION("split(G61,"" "")"),"Ted")</f>
        <v>Ted</v>
      </c>
      <c r="I61" s="1" t="str">
        <f>IFERROR(__xludf.DUMMYFUNCTION("""COMPUTED_VALUE"""),"Butterfield")</f>
        <v>Butterfield</v>
      </c>
      <c r="J61" s="1" t="s">
        <v>23</v>
      </c>
      <c r="K61" s="1" t="s">
        <v>180</v>
      </c>
      <c r="L61" s="1" t="str">
        <f t="shared" si="2"/>
        <v>Troy</v>
      </c>
      <c r="M61" s="1" t="s">
        <v>175</v>
      </c>
      <c r="N61" s="1" t="str">
        <f t="shared" si="3"/>
        <v>New York</v>
      </c>
      <c r="O61" s="1">
        <v>12180.0</v>
      </c>
      <c r="P61" s="1" t="s">
        <v>100</v>
      </c>
      <c r="Q61" s="1" t="s">
        <v>51</v>
      </c>
      <c r="R61" s="3">
        <v>30.0</v>
      </c>
      <c r="S61" s="1">
        <v>1.0</v>
      </c>
      <c r="T61" s="4">
        <v>29.62</v>
      </c>
    </row>
    <row r="62">
      <c r="A62" s="1" t="s">
        <v>176</v>
      </c>
      <c r="B62" s="2">
        <v>42903.0</v>
      </c>
      <c r="C62" s="2" t="str">
        <f t="shared" si="1"/>
        <v>Jun</v>
      </c>
      <c r="D62" s="1" t="s">
        <v>177</v>
      </c>
      <c r="E62" s="1" t="s">
        <v>121</v>
      </c>
      <c r="F62" s="1" t="s">
        <v>178</v>
      </c>
      <c r="G62" s="1" t="s">
        <v>179</v>
      </c>
      <c r="H62" s="1" t="str">
        <f>IFERROR(__xludf.DUMMYFUNCTION("split(G62,"" "")"),"Ted")</f>
        <v>Ted</v>
      </c>
      <c r="I62" s="1" t="str">
        <f>IFERROR(__xludf.DUMMYFUNCTION("""COMPUTED_VALUE"""),"Butterfield")</f>
        <v>Butterfield</v>
      </c>
      <c r="J62" s="1" t="s">
        <v>23</v>
      </c>
      <c r="K62" s="1" t="s">
        <v>180</v>
      </c>
      <c r="L62" s="1" t="str">
        <f t="shared" si="2"/>
        <v>Troy</v>
      </c>
      <c r="M62" s="1" t="s">
        <v>175</v>
      </c>
      <c r="N62" s="1" t="str">
        <f t="shared" si="3"/>
        <v>New York</v>
      </c>
      <c r="O62" s="1">
        <v>12180.0</v>
      </c>
      <c r="P62" s="1" t="s">
        <v>100</v>
      </c>
      <c r="Q62" s="1" t="s">
        <v>38</v>
      </c>
      <c r="R62" s="3">
        <v>48.48</v>
      </c>
      <c r="S62" s="1">
        <v>1.0</v>
      </c>
      <c r="T62" s="4">
        <v>48.41</v>
      </c>
    </row>
    <row r="63">
      <c r="A63" s="1" t="s">
        <v>176</v>
      </c>
      <c r="B63" s="2">
        <v>42903.0</v>
      </c>
      <c r="C63" s="2" t="str">
        <f t="shared" si="1"/>
        <v>Jun</v>
      </c>
      <c r="D63" s="1" t="s">
        <v>177</v>
      </c>
      <c r="E63" s="1" t="s">
        <v>121</v>
      </c>
      <c r="F63" s="1" t="s">
        <v>178</v>
      </c>
      <c r="G63" s="1" t="s">
        <v>179</v>
      </c>
      <c r="H63" s="1" t="str">
        <f>IFERROR(__xludf.DUMMYFUNCTION("split(G63,"" "")"),"Ted")</f>
        <v>Ted</v>
      </c>
      <c r="I63" s="1" t="str">
        <f>IFERROR(__xludf.DUMMYFUNCTION("""COMPUTED_VALUE"""),"Butterfield")</f>
        <v>Butterfield</v>
      </c>
      <c r="J63" s="1" t="s">
        <v>23</v>
      </c>
      <c r="K63" s="1" t="s">
        <v>180</v>
      </c>
      <c r="L63" s="1" t="str">
        <f t="shared" si="2"/>
        <v>Troy</v>
      </c>
      <c r="M63" s="1" t="s">
        <v>175</v>
      </c>
      <c r="N63" s="1" t="str">
        <f t="shared" si="3"/>
        <v>New York</v>
      </c>
      <c r="O63" s="1">
        <v>12180.0</v>
      </c>
      <c r="P63" s="1" t="s">
        <v>100</v>
      </c>
      <c r="Q63" s="1" t="s">
        <v>38</v>
      </c>
      <c r="R63" s="3">
        <v>1.68</v>
      </c>
      <c r="S63" s="1">
        <v>1.0</v>
      </c>
      <c r="T63" s="4">
        <v>0.97</v>
      </c>
    </row>
    <row r="64">
      <c r="A64" s="1" t="s">
        <v>181</v>
      </c>
      <c r="B64" s="2">
        <v>42698.0</v>
      </c>
      <c r="C64" s="2" t="str">
        <f t="shared" si="1"/>
        <v>Nov</v>
      </c>
      <c r="D64" s="1" t="s">
        <v>182</v>
      </c>
      <c r="E64" s="1" t="s">
        <v>41</v>
      </c>
      <c r="F64" s="1" t="s">
        <v>183</v>
      </c>
      <c r="G64" s="1" t="s">
        <v>184</v>
      </c>
      <c r="H64" s="1" t="str">
        <f>IFERROR(__xludf.DUMMYFUNCTION("split(G64,"" "")"),"Kunst")</f>
        <v>Kunst</v>
      </c>
      <c r="I64" s="1" t="str">
        <f>IFERROR(__xludf.DUMMYFUNCTION("""COMPUTED_VALUE"""),"Miller")</f>
        <v>Miller</v>
      </c>
      <c r="J64" s="1" t="s">
        <v>23</v>
      </c>
      <c r="K64" s="1" t="s">
        <v>35</v>
      </c>
      <c r="L64" s="1" t="str">
        <f t="shared" si="2"/>
        <v>Los Angeles</v>
      </c>
      <c r="M64" s="1" t="s">
        <v>52</v>
      </c>
      <c r="N64" s="1" t="str">
        <f t="shared" si="3"/>
        <v>California</v>
      </c>
      <c r="O64" s="1">
        <v>90004.0</v>
      </c>
      <c r="P64" s="1" t="s">
        <v>37</v>
      </c>
      <c r="Q64" s="1" t="s">
        <v>51</v>
      </c>
      <c r="R64" s="3">
        <v>13.98</v>
      </c>
      <c r="S64" s="1">
        <v>9.0</v>
      </c>
      <c r="T64" s="4">
        <v>13.69</v>
      </c>
    </row>
    <row r="65">
      <c r="A65" s="1" t="s">
        <v>181</v>
      </c>
      <c r="B65" s="2">
        <v>42698.0</v>
      </c>
      <c r="C65" s="2" t="str">
        <f t="shared" si="1"/>
        <v>Nov</v>
      </c>
      <c r="D65" s="1" t="s">
        <v>182</v>
      </c>
      <c r="E65" s="1" t="s">
        <v>41</v>
      </c>
      <c r="F65" s="1" t="s">
        <v>183</v>
      </c>
      <c r="G65" s="1" t="s">
        <v>184</v>
      </c>
      <c r="H65" s="1" t="str">
        <f>IFERROR(__xludf.DUMMYFUNCTION("split(G65,"" "")"),"Kunst")</f>
        <v>Kunst</v>
      </c>
      <c r="I65" s="1" t="str">
        <f>IFERROR(__xludf.DUMMYFUNCTION("""COMPUTED_VALUE"""),"Miller")</f>
        <v>Miller</v>
      </c>
      <c r="J65" s="1" t="s">
        <v>23</v>
      </c>
      <c r="K65" s="1" t="s">
        <v>35</v>
      </c>
      <c r="L65" s="1" t="str">
        <f t="shared" si="2"/>
        <v>Los Angeles</v>
      </c>
      <c r="M65" s="1" t="s">
        <v>52</v>
      </c>
      <c r="N65" s="1" t="str">
        <f t="shared" si="3"/>
        <v>California</v>
      </c>
      <c r="O65" s="1">
        <v>90004.0</v>
      </c>
      <c r="P65" s="1" t="s">
        <v>37</v>
      </c>
      <c r="Q65" s="1" t="s">
        <v>38</v>
      </c>
      <c r="R65" s="3">
        <v>25.824</v>
      </c>
      <c r="S65" s="1">
        <v>9.0</v>
      </c>
      <c r="T65" s="4">
        <v>25.3</v>
      </c>
    </row>
    <row r="66">
      <c r="A66" s="1" t="s">
        <v>181</v>
      </c>
      <c r="B66" s="2">
        <v>42698.0</v>
      </c>
      <c r="C66" s="2" t="str">
        <f t="shared" si="1"/>
        <v>Nov</v>
      </c>
      <c r="D66" s="1" t="s">
        <v>182</v>
      </c>
      <c r="E66" s="1" t="s">
        <v>41</v>
      </c>
      <c r="F66" s="1" t="s">
        <v>183</v>
      </c>
      <c r="G66" s="1" t="s">
        <v>184</v>
      </c>
      <c r="H66" s="1" t="str">
        <f>IFERROR(__xludf.DUMMYFUNCTION("split(G66,"" "")"),"Kunst")</f>
        <v>Kunst</v>
      </c>
      <c r="I66" s="1" t="str">
        <f>IFERROR(__xludf.DUMMYFUNCTION("""COMPUTED_VALUE"""),"Miller")</f>
        <v>Miller</v>
      </c>
      <c r="J66" s="1" t="s">
        <v>23</v>
      </c>
      <c r="K66" s="1" t="s">
        <v>35</v>
      </c>
      <c r="L66" s="1" t="str">
        <f t="shared" si="2"/>
        <v>Los Angeles</v>
      </c>
      <c r="M66" s="1" t="s">
        <v>52</v>
      </c>
      <c r="N66" s="1" t="str">
        <f t="shared" si="3"/>
        <v>California</v>
      </c>
      <c r="O66" s="1">
        <v>90004.0</v>
      </c>
      <c r="P66" s="1" t="s">
        <v>37</v>
      </c>
      <c r="Q66" s="1" t="s">
        <v>38</v>
      </c>
      <c r="R66" s="3">
        <v>146.73</v>
      </c>
      <c r="S66" s="1">
        <v>9.0</v>
      </c>
      <c r="T66" s="4">
        <v>146.32</v>
      </c>
    </row>
    <row r="67">
      <c r="A67" s="1" t="s">
        <v>181</v>
      </c>
      <c r="B67" s="2">
        <v>42698.0</v>
      </c>
      <c r="C67" s="2" t="str">
        <f t="shared" si="1"/>
        <v>Nov</v>
      </c>
      <c r="D67" s="1" t="s">
        <v>182</v>
      </c>
      <c r="E67" s="1" t="s">
        <v>41</v>
      </c>
      <c r="F67" s="1" t="s">
        <v>183</v>
      </c>
      <c r="G67" s="1" t="s">
        <v>184</v>
      </c>
      <c r="H67" s="1" t="str">
        <f>IFERROR(__xludf.DUMMYFUNCTION("split(G67,"" "")"),"Kunst")</f>
        <v>Kunst</v>
      </c>
      <c r="I67" s="1" t="str">
        <f>IFERROR(__xludf.DUMMYFUNCTION("""COMPUTED_VALUE"""),"Miller")</f>
        <v>Miller</v>
      </c>
      <c r="J67" s="1" t="s">
        <v>23</v>
      </c>
      <c r="K67" s="1" t="s">
        <v>35</v>
      </c>
      <c r="L67" s="1" t="str">
        <f t="shared" si="2"/>
        <v>Los Angeles</v>
      </c>
      <c r="M67" s="1" t="s">
        <v>52</v>
      </c>
      <c r="N67" s="1" t="str">
        <f t="shared" si="3"/>
        <v>California</v>
      </c>
      <c r="O67" s="1">
        <v>90004.0</v>
      </c>
      <c r="P67" s="1" t="s">
        <v>37</v>
      </c>
      <c r="Q67" s="1" t="s">
        <v>27</v>
      </c>
      <c r="R67" s="3">
        <v>79.76</v>
      </c>
      <c r="S67" s="1">
        <v>9.0</v>
      </c>
      <c r="T67" s="4">
        <v>79.56</v>
      </c>
    </row>
    <row r="68">
      <c r="A68" s="1" t="s">
        <v>185</v>
      </c>
      <c r="B68" s="2">
        <v>42490.0</v>
      </c>
      <c r="C68" s="2" t="str">
        <f t="shared" si="1"/>
        <v>Apr</v>
      </c>
      <c r="D68" s="6">
        <v>42495.0</v>
      </c>
      <c r="E68" s="1" t="s">
        <v>41</v>
      </c>
      <c r="F68" s="1" t="s">
        <v>186</v>
      </c>
      <c r="G68" s="1" t="s">
        <v>187</v>
      </c>
      <c r="H68" s="1" t="str">
        <f>IFERROR(__xludf.DUMMYFUNCTION("split(G68,"" "")"),"Paul")</f>
        <v>Paul</v>
      </c>
      <c r="I68" s="1" t="str">
        <f>IFERROR(__xludf.DUMMYFUNCTION("""COMPUTED_VALUE"""),"Stevenson")</f>
        <v>Stevenson</v>
      </c>
      <c r="J68" s="1" t="s">
        <v>68</v>
      </c>
      <c r="K68" s="1" t="s">
        <v>188</v>
      </c>
      <c r="L68" s="1" t="str">
        <f t="shared" si="2"/>
        <v>Chicago</v>
      </c>
      <c r="M68" s="1" t="s">
        <v>135</v>
      </c>
      <c r="N68" s="1" t="str">
        <f t="shared" si="3"/>
        <v>Illinois</v>
      </c>
      <c r="O68" s="1">
        <v>60610.0</v>
      </c>
      <c r="P68" s="1" t="s">
        <v>71</v>
      </c>
      <c r="Q68" s="1" t="s">
        <v>27</v>
      </c>
      <c r="R68" s="3">
        <v>213.115</v>
      </c>
      <c r="S68" s="1">
        <v>6.0</v>
      </c>
      <c r="T68" s="4">
        <v>212.69</v>
      </c>
    </row>
    <row r="69">
      <c r="A69" s="1" t="s">
        <v>189</v>
      </c>
      <c r="B69" s="2">
        <v>42136.0</v>
      </c>
      <c r="C69" s="2" t="str">
        <f t="shared" si="1"/>
        <v>May</v>
      </c>
      <c r="D69" s="5">
        <v>42289.0</v>
      </c>
      <c r="E69" s="1" t="s">
        <v>41</v>
      </c>
      <c r="F69" s="1" t="s">
        <v>190</v>
      </c>
      <c r="G69" s="1" t="s">
        <v>191</v>
      </c>
      <c r="H69" s="1" t="str">
        <f>IFERROR(__xludf.DUMMYFUNCTION("split(G69,"" "")"),"Brendan")</f>
        <v>Brendan</v>
      </c>
      <c r="I69" s="1" t="str">
        <f>IFERROR(__xludf.DUMMYFUNCTION("""COMPUTED_VALUE"""),"Sweed")</f>
        <v>Sweed</v>
      </c>
      <c r="J69" s="1" t="s">
        <v>34</v>
      </c>
      <c r="K69" s="1" t="s">
        <v>192</v>
      </c>
      <c r="L69" s="1" t="str">
        <f t="shared" si="2"/>
        <v>Gilbert</v>
      </c>
      <c r="M69" s="1" t="s">
        <v>193</v>
      </c>
      <c r="N69" s="1" t="str">
        <f t="shared" si="3"/>
        <v>Arizona</v>
      </c>
      <c r="O69" s="1">
        <v>85234.0</v>
      </c>
      <c r="P69" s="1" t="s">
        <v>37</v>
      </c>
      <c r="Q69" s="1" t="s">
        <v>38</v>
      </c>
      <c r="R69" s="3">
        <v>1113.024</v>
      </c>
      <c r="S69" s="1">
        <v>8.0</v>
      </c>
      <c r="T69" s="4">
        <v>1112.23</v>
      </c>
    </row>
    <row r="70">
      <c r="A70" s="1" t="s">
        <v>189</v>
      </c>
      <c r="B70" s="2">
        <v>42136.0</v>
      </c>
      <c r="C70" s="2" t="str">
        <f t="shared" si="1"/>
        <v>May</v>
      </c>
      <c r="D70" s="5">
        <v>42289.0</v>
      </c>
      <c r="E70" s="1" t="s">
        <v>41</v>
      </c>
      <c r="F70" s="1" t="s">
        <v>190</v>
      </c>
      <c r="G70" s="1" t="s">
        <v>191</v>
      </c>
      <c r="H70" s="1" t="str">
        <f>IFERROR(__xludf.DUMMYFUNCTION("split(G70,"" "")"),"Brendan")</f>
        <v>Brendan</v>
      </c>
      <c r="I70" s="1" t="str">
        <f>IFERROR(__xludf.DUMMYFUNCTION("""COMPUTED_VALUE"""),"Sweed")</f>
        <v>Sweed</v>
      </c>
      <c r="J70" s="1" t="s">
        <v>34</v>
      </c>
      <c r="K70" s="1" t="s">
        <v>192</v>
      </c>
      <c r="L70" s="1" t="str">
        <f t="shared" si="2"/>
        <v>Gilbert</v>
      </c>
      <c r="M70" s="1" t="s">
        <v>193</v>
      </c>
      <c r="N70" s="1" t="str">
        <f t="shared" si="3"/>
        <v>Arizona</v>
      </c>
      <c r="O70" s="1">
        <v>85234.0</v>
      </c>
      <c r="P70" s="1" t="s">
        <v>37</v>
      </c>
      <c r="Q70" s="1" t="s">
        <v>51</v>
      </c>
      <c r="R70" s="3">
        <v>167.968</v>
      </c>
      <c r="S70" s="1">
        <v>8.0</v>
      </c>
      <c r="T70" s="4">
        <v>167.14</v>
      </c>
    </row>
    <row r="71">
      <c r="A71" s="1" t="s">
        <v>194</v>
      </c>
      <c r="B71" s="2">
        <v>42831.0</v>
      </c>
      <c r="C71" s="2" t="str">
        <f t="shared" si="1"/>
        <v>Apr</v>
      </c>
      <c r="D71" s="6">
        <v>42892.0</v>
      </c>
      <c r="E71" s="1" t="s">
        <v>121</v>
      </c>
      <c r="F71" s="1" t="s">
        <v>195</v>
      </c>
      <c r="G71" s="1" t="s">
        <v>196</v>
      </c>
      <c r="H71" s="1" t="str">
        <f>IFERROR(__xludf.DUMMYFUNCTION("split(G71,"" "")"),"Karen")</f>
        <v>Karen</v>
      </c>
      <c r="I71" s="1" t="str">
        <f>IFERROR(__xludf.DUMMYFUNCTION("""COMPUTED_VALUE"""),"Daniels")</f>
        <v>Daniels</v>
      </c>
      <c r="J71" s="1" t="s">
        <v>23</v>
      </c>
      <c r="K71" s="1" t="s">
        <v>197</v>
      </c>
      <c r="L71" s="1" t="str">
        <f t="shared" si="2"/>
        <v>Springfield</v>
      </c>
      <c r="M71" s="1" t="s">
        <v>198</v>
      </c>
      <c r="N71" s="1" t="str">
        <f t="shared" si="3"/>
        <v>Virginia</v>
      </c>
      <c r="O71" s="1">
        <v>22153.0</v>
      </c>
      <c r="P71" s="1" t="s">
        <v>26</v>
      </c>
      <c r="Q71" s="1" t="s">
        <v>38</v>
      </c>
      <c r="R71" s="3">
        <v>75.88</v>
      </c>
      <c r="S71" s="1">
        <v>2.0</v>
      </c>
      <c r="T71" s="4">
        <v>74.93</v>
      </c>
    </row>
    <row r="72">
      <c r="A72" s="1" t="s">
        <v>199</v>
      </c>
      <c r="B72" s="2">
        <v>42996.0</v>
      </c>
      <c r="C72" s="2" t="str">
        <f t="shared" si="1"/>
        <v>Sep</v>
      </c>
      <c r="D72" s="1" t="s">
        <v>200</v>
      </c>
      <c r="E72" s="1" t="s">
        <v>41</v>
      </c>
      <c r="F72" s="1" t="s">
        <v>201</v>
      </c>
      <c r="G72" s="1" t="s">
        <v>202</v>
      </c>
      <c r="H72" s="1" t="str">
        <f>IFERROR(__xludf.DUMMYFUNCTION("split(G72,"" "")"),"Henry")</f>
        <v>Henry</v>
      </c>
      <c r="I72" s="1" t="str">
        <f>IFERROR(__xludf.DUMMYFUNCTION("""COMPUTED_VALUE"""),"MacAllister")</f>
        <v>MacAllister</v>
      </c>
      <c r="J72" s="1" t="s">
        <v>23</v>
      </c>
      <c r="K72" s="1" t="s">
        <v>174</v>
      </c>
      <c r="L72" s="1" t="str">
        <f t="shared" si="2"/>
        <v>New York City</v>
      </c>
      <c r="M72" s="1" t="s">
        <v>175</v>
      </c>
      <c r="N72" s="1" t="str">
        <f t="shared" si="3"/>
        <v>New York</v>
      </c>
      <c r="O72" s="1">
        <v>10009.0</v>
      </c>
      <c r="P72" s="1" t="s">
        <v>100</v>
      </c>
      <c r="Q72" s="1" t="s">
        <v>38</v>
      </c>
      <c r="R72" s="3">
        <v>4.616</v>
      </c>
      <c r="S72" s="1">
        <v>1.0</v>
      </c>
      <c r="T72" s="4">
        <v>3.87</v>
      </c>
    </row>
    <row r="73">
      <c r="A73" s="1" t="s">
        <v>203</v>
      </c>
      <c r="B73" s="2">
        <v>43357.0</v>
      </c>
      <c r="C73" s="2" t="str">
        <f t="shared" si="1"/>
        <v>Sep</v>
      </c>
      <c r="D73" s="1" t="s">
        <v>204</v>
      </c>
      <c r="E73" s="1" t="s">
        <v>20</v>
      </c>
      <c r="F73" s="1" t="s">
        <v>112</v>
      </c>
      <c r="G73" s="1" t="s">
        <v>113</v>
      </c>
      <c r="H73" s="1" t="str">
        <f>IFERROR(__xludf.DUMMYFUNCTION("split(G73,"" "")"),"Tracy")</f>
        <v>Tracy</v>
      </c>
      <c r="I73" s="1" t="str">
        <f>IFERROR(__xludf.DUMMYFUNCTION("""COMPUTED_VALUE"""),"Blumstein")</f>
        <v>Blumstein</v>
      </c>
      <c r="J73" s="1" t="s">
        <v>23</v>
      </c>
      <c r="K73" s="1" t="s">
        <v>205</v>
      </c>
      <c r="L73" s="1" t="str">
        <f t="shared" si="2"/>
        <v>Jackson</v>
      </c>
      <c r="M73" s="1" t="s">
        <v>157</v>
      </c>
      <c r="N73" s="1" t="str">
        <f t="shared" si="3"/>
        <v>Michigan</v>
      </c>
      <c r="O73" s="1">
        <v>49201.0</v>
      </c>
      <c r="P73" s="1" t="s">
        <v>71</v>
      </c>
      <c r="Q73" s="1" t="s">
        <v>38</v>
      </c>
      <c r="R73" s="3">
        <v>19.05</v>
      </c>
      <c r="S73" s="1">
        <v>4.0</v>
      </c>
      <c r="T73" s="4">
        <v>18.79</v>
      </c>
    </row>
    <row r="74">
      <c r="A74" s="1" t="s">
        <v>206</v>
      </c>
      <c r="B74" s="2">
        <v>42486.0</v>
      </c>
      <c r="C74" s="2" t="str">
        <f t="shared" si="1"/>
        <v>Apr</v>
      </c>
      <c r="D74" s="6">
        <v>42405.0</v>
      </c>
      <c r="E74" s="1" t="s">
        <v>41</v>
      </c>
      <c r="F74" s="1" t="s">
        <v>207</v>
      </c>
      <c r="G74" s="1" t="s">
        <v>208</v>
      </c>
      <c r="H74" s="1" t="str">
        <f>IFERROR(__xludf.DUMMYFUNCTION("split(G74,"" "")"),"Joel")</f>
        <v>Joel</v>
      </c>
      <c r="I74" s="1" t="str">
        <f>IFERROR(__xludf.DUMMYFUNCTION("""COMPUTED_VALUE"""),"Eaton")</f>
        <v>Eaton</v>
      </c>
      <c r="J74" s="1" t="s">
        <v>23</v>
      </c>
      <c r="K74" s="1" t="s">
        <v>209</v>
      </c>
      <c r="L74" s="1" t="str">
        <f t="shared" si="2"/>
        <v>Memphis</v>
      </c>
      <c r="M74" s="1" t="s">
        <v>210</v>
      </c>
      <c r="N74" s="1" t="str">
        <f t="shared" si="3"/>
        <v>Tennessee</v>
      </c>
      <c r="O74" s="1">
        <v>38109.0</v>
      </c>
      <c r="P74" s="1" t="s">
        <v>26</v>
      </c>
      <c r="Q74" s="1" t="s">
        <v>27</v>
      </c>
      <c r="R74" s="3">
        <v>831.936</v>
      </c>
      <c r="S74" s="1">
        <v>3.0</v>
      </c>
      <c r="T74" s="4">
        <v>831.72</v>
      </c>
    </row>
    <row r="75">
      <c r="A75" s="1" t="s">
        <v>206</v>
      </c>
      <c r="B75" s="2">
        <v>42486.0</v>
      </c>
      <c r="C75" s="2" t="str">
        <f t="shared" si="1"/>
        <v>Apr</v>
      </c>
      <c r="D75" s="6">
        <v>42405.0</v>
      </c>
      <c r="E75" s="1" t="s">
        <v>41</v>
      </c>
      <c r="F75" s="1" t="s">
        <v>207</v>
      </c>
      <c r="G75" s="1" t="s">
        <v>208</v>
      </c>
      <c r="H75" s="1" t="str">
        <f>IFERROR(__xludf.DUMMYFUNCTION("split(G75,"" "")"),"Joel")</f>
        <v>Joel</v>
      </c>
      <c r="I75" s="1" t="str">
        <f>IFERROR(__xludf.DUMMYFUNCTION("""COMPUTED_VALUE"""),"Eaton")</f>
        <v>Eaton</v>
      </c>
      <c r="J75" s="1" t="s">
        <v>23</v>
      </c>
      <c r="K75" s="1" t="s">
        <v>209</v>
      </c>
      <c r="L75" s="1" t="str">
        <f t="shared" si="2"/>
        <v>Memphis</v>
      </c>
      <c r="M75" s="1" t="s">
        <v>210</v>
      </c>
      <c r="N75" s="1" t="str">
        <f t="shared" si="3"/>
        <v>Tennessee</v>
      </c>
      <c r="O75" s="1">
        <v>38109.0</v>
      </c>
      <c r="P75" s="1" t="s">
        <v>26</v>
      </c>
      <c r="Q75" s="1" t="s">
        <v>27</v>
      </c>
      <c r="R75" s="3">
        <v>97.04</v>
      </c>
      <c r="S75" s="1">
        <v>3.0</v>
      </c>
      <c r="T75" s="4">
        <v>96.98</v>
      </c>
    </row>
    <row r="76">
      <c r="A76" s="1" t="s">
        <v>206</v>
      </c>
      <c r="B76" s="2">
        <v>42486.0</v>
      </c>
      <c r="C76" s="2" t="str">
        <f t="shared" si="1"/>
        <v>Apr</v>
      </c>
      <c r="D76" s="6">
        <v>42405.0</v>
      </c>
      <c r="E76" s="1" t="s">
        <v>41</v>
      </c>
      <c r="F76" s="1" t="s">
        <v>207</v>
      </c>
      <c r="G76" s="1" t="s">
        <v>208</v>
      </c>
      <c r="H76" s="1" t="str">
        <f>IFERROR(__xludf.DUMMYFUNCTION("split(G76,"" "")"),"Joel")</f>
        <v>Joel</v>
      </c>
      <c r="I76" s="1" t="str">
        <f>IFERROR(__xludf.DUMMYFUNCTION("""COMPUTED_VALUE"""),"Eaton")</f>
        <v>Eaton</v>
      </c>
      <c r="J76" s="1" t="s">
        <v>23</v>
      </c>
      <c r="K76" s="1" t="s">
        <v>209</v>
      </c>
      <c r="L76" s="1" t="str">
        <f t="shared" si="2"/>
        <v>Memphis</v>
      </c>
      <c r="M76" s="1" t="s">
        <v>210</v>
      </c>
      <c r="N76" s="1" t="str">
        <f t="shared" si="3"/>
        <v>Tennessee</v>
      </c>
      <c r="O76" s="1">
        <v>38109.0</v>
      </c>
      <c r="P76" s="1" t="s">
        <v>26</v>
      </c>
      <c r="Q76" s="1" t="s">
        <v>38</v>
      </c>
      <c r="R76" s="3">
        <v>72.784</v>
      </c>
      <c r="S76" s="1">
        <v>3.0</v>
      </c>
      <c r="T76" s="4">
        <v>72.57</v>
      </c>
    </row>
    <row r="77">
      <c r="A77" s="1" t="s">
        <v>211</v>
      </c>
      <c r="B77" s="2">
        <v>43355.0</v>
      </c>
      <c r="C77" s="2" t="str">
        <f t="shared" si="1"/>
        <v>Sep</v>
      </c>
      <c r="D77" s="5">
        <v>43416.0</v>
      </c>
      <c r="E77" s="1" t="s">
        <v>121</v>
      </c>
      <c r="F77" s="1" t="s">
        <v>212</v>
      </c>
      <c r="G77" s="1" t="s">
        <v>213</v>
      </c>
      <c r="H77" s="1" t="str">
        <f>IFERROR(__xludf.DUMMYFUNCTION("split(G77,"" "")"),"Ken")</f>
        <v>Ken</v>
      </c>
      <c r="I77" s="1" t="str">
        <f>IFERROR(__xludf.DUMMYFUNCTION("""COMPUTED_VALUE"""),"Brennan")</f>
        <v>Brennan</v>
      </c>
      <c r="J77" s="1" t="s">
        <v>34</v>
      </c>
      <c r="K77" s="1" t="s">
        <v>129</v>
      </c>
      <c r="L77" s="1" t="str">
        <f t="shared" si="2"/>
        <v>Houston</v>
      </c>
      <c r="M77" s="1" t="s">
        <v>70</v>
      </c>
      <c r="N77" s="1" t="str">
        <f t="shared" si="3"/>
        <v>Texas</v>
      </c>
      <c r="O77" s="1">
        <v>77041.0</v>
      </c>
      <c r="P77" s="1" t="s">
        <v>71</v>
      </c>
      <c r="Q77" s="1" t="s">
        <v>38</v>
      </c>
      <c r="R77" s="3">
        <v>1.248</v>
      </c>
      <c r="S77" s="1">
        <v>7.0</v>
      </c>
      <c r="T77" s="4">
        <v>0.33</v>
      </c>
    </row>
    <row r="78">
      <c r="A78" s="1" t="s">
        <v>211</v>
      </c>
      <c r="B78" s="2">
        <v>43355.0</v>
      </c>
      <c r="C78" s="2" t="str">
        <f t="shared" si="1"/>
        <v>Sep</v>
      </c>
      <c r="D78" s="5">
        <v>43416.0</v>
      </c>
      <c r="E78" s="1" t="s">
        <v>121</v>
      </c>
      <c r="F78" s="1" t="s">
        <v>212</v>
      </c>
      <c r="G78" s="1" t="s">
        <v>213</v>
      </c>
      <c r="H78" s="1" t="str">
        <f>IFERROR(__xludf.DUMMYFUNCTION("split(G78,"" "")"),"Ken")</f>
        <v>Ken</v>
      </c>
      <c r="I78" s="1" t="str">
        <f>IFERROR(__xludf.DUMMYFUNCTION("""COMPUTED_VALUE"""),"Brennan")</f>
        <v>Brennan</v>
      </c>
      <c r="J78" s="1" t="s">
        <v>34</v>
      </c>
      <c r="K78" s="1" t="s">
        <v>129</v>
      </c>
      <c r="L78" s="1" t="str">
        <f t="shared" si="2"/>
        <v>Houston</v>
      </c>
      <c r="M78" s="1" t="s">
        <v>70</v>
      </c>
      <c r="N78" s="1" t="str">
        <f t="shared" si="3"/>
        <v>Texas</v>
      </c>
      <c r="O78" s="1">
        <v>77041.0</v>
      </c>
      <c r="P78" s="1" t="s">
        <v>71</v>
      </c>
      <c r="Q78" s="1" t="s">
        <v>27</v>
      </c>
      <c r="R78" s="3">
        <v>9.708</v>
      </c>
      <c r="S78" s="1">
        <v>7.0</v>
      </c>
      <c r="T78" s="4">
        <v>8.88</v>
      </c>
    </row>
    <row r="79">
      <c r="A79" s="1" t="s">
        <v>211</v>
      </c>
      <c r="B79" s="2">
        <v>43355.0</v>
      </c>
      <c r="C79" s="2" t="str">
        <f t="shared" si="1"/>
        <v>Sep</v>
      </c>
      <c r="D79" s="5">
        <v>43416.0</v>
      </c>
      <c r="E79" s="1" t="s">
        <v>121</v>
      </c>
      <c r="F79" s="1" t="s">
        <v>212</v>
      </c>
      <c r="G79" s="1" t="s">
        <v>213</v>
      </c>
      <c r="H79" s="1" t="str">
        <f>IFERROR(__xludf.DUMMYFUNCTION("split(G79,"" "")"),"Ken")</f>
        <v>Ken</v>
      </c>
      <c r="I79" s="1" t="str">
        <f>IFERROR(__xludf.DUMMYFUNCTION("""COMPUTED_VALUE"""),"Brennan")</f>
        <v>Brennan</v>
      </c>
      <c r="J79" s="1" t="s">
        <v>34</v>
      </c>
      <c r="K79" s="1" t="s">
        <v>129</v>
      </c>
      <c r="L79" s="1" t="str">
        <f t="shared" si="2"/>
        <v>Houston</v>
      </c>
      <c r="M79" s="1" t="s">
        <v>70</v>
      </c>
      <c r="N79" s="1" t="str">
        <f t="shared" si="3"/>
        <v>Texas</v>
      </c>
      <c r="O79" s="1">
        <v>77041.0</v>
      </c>
      <c r="P79" s="1" t="s">
        <v>71</v>
      </c>
      <c r="Q79" s="1" t="s">
        <v>38</v>
      </c>
      <c r="R79" s="3">
        <v>27.24</v>
      </c>
      <c r="S79" s="1">
        <v>7.0</v>
      </c>
      <c r="T79" s="4">
        <v>26.58</v>
      </c>
    </row>
    <row r="80">
      <c r="A80" s="1" t="s">
        <v>214</v>
      </c>
      <c r="B80" s="2">
        <v>42334.0</v>
      </c>
      <c r="C80" s="2" t="str">
        <f t="shared" si="1"/>
        <v>Nov</v>
      </c>
      <c r="D80" s="6">
        <v>42016.0</v>
      </c>
      <c r="E80" s="1" t="s">
        <v>20</v>
      </c>
      <c r="F80" s="1" t="s">
        <v>207</v>
      </c>
      <c r="G80" s="1" t="s">
        <v>208</v>
      </c>
      <c r="H80" s="1" t="str">
        <f>IFERROR(__xludf.DUMMYFUNCTION("split(G80,"" "")"),"Joel")</f>
        <v>Joel</v>
      </c>
      <c r="I80" s="1" t="str">
        <f>IFERROR(__xludf.DUMMYFUNCTION("""COMPUTED_VALUE"""),"Eaton")</f>
        <v>Eaton</v>
      </c>
      <c r="J80" s="1" t="s">
        <v>23</v>
      </c>
      <c r="K80" s="1" t="s">
        <v>129</v>
      </c>
      <c r="L80" s="1" t="str">
        <f t="shared" si="2"/>
        <v>Houston</v>
      </c>
      <c r="M80" s="1" t="s">
        <v>70</v>
      </c>
      <c r="N80" s="1" t="str">
        <f t="shared" si="3"/>
        <v>Texas</v>
      </c>
      <c r="O80" s="1">
        <v>77070.0</v>
      </c>
      <c r="P80" s="1" t="s">
        <v>71</v>
      </c>
      <c r="Q80" s="1" t="s">
        <v>27</v>
      </c>
      <c r="R80" s="3">
        <v>19.3</v>
      </c>
      <c r="S80" s="1">
        <v>7.0</v>
      </c>
      <c r="T80" s="4">
        <v>18.65</v>
      </c>
    </row>
    <row r="81">
      <c r="A81" s="1" t="s">
        <v>215</v>
      </c>
      <c r="B81" s="2">
        <v>43075.0</v>
      </c>
      <c r="C81" s="2" t="str">
        <f t="shared" si="1"/>
        <v>Dec</v>
      </c>
      <c r="D81" s="1" t="s">
        <v>216</v>
      </c>
      <c r="E81" s="1" t="s">
        <v>121</v>
      </c>
      <c r="F81" s="1" t="s">
        <v>217</v>
      </c>
      <c r="G81" s="1" t="s">
        <v>218</v>
      </c>
      <c r="H81" s="1" t="str">
        <f>IFERROR(__xludf.DUMMYFUNCTION("split(G81,"" "")"),"Stewart")</f>
        <v>Stewart</v>
      </c>
      <c r="I81" s="1" t="str">
        <f>IFERROR(__xludf.DUMMYFUNCTION("""COMPUTED_VALUE"""),"Carmichael")</f>
        <v>Carmichael</v>
      </c>
      <c r="J81" s="1" t="s">
        <v>34</v>
      </c>
      <c r="K81" s="1" t="s">
        <v>219</v>
      </c>
      <c r="L81" s="1" t="str">
        <f t="shared" si="2"/>
        <v>Decatur</v>
      </c>
      <c r="M81" s="1" t="s">
        <v>220</v>
      </c>
      <c r="N81" s="1" t="str">
        <f t="shared" si="3"/>
        <v>Alabama</v>
      </c>
      <c r="O81" s="1">
        <v>35601.0</v>
      </c>
      <c r="P81" s="1" t="s">
        <v>26</v>
      </c>
      <c r="Q81" s="1" t="s">
        <v>38</v>
      </c>
      <c r="R81" s="3">
        <v>208.16</v>
      </c>
      <c r="S81" s="1">
        <v>3.0</v>
      </c>
      <c r="T81" s="4">
        <v>208.11</v>
      </c>
    </row>
    <row r="82">
      <c r="A82" s="1" t="s">
        <v>215</v>
      </c>
      <c r="B82" s="2">
        <v>43075.0</v>
      </c>
      <c r="C82" s="2" t="str">
        <f t="shared" si="1"/>
        <v>Dec</v>
      </c>
      <c r="D82" s="1" t="s">
        <v>216</v>
      </c>
      <c r="E82" s="1" t="s">
        <v>121</v>
      </c>
      <c r="F82" s="1" t="s">
        <v>217</v>
      </c>
      <c r="G82" s="1" t="s">
        <v>218</v>
      </c>
      <c r="H82" s="1" t="str">
        <f>IFERROR(__xludf.DUMMYFUNCTION("split(G82,"" "")"),"Stewart")</f>
        <v>Stewart</v>
      </c>
      <c r="I82" s="1" t="str">
        <f>IFERROR(__xludf.DUMMYFUNCTION("""COMPUTED_VALUE"""),"Carmichael")</f>
        <v>Carmichael</v>
      </c>
      <c r="J82" s="1" t="s">
        <v>34</v>
      </c>
      <c r="K82" s="1" t="s">
        <v>219</v>
      </c>
      <c r="L82" s="1" t="str">
        <f t="shared" si="2"/>
        <v>Decatur</v>
      </c>
      <c r="M82" s="1" t="s">
        <v>220</v>
      </c>
      <c r="N82" s="1" t="str">
        <f t="shared" si="3"/>
        <v>Alabama</v>
      </c>
      <c r="O82" s="1">
        <v>35601.0</v>
      </c>
      <c r="P82" s="1" t="s">
        <v>26</v>
      </c>
      <c r="Q82" s="1" t="s">
        <v>38</v>
      </c>
      <c r="R82" s="3">
        <v>16.74</v>
      </c>
      <c r="S82" s="1">
        <v>3.0</v>
      </c>
      <c r="T82" s="4">
        <v>16.28</v>
      </c>
    </row>
    <row r="83">
      <c r="A83" s="1" t="s">
        <v>221</v>
      </c>
      <c r="B83" s="2">
        <v>42348.0</v>
      </c>
      <c r="C83" s="2" t="str">
        <f t="shared" si="1"/>
        <v>Dec</v>
      </c>
      <c r="D83" s="1" t="s">
        <v>222</v>
      </c>
      <c r="E83" s="1" t="s">
        <v>41</v>
      </c>
      <c r="F83" s="1" t="s">
        <v>223</v>
      </c>
      <c r="G83" s="1" t="s">
        <v>224</v>
      </c>
      <c r="H83" s="1" t="str">
        <f>IFERROR(__xludf.DUMMYFUNCTION("split(G83,"" "")"),"Duane")</f>
        <v>Duane</v>
      </c>
      <c r="I83" s="1" t="str">
        <f>IFERROR(__xludf.DUMMYFUNCTION("""COMPUTED_VALUE"""),"Noonan")</f>
        <v>Noonan</v>
      </c>
      <c r="J83" s="1" t="s">
        <v>23</v>
      </c>
      <c r="K83" s="1" t="s">
        <v>87</v>
      </c>
      <c r="L83" s="1" t="str">
        <f t="shared" si="2"/>
        <v>San Francisco</v>
      </c>
      <c r="M83" s="1" t="s">
        <v>52</v>
      </c>
      <c r="N83" s="1" t="str">
        <f t="shared" si="3"/>
        <v>California</v>
      </c>
      <c r="O83" s="1">
        <v>94122.0</v>
      </c>
      <c r="P83" s="1" t="s">
        <v>37</v>
      </c>
      <c r="Q83" s="1" t="s">
        <v>38</v>
      </c>
      <c r="R83" s="3">
        <v>14.9</v>
      </c>
      <c r="S83" s="1">
        <v>9.0</v>
      </c>
      <c r="T83" s="4">
        <v>14.61</v>
      </c>
    </row>
    <row r="84">
      <c r="A84" s="1" t="s">
        <v>221</v>
      </c>
      <c r="B84" s="2">
        <v>42348.0</v>
      </c>
      <c r="C84" s="2" t="str">
        <f t="shared" si="1"/>
        <v>Dec</v>
      </c>
      <c r="D84" s="1" t="s">
        <v>222</v>
      </c>
      <c r="E84" s="1" t="s">
        <v>41</v>
      </c>
      <c r="F84" s="1" t="s">
        <v>223</v>
      </c>
      <c r="G84" s="1" t="s">
        <v>224</v>
      </c>
      <c r="H84" s="1" t="str">
        <f>IFERROR(__xludf.DUMMYFUNCTION("split(G84,"" "")"),"Duane")</f>
        <v>Duane</v>
      </c>
      <c r="I84" s="1" t="str">
        <f>IFERROR(__xludf.DUMMYFUNCTION("""COMPUTED_VALUE"""),"Noonan")</f>
        <v>Noonan</v>
      </c>
      <c r="J84" s="1" t="s">
        <v>23</v>
      </c>
      <c r="K84" s="1" t="s">
        <v>87</v>
      </c>
      <c r="L84" s="1" t="str">
        <f t="shared" si="2"/>
        <v>San Francisco</v>
      </c>
      <c r="M84" s="1" t="s">
        <v>52</v>
      </c>
      <c r="N84" s="1" t="str">
        <f t="shared" si="3"/>
        <v>California</v>
      </c>
      <c r="O84" s="1">
        <v>94122.0</v>
      </c>
      <c r="P84" s="1" t="s">
        <v>37</v>
      </c>
      <c r="Q84" s="1" t="s">
        <v>38</v>
      </c>
      <c r="R84" s="3">
        <v>21.39</v>
      </c>
      <c r="S84" s="1">
        <v>9.0</v>
      </c>
      <c r="T84" s="4">
        <v>20.68</v>
      </c>
    </row>
    <row r="85">
      <c r="A85" s="1" t="s">
        <v>225</v>
      </c>
      <c r="B85" s="2">
        <v>42438.0</v>
      </c>
      <c r="C85" s="2" t="str">
        <f t="shared" si="1"/>
        <v>Mar</v>
      </c>
      <c r="D85" s="6">
        <v>42591.0</v>
      </c>
      <c r="E85" s="1" t="s">
        <v>41</v>
      </c>
      <c r="F85" s="1" t="s">
        <v>226</v>
      </c>
      <c r="G85" s="1" t="s">
        <v>227</v>
      </c>
      <c r="H85" s="1" t="str">
        <f>IFERROR(__xludf.DUMMYFUNCTION("split(G85,"" "")"),"Julie")</f>
        <v>Julie</v>
      </c>
      <c r="I85" s="1" t="str">
        <f>IFERROR(__xludf.DUMMYFUNCTION("""COMPUTED_VALUE"""),"Creighton")</f>
        <v>Creighton</v>
      </c>
      <c r="J85" s="1" t="s">
        <v>34</v>
      </c>
      <c r="K85" s="1" t="s">
        <v>228</v>
      </c>
      <c r="L85" s="1" t="str">
        <f t="shared" si="2"/>
        <v>Durham</v>
      </c>
      <c r="M85" s="1" t="s">
        <v>58</v>
      </c>
      <c r="N85" s="1" t="str">
        <f t="shared" si="3"/>
        <v>North Carolina</v>
      </c>
      <c r="O85" s="1">
        <v>27707.0</v>
      </c>
      <c r="P85" s="1" t="s">
        <v>26</v>
      </c>
      <c r="Q85" s="1" t="s">
        <v>38</v>
      </c>
      <c r="R85" s="3">
        <v>200.984</v>
      </c>
      <c r="S85" s="1">
        <v>2.0</v>
      </c>
      <c r="T85" s="4">
        <v>200.44</v>
      </c>
    </row>
    <row r="86">
      <c r="A86" s="1" t="s">
        <v>229</v>
      </c>
      <c r="B86" s="2">
        <v>43417.0</v>
      </c>
      <c r="C86" s="2" t="str">
        <f t="shared" si="1"/>
        <v>Nov</v>
      </c>
      <c r="D86" s="1" t="s">
        <v>230</v>
      </c>
      <c r="E86" s="1" t="s">
        <v>121</v>
      </c>
      <c r="F86" s="1" t="s">
        <v>231</v>
      </c>
      <c r="G86" s="1" t="s">
        <v>232</v>
      </c>
      <c r="H86" s="1" t="str">
        <f>IFERROR(__xludf.DUMMYFUNCTION("split(G86,"" "")"),"Christopher")</f>
        <v>Christopher</v>
      </c>
      <c r="I86" s="1" t="str">
        <f>IFERROR(__xludf.DUMMYFUNCTION("""COMPUTED_VALUE"""),"Schild")</f>
        <v>Schild</v>
      </c>
      <c r="J86" s="1" t="s">
        <v>68</v>
      </c>
      <c r="K86" s="1" t="s">
        <v>188</v>
      </c>
      <c r="L86" s="1" t="str">
        <f t="shared" si="2"/>
        <v>Chicago</v>
      </c>
      <c r="M86" s="1" t="s">
        <v>135</v>
      </c>
      <c r="N86" s="1" t="str">
        <f t="shared" si="3"/>
        <v>Illinois</v>
      </c>
      <c r="O86" s="1">
        <v>60623.0</v>
      </c>
      <c r="P86" s="1" t="s">
        <v>71</v>
      </c>
      <c r="Q86" s="1" t="s">
        <v>38</v>
      </c>
      <c r="R86" s="3">
        <v>230.376</v>
      </c>
      <c r="S86" s="1">
        <v>6.0</v>
      </c>
      <c r="T86" s="4">
        <v>229.82</v>
      </c>
    </row>
    <row r="87">
      <c r="A87" s="1" t="s">
        <v>233</v>
      </c>
      <c r="B87" s="2">
        <v>43248.0</v>
      </c>
      <c r="C87" s="2" t="str">
        <f t="shared" si="1"/>
        <v>May</v>
      </c>
      <c r="D87" s="1" t="s">
        <v>234</v>
      </c>
      <c r="E87" s="1" t="s">
        <v>20</v>
      </c>
      <c r="F87" s="1" t="s">
        <v>154</v>
      </c>
      <c r="G87" s="1" t="s">
        <v>155</v>
      </c>
      <c r="H87" s="1" t="str">
        <f>IFERROR(__xludf.DUMMYFUNCTION("split(G87,"" "")"),"Patrick")</f>
        <v>Patrick</v>
      </c>
      <c r="I87" s="1" t="str">
        <f>IFERROR(__xludf.DUMMYFUNCTION("""COMPUTED_VALUE"""),"O'Donnell")</f>
        <v>O'Donnell</v>
      </c>
      <c r="J87" s="1" t="s">
        <v>23</v>
      </c>
      <c r="K87" s="1" t="s">
        <v>235</v>
      </c>
      <c r="L87" s="1" t="str">
        <f t="shared" si="2"/>
        <v>Columbia</v>
      </c>
      <c r="M87" s="1" t="s">
        <v>236</v>
      </c>
      <c r="N87" s="1" t="str">
        <f t="shared" si="3"/>
        <v>South Carolina</v>
      </c>
      <c r="O87" s="1">
        <v>29203.0</v>
      </c>
      <c r="P87" s="1" t="s">
        <v>26</v>
      </c>
      <c r="Q87" s="1" t="s">
        <v>27</v>
      </c>
      <c r="R87" s="3">
        <v>301.96</v>
      </c>
      <c r="S87" s="1">
        <v>2.0</v>
      </c>
      <c r="T87" s="4">
        <v>301.07</v>
      </c>
    </row>
    <row r="88">
      <c r="A88" s="1" t="s">
        <v>237</v>
      </c>
      <c r="B88" s="2">
        <v>43399.0</v>
      </c>
      <c r="C88" s="2" t="str">
        <f t="shared" si="1"/>
        <v>Oct</v>
      </c>
      <c r="D88" s="6">
        <v>43142.0</v>
      </c>
      <c r="E88" s="1" t="s">
        <v>41</v>
      </c>
      <c r="F88" s="1" t="s">
        <v>238</v>
      </c>
      <c r="G88" s="1" t="s">
        <v>239</v>
      </c>
      <c r="H88" s="1" t="str">
        <f>IFERROR(__xludf.DUMMYFUNCTION("split(G88,"" "")"),"Paul")</f>
        <v>Paul</v>
      </c>
      <c r="I88" s="1" t="str">
        <f>IFERROR(__xludf.DUMMYFUNCTION("""COMPUTED_VALUE"""),"Gonzalez")</f>
        <v>Gonzalez</v>
      </c>
      <c r="J88" s="1" t="s">
        <v>23</v>
      </c>
      <c r="K88" s="1" t="s">
        <v>240</v>
      </c>
      <c r="L88" s="1" t="str">
        <f t="shared" si="2"/>
        <v>Rochester</v>
      </c>
      <c r="M88" s="1" t="s">
        <v>151</v>
      </c>
      <c r="N88" s="1" t="str">
        <f t="shared" si="3"/>
        <v>Minnesota</v>
      </c>
      <c r="O88" s="1">
        <v>55901.0</v>
      </c>
      <c r="P88" s="1" t="s">
        <v>71</v>
      </c>
      <c r="Q88" s="1" t="s">
        <v>51</v>
      </c>
      <c r="R88" s="3">
        <v>19.99</v>
      </c>
      <c r="S88" s="1">
        <v>5.0</v>
      </c>
      <c r="T88" s="4">
        <v>19.77</v>
      </c>
    </row>
    <row r="89">
      <c r="A89" s="1" t="s">
        <v>237</v>
      </c>
      <c r="B89" s="2">
        <v>43399.0</v>
      </c>
      <c r="C89" s="2" t="str">
        <f t="shared" si="1"/>
        <v>Oct</v>
      </c>
      <c r="D89" s="6">
        <v>43142.0</v>
      </c>
      <c r="E89" s="1" t="s">
        <v>41</v>
      </c>
      <c r="F89" s="1" t="s">
        <v>238</v>
      </c>
      <c r="G89" s="1" t="s">
        <v>239</v>
      </c>
      <c r="H89" s="1" t="str">
        <f>IFERROR(__xludf.DUMMYFUNCTION("split(G89,"" "")"),"Paul")</f>
        <v>Paul</v>
      </c>
      <c r="I89" s="1" t="str">
        <f>IFERROR(__xludf.DUMMYFUNCTION("""COMPUTED_VALUE"""),"Gonzalez")</f>
        <v>Gonzalez</v>
      </c>
      <c r="J89" s="1" t="s">
        <v>23</v>
      </c>
      <c r="K89" s="1" t="s">
        <v>240</v>
      </c>
      <c r="L89" s="1" t="str">
        <f t="shared" si="2"/>
        <v>Rochester</v>
      </c>
      <c r="M89" s="1" t="s">
        <v>151</v>
      </c>
      <c r="N89" s="1" t="str">
        <f t="shared" si="3"/>
        <v>Minnesota</v>
      </c>
      <c r="O89" s="1">
        <v>55901.0</v>
      </c>
      <c r="P89" s="1" t="s">
        <v>71</v>
      </c>
      <c r="Q89" s="1" t="s">
        <v>38</v>
      </c>
      <c r="R89" s="3">
        <v>6.16</v>
      </c>
      <c r="S89" s="1">
        <v>5.0</v>
      </c>
      <c r="T89" s="4">
        <v>5.27</v>
      </c>
    </row>
    <row r="90">
      <c r="A90" s="1" t="s">
        <v>241</v>
      </c>
      <c r="B90" s="2">
        <v>42859.0</v>
      </c>
      <c r="C90" s="2" t="str">
        <f t="shared" si="1"/>
        <v>May</v>
      </c>
      <c r="D90" s="6">
        <v>43012.0</v>
      </c>
      <c r="E90" s="1" t="s">
        <v>20</v>
      </c>
      <c r="F90" s="1" t="s">
        <v>242</v>
      </c>
      <c r="G90" s="1" t="s">
        <v>243</v>
      </c>
      <c r="H90" s="1" t="str">
        <f>IFERROR(__xludf.DUMMYFUNCTION("split(G90,"" "")"),"Gary")</f>
        <v>Gary</v>
      </c>
      <c r="I90" s="1" t="str">
        <f>IFERROR(__xludf.DUMMYFUNCTION("""COMPUTED_VALUE"""),"Mitchum")</f>
        <v>Mitchum</v>
      </c>
      <c r="J90" s="1" t="s">
        <v>68</v>
      </c>
      <c r="K90" s="1" t="s">
        <v>129</v>
      </c>
      <c r="L90" s="1" t="str">
        <f t="shared" si="2"/>
        <v>Houston</v>
      </c>
      <c r="M90" s="1" t="s">
        <v>70</v>
      </c>
      <c r="N90" s="1" t="str">
        <f t="shared" si="3"/>
        <v>Texas</v>
      </c>
      <c r="O90" s="1">
        <v>77095.0</v>
      </c>
      <c r="P90" s="1" t="s">
        <v>71</v>
      </c>
      <c r="Q90" s="1" t="s">
        <v>38</v>
      </c>
      <c r="R90" s="3">
        <v>158.368</v>
      </c>
      <c r="S90" s="1">
        <v>7.0</v>
      </c>
      <c r="T90" s="4">
        <v>158.13</v>
      </c>
    </row>
    <row r="91">
      <c r="A91" s="1" t="s">
        <v>244</v>
      </c>
      <c r="B91" s="2">
        <v>42995.0</v>
      </c>
      <c r="C91" s="2" t="str">
        <f t="shared" si="1"/>
        <v>Sep</v>
      </c>
      <c r="D91" s="1" t="s">
        <v>245</v>
      </c>
      <c r="E91" s="1" t="s">
        <v>41</v>
      </c>
      <c r="F91" s="1" t="s">
        <v>246</v>
      </c>
      <c r="G91" s="1" t="s">
        <v>247</v>
      </c>
      <c r="H91" s="1" t="str">
        <f>IFERROR(__xludf.DUMMYFUNCTION("split(G91,"" "")"),"Jim")</f>
        <v>Jim</v>
      </c>
      <c r="I91" s="1" t="str">
        <f>IFERROR(__xludf.DUMMYFUNCTION("""COMPUTED_VALUE"""),"Sink")</f>
        <v>Sink</v>
      </c>
      <c r="J91" s="1" t="s">
        <v>34</v>
      </c>
      <c r="K91" s="1" t="s">
        <v>35</v>
      </c>
      <c r="L91" s="1" t="str">
        <f t="shared" si="2"/>
        <v>Los Angeles</v>
      </c>
      <c r="M91" s="1" t="s">
        <v>52</v>
      </c>
      <c r="N91" s="1" t="str">
        <f t="shared" si="3"/>
        <v>California</v>
      </c>
      <c r="O91" s="1">
        <v>90036.0</v>
      </c>
      <c r="P91" s="1" t="s">
        <v>37</v>
      </c>
      <c r="Q91" s="1" t="s">
        <v>38</v>
      </c>
      <c r="R91" s="3">
        <v>20.1</v>
      </c>
      <c r="S91" s="1">
        <v>9.0</v>
      </c>
      <c r="T91" s="4">
        <v>19.41</v>
      </c>
    </row>
    <row r="92">
      <c r="A92" s="1" t="s">
        <v>244</v>
      </c>
      <c r="B92" s="2">
        <v>42995.0</v>
      </c>
      <c r="C92" s="2" t="str">
        <f t="shared" si="1"/>
        <v>Sep</v>
      </c>
      <c r="D92" s="1" t="s">
        <v>245</v>
      </c>
      <c r="E92" s="1" t="s">
        <v>41</v>
      </c>
      <c r="F92" s="1" t="s">
        <v>246</v>
      </c>
      <c r="G92" s="1" t="s">
        <v>247</v>
      </c>
      <c r="H92" s="1" t="str">
        <f>IFERROR(__xludf.DUMMYFUNCTION("split(G92,"" "")"),"Jim")</f>
        <v>Jim</v>
      </c>
      <c r="I92" s="1" t="str">
        <f>IFERROR(__xludf.DUMMYFUNCTION("""COMPUTED_VALUE"""),"Sink")</f>
        <v>Sink</v>
      </c>
      <c r="J92" s="1" t="s">
        <v>34</v>
      </c>
      <c r="K92" s="1" t="s">
        <v>35</v>
      </c>
      <c r="L92" s="1" t="str">
        <f t="shared" si="2"/>
        <v>Los Angeles</v>
      </c>
      <c r="M92" s="1" t="s">
        <v>52</v>
      </c>
      <c r="N92" s="1" t="str">
        <f t="shared" si="3"/>
        <v>California</v>
      </c>
      <c r="O92" s="1">
        <v>90036.0</v>
      </c>
      <c r="P92" s="1" t="s">
        <v>37</v>
      </c>
      <c r="Q92" s="1" t="s">
        <v>51</v>
      </c>
      <c r="R92" s="3">
        <v>73.584</v>
      </c>
      <c r="S92" s="1">
        <v>9.0</v>
      </c>
      <c r="T92" s="4">
        <v>73.53</v>
      </c>
    </row>
    <row r="93">
      <c r="A93" s="1" t="s">
        <v>244</v>
      </c>
      <c r="B93" s="2">
        <v>42995.0</v>
      </c>
      <c r="C93" s="2" t="str">
        <f t="shared" si="1"/>
        <v>Sep</v>
      </c>
      <c r="D93" s="1" t="s">
        <v>245</v>
      </c>
      <c r="E93" s="1" t="s">
        <v>41</v>
      </c>
      <c r="F93" s="1" t="s">
        <v>246</v>
      </c>
      <c r="G93" s="1" t="s">
        <v>247</v>
      </c>
      <c r="H93" s="1" t="str">
        <f>IFERROR(__xludf.DUMMYFUNCTION("split(G93,"" "")"),"Jim")</f>
        <v>Jim</v>
      </c>
      <c r="I93" s="1" t="str">
        <f>IFERROR(__xludf.DUMMYFUNCTION("""COMPUTED_VALUE"""),"Sink")</f>
        <v>Sink</v>
      </c>
      <c r="J93" s="1" t="s">
        <v>34</v>
      </c>
      <c r="K93" s="1" t="s">
        <v>35</v>
      </c>
      <c r="L93" s="1" t="str">
        <f t="shared" si="2"/>
        <v>Los Angeles</v>
      </c>
      <c r="M93" s="1" t="s">
        <v>52</v>
      </c>
      <c r="N93" s="1" t="str">
        <f t="shared" si="3"/>
        <v>California</v>
      </c>
      <c r="O93" s="1">
        <v>90036.0</v>
      </c>
      <c r="P93" s="1" t="s">
        <v>37</v>
      </c>
      <c r="Q93" s="1" t="s">
        <v>38</v>
      </c>
      <c r="R93" s="3">
        <v>6.48</v>
      </c>
      <c r="S93" s="1">
        <v>9.0</v>
      </c>
      <c r="T93" s="4">
        <v>6.27</v>
      </c>
    </row>
    <row r="94">
      <c r="A94" s="1" t="s">
        <v>248</v>
      </c>
      <c r="B94" s="2">
        <v>42400.0</v>
      </c>
      <c r="C94" s="2" t="str">
        <f t="shared" si="1"/>
        <v>Jan</v>
      </c>
      <c r="D94" s="6">
        <v>42492.0</v>
      </c>
      <c r="E94" s="1" t="s">
        <v>20</v>
      </c>
      <c r="F94" s="1" t="s">
        <v>249</v>
      </c>
      <c r="G94" s="1" t="s">
        <v>250</v>
      </c>
      <c r="H94" s="1" t="str">
        <f>IFERROR(__xludf.DUMMYFUNCTION("split(G94,"" "")"),"Karl")</f>
        <v>Karl</v>
      </c>
      <c r="I94" s="1" t="str">
        <f>IFERROR(__xludf.DUMMYFUNCTION("""COMPUTED_VALUE"""),"Braun")</f>
        <v>Braun</v>
      </c>
      <c r="J94" s="1" t="s">
        <v>23</v>
      </c>
      <c r="K94" s="1" t="s">
        <v>251</v>
      </c>
      <c r="L94" s="1" t="str">
        <f t="shared" si="2"/>
        <v>Minneapolis</v>
      </c>
      <c r="M94" s="1" t="s">
        <v>151</v>
      </c>
      <c r="N94" s="1" t="str">
        <f t="shared" si="3"/>
        <v>Minnesota</v>
      </c>
      <c r="O94" s="1">
        <v>55407.0</v>
      </c>
      <c r="P94" s="1" t="s">
        <v>71</v>
      </c>
      <c r="Q94" s="1" t="s">
        <v>38</v>
      </c>
      <c r="R94" s="3">
        <v>12.96</v>
      </c>
      <c r="S94" s="1">
        <v>5.0</v>
      </c>
      <c r="T94" s="4">
        <v>12.69</v>
      </c>
    </row>
    <row r="95">
      <c r="A95" s="1" t="s">
        <v>248</v>
      </c>
      <c r="B95" s="2">
        <v>42400.0</v>
      </c>
      <c r="C95" s="2" t="str">
        <f t="shared" si="1"/>
        <v>Jan</v>
      </c>
      <c r="D95" s="6">
        <v>42492.0</v>
      </c>
      <c r="E95" s="1" t="s">
        <v>20</v>
      </c>
      <c r="F95" s="1" t="s">
        <v>249</v>
      </c>
      <c r="G95" s="1" t="s">
        <v>250</v>
      </c>
      <c r="H95" s="1" t="str">
        <f>IFERROR(__xludf.DUMMYFUNCTION("split(G95,"" "")"),"Karl")</f>
        <v>Karl</v>
      </c>
      <c r="I95" s="1" t="str">
        <f>IFERROR(__xludf.DUMMYFUNCTION("""COMPUTED_VALUE"""),"Braun")</f>
        <v>Braun</v>
      </c>
      <c r="J95" s="1" t="s">
        <v>23</v>
      </c>
      <c r="K95" s="1" t="s">
        <v>251</v>
      </c>
      <c r="L95" s="1" t="str">
        <f t="shared" si="2"/>
        <v>Minneapolis</v>
      </c>
      <c r="M95" s="1" t="s">
        <v>151</v>
      </c>
      <c r="N95" s="1" t="str">
        <f t="shared" si="3"/>
        <v>Minnesota</v>
      </c>
      <c r="O95" s="1">
        <v>55407.0</v>
      </c>
      <c r="P95" s="1" t="s">
        <v>71</v>
      </c>
      <c r="Q95" s="1" t="s">
        <v>27</v>
      </c>
      <c r="R95" s="3">
        <v>53.34</v>
      </c>
      <c r="S95" s="1">
        <v>5.0</v>
      </c>
      <c r="T95" s="4">
        <v>53.3</v>
      </c>
    </row>
    <row r="96">
      <c r="A96" s="1" t="s">
        <v>248</v>
      </c>
      <c r="B96" s="2">
        <v>42400.0</v>
      </c>
      <c r="C96" s="2" t="str">
        <f t="shared" si="1"/>
        <v>Jan</v>
      </c>
      <c r="D96" s="6">
        <v>42492.0</v>
      </c>
      <c r="E96" s="1" t="s">
        <v>20</v>
      </c>
      <c r="F96" s="1" t="s">
        <v>249</v>
      </c>
      <c r="G96" s="1" t="s">
        <v>250</v>
      </c>
      <c r="H96" s="1" t="str">
        <f>IFERROR(__xludf.DUMMYFUNCTION("split(G96,"" "")"),"Karl")</f>
        <v>Karl</v>
      </c>
      <c r="I96" s="1" t="str">
        <f>IFERROR(__xludf.DUMMYFUNCTION("""COMPUTED_VALUE"""),"Braun")</f>
        <v>Braun</v>
      </c>
      <c r="J96" s="1" t="s">
        <v>23</v>
      </c>
      <c r="K96" s="1" t="s">
        <v>251</v>
      </c>
      <c r="L96" s="1" t="str">
        <f t="shared" si="2"/>
        <v>Minneapolis</v>
      </c>
      <c r="M96" s="1" t="s">
        <v>151</v>
      </c>
      <c r="N96" s="1" t="str">
        <f t="shared" si="3"/>
        <v>Minnesota</v>
      </c>
      <c r="O96" s="1">
        <v>55407.0</v>
      </c>
      <c r="P96" s="1" t="s">
        <v>71</v>
      </c>
      <c r="Q96" s="1" t="s">
        <v>38</v>
      </c>
      <c r="R96" s="3">
        <v>32.96</v>
      </c>
      <c r="S96" s="1">
        <v>5.0</v>
      </c>
      <c r="T96" s="4">
        <v>32.55</v>
      </c>
    </row>
    <row r="97">
      <c r="A97" s="1" t="s">
        <v>252</v>
      </c>
      <c r="B97" s="2">
        <v>43262.0</v>
      </c>
      <c r="C97" s="2" t="str">
        <f t="shared" si="1"/>
        <v>Jun</v>
      </c>
      <c r="D97" s="5">
        <v>43445.0</v>
      </c>
      <c r="E97" s="1" t="s">
        <v>41</v>
      </c>
      <c r="F97" s="1" t="s">
        <v>253</v>
      </c>
      <c r="G97" s="1" t="s">
        <v>254</v>
      </c>
      <c r="H97" s="1" t="str">
        <f>IFERROR(__xludf.DUMMYFUNCTION("split(G97,"" "")"),"Roger")</f>
        <v>Roger</v>
      </c>
      <c r="I97" s="1" t="str">
        <f>IFERROR(__xludf.DUMMYFUNCTION("""COMPUTED_VALUE"""),"Barcio")</f>
        <v>Barcio</v>
      </c>
      <c r="J97" s="1" t="s">
        <v>68</v>
      </c>
      <c r="K97" s="1" t="s">
        <v>255</v>
      </c>
      <c r="L97" s="1" t="str">
        <f t="shared" si="2"/>
        <v>Portland</v>
      </c>
      <c r="M97" s="1" t="s">
        <v>256</v>
      </c>
      <c r="N97" s="1" t="str">
        <f t="shared" si="3"/>
        <v>Oregon</v>
      </c>
      <c r="O97" s="1">
        <v>97206.0</v>
      </c>
      <c r="P97" s="1" t="s">
        <v>37</v>
      </c>
      <c r="Q97" s="1" t="s">
        <v>38</v>
      </c>
      <c r="R97" s="3">
        <v>5.682</v>
      </c>
      <c r="S97" s="1">
        <v>9.0</v>
      </c>
      <c r="T97" s="4">
        <v>5.25</v>
      </c>
    </row>
    <row r="98">
      <c r="A98" s="1" t="s">
        <v>257</v>
      </c>
      <c r="B98" s="2">
        <v>43354.0</v>
      </c>
      <c r="C98" s="2" t="str">
        <f t="shared" si="1"/>
        <v>Sep</v>
      </c>
      <c r="D98" s="5">
        <v>43415.0</v>
      </c>
      <c r="E98" s="1" t="s">
        <v>20</v>
      </c>
      <c r="F98" s="1" t="s">
        <v>258</v>
      </c>
      <c r="G98" s="1" t="s">
        <v>259</v>
      </c>
      <c r="H98" s="1" t="str">
        <f>IFERROR(__xludf.DUMMYFUNCTION("split(G98,"" "")"),"Parhena")</f>
        <v>Parhena</v>
      </c>
      <c r="I98" s="1" t="str">
        <f>IFERROR(__xludf.DUMMYFUNCTION("""COMPUTED_VALUE"""),"Norris")</f>
        <v>Norris</v>
      </c>
      <c r="J98" s="1" t="s">
        <v>68</v>
      </c>
      <c r="K98" s="1" t="s">
        <v>174</v>
      </c>
      <c r="L98" s="1" t="str">
        <f t="shared" si="2"/>
        <v>New York City</v>
      </c>
      <c r="M98" s="1" t="s">
        <v>175</v>
      </c>
      <c r="N98" s="1" t="str">
        <f t="shared" si="3"/>
        <v>New York</v>
      </c>
      <c r="O98" s="1">
        <v>10009.0</v>
      </c>
      <c r="P98" s="1" t="s">
        <v>100</v>
      </c>
      <c r="Q98" s="1" t="s">
        <v>27</v>
      </c>
      <c r="R98" s="3">
        <v>96.53</v>
      </c>
      <c r="S98" s="1">
        <v>1.0</v>
      </c>
      <c r="T98" s="4">
        <v>95.66</v>
      </c>
    </row>
    <row r="99">
      <c r="A99" s="1" t="s">
        <v>260</v>
      </c>
      <c r="B99" s="2">
        <v>43268.0</v>
      </c>
      <c r="C99" s="2" t="str">
        <f t="shared" si="1"/>
        <v>Jun</v>
      </c>
      <c r="D99" s="1" t="s">
        <v>261</v>
      </c>
      <c r="E99" s="1" t="s">
        <v>121</v>
      </c>
      <c r="F99" s="1" t="s">
        <v>262</v>
      </c>
      <c r="G99" s="1" t="s">
        <v>263</v>
      </c>
      <c r="H99" s="1" t="str">
        <f>IFERROR(__xludf.DUMMYFUNCTION("split(G99,"" "")"),"Katherine")</f>
        <v>Katherine</v>
      </c>
      <c r="I99" s="1" t="str">
        <f>IFERROR(__xludf.DUMMYFUNCTION("""COMPUTED_VALUE"""),"Ducich")</f>
        <v>Ducich</v>
      </c>
      <c r="J99" s="1" t="s">
        <v>23</v>
      </c>
      <c r="K99" s="1" t="s">
        <v>87</v>
      </c>
      <c r="L99" s="1" t="str">
        <f t="shared" si="2"/>
        <v>San Francisco</v>
      </c>
      <c r="M99" s="1" t="s">
        <v>52</v>
      </c>
      <c r="N99" s="1" t="str">
        <f t="shared" si="3"/>
        <v>California</v>
      </c>
      <c r="O99" s="1">
        <v>94122.0</v>
      </c>
      <c r="P99" s="1" t="s">
        <v>37</v>
      </c>
      <c r="Q99" s="1" t="s">
        <v>38</v>
      </c>
      <c r="R99" s="3">
        <v>51.312</v>
      </c>
      <c r="S99" s="1">
        <v>9.0</v>
      </c>
      <c r="T99" s="4">
        <v>50.59</v>
      </c>
    </row>
    <row r="100">
      <c r="A100" s="1" t="s">
        <v>264</v>
      </c>
      <c r="B100" s="2">
        <v>42895.0</v>
      </c>
      <c r="C100" s="2" t="str">
        <f t="shared" si="1"/>
        <v>Jun</v>
      </c>
      <c r="D100" s="6">
        <v>43048.0</v>
      </c>
      <c r="E100" s="1" t="s">
        <v>41</v>
      </c>
      <c r="F100" s="1" t="s">
        <v>265</v>
      </c>
      <c r="G100" s="1" t="s">
        <v>266</v>
      </c>
      <c r="H100" s="1" t="str">
        <f>IFERROR(__xludf.DUMMYFUNCTION("split(G100,"" "")"),"Elpida")</f>
        <v>Elpida</v>
      </c>
      <c r="I100" s="1" t="str">
        <f>IFERROR(__xludf.DUMMYFUNCTION("""COMPUTED_VALUE"""),"Rittenbach")</f>
        <v>Rittenbach</v>
      </c>
      <c r="J100" s="1" t="s">
        <v>34</v>
      </c>
      <c r="K100" s="1" t="s">
        <v>267</v>
      </c>
      <c r="L100" s="1" t="str">
        <f t="shared" si="2"/>
        <v>Saint Paul</v>
      </c>
      <c r="M100" s="1" t="s">
        <v>151</v>
      </c>
      <c r="N100" s="1" t="str">
        <f t="shared" si="3"/>
        <v>Minnesota</v>
      </c>
      <c r="O100" s="1">
        <v>55106.0</v>
      </c>
      <c r="P100" s="1" t="s">
        <v>71</v>
      </c>
      <c r="Q100" s="1" t="s">
        <v>38</v>
      </c>
      <c r="R100" s="3">
        <v>77.88</v>
      </c>
      <c r="S100" s="1">
        <v>5.0</v>
      </c>
      <c r="T100" s="4">
        <v>77.71</v>
      </c>
    </row>
    <row r="101">
      <c r="A101" s="1" t="s">
        <v>268</v>
      </c>
      <c r="B101" s="2">
        <v>42976.0</v>
      </c>
      <c r="C101" s="2" t="str">
        <f t="shared" si="1"/>
        <v>Aug</v>
      </c>
      <c r="D101" s="6">
        <v>42775.0</v>
      </c>
      <c r="E101" s="1" t="s">
        <v>41</v>
      </c>
      <c r="F101" s="1" t="s">
        <v>269</v>
      </c>
      <c r="G101" s="1" t="s">
        <v>270</v>
      </c>
      <c r="H101" s="1" t="str">
        <f>IFERROR(__xludf.DUMMYFUNCTION("split(G101,"" "")"),"Rick")</f>
        <v>Rick</v>
      </c>
      <c r="I101" s="1" t="str">
        <f>IFERROR(__xludf.DUMMYFUNCTION("""COMPUTED_VALUE"""),"Bensley")</f>
        <v>Bensley</v>
      </c>
      <c r="J101" s="1" t="s">
        <v>68</v>
      </c>
      <c r="K101" s="1" t="s">
        <v>188</v>
      </c>
      <c r="L101" s="1" t="str">
        <f t="shared" si="2"/>
        <v>Chicago</v>
      </c>
      <c r="M101" s="1" t="s">
        <v>135</v>
      </c>
      <c r="N101" s="1" t="str">
        <f t="shared" si="3"/>
        <v>Illinois</v>
      </c>
      <c r="O101" s="1">
        <v>60610.0</v>
      </c>
      <c r="P101" s="1" t="s">
        <v>71</v>
      </c>
      <c r="Q101" s="1" t="s">
        <v>38</v>
      </c>
      <c r="R101" s="3">
        <v>64.624</v>
      </c>
      <c r="S101" s="1">
        <v>6.0</v>
      </c>
      <c r="T101" s="4">
        <v>63.94</v>
      </c>
    </row>
    <row r="102">
      <c r="A102" s="1" t="s">
        <v>268</v>
      </c>
      <c r="B102" s="2">
        <v>42976.0</v>
      </c>
      <c r="C102" s="2" t="str">
        <f t="shared" si="1"/>
        <v>Aug</v>
      </c>
      <c r="D102" s="6">
        <v>42775.0</v>
      </c>
      <c r="E102" s="1" t="s">
        <v>41</v>
      </c>
      <c r="F102" s="1" t="s">
        <v>269</v>
      </c>
      <c r="G102" s="1" t="s">
        <v>270</v>
      </c>
      <c r="H102" s="1" t="str">
        <f>IFERROR(__xludf.DUMMYFUNCTION("split(G102,"" "")"),"Rick")</f>
        <v>Rick</v>
      </c>
      <c r="I102" s="1" t="str">
        <f>IFERROR(__xludf.DUMMYFUNCTION("""COMPUTED_VALUE"""),"Bensley")</f>
        <v>Bensley</v>
      </c>
      <c r="J102" s="1" t="s">
        <v>68</v>
      </c>
      <c r="K102" s="1" t="s">
        <v>188</v>
      </c>
      <c r="L102" s="1" t="str">
        <f t="shared" si="2"/>
        <v>Chicago</v>
      </c>
      <c r="M102" s="1" t="s">
        <v>135</v>
      </c>
      <c r="N102" s="1" t="str">
        <f t="shared" si="3"/>
        <v>Illinois</v>
      </c>
      <c r="O102" s="1">
        <v>60610.0</v>
      </c>
      <c r="P102" s="1" t="s">
        <v>71</v>
      </c>
      <c r="Q102" s="1" t="s">
        <v>51</v>
      </c>
      <c r="R102" s="3">
        <v>95.976</v>
      </c>
      <c r="S102" s="1">
        <v>6.0</v>
      </c>
      <c r="T102" s="4">
        <v>95.67</v>
      </c>
    </row>
    <row r="103">
      <c r="A103" s="1" t="s">
        <v>268</v>
      </c>
      <c r="B103" s="2">
        <v>42976.0</v>
      </c>
      <c r="C103" s="2" t="str">
        <f t="shared" si="1"/>
        <v>Aug</v>
      </c>
      <c r="D103" s="6">
        <v>42775.0</v>
      </c>
      <c r="E103" s="1" t="s">
        <v>41</v>
      </c>
      <c r="F103" s="1" t="s">
        <v>269</v>
      </c>
      <c r="G103" s="1" t="s">
        <v>270</v>
      </c>
      <c r="H103" s="1" t="str">
        <f>IFERROR(__xludf.DUMMYFUNCTION("split(G103,"" "")"),"Rick")</f>
        <v>Rick</v>
      </c>
      <c r="I103" s="1" t="str">
        <f>IFERROR(__xludf.DUMMYFUNCTION("""COMPUTED_VALUE"""),"Bensley")</f>
        <v>Bensley</v>
      </c>
      <c r="J103" s="1" t="s">
        <v>68</v>
      </c>
      <c r="K103" s="1" t="s">
        <v>188</v>
      </c>
      <c r="L103" s="1" t="str">
        <f t="shared" si="2"/>
        <v>Chicago</v>
      </c>
      <c r="M103" s="1" t="s">
        <v>135</v>
      </c>
      <c r="N103" s="1" t="str">
        <f t="shared" si="3"/>
        <v>Illinois</v>
      </c>
      <c r="O103" s="1">
        <v>60610.0</v>
      </c>
      <c r="P103" s="1" t="s">
        <v>71</v>
      </c>
      <c r="Q103" s="1" t="s">
        <v>38</v>
      </c>
      <c r="R103" s="3">
        <v>1.788</v>
      </c>
      <c r="S103" s="1">
        <v>6.0</v>
      </c>
      <c r="T103" s="4">
        <v>1.03</v>
      </c>
    </row>
    <row r="104">
      <c r="A104" s="1" t="s">
        <v>271</v>
      </c>
      <c r="B104" s="2">
        <v>42747.0</v>
      </c>
      <c r="C104" s="2" t="str">
        <f t="shared" si="1"/>
        <v>Jan</v>
      </c>
      <c r="D104" s="6">
        <v>42837.0</v>
      </c>
      <c r="E104" s="1" t="s">
        <v>20</v>
      </c>
      <c r="F104" s="1" t="s">
        <v>272</v>
      </c>
      <c r="G104" s="1" t="s">
        <v>273</v>
      </c>
      <c r="H104" s="1" t="str">
        <f>IFERROR(__xludf.DUMMYFUNCTION("split(G104,"" "")"),"Gary")</f>
        <v>Gary</v>
      </c>
      <c r="I104" s="1" t="str">
        <f>IFERROR(__xludf.DUMMYFUNCTION("""COMPUTED_VALUE"""),"Zandusky")</f>
        <v>Zandusky</v>
      </c>
      <c r="J104" s="1" t="s">
        <v>23</v>
      </c>
      <c r="K104" s="1" t="s">
        <v>240</v>
      </c>
      <c r="L104" s="1" t="str">
        <f t="shared" si="2"/>
        <v>Rochester</v>
      </c>
      <c r="M104" s="1" t="s">
        <v>151</v>
      </c>
      <c r="N104" s="1" t="str">
        <f t="shared" si="3"/>
        <v>Minnesota</v>
      </c>
      <c r="O104" s="1">
        <v>55901.0</v>
      </c>
      <c r="P104" s="1" t="s">
        <v>71</v>
      </c>
      <c r="Q104" s="1" t="s">
        <v>38</v>
      </c>
      <c r="R104" s="3">
        <v>23.92</v>
      </c>
      <c r="S104" s="1">
        <v>5.0</v>
      </c>
      <c r="T104" s="4">
        <v>23.15</v>
      </c>
    </row>
    <row r="105">
      <c r="A105" s="1" t="s">
        <v>274</v>
      </c>
      <c r="B105" s="2">
        <v>42687.0</v>
      </c>
      <c r="C105" s="2" t="str">
        <f t="shared" si="1"/>
        <v>Nov</v>
      </c>
      <c r="D105" s="1" t="s">
        <v>275</v>
      </c>
      <c r="E105" s="1" t="s">
        <v>41</v>
      </c>
      <c r="F105" s="1" t="s">
        <v>276</v>
      </c>
      <c r="G105" s="1" t="s">
        <v>277</v>
      </c>
      <c r="H105" s="1" t="str">
        <f>IFERROR(__xludf.DUMMYFUNCTION("split(G105,"" "")"),"Lena")</f>
        <v>Lena</v>
      </c>
      <c r="I105" s="1" t="str">
        <f>IFERROR(__xludf.DUMMYFUNCTION("""COMPUTED_VALUE"""),"Cacioppo")</f>
        <v>Cacioppo</v>
      </c>
      <c r="J105" s="1" t="s">
        <v>23</v>
      </c>
      <c r="K105" s="1" t="s">
        <v>278</v>
      </c>
      <c r="L105" s="1" t="str">
        <f t="shared" si="2"/>
        <v>Aurora</v>
      </c>
      <c r="M105" s="1" t="s">
        <v>279</v>
      </c>
      <c r="N105" s="1" t="str">
        <f t="shared" si="3"/>
        <v>Colorado</v>
      </c>
      <c r="O105" s="1">
        <v>80013.0</v>
      </c>
      <c r="P105" s="1" t="s">
        <v>37</v>
      </c>
      <c r="Q105" s="1" t="s">
        <v>51</v>
      </c>
      <c r="R105" s="3">
        <v>238.896</v>
      </c>
      <c r="S105" s="1">
        <v>8.0</v>
      </c>
      <c r="T105" s="4">
        <v>238.02</v>
      </c>
    </row>
    <row r="106">
      <c r="A106" s="1" t="s">
        <v>274</v>
      </c>
      <c r="B106" s="2">
        <v>42687.0</v>
      </c>
      <c r="C106" s="2" t="str">
        <f t="shared" si="1"/>
        <v>Nov</v>
      </c>
      <c r="D106" s="1" t="s">
        <v>275</v>
      </c>
      <c r="E106" s="1" t="s">
        <v>41</v>
      </c>
      <c r="F106" s="1" t="s">
        <v>276</v>
      </c>
      <c r="G106" s="1" t="s">
        <v>277</v>
      </c>
      <c r="H106" s="1" t="str">
        <f>IFERROR(__xludf.DUMMYFUNCTION("split(G106,"" "")"),"Lena")</f>
        <v>Lena</v>
      </c>
      <c r="I106" s="1" t="str">
        <f>IFERROR(__xludf.DUMMYFUNCTION("""COMPUTED_VALUE"""),"Cacioppo")</f>
        <v>Cacioppo</v>
      </c>
      <c r="J106" s="1" t="s">
        <v>23</v>
      </c>
      <c r="K106" s="1" t="s">
        <v>278</v>
      </c>
      <c r="L106" s="1" t="str">
        <f t="shared" si="2"/>
        <v>Aurora</v>
      </c>
      <c r="M106" s="1" t="s">
        <v>279</v>
      </c>
      <c r="N106" s="1" t="str">
        <f t="shared" si="3"/>
        <v>Colorado</v>
      </c>
      <c r="O106" s="1">
        <v>80013.0</v>
      </c>
      <c r="P106" s="1" t="s">
        <v>37</v>
      </c>
      <c r="Q106" s="1" t="s">
        <v>27</v>
      </c>
      <c r="R106" s="3">
        <v>102.36</v>
      </c>
      <c r="S106" s="1">
        <v>8.0</v>
      </c>
      <c r="T106" s="4">
        <v>101.97</v>
      </c>
    </row>
    <row r="107">
      <c r="A107" s="1" t="s">
        <v>274</v>
      </c>
      <c r="B107" s="2">
        <v>42687.0</v>
      </c>
      <c r="C107" s="2" t="str">
        <f t="shared" si="1"/>
        <v>Nov</v>
      </c>
      <c r="D107" s="1" t="s">
        <v>275</v>
      </c>
      <c r="E107" s="1" t="s">
        <v>41</v>
      </c>
      <c r="F107" s="1" t="s">
        <v>276</v>
      </c>
      <c r="G107" s="1" t="s">
        <v>277</v>
      </c>
      <c r="H107" s="1" t="str">
        <f>IFERROR(__xludf.DUMMYFUNCTION("split(G107,"" "")"),"Lena")</f>
        <v>Lena</v>
      </c>
      <c r="I107" s="1" t="str">
        <f>IFERROR(__xludf.DUMMYFUNCTION("""COMPUTED_VALUE"""),"Cacioppo")</f>
        <v>Cacioppo</v>
      </c>
      <c r="J107" s="1" t="s">
        <v>23</v>
      </c>
      <c r="K107" s="1" t="s">
        <v>278</v>
      </c>
      <c r="L107" s="1" t="str">
        <f t="shared" si="2"/>
        <v>Aurora</v>
      </c>
      <c r="M107" s="1" t="s">
        <v>279</v>
      </c>
      <c r="N107" s="1" t="str">
        <f t="shared" si="3"/>
        <v>Colorado</v>
      </c>
      <c r="O107" s="1">
        <v>80013.0</v>
      </c>
      <c r="P107" s="1" t="s">
        <v>37</v>
      </c>
      <c r="Q107" s="1" t="s">
        <v>38</v>
      </c>
      <c r="R107" s="3">
        <v>36.882</v>
      </c>
      <c r="S107" s="1">
        <v>8.0</v>
      </c>
      <c r="T107" s="4">
        <v>36.75</v>
      </c>
    </row>
    <row r="108">
      <c r="A108" s="1" t="s">
        <v>280</v>
      </c>
      <c r="B108" s="2">
        <v>43427.0</v>
      </c>
      <c r="C108" s="2" t="str">
        <f t="shared" si="1"/>
        <v>Nov</v>
      </c>
      <c r="D108" s="1" t="s">
        <v>281</v>
      </c>
      <c r="E108" s="1" t="s">
        <v>41</v>
      </c>
      <c r="F108" s="1" t="s">
        <v>282</v>
      </c>
      <c r="G108" s="1" t="s">
        <v>283</v>
      </c>
      <c r="H108" s="1" t="str">
        <f>IFERROR(__xludf.DUMMYFUNCTION("split(G108,"" "")"),"Janet")</f>
        <v>Janet</v>
      </c>
      <c r="I108" s="1" t="str">
        <f>IFERROR(__xludf.DUMMYFUNCTION("""COMPUTED_VALUE"""),"Martin")</f>
        <v>Martin</v>
      </c>
      <c r="J108" s="1" t="s">
        <v>23</v>
      </c>
      <c r="K108" s="1" t="s">
        <v>284</v>
      </c>
      <c r="L108" s="1" t="str">
        <f t="shared" si="2"/>
        <v>Charlotte</v>
      </c>
      <c r="M108" s="1" t="s">
        <v>58</v>
      </c>
      <c r="N108" s="1" t="str">
        <f t="shared" si="3"/>
        <v>North Carolina</v>
      </c>
      <c r="O108" s="1">
        <v>28205.0</v>
      </c>
      <c r="P108" s="1" t="s">
        <v>26</v>
      </c>
      <c r="Q108" s="1" t="s">
        <v>51</v>
      </c>
      <c r="R108" s="3">
        <v>74.112</v>
      </c>
      <c r="S108" s="1">
        <v>2.0</v>
      </c>
      <c r="T108" s="4">
        <v>73.41</v>
      </c>
    </row>
    <row r="109">
      <c r="A109" s="1" t="s">
        <v>280</v>
      </c>
      <c r="B109" s="2">
        <v>43427.0</v>
      </c>
      <c r="C109" s="2" t="str">
        <f t="shared" si="1"/>
        <v>Nov</v>
      </c>
      <c r="D109" s="1" t="s">
        <v>281</v>
      </c>
      <c r="E109" s="1" t="s">
        <v>41</v>
      </c>
      <c r="F109" s="1" t="s">
        <v>282</v>
      </c>
      <c r="G109" s="1" t="s">
        <v>283</v>
      </c>
      <c r="H109" s="1" t="str">
        <f>IFERROR(__xludf.DUMMYFUNCTION("split(G109,"" "")"),"Janet")</f>
        <v>Janet</v>
      </c>
      <c r="I109" s="1" t="str">
        <f>IFERROR(__xludf.DUMMYFUNCTION("""COMPUTED_VALUE"""),"Martin")</f>
        <v>Martin</v>
      </c>
      <c r="J109" s="1" t="s">
        <v>23</v>
      </c>
      <c r="K109" s="1" t="s">
        <v>284</v>
      </c>
      <c r="L109" s="1" t="str">
        <f t="shared" si="2"/>
        <v>Charlotte</v>
      </c>
      <c r="M109" s="1" t="s">
        <v>58</v>
      </c>
      <c r="N109" s="1" t="str">
        <f t="shared" si="3"/>
        <v>North Carolina</v>
      </c>
      <c r="O109" s="1">
        <v>28205.0</v>
      </c>
      <c r="P109" s="1" t="s">
        <v>26</v>
      </c>
      <c r="Q109" s="1" t="s">
        <v>51</v>
      </c>
      <c r="R109" s="3">
        <v>27.992</v>
      </c>
      <c r="S109" s="1">
        <v>2.0</v>
      </c>
      <c r="T109" s="4">
        <v>27.88</v>
      </c>
    </row>
    <row r="110">
      <c r="A110" s="1" t="s">
        <v>280</v>
      </c>
      <c r="B110" s="2">
        <v>43427.0</v>
      </c>
      <c r="C110" s="2" t="str">
        <f t="shared" si="1"/>
        <v>Nov</v>
      </c>
      <c r="D110" s="1" t="s">
        <v>281</v>
      </c>
      <c r="E110" s="1" t="s">
        <v>41</v>
      </c>
      <c r="F110" s="1" t="s">
        <v>282</v>
      </c>
      <c r="G110" s="1" t="s">
        <v>283</v>
      </c>
      <c r="H110" s="1" t="str">
        <f>IFERROR(__xludf.DUMMYFUNCTION("split(G110,"" "")"),"Janet")</f>
        <v>Janet</v>
      </c>
      <c r="I110" s="1" t="str">
        <f>IFERROR(__xludf.DUMMYFUNCTION("""COMPUTED_VALUE"""),"Martin")</f>
        <v>Martin</v>
      </c>
      <c r="J110" s="1" t="s">
        <v>23</v>
      </c>
      <c r="K110" s="1" t="s">
        <v>284</v>
      </c>
      <c r="L110" s="1" t="str">
        <f t="shared" si="2"/>
        <v>Charlotte</v>
      </c>
      <c r="M110" s="1" t="s">
        <v>58</v>
      </c>
      <c r="N110" s="1" t="str">
        <f t="shared" si="3"/>
        <v>North Carolina</v>
      </c>
      <c r="O110" s="1">
        <v>28205.0</v>
      </c>
      <c r="P110" s="1" t="s">
        <v>26</v>
      </c>
      <c r="Q110" s="1" t="s">
        <v>38</v>
      </c>
      <c r="R110" s="3">
        <v>3.304</v>
      </c>
      <c r="S110" s="1">
        <v>2.0</v>
      </c>
      <c r="T110" s="4">
        <v>2.47</v>
      </c>
    </row>
    <row r="111">
      <c r="A111" s="1" t="s">
        <v>285</v>
      </c>
      <c r="B111" s="2">
        <v>42658.0</v>
      </c>
      <c r="C111" s="2" t="str">
        <f t="shared" si="1"/>
        <v>Oct</v>
      </c>
      <c r="D111" s="1" t="s">
        <v>286</v>
      </c>
      <c r="E111" s="1" t="s">
        <v>41</v>
      </c>
      <c r="F111" s="1" t="s">
        <v>287</v>
      </c>
      <c r="G111" s="1" t="s">
        <v>288</v>
      </c>
      <c r="H111" s="1" t="str">
        <f>IFERROR(__xludf.DUMMYFUNCTION("split(G111,"" "")"),"Pete")</f>
        <v>Pete</v>
      </c>
      <c r="I111" s="1" t="str">
        <f>IFERROR(__xludf.DUMMYFUNCTION("""COMPUTED_VALUE"""),"Armstrong")</f>
        <v>Armstrong</v>
      </c>
      <c r="J111" s="1" t="s">
        <v>68</v>
      </c>
      <c r="K111" s="1" t="s">
        <v>289</v>
      </c>
      <c r="L111" s="1" t="str">
        <f t="shared" si="2"/>
        <v>Orland Park</v>
      </c>
      <c r="M111" s="1" t="s">
        <v>135</v>
      </c>
      <c r="N111" s="1" t="str">
        <f t="shared" si="3"/>
        <v>Illinois</v>
      </c>
      <c r="O111" s="1">
        <v>60462.0</v>
      </c>
      <c r="P111" s="1" t="s">
        <v>71</v>
      </c>
      <c r="Q111" s="1" t="s">
        <v>51</v>
      </c>
      <c r="R111" s="3">
        <v>339.96</v>
      </c>
      <c r="S111" s="1">
        <v>6.0</v>
      </c>
      <c r="T111" s="4">
        <v>339.63</v>
      </c>
    </row>
    <row r="112">
      <c r="A112" s="1" t="s">
        <v>290</v>
      </c>
      <c r="B112" s="2">
        <v>43459.0</v>
      </c>
      <c r="C112" s="2" t="str">
        <f t="shared" si="1"/>
        <v>Dec</v>
      </c>
      <c r="D112" s="1" t="s">
        <v>291</v>
      </c>
      <c r="E112" s="1" t="s">
        <v>41</v>
      </c>
      <c r="F112" s="1" t="s">
        <v>292</v>
      </c>
      <c r="G112" s="1" t="s">
        <v>293</v>
      </c>
      <c r="H112" s="1" t="str">
        <f>IFERROR(__xludf.DUMMYFUNCTION("split(G112,"" "")"),"Cynthia")</f>
        <v>Cynthia</v>
      </c>
      <c r="I112" s="1" t="str">
        <f>IFERROR(__xludf.DUMMYFUNCTION("""COMPUTED_VALUE"""),"Voltz")</f>
        <v>Voltz</v>
      </c>
      <c r="J112" s="1" t="s">
        <v>34</v>
      </c>
      <c r="K112" s="1" t="s">
        <v>174</v>
      </c>
      <c r="L112" s="1" t="str">
        <f t="shared" si="2"/>
        <v>New York City</v>
      </c>
      <c r="M112" s="1" t="s">
        <v>175</v>
      </c>
      <c r="N112" s="1" t="str">
        <f t="shared" si="3"/>
        <v>New York</v>
      </c>
      <c r="O112" s="1">
        <v>10035.0</v>
      </c>
      <c r="P112" s="1" t="s">
        <v>100</v>
      </c>
      <c r="Q112" s="1" t="s">
        <v>27</v>
      </c>
      <c r="R112" s="3">
        <v>41.96</v>
      </c>
      <c r="S112" s="1">
        <v>1.0</v>
      </c>
      <c r="T112" s="4">
        <v>41.02</v>
      </c>
    </row>
    <row r="113">
      <c r="A113" s="1" t="s">
        <v>294</v>
      </c>
      <c r="B113" s="2">
        <v>42805.0</v>
      </c>
      <c r="C113" s="2" t="str">
        <f t="shared" si="1"/>
        <v>Mar</v>
      </c>
      <c r="D113" s="5">
        <v>43019.0</v>
      </c>
      <c r="E113" s="1" t="s">
        <v>41</v>
      </c>
      <c r="F113" s="1" t="s">
        <v>295</v>
      </c>
      <c r="G113" s="1" t="s">
        <v>296</v>
      </c>
      <c r="H113" s="1" t="str">
        <f>IFERROR(__xludf.DUMMYFUNCTION("split(G113,"" "")"),"Clay")</f>
        <v>Clay</v>
      </c>
      <c r="I113" s="1" t="str">
        <f>IFERROR(__xludf.DUMMYFUNCTION("""COMPUTED_VALUE"""),"Ludtke")</f>
        <v>Ludtke</v>
      </c>
      <c r="J113" s="1" t="s">
        <v>23</v>
      </c>
      <c r="K113" s="1" t="s">
        <v>297</v>
      </c>
      <c r="L113" s="1" t="str">
        <f t="shared" si="2"/>
        <v>Urbandale</v>
      </c>
      <c r="M113" s="1" t="s">
        <v>298</v>
      </c>
      <c r="N113" s="1" t="str">
        <f t="shared" si="3"/>
        <v>Iowa</v>
      </c>
      <c r="O113" s="1">
        <v>50322.0</v>
      </c>
      <c r="P113" s="1" t="s">
        <v>71</v>
      </c>
      <c r="Q113" s="1" t="s">
        <v>38</v>
      </c>
      <c r="R113" s="3">
        <v>75.96</v>
      </c>
      <c r="S113" s="1">
        <v>5.0</v>
      </c>
      <c r="T113" s="4">
        <v>75.3</v>
      </c>
    </row>
    <row r="114">
      <c r="A114" s="1" t="s">
        <v>294</v>
      </c>
      <c r="B114" s="2">
        <v>42805.0</v>
      </c>
      <c r="C114" s="2" t="str">
        <f t="shared" si="1"/>
        <v>Mar</v>
      </c>
      <c r="D114" s="5">
        <v>43019.0</v>
      </c>
      <c r="E114" s="1" t="s">
        <v>41</v>
      </c>
      <c r="F114" s="1" t="s">
        <v>295</v>
      </c>
      <c r="G114" s="1" t="s">
        <v>296</v>
      </c>
      <c r="H114" s="1" t="str">
        <f>IFERROR(__xludf.DUMMYFUNCTION("split(G114,"" "")"),"Clay")</f>
        <v>Clay</v>
      </c>
      <c r="I114" s="1" t="str">
        <f>IFERROR(__xludf.DUMMYFUNCTION("""COMPUTED_VALUE"""),"Ludtke")</f>
        <v>Ludtke</v>
      </c>
      <c r="J114" s="1" t="s">
        <v>23</v>
      </c>
      <c r="K114" s="1" t="s">
        <v>297</v>
      </c>
      <c r="L114" s="1" t="str">
        <f t="shared" si="2"/>
        <v>Urbandale</v>
      </c>
      <c r="M114" s="1" t="s">
        <v>298</v>
      </c>
      <c r="N114" s="1" t="str">
        <f t="shared" si="3"/>
        <v>Iowa</v>
      </c>
      <c r="O114" s="1">
        <v>50322.0</v>
      </c>
      <c r="P114" s="1" t="s">
        <v>71</v>
      </c>
      <c r="Q114" s="1" t="s">
        <v>38</v>
      </c>
      <c r="R114" s="3">
        <v>27.24</v>
      </c>
      <c r="S114" s="1">
        <v>5.0</v>
      </c>
      <c r="T114" s="4">
        <v>26.8</v>
      </c>
    </row>
    <row r="115">
      <c r="A115" s="1" t="s">
        <v>299</v>
      </c>
      <c r="B115" s="2">
        <v>42241.0</v>
      </c>
      <c r="C115" s="2" t="str">
        <f t="shared" si="1"/>
        <v>Aug</v>
      </c>
      <c r="D115" s="1" t="s">
        <v>300</v>
      </c>
      <c r="E115" s="1" t="s">
        <v>20</v>
      </c>
      <c r="F115" s="1" t="s">
        <v>301</v>
      </c>
      <c r="G115" s="1" t="s">
        <v>302</v>
      </c>
      <c r="H115" s="1" t="str">
        <f>IFERROR(__xludf.DUMMYFUNCTION("split(G115,"" "")"),"Ryan")</f>
        <v>Ryan</v>
      </c>
      <c r="I115" s="1" t="str">
        <f>IFERROR(__xludf.DUMMYFUNCTION("""COMPUTED_VALUE"""),"Crowe")</f>
        <v>Crowe</v>
      </c>
      <c r="J115" s="1" t="s">
        <v>23</v>
      </c>
      <c r="K115" s="1" t="s">
        <v>303</v>
      </c>
      <c r="L115" s="1" t="str">
        <f t="shared" si="2"/>
        <v>Columbus</v>
      </c>
      <c r="M115" s="1" t="s">
        <v>304</v>
      </c>
      <c r="N115" s="1" t="str">
        <f t="shared" si="3"/>
        <v>Ohio</v>
      </c>
      <c r="O115" s="1">
        <v>43229.0</v>
      </c>
      <c r="P115" s="1" t="s">
        <v>100</v>
      </c>
      <c r="Q115" s="1" t="s">
        <v>38</v>
      </c>
      <c r="R115" s="3">
        <v>40.096</v>
      </c>
      <c r="S115" s="1">
        <v>4.0</v>
      </c>
      <c r="T115" s="4">
        <v>39.18</v>
      </c>
    </row>
    <row r="116">
      <c r="A116" s="1" t="s">
        <v>299</v>
      </c>
      <c r="B116" s="2">
        <v>42241.0</v>
      </c>
      <c r="C116" s="2" t="str">
        <f t="shared" si="1"/>
        <v>Aug</v>
      </c>
      <c r="D116" s="1" t="s">
        <v>300</v>
      </c>
      <c r="E116" s="1" t="s">
        <v>20</v>
      </c>
      <c r="F116" s="1" t="s">
        <v>301</v>
      </c>
      <c r="G116" s="1" t="s">
        <v>302</v>
      </c>
      <c r="H116" s="1" t="str">
        <f>IFERROR(__xludf.DUMMYFUNCTION("split(G116,"" "")"),"Ryan")</f>
        <v>Ryan</v>
      </c>
      <c r="I116" s="1" t="str">
        <f>IFERROR(__xludf.DUMMYFUNCTION("""COMPUTED_VALUE"""),"Crowe")</f>
        <v>Crowe</v>
      </c>
      <c r="J116" s="1" t="s">
        <v>23</v>
      </c>
      <c r="K116" s="1" t="s">
        <v>303</v>
      </c>
      <c r="L116" s="1" t="str">
        <f t="shared" si="2"/>
        <v>Columbus</v>
      </c>
      <c r="M116" s="1" t="s">
        <v>304</v>
      </c>
      <c r="N116" s="1" t="str">
        <f t="shared" si="3"/>
        <v>Ohio</v>
      </c>
      <c r="O116" s="1">
        <v>43229.0</v>
      </c>
      <c r="P116" s="1" t="s">
        <v>100</v>
      </c>
      <c r="Q116" s="1" t="s">
        <v>38</v>
      </c>
      <c r="R116" s="3">
        <v>4.72</v>
      </c>
      <c r="S116" s="1">
        <v>4.0</v>
      </c>
      <c r="T116" s="4">
        <v>4.56</v>
      </c>
    </row>
    <row r="117">
      <c r="A117" s="1" t="s">
        <v>299</v>
      </c>
      <c r="B117" s="2">
        <v>42241.0</v>
      </c>
      <c r="C117" s="2" t="str">
        <f t="shared" si="1"/>
        <v>Aug</v>
      </c>
      <c r="D117" s="1" t="s">
        <v>300</v>
      </c>
      <c r="E117" s="1" t="s">
        <v>20</v>
      </c>
      <c r="F117" s="1" t="s">
        <v>301</v>
      </c>
      <c r="G117" s="1" t="s">
        <v>302</v>
      </c>
      <c r="H117" s="1" t="str">
        <f>IFERROR(__xludf.DUMMYFUNCTION("split(G117,"" "")"),"Ryan")</f>
        <v>Ryan</v>
      </c>
      <c r="I117" s="1" t="str">
        <f>IFERROR(__xludf.DUMMYFUNCTION("""COMPUTED_VALUE"""),"Crowe")</f>
        <v>Crowe</v>
      </c>
      <c r="J117" s="1" t="s">
        <v>23</v>
      </c>
      <c r="K117" s="1" t="s">
        <v>303</v>
      </c>
      <c r="L117" s="1" t="str">
        <f t="shared" si="2"/>
        <v>Columbus</v>
      </c>
      <c r="M117" s="1" t="s">
        <v>304</v>
      </c>
      <c r="N117" s="1" t="str">
        <f t="shared" si="3"/>
        <v>Ohio</v>
      </c>
      <c r="O117" s="1">
        <v>43229.0</v>
      </c>
      <c r="P117" s="1" t="s">
        <v>100</v>
      </c>
      <c r="Q117" s="1" t="s">
        <v>38</v>
      </c>
      <c r="R117" s="3">
        <v>23.976</v>
      </c>
      <c r="S117" s="1">
        <v>4.0</v>
      </c>
      <c r="T117" s="4">
        <v>23.97</v>
      </c>
    </row>
    <row r="118">
      <c r="A118" s="1" t="s">
        <v>299</v>
      </c>
      <c r="B118" s="2">
        <v>42241.0</v>
      </c>
      <c r="C118" s="2" t="str">
        <f t="shared" si="1"/>
        <v>Aug</v>
      </c>
      <c r="D118" s="1" t="s">
        <v>300</v>
      </c>
      <c r="E118" s="1" t="s">
        <v>20</v>
      </c>
      <c r="F118" s="1" t="s">
        <v>301</v>
      </c>
      <c r="G118" s="1" t="s">
        <v>302</v>
      </c>
      <c r="H118" s="1" t="str">
        <f>IFERROR(__xludf.DUMMYFUNCTION("split(G118,"" "")"),"Ryan")</f>
        <v>Ryan</v>
      </c>
      <c r="I118" s="1" t="str">
        <f>IFERROR(__xludf.DUMMYFUNCTION("""COMPUTED_VALUE"""),"Crowe")</f>
        <v>Crowe</v>
      </c>
      <c r="J118" s="1" t="s">
        <v>23</v>
      </c>
      <c r="K118" s="1" t="s">
        <v>303</v>
      </c>
      <c r="L118" s="1" t="str">
        <f t="shared" si="2"/>
        <v>Columbus</v>
      </c>
      <c r="M118" s="1" t="s">
        <v>304</v>
      </c>
      <c r="N118" s="1" t="str">
        <f t="shared" si="3"/>
        <v>Ohio</v>
      </c>
      <c r="O118" s="1">
        <v>43229.0</v>
      </c>
      <c r="P118" s="1" t="s">
        <v>100</v>
      </c>
      <c r="Q118" s="1" t="s">
        <v>38</v>
      </c>
      <c r="R118" s="3">
        <v>130.464</v>
      </c>
      <c r="S118" s="1">
        <v>4.0</v>
      </c>
      <c r="T118" s="4">
        <v>129.68</v>
      </c>
    </row>
    <row r="119">
      <c r="A119" s="1" t="s">
        <v>305</v>
      </c>
      <c r="B119" s="2">
        <v>42403.0</v>
      </c>
      <c r="C119" s="2" t="str">
        <f t="shared" si="1"/>
        <v>Feb</v>
      </c>
      <c r="D119" s="6">
        <v>42524.0</v>
      </c>
      <c r="E119" s="1" t="s">
        <v>41</v>
      </c>
      <c r="F119" s="1" t="s">
        <v>306</v>
      </c>
      <c r="G119" s="1" t="s">
        <v>307</v>
      </c>
      <c r="H119" s="1" t="str">
        <f>IFERROR(__xludf.DUMMYFUNCTION("split(G119,"" "")"),"Dave")</f>
        <v>Dave</v>
      </c>
      <c r="I119" s="1" t="str">
        <f>IFERROR(__xludf.DUMMYFUNCTION("""COMPUTED_VALUE"""),"Kipp")</f>
        <v>Kipp</v>
      </c>
      <c r="J119" s="1" t="s">
        <v>23</v>
      </c>
      <c r="K119" s="1" t="s">
        <v>62</v>
      </c>
      <c r="L119" s="1" t="str">
        <f t="shared" si="2"/>
        <v>Seattle</v>
      </c>
      <c r="M119" s="1" t="s">
        <v>63</v>
      </c>
      <c r="N119" s="1" t="str">
        <f t="shared" si="3"/>
        <v>Washington</v>
      </c>
      <c r="O119" s="1">
        <v>98103.0</v>
      </c>
      <c r="P119" s="1" t="s">
        <v>37</v>
      </c>
      <c r="Q119" s="1" t="s">
        <v>27</v>
      </c>
      <c r="R119" s="3">
        <v>787.53</v>
      </c>
      <c r="S119" s="1">
        <v>9.0</v>
      </c>
      <c r="T119" s="4">
        <v>786.93</v>
      </c>
    </row>
    <row r="120">
      <c r="A120" s="1" t="s">
        <v>308</v>
      </c>
      <c r="B120" s="2">
        <v>42494.0</v>
      </c>
      <c r="C120" s="2" t="str">
        <f t="shared" si="1"/>
        <v>May</v>
      </c>
      <c r="D120" s="6">
        <v>42647.0</v>
      </c>
      <c r="E120" s="1" t="s">
        <v>41</v>
      </c>
      <c r="F120" s="1" t="s">
        <v>309</v>
      </c>
      <c r="G120" s="1" t="s">
        <v>310</v>
      </c>
      <c r="H120" s="1" t="str">
        <f>IFERROR(__xludf.DUMMYFUNCTION("split(G120,"" "")"),"Greg")</f>
        <v>Greg</v>
      </c>
      <c r="I120" s="1" t="str">
        <f>IFERROR(__xludf.DUMMYFUNCTION("""COMPUTED_VALUE"""),"Guthrie")</f>
        <v>Guthrie</v>
      </c>
      <c r="J120" s="1" t="s">
        <v>34</v>
      </c>
      <c r="K120" s="1" t="s">
        <v>311</v>
      </c>
      <c r="L120" s="1" t="str">
        <f t="shared" si="2"/>
        <v>Bristol</v>
      </c>
      <c r="M120" s="1" t="s">
        <v>210</v>
      </c>
      <c r="N120" s="1" t="str">
        <f t="shared" si="3"/>
        <v>Tennessee</v>
      </c>
      <c r="O120" s="1">
        <v>37620.0</v>
      </c>
      <c r="P120" s="1" t="s">
        <v>26</v>
      </c>
      <c r="Q120" s="1" t="s">
        <v>38</v>
      </c>
      <c r="R120" s="3">
        <v>157.794</v>
      </c>
      <c r="S120" s="1">
        <v>3.0</v>
      </c>
      <c r="T120" s="4">
        <v>156.91</v>
      </c>
    </row>
    <row r="121">
      <c r="A121" s="1" t="s">
        <v>312</v>
      </c>
      <c r="B121" s="2">
        <v>43075.0</v>
      </c>
      <c r="C121" s="2" t="str">
        <f t="shared" si="1"/>
        <v>Dec</v>
      </c>
      <c r="D121" s="1" t="s">
        <v>216</v>
      </c>
      <c r="E121" s="1" t="s">
        <v>121</v>
      </c>
      <c r="F121" s="1" t="s">
        <v>313</v>
      </c>
      <c r="G121" s="1" t="s">
        <v>314</v>
      </c>
      <c r="H121" s="1" t="str">
        <f>IFERROR(__xludf.DUMMYFUNCTION("split(G121,"" "")"),"Steven")</f>
        <v>Steven</v>
      </c>
      <c r="I121" s="1" t="str">
        <f>IFERROR(__xludf.DUMMYFUNCTION("""COMPUTED_VALUE"""),"Cartwright")</f>
        <v>Cartwright</v>
      </c>
      <c r="J121" s="1" t="s">
        <v>23</v>
      </c>
      <c r="K121" s="1" t="s">
        <v>315</v>
      </c>
      <c r="L121" s="1" t="str">
        <f t="shared" si="2"/>
        <v>Wilmington</v>
      </c>
      <c r="M121" s="1" t="s">
        <v>163</v>
      </c>
      <c r="N121" s="1" t="str">
        <f t="shared" si="3"/>
        <v>Delaware</v>
      </c>
      <c r="O121" s="1">
        <v>19805.0</v>
      </c>
      <c r="P121" s="1" t="s">
        <v>100</v>
      </c>
      <c r="Q121" s="1" t="s">
        <v>27</v>
      </c>
      <c r="R121" s="3">
        <v>47.04</v>
      </c>
      <c r="S121" s="1">
        <v>1.0</v>
      </c>
      <c r="T121" s="4">
        <v>46.83</v>
      </c>
    </row>
    <row r="122">
      <c r="A122" s="1" t="s">
        <v>312</v>
      </c>
      <c r="B122" s="2">
        <v>43075.0</v>
      </c>
      <c r="C122" s="2" t="str">
        <f t="shared" si="1"/>
        <v>Dec</v>
      </c>
      <c r="D122" s="1" t="s">
        <v>216</v>
      </c>
      <c r="E122" s="1" t="s">
        <v>121</v>
      </c>
      <c r="F122" s="1" t="s">
        <v>313</v>
      </c>
      <c r="G122" s="1" t="s">
        <v>314</v>
      </c>
      <c r="H122" s="1" t="str">
        <f>IFERROR(__xludf.DUMMYFUNCTION("split(G122,"" "")"),"Steven")</f>
        <v>Steven</v>
      </c>
      <c r="I122" s="1" t="str">
        <f>IFERROR(__xludf.DUMMYFUNCTION("""COMPUTED_VALUE"""),"Cartwright")</f>
        <v>Cartwright</v>
      </c>
      <c r="J122" s="1" t="s">
        <v>23</v>
      </c>
      <c r="K122" s="1" t="s">
        <v>315</v>
      </c>
      <c r="L122" s="1" t="str">
        <f t="shared" si="2"/>
        <v>Wilmington</v>
      </c>
      <c r="M122" s="1" t="s">
        <v>163</v>
      </c>
      <c r="N122" s="1" t="str">
        <f t="shared" si="3"/>
        <v>Delaware</v>
      </c>
      <c r="O122" s="1">
        <v>19805.0</v>
      </c>
      <c r="P122" s="1" t="s">
        <v>100</v>
      </c>
      <c r="Q122" s="1" t="s">
        <v>38</v>
      </c>
      <c r="R122" s="3">
        <v>30.84</v>
      </c>
      <c r="S122" s="1">
        <v>1.0</v>
      </c>
      <c r="T122" s="4">
        <v>30.78</v>
      </c>
    </row>
    <row r="123">
      <c r="A123" s="1" t="s">
        <v>312</v>
      </c>
      <c r="B123" s="2">
        <v>43075.0</v>
      </c>
      <c r="C123" s="2" t="str">
        <f t="shared" si="1"/>
        <v>Dec</v>
      </c>
      <c r="D123" s="1" t="s">
        <v>216</v>
      </c>
      <c r="E123" s="1" t="s">
        <v>121</v>
      </c>
      <c r="F123" s="1" t="s">
        <v>313</v>
      </c>
      <c r="G123" s="1" t="s">
        <v>314</v>
      </c>
      <c r="H123" s="1" t="str">
        <f>IFERROR(__xludf.DUMMYFUNCTION("split(G123,"" "")"),"Steven")</f>
        <v>Steven</v>
      </c>
      <c r="I123" s="1" t="str">
        <f>IFERROR(__xludf.DUMMYFUNCTION("""COMPUTED_VALUE"""),"Cartwright")</f>
        <v>Cartwright</v>
      </c>
      <c r="J123" s="1" t="s">
        <v>23</v>
      </c>
      <c r="K123" s="1" t="s">
        <v>315</v>
      </c>
      <c r="L123" s="1" t="str">
        <f t="shared" si="2"/>
        <v>Wilmington</v>
      </c>
      <c r="M123" s="1" t="s">
        <v>163</v>
      </c>
      <c r="N123" s="1" t="str">
        <f t="shared" si="3"/>
        <v>Delaware</v>
      </c>
      <c r="O123" s="1">
        <v>19805.0</v>
      </c>
      <c r="P123" s="1" t="s">
        <v>100</v>
      </c>
      <c r="Q123" s="1" t="s">
        <v>38</v>
      </c>
      <c r="R123" s="3">
        <v>226.56</v>
      </c>
      <c r="S123" s="1">
        <v>1.0</v>
      </c>
      <c r="T123" s="4">
        <v>225.99</v>
      </c>
    </row>
    <row r="124">
      <c r="A124" s="1" t="s">
        <v>312</v>
      </c>
      <c r="B124" s="2">
        <v>43075.0</v>
      </c>
      <c r="C124" s="2" t="str">
        <f t="shared" si="1"/>
        <v>Dec</v>
      </c>
      <c r="D124" s="1" t="s">
        <v>216</v>
      </c>
      <c r="E124" s="1" t="s">
        <v>121</v>
      </c>
      <c r="F124" s="1" t="s">
        <v>313</v>
      </c>
      <c r="G124" s="1" t="s">
        <v>314</v>
      </c>
      <c r="H124" s="1" t="str">
        <f>IFERROR(__xludf.DUMMYFUNCTION("split(G124,"" "")"),"Steven")</f>
        <v>Steven</v>
      </c>
      <c r="I124" s="1" t="str">
        <f>IFERROR(__xludf.DUMMYFUNCTION("""COMPUTED_VALUE"""),"Cartwright")</f>
        <v>Cartwright</v>
      </c>
      <c r="J124" s="1" t="s">
        <v>23</v>
      </c>
      <c r="K124" s="1" t="s">
        <v>315</v>
      </c>
      <c r="L124" s="1" t="str">
        <f t="shared" si="2"/>
        <v>Wilmington</v>
      </c>
      <c r="M124" s="1" t="s">
        <v>163</v>
      </c>
      <c r="N124" s="1" t="str">
        <f t="shared" si="3"/>
        <v>Delaware</v>
      </c>
      <c r="O124" s="1">
        <v>19805.0</v>
      </c>
      <c r="P124" s="1" t="s">
        <v>100</v>
      </c>
      <c r="Q124" s="1" t="s">
        <v>38</v>
      </c>
      <c r="R124" s="3">
        <v>115.02</v>
      </c>
      <c r="S124" s="1">
        <v>1.0</v>
      </c>
      <c r="T124" s="4">
        <v>114.44</v>
      </c>
    </row>
    <row r="125">
      <c r="A125" s="1" t="s">
        <v>312</v>
      </c>
      <c r="B125" s="2">
        <v>43075.0</v>
      </c>
      <c r="C125" s="2" t="str">
        <f t="shared" si="1"/>
        <v>Dec</v>
      </c>
      <c r="D125" s="1" t="s">
        <v>216</v>
      </c>
      <c r="E125" s="1" t="s">
        <v>121</v>
      </c>
      <c r="F125" s="1" t="s">
        <v>313</v>
      </c>
      <c r="G125" s="1" t="s">
        <v>314</v>
      </c>
      <c r="H125" s="1" t="str">
        <f>IFERROR(__xludf.DUMMYFUNCTION("split(G125,"" "")"),"Steven")</f>
        <v>Steven</v>
      </c>
      <c r="I125" s="1" t="str">
        <f>IFERROR(__xludf.DUMMYFUNCTION("""COMPUTED_VALUE"""),"Cartwright")</f>
        <v>Cartwright</v>
      </c>
      <c r="J125" s="1" t="s">
        <v>23</v>
      </c>
      <c r="K125" s="1" t="s">
        <v>315</v>
      </c>
      <c r="L125" s="1" t="str">
        <f t="shared" si="2"/>
        <v>Wilmington</v>
      </c>
      <c r="M125" s="1" t="s">
        <v>163</v>
      </c>
      <c r="N125" s="1" t="str">
        <f t="shared" si="3"/>
        <v>Delaware</v>
      </c>
      <c r="O125" s="1">
        <v>19805.0</v>
      </c>
      <c r="P125" s="1" t="s">
        <v>100</v>
      </c>
      <c r="Q125" s="1" t="s">
        <v>51</v>
      </c>
      <c r="R125" s="3">
        <v>68.04</v>
      </c>
      <c r="S125" s="1">
        <v>1.0</v>
      </c>
      <c r="T125" s="4">
        <v>67.05</v>
      </c>
    </row>
    <row r="126">
      <c r="A126" s="1" t="s">
        <v>316</v>
      </c>
      <c r="B126" s="2">
        <v>42364.0</v>
      </c>
      <c r="C126" s="2" t="str">
        <f t="shared" si="1"/>
        <v>Dec</v>
      </c>
      <c r="D126" s="1" t="s">
        <v>317</v>
      </c>
      <c r="E126" s="1" t="s">
        <v>20</v>
      </c>
      <c r="F126" s="1" t="s">
        <v>318</v>
      </c>
      <c r="G126" s="1" t="s">
        <v>319</v>
      </c>
      <c r="H126" s="1" t="str">
        <f>IFERROR(__xludf.DUMMYFUNCTION("split(G126,"" "")"),"Alan")</f>
        <v>Alan</v>
      </c>
      <c r="I126" s="1" t="str">
        <f>IFERROR(__xludf.DUMMYFUNCTION("""COMPUTED_VALUE"""),"Dominguez")</f>
        <v>Dominguez</v>
      </c>
      <c r="J126" s="1" t="s">
        <v>68</v>
      </c>
      <c r="K126" s="1" t="s">
        <v>129</v>
      </c>
      <c r="L126" s="1" t="str">
        <f t="shared" si="2"/>
        <v>Houston</v>
      </c>
      <c r="M126" s="1" t="s">
        <v>70</v>
      </c>
      <c r="N126" s="1" t="str">
        <f t="shared" si="3"/>
        <v>Texas</v>
      </c>
      <c r="O126" s="1">
        <v>77041.0</v>
      </c>
      <c r="P126" s="1" t="s">
        <v>71</v>
      </c>
      <c r="Q126" s="1" t="s">
        <v>27</v>
      </c>
      <c r="R126" s="3">
        <v>600.558</v>
      </c>
      <c r="S126" s="1">
        <v>7.0</v>
      </c>
      <c r="T126" s="4">
        <v>600.44</v>
      </c>
    </row>
    <row r="127">
      <c r="A127" s="1" t="s">
        <v>320</v>
      </c>
      <c r="B127" s="2">
        <v>42267.0</v>
      </c>
      <c r="C127" s="2" t="str">
        <f t="shared" si="1"/>
        <v>Sep</v>
      </c>
      <c r="D127" s="1" t="s">
        <v>321</v>
      </c>
      <c r="E127" s="1" t="s">
        <v>41</v>
      </c>
      <c r="F127" s="1" t="s">
        <v>322</v>
      </c>
      <c r="G127" s="1" t="s">
        <v>323</v>
      </c>
      <c r="H127" s="1" t="str">
        <f>IFERROR(__xludf.DUMMYFUNCTION("split(G127,"" "")"),"Philip")</f>
        <v>Philip</v>
      </c>
      <c r="I127" s="1" t="str">
        <f>IFERROR(__xludf.DUMMYFUNCTION("""COMPUTED_VALUE"""),"Fox")</f>
        <v>Fox</v>
      </c>
      <c r="J127" s="1" t="s">
        <v>23</v>
      </c>
      <c r="K127" s="1" t="s">
        <v>324</v>
      </c>
      <c r="L127" s="1" t="str">
        <f t="shared" si="2"/>
        <v>Bloomington</v>
      </c>
      <c r="M127" s="1" t="s">
        <v>135</v>
      </c>
      <c r="N127" s="1" t="str">
        <f t="shared" si="3"/>
        <v>Illinois</v>
      </c>
      <c r="O127" s="1">
        <v>61701.0</v>
      </c>
      <c r="P127" s="1" t="s">
        <v>71</v>
      </c>
      <c r="Q127" s="1" t="s">
        <v>27</v>
      </c>
      <c r="R127" s="3">
        <v>617.7</v>
      </c>
      <c r="S127" s="1">
        <v>6.0</v>
      </c>
      <c r="T127" s="4">
        <v>616.9</v>
      </c>
    </row>
    <row r="128">
      <c r="A128" s="1" t="s">
        <v>325</v>
      </c>
      <c r="B128" s="2">
        <v>43231.0</v>
      </c>
      <c r="C128" s="2" t="str">
        <f t="shared" si="1"/>
        <v>May</v>
      </c>
      <c r="D128" s="5">
        <v>43445.0</v>
      </c>
      <c r="E128" s="1" t="s">
        <v>41</v>
      </c>
      <c r="F128" s="1" t="s">
        <v>326</v>
      </c>
      <c r="G128" s="1" t="s">
        <v>327</v>
      </c>
      <c r="H128" s="1" t="str">
        <f>IFERROR(__xludf.DUMMYFUNCTION("split(G128,"" "")"),"Troy")</f>
        <v>Troy</v>
      </c>
      <c r="I128" s="1" t="str">
        <f>IFERROR(__xludf.DUMMYFUNCTION("""COMPUTED_VALUE"""),"Staebel")</f>
        <v>Staebel</v>
      </c>
      <c r="J128" s="1" t="s">
        <v>23</v>
      </c>
      <c r="K128" s="1" t="s">
        <v>328</v>
      </c>
      <c r="L128" s="1" t="str">
        <f t="shared" si="2"/>
        <v>Phoenix</v>
      </c>
      <c r="M128" s="1" t="s">
        <v>193</v>
      </c>
      <c r="N128" s="1" t="str">
        <f t="shared" si="3"/>
        <v>Arizona</v>
      </c>
      <c r="O128" s="1">
        <v>85023.0</v>
      </c>
      <c r="P128" s="1" t="s">
        <v>37</v>
      </c>
      <c r="Q128" s="1" t="s">
        <v>38</v>
      </c>
      <c r="R128" s="3">
        <v>2.388</v>
      </c>
      <c r="S128" s="1">
        <v>8.0</v>
      </c>
      <c r="T128" s="4">
        <v>2.19</v>
      </c>
    </row>
    <row r="129">
      <c r="A129" s="1" t="s">
        <v>325</v>
      </c>
      <c r="B129" s="2">
        <v>43231.0</v>
      </c>
      <c r="C129" s="2" t="str">
        <f t="shared" si="1"/>
        <v>May</v>
      </c>
      <c r="D129" s="5">
        <v>43445.0</v>
      </c>
      <c r="E129" s="1" t="s">
        <v>41</v>
      </c>
      <c r="F129" s="1" t="s">
        <v>326</v>
      </c>
      <c r="G129" s="1" t="s">
        <v>327</v>
      </c>
      <c r="H129" s="1" t="str">
        <f>IFERROR(__xludf.DUMMYFUNCTION("split(G129,"" "")"),"Troy")</f>
        <v>Troy</v>
      </c>
      <c r="I129" s="1" t="str">
        <f>IFERROR(__xludf.DUMMYFUNCTION("""COMPUTED_VALUE"""),"Staebel")</f>
        <v>Staebel</v>
      </c>
      <c r="J129" s="1" t="s">
        <v>23</v>
      </c>
      <c r="K129" s="1" t="s">
        <v>328</v>
      </c>
      <c r="L129" s="1" t="str">
        <f t="shared" si="2"/>
        <v>Phoenix</v>
      </c>
      <c r="M129" s="1" t="s">
        <v>193</v>
      </c>
      <c r="N129" s="1" t="str">
        <f t="shared" si="3"/>
        <v>Arizona</v>
      </c>
      <c r="O129" s="1">
        <v>85023.0</v>
      </c>
      <c r="P129" s="1" t="s">
        <v>37</v>
      </c>
      <c r="Q129" s="1" t="s">
        <v>38</v>
      </c>
      <c r="R129" s="3">
        <v>243.992</v>
      </c>
      <c r="S129" s="1">
        <v>8.0</v>
      </c>
      <c r="T129" s="4">
        <v>243.79</v>
      </c>
    </row>
    <row r="130">
      <c r="A130" s="1" t="s">
        <v>329</v>
      </c>
      <c r="B130" s="2">
        <v>42897.0</v>
      </c>
      <c r="C130" s="2" t="str">
        <f t="shared" si="1"/>
        <v>Jun</v>
      </c>
      <c r="D130" s="5">
        <v>43019.0</v>
      </c>
      <c r="E130" s="1" t="s">
        <v>20</v>
      </c>
      <c r="F130" s="1" t="s">
        <v>330</v>
      </c>
      <c r="G130" s="1" t="s">
        <v>331</v>
      </c>
      <c r="H130" s="1" t="str">
        <f>IFERROR(__xludf.DUMMYFUNCTION("split(G130,"" "")"),"Lindsay")</f>
        <v>Lindsay</v>
      </c>
      <c r="I130" s="1" t="str">
        <f>IFERROR(__xludf.DUMMYFUNCTION("""COMPUTED_VALUE"""),"Shagiari")</f>
        <v>Shagiari</v>
      </c>
      <c r="J130" s="1" t="s">
        <v>68</v>
      </c>
      <c r="K130" s="1" t="s">
        <v>35</v>
      </c>
      <c r="L130" s="1" t="str">
        <f t="shared" si="2"/>
        <v>Los Angeles</v>
      </c>
      <c r="M130" s="1" t="s">
        <v>52</v>
      </c>
      <c r="N130" s="1" t="str">
        <f t="shared" si="3"/>
        <v>California</v>
      </c>
      <c r="O130" s="1">
        <v>90004.0</v>
      </c>
      <c r="P130" s="1" t="s">
        <v>37</v>
      </c>
      <c r="Q130" s="1" t="s">
        <v>27</v>
      </c>
      <c r="R130" s="3">
        <v>81.424</v>
      </c>
      <c r="S130" s="1">
        <v>9.0</v>
      </c>
      <c r="T130" s="4">
        <v>80.61</v>
      </c>
    </row>
    <row r="131">
      <c r="A131" s="1" t="s">
        <v>329</v>
      </c>
      <c r="B131" s="2">
        <v>42897.0</v>
      </c>
      <c r="C131" s="2" t="str">
        <f t="shared" si="1"/>
        <v>Jun</v>
      </c>
      <c r="D131" s="5">
        <v>43019.0</v>
      </c>
      <c r="E131" s="1" t="s">
        <v>20</v>
      </c>
      <c r="F131" s="1" t="s">
        <v>330</v>
      </c>
      <c r="G131" s="1" t="s">
        <v>331</v>
      </c>
      <c r="H131" s="1" t="str">
        <f>IFERROR(__xludf.DUMMYFUNCTION("split(G131,"" "")"),"Lindsay")</f>
        <v>Lindsay</v>
      </c>
      <c r="I131" s="1" t="str">
        <f>IFERROR(__xludf.DUMMYFUNCTION("""COMPUTED_VALUE"""),"Shagiari")</f>
        <v>Shagiari</v>
      </c>
      <c r="J131" s="1" t="s">
        <v>68</v>
      </c>
      <c r="K131" s="1" t="s">
        <v>35</v>
      </c>
      <c r="L131" s="1" t="str">
        <f t="shared" si="2"/>
        <v>Los Angeles</v>
      </c>
      <c r="M131" s="1" t="s">
        <v>52</v>
      </c>
      <c r="N131" s="1" t="str">
        <f t="shared" si="3"/>
        <v>California</v>
      </c>
      <c r="O131" s="1">
        <v>90004.0</v>
      </c>
      <c r="P131" s="1" t="s">
        <v>37</v>
      </c>
      <c r="Q131" s="1" t="s">
        <v>27</v>
      </c>
      <c r="R131" s="3">
        <v>238.56</v>
      </c>
      <c r="S131" s="1">
        <v>9.0</v>
      </c>
      <c r="T131" s="4">
        <v>238.11</v>
      </c>
    </row>
    <row r="132">
      <c r="A132" s="1" t="s">
        <v>332</v>
      </c>
      <c r="B132" s="2">
        <v>43133.0</v>
      </c>
      <c r="C132" s="2" t="str">
        <f t="shared" si="1"/>
        <v>Feb</v>
      </c>
      <c r="D132" s="6">
        <v>43222.0</v>
      </c>
      <c r="E132" s="1" t="s">
        <v>121</v>
      </c>
      <c r="F132" s="1" t="s">
        <v>333</v>
      </c>
      <c r="G132" s="1" t="s">
        <v>334</v>
      </c>
      <c r="H132" s="1" t="str">
        <f>IFERROR(__xludf.DUMMYFUNCTION("split(G132,"" "")"),"Dorothy")</f>
        <v>Dorothy</v>
      </c>
      <c r="I132" s="1" t="str">
        <f>IFERROR(__xludf.DUMMYFUNCTION("""COMPUTED_VALUE"""),"Wardle")</f>
        <v>Wardle</v>
      </c>
      <c r="J132" s="1" t="s">
        <v>34</v>
      </c>
      <c r="K132" s="1" t="s">
        <v>303</v>
      </c>
      <c r="L132" s="1" t="str">
        <f t="shared" si="2"/>
        <v>Columbus</v>
      </c>
      <c r="M132" s="1" t="s">
        <v>304</v>
      </c>
      <c r="N132" s="1" t="str">
        <f t="shared" si="3"/>
        <v>Ohio</v>
      </c>
      <c r="O132" s="1">
        <v>43229.0</v>
      </c>
      <c r="P132" s="1" t="s">
        <v>100</v>
      </c>
      <c r="Q132" s="1" t="s">
        <v>51</v>
      </c>
      <c r="R132" s="3">
        <v>59.97</v>
      </c>
      <c r="S132" s="1">
        <v>4.0</v>
      </c>
      <c r="T132" s="4">
        <v>59.36</v>
      </c>
    </row>
    <row r="133">
      <c r="A133" s="1" t="s">
        <v>332</v>
      </c>
      <c r="B133" s="2">
        <v>43133.0</v>
      </c>
      <c r="C133" s="2" t="str">
        <f t="shared" si="1"/>
        <v>Feb</v>
      </c>
      <c r="D133" s="6">
        <v>43222.0</v>
      </c>
      <c r="E133" s="1" t="s">
        <v>121</v>
      </c>
      <c r="F133" s="1" t="s">
        <v>333</v>
      </c>
      <c r="G133" s="1" t="s">
        <v>334</v>
      </c>
      <c r="H133" s="1" t="str">
        <f>IFERROR(__xludf.DUMMYFUNCTION("split(G133,"" "")"),"Dorothy")</f>
        <v>Dorothy</v>
      </c>
      <c r="I133" s="1" t="str">
        <f>IFERROR(__xludf.DUMMYFUNCTION("""COMPUTED_VALUE"""),"Wardle")</f>
        <v>Wardle</v>
      </c>
      <c r="J133" s="1" t="s">
        <v>34</v>
      </c>
      <c r="K133" s="1" t="s">
        <v>303</v>
      </c>
      <c r="L133" s="1" t="str">
        <f t="shared" si="2"/>
        <v>Columbus</v>
      </c>
      <c r="M133" s="1" t="s">
        <v>304</v>
      </c>
      <c r="N133" s="1" t="str">
        <f t="shared" si="3"/>
        <v>Ohio</v>
      </c>
      <c r="O133" s="1">
        <v>43229.0</v>
      </c>
      <c r="P133" s="1" t="s">
        <v>100</v>
      </c>
      <c r="Q133" s="1" t="s">
        <v>38</v>
      </c>
      <c r="R133" s="3">
        <v>78.304</v>
      </c>
      <c r="S133" s="1">
        <v>4.0</v>
      </c>
      <c r="T133" s="4">
        <v>78.24</v>
      </c>
    </row>
    <row r="134">
      <c r="A134" s="1" t="s">
        <v>332</v>
      </c>
      <c r="B134" s="2">
        <v>43133.0</v>
      </c>
      <c r="C134" s="2" t="str">
        <f t="shared" si="1"/>
        <v>Feb</v>
      </c>
      <c r="D134" s="6">
        <v>43222.0</v>
      </c>
      <c r="E134" s="1" t="s">
        <v>121</v>
      </c>
      <c r="F134" s="1" t="s">
        <v>333</v>
      </c>
      <c r="G134" s="1" t="s">
        <v>334</v>
      </c>
      <c r="H134" s="1" t="str">
        <f>IFERROR(__xludf.DUMMYFUNCTION("split(G134,"" "")"),"Dorothy")</f>
        <v>Dorothy</v>
      </c>
      <c r="I134" s="1" t="str">
        <f>IFERROR(__xludf.DUMMYFUNCTION("""COMPUTED_VALUE"""),"Wardle")</f>
        <v>Wardle</v>
      </c>
      <c r="J134" s="1" t="s">
        <v>34</v>
      </c>
      <c r="K134" s="1" t="s">
        <v>303</v>
      </c>
      <c r="L134" s="1" t="str">
        <f t="shared" si="2"/>
        <v>Columbus</v>
      </c>
      <c r="M134" s="1" t="s">
        <v>304</v>
      </c>
      <c r="N134" s="1" t="str">
        <f t="shared" si="3"/>
        <v>Ohio</v>
      </c>
      <c r="O134" s="1">
        <v>43229.0</v>
      </c>
      <c r="P134" s="1" t="s">
        <v>100</v>
      </c>
      <c r="Q134" s="1" t="s">
        <v>38</v>
      </c>
      <c r="R134" s="3">
        <v>21.456</v>
      </c>
      <c r="S134" s="1">
        <v>4.0</v>
      </c>
      <c r="T134" s="4">
        <v>20.85</v>
      </c>
    </row>
    <row r="135">
      <c r="A135" s="1" t="s">
        <v>335</v>
      </c>
      <c r="B135" s="2">
        <v>43021.0</v>
      </c>
      <c r="C135" s="2" t="str">
        <f t="shared" si="1"/>
        <v>Oct</v>
      </c>
      <c r="D135" s="1" t="s">
        <v>336</v>
      </c>
      <c r="E135" s="1" t="s">
        <v>41</v>
      </c>
      <c r="F135" s="1" t="s">
        <v>337</v>
      </c>
      <c r="G135" s="1" t="s">
        <v>338</v>
      </c>
      <c r="H135" s="1" t="str">
        <f>IFERROR(__xludf.DUMMYFUNCTION("split(G135,"" "")"),"Lena")</f>
        <v>Lena</v>
      </c>
      <c r="I135" s="1" t="str">
        <f>IFERROR(__xludf.DUMMYFUNCTION("""COMPUTED_VALUE"""),"Creighton")</f>
        <v>Creighton</v>
      </c>
      <c r="J135" s="1" t="s">
        <v>23</v>
      </c>
      <c r="K135" s="1" t="s">
        <v>339</v>
      </c>
      <c r="L135" s="1" t="str">
        <f t="shared" si="2"/>
        <v>Roseville</v>
      </c>
      <c r="M135" s="1" t="s">
        <v>52</v>
      </c>
      <c r="N135" s="1" t="str">
        <f t="shared" si="3"/>
        <v>California</v>
      </c>
      <c r="O135" s="1">
        <v>95661.0</v>
      </c>
      <c r="P135" s="1" t="s">
        <v>37</v>
      </c>
      <c r="Q135" s="1" t="s">
        <v>38</v>
      </c>
      <c r="R135" s="3">
        <v>20.04</v>
      </c>
      <c r="S135" s="1">
        <v>9.0</v>
      </c>
      <c r="T135" s="4">
        <v>20.0</v>
      </c>
    </row>
    <row r="136">
      <c r="A136" s="1" t="s">
        <v>335</v>
      </c>
      <c r="B136" s="2">
        <v>43021.0</v>
      </c>
      <c r="C136" s="2" t="str">
        <f t="shared" si="1"/>
        <v>Oct</v>
      </c>
      <c r="D136" s="1" t="s">
        <v>336</v>
      </c>
      <c r="E136" s="1" t="s">
        <v>41</v>
      </c>
      <c r="F136" s="1" t="s">
        <v>337</v>
      </c>
      <c r="G136" s="1" t="s">
        <v>338</v>
      </c>
      <c r="H136" s="1" t="str">
        <f>IFERROR(__xludf.DUMMYFUNCTION("split(G136,"" "")"),"Lena")</f>
        <v>Lena</v>
      </c>
      <c r="I136" s="1" t="str">
        <f>IFERROR(__xludf.DUMMYFUNCTION("""COMPUTED_VALUE"""),"Creighton")</f>
        <v>Creighton</v>
      </c>
      <c r="J136" s="1" t="s">
        <v>23</v>
      </c>
      <c r="K136" s="1" t="s">
        <v>339</v>
      </c>
      <c r="L136" s="1" t="str">
        <f t="shared" si="2"/>
        <v>Roseville</v>
      </c>
      <c r="M136" s="1" t="s">
        <v>52</v>
      </c>
      <c r="N136" s="1" t="str">
        <f t="shared" si="3"/>
        <v>California</v>
      </c>
      <c r="O136" s="1">
        <v>95661.0</v>
      </c>
      <c r="P136" s="1" t="s">
        <v>37</v>
      </c>
      <c r="Q136" s="1" t="s">
        <v>38</v>
      </c>
      <c r="R136" s="3">
        <v>35.44</v>
      </c>
      <c r="S136" s="1">
        <v>9.0</v>
      </c>
      <c r="T136" s="4">
        <v>35.26</v>
      </c>
    </row>
    <row r="137">
      <c r="A137" s="1" t="s">
        <v>335</v>
      </c>
      <c r="B137" s="2">
        <v>43021.0</v>
      </c>
      <c r="C137" s="2" t="str">
        <f t="shared" si="1"/>
        <v>Oct</v>
      </c>
      <c r="D137" s="1" t="s">
        <v>336</v>
      </c>
      <c r="E137" s="1" t="s">
        <v>41</v>
      </c>
      <c r="F137" s="1" t="s">
        <v>337</v>
      </c>
      <c r="G137" s="1" t="s">
        <v>338</v>
      </c>
      <c r="H137" s="1" t="str">
        <f>IFERROR(__xludf.DUMMYFUNCTION("split(G137,"" "")"),"Lena")</f>
        <v>Lena</v>
      </c>
      <c r="I137" s="1" t="str">
        <f>IFERROR(__xludf.DUMMYFUNCTION("""COMPUTED_VALUE"""),"Creighton")</f>
        <v>Creighton</v>
      </c>
      <c r="J137" s="1" t="s">
        <v>23</v>
      </c>
      <c r="K137" s="1" t="s">
        <v>339</v>
      </c>
      <c r="L137" s="1" t="str">
        <f t="shared" si="2"/>
        <v>Roseville</v>
      </c>
      <c r="M137" s="1" t="s">
        <v>52</v>
      </c>
      <c r="N137" s="1" t="str">
        <f t="shared" si="3"/>
        <v>California</v>
      </c>
      <c r="O137" s="1">
        <v>95661.0</v>
      </c>
      <c r="P137" s="1" t="s">
        <v>37</v>
      </c>
      <c r="Q137" s="1" t="s">
        <v>38</v>
      </c>
      <c r="R137" s="3">
        <v>11.52</v>
      </c>
      <c r="S137" s="1">
        <v>9.0</v>
      </c>
      <c r="T137" s="4">
        <v>10.88</v>
      </c>
    </row>
    <row r="138">
      <c r="A138" s="1" t="s">
        <v>335</v>
      </c>
      <c r="B138" s="2">
        <v>43021.0</v>
      </c>
      <c r="C138" s="2" t="str">
        <f t="shared" si="1"/>
        <v>Oct</v>
      </c>
      <c r="D138" s="1" t="s">
        <v>336</v>
      </c>
      <c r="E138" s="1" t="s">
        <v>41</v>
      </c>
      <c r="F138" s="1" t="s">
        <v>337</v>
      </c>
      <c r="G138" s="1" t="s">
        <v>338</v>
      </c>
      <c r="H138" s="1" t="str">
        <f>IFERROR(__xludf.DUMMYFUNCTION("split(G138,"" "")"),"Lena")</f>
        <v>Lena</v>
      </c>
      <c r="I138" s="1" t="str">
        <f>IFERROR(__xludf.DUMMYFUNCTION("""COMPUTED_VALUE"""),"Creighton")</f>
        <v>Creighton</v>
      </c>
      <c r="J138" s="1" t="s">
        <v>23</v>
      </c>
      <c r="K138" s="1" t="s">
        <v>339</v>
      </c>
      <c r="L138" s="1" t="str">
        <f t="shared" si="2"/>
        <v>Roseville</v>
      </c>
      <c r="M138" s="1" t="s">
        <v>52</v>
      </c>
      <c r="N138" s="1" t="str">
        <f t="shared" si="3"/>
        <v>California</v>
      </c>
      <c r="O138" s="1">
        <v>95661.0</v>
      </c>
      <c r="P138" s="1" t="s">
        <v>37</v>
      </c>
      <c r="Q138" s="1" t="s">
        <v>38</v>
      </c>
      <c r="R138" s="3">
        <v>4.02</v>
      </c>
      <c r="S138" s="1">
        <v>9.0</v>
      </c>
      <c r="T138" s="4">
        <v>3.77</v>
      </c>
    </row>
    <row r="139">
      <c r="A139" s="1" t="s">
        <v>335</v>
      </c>
      <c r="B139" s="2">
        <v>43021.0</v>
      </c>
      <c r="C139" s="2" t="str">
        <f t="shared" si="1"/>
        <v>Oct</v>
      </c>
      <c r="D139" s="1" t="s">
        <v>336</v>
      </c>
      <c r="E139" s="1" t="s">
        <v>41</v>
      </c>
      <c r="F139" s="1" t="s">
        <v>337</v>
      </c>
      <c r="G139" s="1" t="s">
        <v>338</v>
      </c>
      <c r="H139" s="1" t="str">
        <f>IFERROR(__xludf.DUMMYFUNCTION("split(G139,"" "")"),"Lena")</f>
        <v>Lena</v>
      </c>
      <c r="I139" s="1" t="str">
        <f>IFERROR(__xludf.DUMMYFUNCTION("""COMPUTED_VALUE"""),"Creighton")</f>
        <v>Creighton</v>
      </c>
      <c r="J139" s="1" t="s">
        <v>23</v>
      </c>
      <c r="K139" s="1" t="s">
        <v>339</v>
      </c>
      <c r="L139" s="1" t="str">
        <f t="shared" si="2"/>
        <v>Roseville</v>
      </c>
      <c r="M139" s="1" t="s">
        <v>52</v>
      </c>
      <c r="N139" s="1" t="str">
        <f t="shared" si="3"/>
        <v>California</v>
      </c>
      <c r="O139" s="1">
        <v>95661.0</v>
      </c>
      <c r="P139" s="1" t="s">
        <v>37</v>
      </c>
      <c r="Q139" s="1" t="s">
        <v>38</v>
      </c>
      <c r="R139" s="3">
        <v>76.176</v>
      </c>
      <c r="S139" s="1">
        <v>9.0</v>
      </c>
      <c r="T139" s="4">
        <v>76.02</v>
      </c>
    </row>
    <row r="140">
      <c r="A140" s="1" t="s">
        <v>335</v>
      </c>
      <c r="B140" s="2">
        <v>43021.0</v>
      </c>
      <c r="C140" s="2" t="str">
        <f t="shared" si="1"/>
        <v>Oct</v>
      </c>
      <c r="D140" s="1" t="s">
        <v>336</v>
      </c>
      <c r="E140" s="1" t="s">
        <v>41</v>
      </c>
      <c r="F140" s="1" t="s">
        <v>337</v>
      </c>
      <c r="G140" s="1" t="s">
        <v>338</v>
      </c>
      <c r="H140" s="1" t="str">
        <f>IFERROR(__xludf.DUMMYFUNCTION("split(G140,"" "")"),"Lena")</f>
        <v>Lena</v>
      </c>
      <c r="I140" s="1" t="str">
        <f>IFERROR(__xludf.DUMMYFUNCTION("""COMPUTED_VALUE"""),"Creighton")</f>
        <v>Creighton</v>
      </c>
      <c r="J140" s="1" t="s">
        <v>23</v>
      </c>
      <c r="K140" s="1" t="s">
        <v>339</v>
      </c>
      <c r="L140" s="1" t="str">
        <f t="shared" si="2"/>
        <v>Roseville</v>
      </c>
      <c r="M140" s="1" t="s">
        <v>52</v>
      </c>
      <c r="N140" s="1" t="str">
        <f t="shared" si="3"/>
        <v>California</v>
      </c>
      <c r="O140" s="1">
        <v>95661.0</v>
      </c>
      <c r="P140" s="1" t="s">
        <v>37</v>
      </c>
      <c r="Q140" s="1" t="s">
        <v>38</v>
      </c>
      <c r="R140" s="3">
        <v>65.88</v>
      </c>
      <c r="S140" s="1">
        <v>9.0</v>
      </c>
      <c r="T140" s="4">
        <v>65.27</v>
      </c>
    </row>
    <row r="141">
      <c r="A141" s="1" t="s">
        <v>335</v>
      </c>
      <c r="B141" s="2">
        <v>43021.0</v>
      </c>
      <c r="C141" s="2" t="str">
        <f t="shared" si="1"/>
        <v>Oct</v>
      </c>
      <c r="D141" s="1" t="s">
        <v>336</v>
      </c>
      <c r="E141" s="1" t="s">
        <v>41</v>
      </c>
      <c r="F141" s="1" t="s">
        <v>337</v>
      </c>
      <c r="G141" s="1" t="s">
        <v>338</v>
      </c>
      <c r="H141" s="1" t="str">
        <f>IFERROR(__xludf.DUMMYFUNCTION("split(G141,"" "")"),"Lena")</f>
        <v>Lena</v>
      </c>
      <c r="I141" s="1" t="str">
        <f>IFERROR(__xludf.DUMMYFUNCTION("""COMPUTED_VALUE"""),"Creighton")</f>
        <v>Creighton</v>
      </c>
      <c r="J141" s="1" t="s">
        <v>23</v>
      </c>
      <c r="K141" s="1" t="s">
        <v>339</v>
      </c>
      <c r="L141" s="1" t="str">
        <f t="shared" si="2"/>
        <v>Roseville</v>
      </c>
      <c r="M141" s="1" t="s">
        <v>52</v>
      </c>
      <c r="N141" s="1" t="str">
        <f t="shared" si="3"/>
        <v>California</v>
      </c>
      <c r="O141" s="1">
        <v>95661.0</v>
      </c>
      <c r="P141" s="1" t="s">
        <v>37</v>
      </c>
      <c r="Q141" s="1" t="s">
        <v>27</v>
      </c>
      <c r="R141" s="3">
        <v>43.12</v>
      </c>
      <c r="S141" s="1">
        <v>9.0</v>
      </c>
      <c r="T141" s="4">
        <v>42.27</v>
      </c>
    </row>
    <row r="142">
      <c r="A142" s="1" t="s">
        <v>340</v>
      </c>
      <c r="B142" s="2">
        <v>42864.0</v>
      </c>
      <c r="C142" s="2" t="str">
        <f t="shared" si="1"/>
        <v>May</v>
      </c>
      <c r="D142" s="6">
        <v>42925.0</v>
      </c>
      <c r="E142" s="1" t="s">
        <v>20</v>
      </c>
      <c r="F142" s="1" t="s">
        <v>341</v>
      </c>
      <c r="G142" s="1" t="s">
        <v>342</v>
      </c>
      <c r="H142" s="1" t="str">
        <f>IFERROR(__xludf.DUMMYFUNCTION("split(G142,"" "")"),"Jonathan")</f>
        <v>Jonathan</v>
      </c>
      <c r="I142" s="1" t="str">
        <f>IFERROR(__xludf.DUMMYFUNCTION("""COMPUTED_VALUE"""),"Doherty")</f>
        <v>Doherty</v>
      </c>
      <c r="J142" s="1" t="s">
        <v>34</v>
      </c>
      <c r="K142" s="1" t="s">
        <v>98</v>
      </c>
      <c r="L142" s="1" t="str">
        <f t="shared" si="2"/>
        <v>Philadelphia</v>
      </c>
      <c r="M142" s="1" t="s">
        <v>99</v>
      </c>
      <c r="N142" s="1" t="str">
        <f t="shared" si="3"/>
        <v>Pennsylvania</v>
      </c>
      <c r="O142" s="1">
        <v>19140.0</v>
      </c>
      <c r="P142" s="1" t="s">
        <v>100</v>
      </c>
      <c r="Q142" s="1" t="s">
        <v>27</v>
      </c>
      <c r="R142" s="3">
        <v>82.8</v>
      </c>
      <c r="S142" s="1">
        <v>1.0</v>
      </c>
      <c r="T142" s="4">
        <v>82.56</v>
      </c>
    </row>
    <row r="143">
      <c r="A143" s="1" t="s">
        <v>343</v>
      </c>
      <c r="B143" s="2">
        <v>43361.0</v>
      </c>
      <c r="C143" s="2" t="str">
        <f t="shared" si="1"/>
        <v>Sep</v>
      </c>
      <c r="D143" s="1" t="s">
        <v>141</v>
      </c>
      <c r="E143" s="1" t="s">
        <v>41</v>
      </c>
      <c r="F143" s="1" t="s">
        <v>344</v>
      </c>
      <c r="G143" s="1" t="s">
        <v>345</v>
      </c>
      <c r="H143" s="1" t="str">
        <f>IFERROR(__xludf.DUMMYFUNCTION("split(G143,"" "")"),"Sally")</f>
        <v>Sally</v>
      </c>
      <c r="I143" s="1" t="str">
        <f>IFERROR(__xludf.DUMMYFUNCTION("""COMPUTED_VALUE"""),"Hughsby")</f>
        <v>Hughsby</v>
      </c>
      <c r="J143" s="1" t="s">
        <v>34</v>
      </c>
      <c r="K143" s="1" t="s">
        <v>87</v>
      </c>
      <c r="L143" s="1" t="str">
        <f t="shared" si="2"/>
        <v>San Francisco</v>
      </c>
      <c r="M143" s="1" t="s">
        <v>52</v>
      </c>
      <c r="N143" s="1" t="str">
        <f t="shared" si="3"/>
        <v>California</v>
      </c>
      <c r="O143" s="1">
        <v>94122.0</v>
      </c>
      <c r="P143" s="1" t="s">
        <v>37</v>
      </c>
      <c r="Q143" s="1" t="s">
        <v>38</v>
      </c>
      <c r="R143" s="3">
        <v>8.82</v>
      </c>
      <c r="S143" s="1">
        <v>9.0</v>
      </c>
      <c r="T143" s="4">
        <v>8.76</v>
      </c>
    </row>
    <row r="144">
      <c r="A144" s="1" t="s">
        <v>343</v>
      </c>
      <c r="B144" s="2">
        <v>43361.0</v>
      </c>
      <c r="C144" s="2" t="str">
        <f t="shared" si="1"/>
        <v>Sep</v>
      </c>
      <c r="D144" s="1" t="s">
        <v>141</v>
      </c>
      <c r="E144" s="1" t="s">
        <v>41</v>
      </c>
      <c r="F144" s="1" t="s">
        <v>344</v>
      </c>
      <c r="G144" s="1" t="s">
        <v>345</v>
      </c>
      <c r="H144" s="1" t="str">
        <f>IFERROR(__xludf.DUMMYFUNCTION("split(G144,"" "")"),"Sally")</f>
        <v>Sally</v>
      </c>
      <c r="I144" s="1" t="str">
        <f>IFERROR(__xludf.DUMMYFUNCTION("""COMPUTED_VALUE"""),"Hughsby")</f>
        <v>Hughsby</v>
      </c>
      <c r="J144" s="1" t="s">
        <v>34</v>
      </c>
      <c r="K144" s="1" t="s">
        <v>87</v>
      </c>
      <c r="L144" s="1" t="str">
        <f t="shared" si="2"/>
        <v>San Francisco</v>
      </c>
      <c r="M144" s="1" t="s">
        <v>52</v>
      </c>
      <c r="N144" s="1" t="str">
        <f t="shared" si="3"/>
        <v>California</v>
      </c>
      <c r="O144" s="1">
        <v>94122.0</v>
      </c>
      <c r="P144" s="1" t="s">
        <v>37</v>
      </c>
      <c r="Q144" s="1" t="s">
        <v>38</v>
      </c>
      <c r="R144" s="3">
        <v>10.86</v>
      </c>
      <c r="S144" s="1">
        <v>9.0</v>
      </c>
      <c r="T144" s="4">
        <v>10.56</v>
      </c>
    </row>
    <row r="145">
      <c r="A145" s="1" t="s">
        <v>343</v>
      </c>
      <c r="B145" s="2">
        <v>43361.0</v>
      </c>
      <c r="C145" s="2" t="str">
        <f t="shared" si="1"/>
        <v>Sep</v>
      </c>
      <c r="D145" s="1" t="s">
        <v>141</v>
      </c>
      <c r="E145" s="1" t="s">
        <v>41</v>
      </c>
      <c r="F145" s="1" t="s">
        <v>344</v>
      </c>
      <c r="G145" s="1" t="s">
        <v>345</v>
      </c>
      <c r="H145" s="1" t="str">
        <f>IFERROR(__xludf.DUMMYFUNCTION("split(G145,"" "")"),"Sally")</f>
        <v>Sally</v>
      </c>
      <c r="I145" s="1" t="str">
        <f>IFERROR(__xludf.DUMMYFUNCTION("""COMPUTED_VALUE"""),"Hughsby")</f>
        <v>Hughsby</v>
      </c>
      <c r="J145" s="1" t="s">
        <v>34</v>
      </c>
      <c r="K145" s="1" t="s">
        <v>87</v>
      </c>
      <c r="L145" s="1" t="str">
        <f t="shared" si="2"/>
        <v>San Francisco</v>
      </c>
      <c r="M145" s="1" t="s">
        <v>52</v>
      </c>
      <c r="N145" s="1" t="str">
        <f t="shared" si="3"/>
        <v>California</v>
      </c>
      <c r="O145" s="1">
        <v>94122.0</v>
      </c>
      <c r="P145" s="1" t="s">
        <v>37</v>
      </c>
      <c r="Q145" s="1" t="s">
        <v>38</v>
      </c>
      <c r="R145" s="3">
        <v>143.7</v>
      </c>
      <c r="S145" s="1">
        <v>9.0</v>
      </c>
      <c r="T145" s="4">
        <v>143.52</v>
      </c>
    </row>
    <row r="146">
      <c r="A146" s="1" t="s">
        <v>346</v>
      </c>
      <c r="B146" s="2">
        <v>43456.0</v>
      </c>
      <c r="C146" s="2" t="str">
        <f t="shared" si="1"/>
        <v>Dec</v>
      </c>
      <c r="D146" s="1" t="s">
        <v>347</v>
      </c>
      <c r="E146" s="1" t="s">
        <v>41</v>
      </c>
      <c r="F146" s="1" t="s">
        <v>348</v>
      </c>
      <c r="G146" s="1" t="s">
        <v>349</v>
      </c>
      <c r="H146" s="1" t="str">
        <f>IFERROR(__xludf.DUMMYFUNCTION("split(G146,"" "")"),"Sandra")</f>
        <v>Sandra</v>
      </c>
      <c r="I146" s="1" t="str">
        <f>IFERROR(__xludf.DUMMYFUNCTION("""COMPUTED_VALUE"""),"Glassco")</f>
        <v>Glassco</v>
      </c>
      <c r="J146" s="1" t="s">
        <v>23</v>
      </c>
      <c r="K146" s="1" t="s">
        <v>350</v>
      </c>
      <c r="L146" s="1" t="str">
        <f t="shared" si="2"/>
        <v>Independence</v>
      </c>
      <c r="M146" s="1" t="s">
        <v>351</v>
      </c>
      <c r="N146" s="1" t="str">
        <f t="shared" si="3"/>
        <v>Missouri</v>
      </c>
      <c r="O146" s="1">
        <v>64055.0</v>
      </c>
      <c r="P146" s="1" t="s">
        <v>71</v>
      </c>
      <c r="Q146" s="1" t="s">
        <v>38</v>
      </c>
      <c r="R146" s="3">
        <v>839.43</v>
      </c>
      <c r="S146" s="1">
        <v>6.0</v>
      </c>
      <c r="T146" s="4">
        <v>838.57</v>
      </c>
    </row>
    <row r="147">
      <c r="A147" s="1" t="s">
        <v>352</v>
      </c>
      <c r="B147" s="2">
        <v>42560.0</v>
      </c>
      <c r="C147" s="2" t="str">
        <f t="shared" si="1"/>
        <v>Jul</v>
      </c>
      <c r="D147" s="6">
        <v>42713.0</v>
      </c>
      <c r="E147" s="1" t="s">
        <v>41</v>
      </c>
      <c r="F147" s="1" t="s">
        <v>353</v>
      </c>
      <c r="G147" s="1" t="s">
        <v>354</v>
      </c>
      <c r="H147" s="1" t="str">
        <f>IFERROR(__xludf.DUMMYFUNCTION("split(G147,"" "")"),"Helen")</f>
        <v>Helen</v>
      </c>
      <c r="I147" s="1" t="str">
        <f>IFERROR(__xludf.DUMMYFUNCTION("""COMPUTED_VALUE"""),"Andreada")</f>
        <v>Andreada</v>
      </c>
      <c r="J147" s="1" t="s">
        <v>23</v>
      </c>
      <c r="K147" s="1" t="s">
        <v>355</v>
      </c>
      <c r="L147" s="1" t="str">
        <f t="shared" si="2"/>
        <v>Pasadena</v>
      </c>
      <c r="M147" s="1" t="s">
        <v>52</v>
      </c>
      <c r="N147" s="1" t="str">
        <f t="shared" si="3"/>
        <v>California</v>
      </c>
      <c r="O147" s="1">
        <v>91104.0</v>
      </c>
      <c r="P147" s="1" t="s">
        <v>37</v>
      </c>
      <c r="Q147" s="1" t="s">
        <v>38</v>
      </c>
      <c r="R147" s="3">
        <v>671.93</v>
      </c>
      <c r="S147" s="1">
        <v>9.0</v>
      </c>
      <c r="T147" s="4">
        <v>671.11</v>
      </c>
    </row>
    <row r="148">
      <c r="A148" s="1" t="s">
        <v>356</v>
      </c>
      <c r="B148" s="2">
        <v>42299.0</v>
      </c>
      <c r="C148" s="2" t="str">
        <f t="shared" si="1"/>
        <v>Oct</v>
      </c>
      <c r="D148" s="1" t="s">
        <v>357</v>
      </c>
      <c r="E148" s="1" t="s">
        <v>41</v>
      </c>
      <c r="F148" s="1" t="s">
        <v>358</v>
      </c>
      <c r="G148" s="1" t="s">
        <v>359</v>
      </c>
      <c r="H148" s="1" t="str">
        <f>IFERROR(__xludf.DUMMYFUNCTION("split(G148,"" "")"),"Maureen")</f>
        <v>Maureen</v>
      </c>
      <c r="I148" s="1" t="str">
        <f>IFERROR(__xludf.DUMMYFUNCTION("""COMPUTED_VALUE"""),"Gastineau")</f>
        <v>Gastineau</v>
      </c>
      <c r="J148" s="1" t="s">
        <v>68</v>
      </c>
      <c r="K148" s="1" t="s">
        <v>360</v>
      </c>
      <c r="L148" s="1" t="str">
        <f t="shared" si="2"/>
        <v>Newark</v>
      </c>
      <c r="M148" s="1" t="s">
        <v>304</v>
      </c>
      <c r="N148" s="1" t="str">
        <f t="shared" si="3"/>
        <v>Ohio</v>
      </c>
      <c r="O148" s="1">
        <v>43055.0</v>
      </c>
      <c r="P148" s="1" t="s">
        <v>100</v>
      </c>
      <c r="Q148" s="1" t="s">
        <v>27</v>
      </c>
      <c r="R148" s="3">
        <v>93.888</v>
      </c>
      <c r="S148" s="1">
        <v>4.0</v>
      </c>
      <c r="T148" s="4">
        <v>93.42</v>
      </c>
    </row>
    <row r="149">
      <c r="A149" s="1" t="s">
        <v>361</v>
      </c>
      <c r="B149" s="2">
        <v>42867.0</v>
      </c>
      <c r="C149" s="2" t="str">
        <f t="shared" si="1"/>
        <v>May</v>
      </c>
      <c r="D149" s="6">
        <v>42990.0</v>
      </c>
      <c r="E149" s="1" t="s">
        <v>41</v>
      </c>
      <c r="F149" s="1" t="s">
        <v>362</v>
      </c>
      <c r="G149" s="1" t="s">
        <v>363</v>
      </c>
      <c r="H149" s="1" t="str">
        <f>IFERROR(__xludf.DUMMYFUNCTION("split(G149,"" "")"),"Justin")</f>
        <v>Justin</v>
      </c>
      <c r="I149" s="1" t="str">
        <f>IFERROR(__xludf.DUMMYFUNCTION("""COMPUTED_VALUE"""),"Ellison")</f>
        <v>Ellison</v>
      </c>
      <c r="J149" s="1" t="s">
        <v>34</v>
      </c>
      <c r="K149" s="1" t="s">
        <v>364</v>
      </c>
      <c r="L149" s="1" t="str">
        <f t="shared" si="2"/>
        <v>Franklin</v>
      </c>
      <c r="M149" s="1" t="s">
        <v>77</v>
      </c>
      <c r="N149" s="1" t="str">
        <f t="shared" si="3"/>
        <v>Wisconsin</v>
      </c>
      <c r="O149" s="1">
        <v>53132.0</v>
      </c>
      <c r="P149" s="1" t="s">
        <v>71</v>
      </c>
      <c r="Q149" s="1" t="s">
        <v>51</v>
      </c>
      <c r="R149" s="3">
        <v>384.45</v>
      </c>
      <c r="S149" s="1">
        <v>5.0</v>
      </c>
      <c r="T149" s="4">
        <v>383.76</v>
      </c>
    </row>
    <row r="150">
      <c r="A150" s="1" t="s">
        <v>361</v>
      </c>
      <c r="B150" s="2">
        <v>42867.0</v>
      </c>
      <c r="C150" s="2" t="str">
        <f t="shared" si="1"/>
        <v>May</v>
      </c>
      <c r="D150" s="6">
        <v>42990.0</v>
      </c>
      <c r="E150" s="1" t="s">
        <v>41</v>
      </c>
      <c r="F150" s="1" t="s">
        <v>362</v>
      </c>
      <c r="G150" s="1" t="s">
        <v>363</v>
      </c>
      <c r="H150" s="1" t="str">
        <f>IFERROR(__xludf.DUMMYFUNCTION("split(G150,"" "")"),"Justin")</f>
        <v>Justin</v>
      </c>
      <c r="I150" s="1" t="str">
        <f>IFERROR(__xludf.DUMMYFUNCTION("""COMPUTED_VALUE"""),"Ellison")</f>
        <v>Ellison</v>
      </c>
      <c r="J150" s="1" t="s">
        <v>34</v>
      </c>
      <c r="K150" s="1" t="s">
        <v>364</v>
      </c>
      <c r="L150" s="1" t="str">
        <f t="shared" si="2"/>
        <v>Franklin</v>
      </c>
      <c r="M150" s="1" t="s">
        <v>77</v>
      </c>
      <c r="N150" s="1" t="str">
        <f t="shared" si="3"/>
        <v>Wisconsin</v>
      </c>
      <c r="O150" s="1">
        <v>53132.0</v>
      </c>
      <c r="P150" s="1" t="s">
        <v>71</v>
      </c>
      <c r="Q150" s="1" t="s">
        <v>51</v>
      </c>
      <c r="R150" s="3">
        <v>149.97</v>
      </c>
      <c r="S150" s="1">
        <v>5.0</v>
      </c>
      <c r="T150" s="4">
        <v>149.92</v>
      </c>
    </row>
    <row r="151">
      <c r="A151" s="1" t="s">
        <v>361</v>
      </c>
      <c r="B151" s="2">
        <v>42867.0</v>
      </c>
      <c r="C151" s="2" t="str">
        <f t="shared" si="1"/>
        <v>May</v>
      </c>
      <c r="D151" s="6">
        <v>42990.0</v>
      </c>
      <c r="E151" s="1" t="s">
        <v>41</v>
      </c>
      <c r="F151" s="1" t="s">
        <v>362</v>
      </c>
      <c r="G151" s="1" t="s">
        <v>363</v>
      </c>
      <c r="H151" s="1" t="str">
        <f>IFERROR(__xludf.DUMMYFUNCTION("split(G151,"" "")"),"Justin")</f>
        <v>Justin</v>
      </c>
      <c r="I151" s="1" t="str">
        <f>IFERROR(__xludf.DUMMYFUNCTION("""COMPUTED_VALUE"""),"Ellison")</f>
        <v>Ellison</v>
      </c>
      <c r="J151" s="1" t="s">
        <v>34</v>
      </c>
      <c r="K151" s="1" t="s">
        <v>364</v>
      </c>
      <c r="L151" s="1" t="str">
        <f t="shared" si="2"/>
        <v>Franklin</v>
      </c>
      <c r="M151" s="1" t="s">
        <v>77</v>
      </c>
      <c r="N151" s="1" t="str">
        <f t="shared" si="3"/>
        <v>Wisconsin</v>
      </c>
      <c r="O151" s="1">
        <v>53132.0</v>
      </c>
      <c r="P151" s="1" t="s">
        <v>71</v>
      </c>
      <c r="Q151" s="1" t="s">
        <v>27</v>
      </c>
      <c r="R151" s="3">
        <v>1951.84</v>
      </c>
      <c r="S151" s="1">
        <v>5.0</v>
      </c>
      <c r="T151" s="4">
        <v>1950.87</v>
      </c>
    </row>
    <row r="152">
      <c r="A152" s="1" t="s">
        <v>361</v>
      </c>
      <c r="B152" s="2">
        <v>42867.0</v>
      </c>
      <c r="C152" s="2" t="str">
        <f t="shared" si="1"/>
        <v>May</v>
      </c>
      <c r="D152" s="6">
        <v>42990.0</v>
      </c>
      <c r="E152" s="1" t="s">
        <v>41</v>
      </c>
      <c r="F152" s="1" t="s">
        <v>362</v>
      </c>
      <c r="G152" s="1" t="s">
        <v>363</v>
      </c>
      <c r="H152" s="1" t="str">
        <f>IFERROR(__xludf.DUMMYFUNCTION("split(G152,"" "")"),"Justin")</f>
        <v>Justin</v>
      </c>
      <c r="I152" s="1" t="str">
        <f>IFERROR(__xludf.DUMMYFUNCTION("""COMPUTED_VALUE"""),"Ellison")</f>
        <v>Ellison</v>
      </c>
      <c r="J152" s="1" t="s">
        <v>34</v>
      </c>
      <c r="K152" s="1" t="s">
        <v>364</v>
      </c>
      <c r="L152" s="1" t="str">
        <f t="shared" si="2"/>
        <v>Franklin</v>
      </c>
      <c r="M152" s="1" t="s">
        <v>77</v>
      </c>
      <c r="N152" s="1" t="str">
        <f t="shared" si="3"/>
        <v>Wisconsin</v>
      </c>
      <c r="O152" s="1">
        <v>53132.0</v>
      </c>
      <c r="P152" s="1" t="s">
        <v>71</v>
      </c>
      <c r="Q152" s="1" t="s">
        <v>38</v>
      </c>
      <c r="R152" s="3">
        <v>171.55</v>
      </c>
      <c r="S152" s="1">
        <v>5.0</v>
      </c>
      <c r="T152" s="4">
        <v>170.65</v>
      </c>
    </row>
    <row r="153">
      <c r="A153" s="1" t="s">
        <v>365</v>
      </c>
      <c r="B153" s="2">
        <v>42807.0</v>
      </c>
      <c r="C153" s="2" t="str">
        <f t="shared" si="1"/>
        <v>Mar</v>
      </c>
      <c r="D153" s="1" t="s">
        <v>366</v>
      </c>
      <c r="E153" s="1" t="s">
        <v>121</v>
      </c>
      <c r="F153" s="1" t="s">
        <v>367</v>
      </c>
      <c r="G153" s="1" t="s">
        <v>368</v>
      </c>
      <c r="H153" s="1" t="str">
        <f>IFERROR(__xludf.DUMMYFUNCTION("split(G153,"" "")"),"Tamara")</f>
        <v>Tamara</v>
      </c>
      <c r="I153" s="1" t="str">
        <f>IFERROR(__xludf.DUMMYFUNCTION("""COMPUTED_VALUE"""),"Willingham")</f>
        <v>Willingham</v>
      </c>
      <c r="J153" s="1" t="s">
        <v>68</v>
      </c>
      <c r="K153" s="1" t="s">
        <v>369</v>
      </c>
      <c r="L153" s="1" t="str">
        <f t="shared" si="2"/>
        <v>Scottsdale</v>
      </c>
      <c r="M153" s="1" t="s">
        <v>193</v>
      </c>
      <c r="N153" s="1" t="str">
        <f t="shared" si="3"/>
        <v>Arizona</v>
      </c>
      <c r="O153" s="1">
        <v>85254.0</v>
      </c>
      <c r="P153" s="1" t="s">
        <v>37</v>
      </c>
      <c r="Q153" s="1" t="s">
        <v>38</v>
      </c>
      <c r="R153" s="3">
        <v>157.92</v>
      </c>
      <c r="S153" s="1">
        <v>8.0</v>
      </c>
      <c r="T153" s="4">
        <v>157.4</v>
      </c>
    </row>
    <row r="154">
      <c r="A154" s="1" t="s">
        <v>365</v>
      </c>
      <c r="B154" s="2">
        <v>42807.0</v>
      </c>
      <c r="C154" s="2" t="str">
        <f t="shared" si="1"/>
        <v>Mar</v>
      </c>
      <c r="D154" s="1" t="s">
        <v>366</v>
      </c>
      <c r="E154" s="1" t="s">
        <v>121</v>
      </c>
      <c r="F154" s="1" t="s">
        <v>367</v>
      </c>
      <c r="G154" s="1" t="s">
        <v>368</v>
      </c>
      <c r="H154" s="1" t="str">
        <f>IFERROR(__xludf.DUMMYFUNCTION("split(G154,"" "")"),"Tamara")</f>
        <v>Tamara</v>
      </c>
      <c r="I154" s="1" t="str">
        <f>IFERROR(__xludf.DUMMYFUNCTION("""COMPUTED_VALUE"""),"Willingham")</f>
        <v>Willingham</v>
      </c>
      <c r="J154" s="1" t="s">
        <v>68</v>
      </c>
      <c r="K154" s="1" t="s">
        <v>369</v>
      </c>
      <c r="L154" s="1" t="str">
        <f t="shared" si="2"/>
        <v>Scottsdale</v>
      </c>
      <c r="M154" s="1" t="s">
        <v>193</v>
      </c>
      <c r="N154" s="1" t="str">
        <f t="shared" si="3"/>
        <v>Arizona</v>
      </c>
      <c r="O154" s="1">
        <v>85254.0</v>
      </c>
      <c r="P154" s="1" t="s">
        <v>37</v>
      </c>
      <c r="Q154" s="1" t="s">
        <v>51</v>
      </c>
      <c r="R154" s="3">
        <v>203.184</v>
      </c>
      <c r="S154" s="1">
        <v>8.0</v>
      </c>
      <c r="T154" s="4">
        <v>202.89</v>
      </c>
    </row>
    <row r="155">
      <c r="A155" s="1" t="s">
        <v>370</v>
      </c>
      <c r="B155" s="2">
        <v>42521.0</v>
      </c>
      <c r="C155" s="2" t="str">
        <f t="shared" si="1"/>
        <v>May</v>
      </c>
      <c r="D155" s="6">
        <v>42406.0</v>
      </c>
      <c r="E155" s="1" t="s">
        <v>121</v>
      </c>
      <c r="F155" s="1" t="s">
        <v>371</v>
      </c>
      <c r="G155" s="1" t="s">
        <v>372</v>
      </c>
      <c r="H155" s="1" t="str">
        <f>IFERROR(__xludf.DUMMYFUNCTION("split(G155,"" "")"),"Stephanie")</f>
        <v>Stephanie</v>
      </c>
      <c r="I155" s="1" t="str">
        <f>IFERROR(__xludf.DUMMYFUNCTION("""COMPUTED_VALUE"""),"Phelps")</f>
        <v>Phelps</v>
      </c>
      <c r="J155" s="1" t="s">
        <v>34</v>
      </c>
      <c r="K155" s="1" t="s">
        <v>373</v>
      </c>
      <c r="L155" s="1" t="str">
        <f t="shared" si="2"/>
        <v>San Jose</v>
      </c>
      <c r="M155" s="1" t="s">
        <v>52</v>
      </c>
      <c r="N155" s="1" t="str">
        <f t="shared" si="3"/>
        <v>California</v>
      </c>
      <c r="O155" s="1">
        <v>95123.0</v>
      </c>
      <c r="P155" s="1" t="s">
        <v>37</v>
      </c>
      <c r="Q155" s="1" t="s">
        <v>38</v>
      </c>
      <c r="R155" s="3">
        <v>58.38</v>
      </c>
      <c r="S155" s="1">
        <v>9.0</v>
      </c>
      <c r="T155" s="4">
        <v>57.9</v>
      </c>
    </row>
    <row r="156">
      <c r="A156" s="1" t="s">
        <v>370</v>
      </c>
      <c r="B156" s="2">
        <v>42521.0</v>
      </c>
      <c r="C156" s="2" t="str">
        <f t="shared" si="1"/>
        <v>May</v>
      </c>
      <c r="D156" s="6">
        <v>42406.0</v>
      </c>
      <c r="E156" s="1" t="s">
        <v>121</v>
      </c>
      <c r="F156" s="1" t="s">
        <v>371</v>
      </c>
      <c r="G156" s="1" t="s">
        <v>372</v>
      </c>
      <c r="H156" s="1" t="str">
        <f>IFERROR(__xludf.DUMMYFUNCTION("split(G156,"" "")"),"Stephanie")</f>
        <v>Stephanie</v>
      </c>
      <c r="I156" s="1" t="str">
        <f>IFERROR(__xludf.DUMMYFUNCTION("""COMPUTED_VALUE"""),"Phelps")</f>
        <v>Phelps</v>
      </c>
      <c r="J156" s="1" t="s">
        <v>34</v>
      </c>
      <c r="K156" s="1" t="s">
        <v>373</v>
      </c>
      <c r="L156" s="1" t="str">
        <f t="shared" si="2"/>
        <v>San Jose</v>
      </c>
      <c r="M156" s="1" t="s">
        <v>52</v>
      </c>
      <c r="N156" s="1" t="str">
        <f t="shared" si="3"/>
        <v>California</v>
      </c>
      <c r="O156" s="1">
        <v>95123.0</v>
      </c>
      <c r="P156" s="1" t="s">
        <v>37</v>
      </c>
      <c r="Q156" s="1" t="s">
        <v>38</v>
      </c>
      <c r="R156" s="3">
        <v>105.52</v>
      </c>
      <c r="S156" s="1">
        <v>9.0</v>
      </c>
      <c r="T156" s="4">
        <v>104.63</v>
      </c>
    </row>
    <row r="157">
      <c r="A157" s="1" t="s">
        <v>370</v>
      </c>
      <c r="B157" s="2">
        <v>42521.0</v>
      </c>
      <c r="C157" s="2" t="str">
        <f t="shared" si="1"/>
        <v>May</v>
      </c>
      <c r="D157" s="6">
        <v>42406.0</v>
      </c>
      <c r="E157" s="1" t="s">
        <v>121</v>
      </c>
      <c r="F157" s="1" t="s">
        <v>371</v>
      </c>
      <c r="G157" s="1" t="s">
        <v>372</v>
      </c>
      <c r="H157" s="1" t="str">
        <f>IFERROR(__xludf.DUMMYFUNCTION("split(G157,"" "")"),"Stephanie")</f>
        <v>Stephanie</v>
      </c>
      <c r="I157" s="1" t="str">
        <f>IFERROR(__xludf.DUMMYFUNCTION("""COMPUTED_VALUE"""),"Phelps")</f>
        <v>Phelps</v>
      </c>
      <c r="J157" s="1" t="s">
        <v>34</v>
      </c>
      <c r="K157" s="1" t="s">
        <v>373</v>
      </c>
      <c r="L157" s="1" t="str">
        <f t="shared" si="2"/>
        <v>San Jose</v>
      </c>
      <c r="M157" s="1" t="s">
        <v>52</v>
      </c>
      <c r="N157" s="1" t="str">
        <f t="shared" si="3"/>
        <v>California</v>
      </c>
      <c r="O157" s="1">
        <v>95123.0</v>
      </c>
      <c r="P157" s="1" t="s">
        <v>37</v>
      </c>
      <c r="Q157" s="1" t="s">
        <v>38</v>
      </c>
      <c r="R157" s="3">
        <v>80.88</v>
      </c>
      <c r="S157" s="1">
        <v>9.0</v>
      </c>
      <c r="T157" s="4">
        <v>80.53</v>
      </c>
    </row>
    <row r="158">
      <c r="A158" s="1" t="s">
        <v>374</v>
      </c>
      <c r="B158" s="2">
        <v>42518.0</v>
      </c>
      <c r="C158" s="2" t="str">
        <f t="shared" si="1"/>
        <v>May</v>
      </c>
      <c r="D158" s="6">
        <v>42435.0</v>
      </c>
      <c r="E158" s="1" t="s">
        <v>41</v>
      </c>
      <c r="F158" s="1" t="s">
        <v>375</v>
      </c>
      <c r="G158" s="1" t="s">
        <v>376</v>
      </c>
      <c r="H158" s="1" t="str">
        <f>IFERROR(__xludf.DUMMYFUNCTION("split(G158,"" "")"),"Neil")</f>
        <v>Neil</v>
      </c>
      <c r="I158" s="1" t="str">
        <f>IFERROR(__xludf.DUMMYFUNCTION("""COMPUTED_VALUE"""),"Knudson")</f>
        <v>Knudson</v>
      </c>
      <c r="J158" s="1" t="s">
        <v>68</v>
      </c>
      <c r="K158" s="1" t="s">
        <v>62</v>
      </c>
      <c r="L158" s="1" t="str">
        <f t="shared" si="2"/>
        <v>Seattle</v>
      </c>
      <c r="M158" s="1" t="s">
        <v>63</v>
      </c>
      <c r="N158" s="1" t="str">
        <f t="shared" si="3"/>
        <v>Washington</v>
      </c>
      <c r="O158" s="1">
        <v>98105.0</v>
      </c>
      <c r="P158" s="1" t="s">
        <v>37</v>
      </c>
      <c r="Q158" s="1" t="s">
        <v>38</v>
      </c>
      <c r="R158" s="3">
        <v>6.63</v>
      </c>
      <c r="S158" s="1">
        <v>9.0</v>
      </c>
      <c r="T158" s="4">
        <v>6.47</v>
      </c>
    </row>
    <row r="159">
      <c r="A159" s="1" t="s">
        <v>377</v>
      </c>
      <c r="B159" s="2">
        <v>42007.0</v>
      </c>
      <c r="C159" s="2" t="str">
        <f t="shared" si="1"/>
        <v>Jan</v>
      </c>
      <c r="D159" s="6">
        <v>42158.0</v>
      </c>
      <c r="E159" s="1" t="s">
        <v>20</v>
      </c>
      <c r="F159" s="1" t="s">
        <v>378</v>
      </c>
      <c r="G159" s="1" t="s">
        <v>379</v>
      </c>
      <c r="H159" s="1" t="str">
        <f>IFERROR(__xludf.DUMMYFUNCTION("split(G159,"" "")"),"Dave")</f>
        <v>Dave</v>
      </c>
      <c r="I159" s="1" t="str">
        <f>IFERROR(__xludf.DUMMYFUNCTION("""COMPUTED_VALUE"""),"Brooks")</f>
        <v>Brooks</v>
      </c>
      <c r="J159" s="1" t="s">
        <v>23</v>
      </c>
      <c r="K159" s="1" t="s">
        <v>62</v>
      </c>
      <c r="L159" s="1" t="str">
        <f t="shared" si="2"/>
        <v>Seattle</v>
      </c>
      <c r="M159" s="1" t="s">
        <v>63</v>
      </c>
      <c r="N159" s="1" t="str">
        <f t="shared" si="3"/>
        <v>Washington</v>
      </c>
      <c r="O159" s="1">
        <v>98115.0</v>
      </c>
      <c r="P159" s="1" t="s">
        <v>37</v>
      </c>
      <c r="Q159" s="1" t="s">
        <v>27</v>
      </c>
      <c r="R159" s="3">
        <v>457.568</v>
      </c>
      <c r="S159" s="1">
        <v>9.0</v>
      </c>
      <c r="T159" s="4">
        <v>457.38</v>
      </c>
    </row>
    <row r="160">
      <c r="A160" s="1" t="s">
        <v>380</v>
      </c>
      <c r="B160" s="2">
        <v>43059.0</v>
      </c>
      <c r="C160" s="2" t="str">
        <f t="shared" si="1"/>
        <v>Nov</v>
      </c>
      <c r="D160" s="1" t="s">
        <v>381</v>
      </c>
      <c r="E160" s="1" t="s">
        <v>41</v>
      </c>
      <c r="F160" s="1" t="s">
        <v>382</v>
      </c>
      <c r="G160" s="1" t="s">
        <v>383</v>
      </c>
      <c r="H160" s="1" t="str">
        <f>IFERROR(__xludf.DUMMYFUNCTION("split(G160,"" "")"),"Nora")</f>
        <v>Nora</v>
      </c>
      <c r="I160" s="1" t="str">
        <f>IFERROR(__xludf.DUMMYFUNCTION("""COMPUTED_VALUE"""),"Paige")</f>
        <v>Paige</v>
      </c>
      <c r="J160" s="1" t="s">
        <v>23</v>
      </c>
      <c r="K160" s="1" t="s">
        <v>384</v>
      </c>
      <c r="L160" s="1" t="str">
        <f t="shared" si="2"/>
        <v>Edmond</v>
      </c>
      <c r="M160" s="1" t="s">
        <v>385</v>
      </c>
      <c r="N160" s="1" t="str">
        <f t="shared" si="3"/>
        <v>Oklahoma</v>
      </c>
      <c r="O160" s="1">
        <v>73034.0</v>
      </c>
      <c r="P160" s="1" t="s">
        <v>71</v>
      </c>
      <c r="Q160" s="1" t="s">
        <v>38</v>
      </c>
      <c r="R160" s="3">
        <v>14.62</v>
      </c>
      <c r="S160" s="1">
        <v>7.0</v>
      </c>
      <c r="T160" s="4">
        <v>14.22</v>
      </c>
    </row>
    <row r="161">
      <c r="A161" s="1" t="s">
        <v>380</v>
      </c>
      <c r="B161" s="2">
        <v>43059.0</v>
      </c>
      <c r="C161" s="2" t="str">
        <f t="shared" si="1"/>
        <v>Nov</v>
      </c>
      <c r="D161" s="1" t="s">
        <v>381</v>
      </c>
      <c r="E161" s="1" t="s">
        <v>41</v>
      </c>
      <c r="F161" s="1" t="s">
        <v>382</v>
      </c>
      <c r="G161" s="1" t="s">
        <v>383</v>
      </c>
      <c r="H161" s="1" t="str">
        <f>IFERROR(__xludf.DUMMYFUNCTION("split(G161,"" "")"),"Nora")</f>
        <v>Nora</v>
      </c>
      <c r="I161" s="1" t="str">
        <f>IFERROR(__xludf.DUMMYFUNCTION("""COMPUTED_VALUE"""),"Paige")</f>
        <v>Paige</v>
      </c>
      <c r="J161" s="1" t="s">
        <v>23</v>
      </c>
      <c r="K161" s="1" t="s">
        <v>384</v>
      </c>
      <c r="L161" s="1" t="str">
        <f t="shared" si="2"/>
        <v>Edmond</v>
      </c>
      <c r="M161" s="1" t="s">
        <v>385</v>
      </c>
      <c r="N161" s="1" t="str">
        <f t="shared" si="3"/>
        <v>Oklahoma</v>
      </c>
      <c r="O161" s="1">
        <v>73034.0</v>
      </c>
      <c r="P161" s="1" t="s">
        <v>71</v>
      </c>
      <c r="Q161" s="1" t="s">
        <v>51</v>
      </c>
      <c r="R161" s="3">
        <v>944.93</v>
      </c>
      <c r="S161" s="1">
        <v>7.0</v>
      </c>
      <c r="T161" s="4">
        <v>944.09</v>
      </c>
    </row>
    <row r="162">
      <c r="A162" s="1" t="s">
        <v>386</v>
      </c>
      <c r="B162" s="2">
        <v>43044.0</v>
      </c>
      <c r="C162" s="2" t="str">
        <f t="shared" si="1"/>
        <v>Nov</v>
      </c>
      <c r="D162" s="6">
        <v>43074.0</v>
      </c>
      <c r="E162" s="1" t="s">
        <v>121</v>
      </c>
      <c r="F162" s="1" t="s">
        <v>387</v>
      </c>
      <c r="G162" s="1" t="s">
        <v>388</v>
      </c>
      <c r="H162" s="1" t="str">
        <f>IFERROR(__xludf.DUMMYFUNCTION("split(G162,"" "")"),"Ted")</f>
        <v>Ted</v>
      </c>
      <c r="I162" s="1" t="str">
        <f>IFERROR(__xludf.DUMMYFUNCTION("""COMPUTED_VALUE"""),"Trevino")</f>
        <v>Trevino</v>
      </c>
      <c r="J162" s="1" t="s">
        <v>23</v>
      </c>
      <c r="K162" s="1" t="s">
        <v>35</v>
      </c>
      <c r="L162" s="1" t="str">
        <f t="shared" si="2"/>
        <v>Los Angeles</v>
      </c>
      <c r="M162" s="1" t="s">
        <v>52</v>
      </c>
      <c r="N162" s="1" t="str">
        <f t="shared" si="3"/>
        <v>California</v>
      </c>
      <c r="O162" s="1">
        <v>90045.0</v>
      </c>
      <c r="P162" s="1" t="s">
        <v>37</v>
      </c>
      <c r="Q162" s="1" t="s">
        <v>38</v>
      </c>
      <c r="R162" s="3">
        <v>5.98</v>
      </c>
      <c r="S162" s="1">
        <v>9.0</v>
      </c>
      <c r="T162" s="4">
        <v>5.79</v>
      </c>
    </row>
    <row r="163">
      <c r="A163" s="1" t="s">
        <v>389</v>
      </c>
      <c r="B163" s="2">
        <v>42732.0</v>
      </c>
      <c r="C163" s="2" t="str">
        <f t="shared" si="1"/>
        <v>Dec</v>
      </c>
      <c r="D163" s="1" t="s">
        <v>126</v>
      </c>
      <c r="E163" s="1" t="s">
        <v>20</v>
      </c>
      <c r="F163" s="1" t="s">
        <v>390</v>
      </c>
      <c r="G163" s="1" t="s">
        <v>391</v>
      </c>
      <c r="H163" s="1" t="str">
        <f>IFERROR(__xludf.DUMMYFUNCTION("split(G163,"" "")"),"Eric")</f>
        <v>Eric</v>
      </c>
      <c r="I163" s="1" t="str">
        <f>IFERROR(__xludf.DUMMYFUNCTION("""COMPUTED_VALUE"""),"Murdock")</f>
        <v>Murdock</v>
      </c>
      <c r="J163" s="1" t="s">
        <v>23</v>
      </c>
      <c r="K163" s="1" t="s">
        <v>98</v>
      </c>
      <c r="L163" s="1" t="str">
        <f t="shared" si="2"/>
        <v>Philadelphia</v>
      </c>
      <c r="M163" s="1" t="s">
        <v>99</v>
      </c>
      <c r="N163" s="1" t="str">
        <f t="shared" si="3"/>
        <v>Pennsylvania</v>
      </c>
      <c r="O163" s="1">
        <v>19134.0</v>
      </c>
      <c r="P163" s="1" t="s">
        <v>100</v>
      </c>
      <c r="Q163" s="1" t="s">
        <v>51</v>
      </c>
      <c r="R163" s="3">
        <v>54.384</v>
      </c>
      <c r="S163" s="1">
        <v>1.0</v>
      </c>
      <c r="T163" s="4">
        <v>54.3</v>
      </c>
    </row>
    <row r="164">
      <c r="A164" s="1" t="s">
        <v>392</v>
      </c>
      <c r="B164" s="2">
        <v>43055.0</v>
      </c>
      <c r="C164" s="2" t="str">
        <f t="shared" si="1"/>
        <v>Nov</v>
      </c>
      <c r="D164" s="1" t="s">
        <v>393</v>
      </c>
      <c r="E164" s="1" t="s">
        <v>41</v>
      </c>
      <c r="F164" s="1" t="s">
        <v>394</v>
      </c>
      <c r="G164" s="1" t="s">
        <v>395</v>
      </c>
      <c r="H164" s="1" t="str">
        <f>IFERROR(__xludf.DUMMYFUNCTION("split(G164,"" "")"),"Ruben")</f>
        <v>Ruben</v>
      </c>
      <c r="I164" s="1" t="str">
        <f>IFERROR(__xludf.DUMMYFUNCTION("""COMPUTED_VALUE"""),"Dartt")</f>
        <v>Dartt</v>
      </c>
      <c r="J164" s="1" t="s">
        <v>23</v>
      </c>
      <c r="K164" s="1" t="s">
        <v>396</v>
      </c>
      <c r="L164" s="1" t="str">
        <f t="shared" si="2"/>
        <v>Carlsbad</v>
      </c>
      <c r="M164" s="1" t="s">
        <v>397</v>
      </c>
      <c r="N164" s="1" t="str">
        <f t="shared" si="3"/>
        <v>New Mexico</v>
      </c>
      <c r="O164" s="1">
        <v>88220.0</v>
      </c>
      <c r="P164" s="1" t="s">
        <v>37</v>
      </c>
      <c r="Q164" s="1" t="s">
        <v>38</v>
      </c>
      <c r="R164" s="3">
        <v>28.4</v>
      </c>
      <c r="S164" s="1">
        <v>8.0</v>
      </c>
      <c r="T164" s="4">
        <v>28.11</v>
      </c>
    </row>
    <row r="165">
      <c r="A165" s="1" t="s">
        <v>398</v>
      </c>
      <c r="B165" s="2">
        <v>42927.0</v>
      </c>
      <c r="C165" s="2" t="str">
        <f t="shared" si="1"/>
        <v>Jul</v>
      </c>
      <c r="D165" s="5">
        <v>43050.0</v>
      </c>
      <c r="E165" s="1" t="s">
        <v>41</v>
      </c>
      <c r="F165" s="1" t="s">
        <v>399</v>
      </c>
      <c r="G165" s="1" t="s">
        <v>400</v>
      </c>
      <c r="H165" s="1" t="str">
        <f>IFERROR(__xludf.DUMMYFUNCTION("split(G165,"" "")"),"Max")</f>
        <v>Max</v>
      </c>
      <c r="I165" s="1" t="str">
        <f>IFERROR(__xludf.DUMMYFUNCTION("""COMPUTED_VALUE"""),"Jones")</f>
        <v>Jones</v>
      </c>
      <c r="J165" s="1" t="s">
        <v>23</v>
      </c>
      <c r="K165" s="1" t="s">
        <v>62</v>
      </c>
      <c r="L165" s="1" t="str">
        <f t="shared" si="2"/>
        <v>Seattle</v>
      </c>
      <c r="M165" s="1" t="s">
        <v>63</v>
      </c>
      <c r="N165" s="1" t="str">
        <f t="shared" si="3"/>
        <v>Washington</v>
      </c>
      <c r="O165" s="1">
        <v>98115.0</v>
      </c>
      <c r="P165" s="1" t="s">
        <v>37</v>
      </c>
      <c r="Q165" s="1" t="s">
        <v>38</v>
      </c>
      <c r="R165" s="3">
        <v>27.68</v>
      </c>
      <c r="S165" s="1">
        <v>9.0</v>
      </c>
      <c r="T165" s="4">
        <v>27.09</v>
      </c>
    </row>
    <row r="166">
      <c r="A166" s="1" t="s">
        <v>401</v>
      </c>
      <c r="B166" s="2">
        <v>42225.0</v>
      </c>
      <c r="C166" s="2" t="str">
        <f t="shared" si="1"/>
        <v>Aug</v>
      </c>
      <c r="D166" s="6">
        <v>42347.0</v>
      </c>
      <c r="E166" s="1" t="s">
        <v>41</v>
      </c>
      <c r="F166" s="1" t="s">
        <v>402</v>
      </c>
      <c r="G166" s="1" t="s">
        <v>403</v>
      </c>
      <c r="H166" s="1" t="str">
        <f>IFERROR(__xludf.DUMMYFUNCTION("split(G166,"" "")"),"Becky")</f>
        <v>Becky</v>
      </c>
      <c r="I166" s="1" t="str">
        <f>IFERROR(__xludf.DUMMYFUNCTION("""COMPUTED_VALUE"""),"Martin")</f>
        <v>Martin</v>
      </c>
      <c r="J166" s="1" t="s">
        <v>23</v>
      </c>
      <c r="K166" s="1" t="s">
        <v>404</v>
      </c>
      <c r="L166" s="1" t="str">
        <f t="shared" si="2"/>
        <v>San Antonio</v>
      </c>
      <c r="M166" s="1" t="s">
        <v>70</v>
      </c>
      <c r="N166" s="1" t="str">
        <f t="shared" si="3"/>
        <v>Texas</v>
      </c>
      <c r="O166" s="1">
        <v>78207.0</v>
      </c>
      <c r="P166" s="1" t="s">
        <v>71</v>
      </c>
      <c r="Q166" s="1" t="s">
        <v>38</v>
      </c>
      <c r="R166" s="3">
        <v>9.936</v>
      </c>
      <c r="S166" s="1">
        <v>7.0</v>
      </c>
      <c r="T166" s="4">
        <v>8.96</v>
      </c>
    </row>
    <row r="167">
      <c r="A167" s="1" t="s">
        <v>401</v>
      </c>
      <c r="B167" s="2">
        <v>42225.0</v>
      </c>
      <c r="C167" s="2" t="str">
        <f t="shared" si="1"/>
        <v>Aug</v>
      </c>
      <c r="D167" s="6">
        <v>42347.0</v>
      </c>
      <c r="E167" s="1" t="s">
        <v>41</v>
      </c>
      <c r="F167" s="1" t="s">
        <v>402</v>
      </c>
      <c r="G167" s="1" t="s">
        <v>403</v>
      </c>
      <c r="H167" s="1" t="str">
        <f>IFERROR(__xludf.DUMMYFUNCTION("split(G167,"" "")"),"Becky")</f>
        <v>Becky</v>
      </c>
      <c r="I167" s="1" t="str">
        <f>IFERROR(__xludf.DUMMYFUNCTION("""COMPUTED_VALUE"""),"Martin")</f>
        <v>Martin</v>
      </c>
      <c r="J167" s="1" t="s">
        <v>23</v>
      </c>
      <c r="K167" s="1" t="s">
        <v>404</v>
      </c>
      <c r="L167" s="1" t="str">
        <f t="shared" si="2"/>
        <v>San Antonio</v>
      </c>
      <c r="M167" s="1" t="s">
        <v>70</v>
      </c>
      <c r="N167" s="1" t="str">
        <f t="shared" si="3"/>
        <v>Texas</v>
      </c>
      <c r="O167" s="1">
        <v>78207.0</v>
      </c>
      <c r="P167" s="1" t="s">
        <v>71</v>
      </c>
      <c r="Q167" s="1" t="s">
        <v>51</v>
      </c>
      <c r="R167" s="3">
        <v>8159.952</v>
      </c>
      <c r="S167" s="1">
        <v>7.0</v>
      </c>
      <c r="T167" s="4">
        <v>8159.36</v>
      </c>
    </row>
    <row r="168">
      <c r="A168" s="1" t="s">
        <v>401</v>
      </c>
      <c r="B168" s="2">
        <v>42225.0</v>
      </c>
      <c r="C168" s="2" t="str">
        <f t="shared" si="1"/>
        <v>Aug</v>
      </c>
      <c r="D168" s="6">
        <v>42347.0</v>
      </c>
      <c r="E168" s="1" t="s">
        <v>41</v>
      </c>
      <c r="F168" s="1" t="s">
        <v>402</v>
      </c>
      <c r="G168" s="1" t="s">
        <v>403</v>
      </c>
      <c r="H168" s="1" t="str">
        <f>IFERROR(__xludf.DUMMYFUNCTION("split(G168,"" "")"),"Becky")</f>
        <v>Becky</v>
      </c>
      <c r="I168" s="1" t="str">
        <f>IFERROR(__xludf.DUMMYFUNCTION("""COMPUTED_VALUE"""),"Martin")</f>
        <v>Martin</v>
      </c>
      <c r="J168" s="1" t="s">
        <v>23</v>
      </c>
      <c r="K168" s="1" t="s">
        <v>404</v>
      </c>
      <c r="L168" s="1" t="str">
        <f t="shared" si="2"/>
        <v>San Antonio</v>
      </c>
      <c r="M168" s="1" t="s">
        <v>70</v>
      </c>
      <c r="N168" s="1" t="str">
        <f t="shared" si="3"/>
        <v>Texas</v>
      </c>
      <c r="O168" s="1">
        <v>78207.0</v>
      </c>
      <c r="P168" s="1" t="s">
        <v>71</v>
      </c>
      <c r="Q168" s="1" t="s">
        <v>38</v>
      </c>
      <c r="R168" s="3">
        <v>275.928</v>
      </c>
      <c r="S168" s="1">
        <v>7.0</v>
      </c>
      <c r="T168" s="4">
        <v>275.48</v>
      </c>
    </row>
    <row r="169">
      <c r="A169" s="1" t="s">
        <v>401</v>
      </c>
      <c r="B169" s="2">
        <v>42225.0</v>
      </c>
      <c r="C169" s="2" t="str">
        <f t="shared" si="1"/>
        <v>Aug</v>
      </c>
      <c r="D169" s="6">
        <v>42347.0</v>
      </c>
      <c r="E169" s="1" t="s">
        <v>41</v>
      </c>
      <c r="F169" s="1" t="s">
        <v>402</v>
      </c>
      <c r="G169" s="1" t="s">
        <v>403</v>
      </c>
      <c r="H169" s="1" t="str">
        <f>IFERROR(__xludf.DUMMYFUNCTION("split(G169,"" "")"),"Becky")</f>
        <v>Becky</v>
      </c>
      <c r="I169" s="1" t="str">
        <f>IFERROR(__xludf.DUMMYFUNCTION("""COMPUTED_VALUE"""),"Martin")</f>
        <v>Martin</v>
      </c>
      <c r="J169" s="1" t="s">
        <v>23</v>
      </c>
      <c r="K169" s="1" t="s">
        <v>404</v>
      </c>
      <c r="L169" s="1" t="str">
        <f t="shared" si="2"/>
        <v>San Antonio</v>
      </c>
      <c r="M169" s="1" t="s">
        <v>70</v>
      </c>
      <c r="N169" s="1" t="str">
        <f t="shared" si="3"/>
        <v>Texas</v>
      </c>
      <c r="O169" s="1">
        <v>78207.0</v>
      </c>
      <c r="P169" s="1" t="s">
        <v>71</v>
      </c>
      <c r="Q169" s="1" t="s">
        <v>27</v>
      </c>
      <c r="R169" s="3">
        <v>1740.06</v>
      </c>
      <c r="S169" s="1">
        <v>7.0</v>
      </c>
      <c r="T169" s="4">
        <v>1739.72</v>
      </c>
    </row>
    <row r="170">
      <c r="A170" s="1" t="s">
        <v>401</v>
      </c>
      <c r="B170" s="2">
        <v>42225.0</v>
      </c>
      <c r="C170" s="2" t="str">
        <f t="shared" si="1"/>
        <v>Aug</v>
      </c>
      <c r="D170" s="6">
        <v>42347.0</v>
      </c>
      <c r="E170" s="1" t="s">
        <v>41</v>
      </c>
      <c r="F170" s="1" t="s">
        <v>402</v>
      </c>
      <c r="G170" s="1" t="s">
        <v>403</v>
      </c>
      <c r="H170" s="1" t="str">
        <f>IFERROR(__xludf.DUMMYFUNCTION("split(G170,"" "")"),"Becky")</f>
        <v>Becky</v>
      </c>
      <c r="I170" s="1" t="str">
        <f>IFERROR(__xludf.DUMMYFUNCTION("""COMPUTED_VALUE"""),"Martin")</f>
        <v>Martin</v>
      </c>
      <c r="J170" s="1" t="s">
        <v>23</v>
      </c>
      <c r="K170" s="1" t="s">
        <v>404</v>
      </c>
      <c r="L170" s="1" t="str">
        <f t="shared" si="2"/>
        <v>San Antonio</v>
      </c>
      <c r="M170" s="1" t="s">
        <v>70</v>
      </c>
      <c r="N170" s="1" t="str">
        <f t="shared" si="3"/>
        <v>Texas</v>
      </c>
      <c r="O170" s="1">
        <v>78207.0</v>
      </c>
      <c r="P170" s="1" t="s">
        <v>71</v>
      </c>
      <c r="Q170" s="1" t="s">
        <v>38</v>
      </c>
      <c r="R170" s="3">
        <v>32.064</v>
      </c>
      <c r="S170" s="1">
        <v>7.0</v>
      </c>
      <c r="T170" s="4">
        <v>31.9</v>
      </c>
    </row>
    <row r="171">
      <c r="A171" s="1" t="s">
        <v>401</v>
      </c>
      <c r="B171" s="2">
        <v>42225.0</v>
      </c>
      <c r="C171" s="2" t="str">
        <f t="shared" si="1"/>
        <v>Aug</v>
      </c>
      <c r="D171" s="6">
        <v>42347.0</v>
      </c>
      <c r="E171" s="1" t="s">
        <v>41</v>
      </c>
      <c r="F171" s="1" t="s">
        <v>402</v>
      </c>
      <c r="G171" s="1" t="s">
        <v>403</v>
      </c>
      <c r="H171" s="1" t="str">
        <f>IFERROR(__xludf.DUMMYFUNCTION("split(G171,"" "")"),"Becky")</f>
        <v>Becky</v>
      </c>
      <c r="I171" s="1" t="str">
        <f>IFERROR(__xludf.DUMMYFUNCTION("""COMPUTED_VALUE"""),"Martin")</f>
        <v>Martin</v>
      </c>
      <c r="J171" s="1" t="s">
        <v>23</v>
      </c>
      <c r="K171" s="1" t="s">
        <v>404</v>
      </c>
      <c r="L171" s="1" t="str">
        <f t="shared" si="2"/>
        <v>San Antonio</v>
      </c>
      <c r="M171" s="1" t="s">
        <v>70</v>
      </c>
      <c r="N171" s="1" t="str">
        <f t="shared" si="3"/>
        <v>Texas</v>
      </c>
      <c r="O171" s="1">
        <v>78207.0</v>
      </c>
      <c r="P171" s="1" t="s">
        <v>71</v>
      </c>
      <c r="Q171" s="1" t="s">
        <v>38</v>
      </c>
      <c r="R171" s="3">
        <v>177.98</v>
      </c>
      <c r="S171" s="1">
        <v>7.0</v>
      </c>
      <c r="T171" s="4">
        <v>177.53</v>
      </c>
    </row>
    <row r="172">
      <c r="A172" s="1" t="s">
        <v>401</v>
      </c>
      <c r="B172" s="2">
        <v>42225.0</v>
      </c>
      <c r="C172" s="2" t="str">
        <f t="shared" si="1"/>
        <v>Aug</v>
      </c>
      <c r="D172" s="6">
        <v>42347.0</v>
      </c>
      <c r="E172" s="1" t="s">
        <v>41</v>
      </c>
      <c r="F172" s="1" t="s">
        <v>402</v>
      </c>
      <c r="G172" s="1" t="s">
        <v>403</v>
      </c>
      <c r="H172" s="1" t="str">
        <f>IFERROR(__xludf.DUMMYFUNCTION("split(G172,"" "")"),"Becky")</f>
        <v>Becky</v>
      </c>
      <c r="I172" s="1" t="str">
        <f>IFERROR(__xludf.DUMMYFUNCTION("""COMPUTED_VALUE"""),"Martin")</f>
        <v>Martin</v>
      </c>
      <c r="J172" s="1" t="s">
        <v>23</v>
      </c>
      <c r="K172" s="1" t="s">
        <v>404</v>
      </c>
      <c r="L172" s="1" t="str">
        <f t="shared" si="2"/>
        <v>San Antonio</v>
      </c>
      <c r="M172" s="1" t="s">
        <v>70</v>
      </c>
      <c r="N172" s="1" t="str">
        <f t="shared" si="3"/>
        <v>Texas</v>
      </c>
      <c r="O172" s="1">
        <v>78207.0</v>
      </c>
      <c r="P172" s="1" t="s">
        <v>71</v>
      </c>
      <c r="Q172" s="1" t="s">
        <v>51</v>
      </c>
      <c r="R172" s="3">
        <v>143.976</v>
      </c>
      <c r="S172" s="1">
        <v>7.0</v>
      </c>
      <c r="T172" s="4">
        <v>143.23</v>
      </c>
    </row>
    <row r="173">
      <c r="A173" s="1" t="s">
        <v>405</v>
      </c>
      <c r="B173" s="2">
        <v>42132.0</v>
      </c>
      <c r="C173" s="2" t="str">
        <f t="shared" si="1"/>
        <v>May</v>
      </c>
      <c r="D173" s="6">
        <v>42255.0</v>
      </c>
      <c r="E173" s="1" t="s">
        <v>41</v>
      </c>
      <c r="F173" s="1" t="s">
        <v>406</v>
      </c>
      <c r="G173" s="1" t="s">
        <v>407</v>
      </c>
      <c r="H173" s="1" t="str">
        <f>IFERROR(__xludf.DUMMYFUNCTION("split(G173,"" "")"),"Chad")</f>
        <v>Chad</v>
      </c>
      <c r="I173" s="1" t="str">
        <f>IFERROR(__xludf.DUMMYFUNCTION("""COMPUTED_VALUE"""),"Sievert")</f>
        <v>Sievert</v>
      </c>
      <c r="J173" s="1" t="s">
        <v>23</v>
      </c>
      <c r="K173" s="1" t="s">
        <v>35</v>
      </c>
      <c r="L173" s="1" t="str">
        <f t="shared" si="2"/>
        <v>Los Angeles</v>
      </c>
      <c r="M173" s="1" t="s">
        <v>52</v>
      </c>
      <c r="N173" s="1" t="str">
        <f t="shared" si="3"/>
        <v>California</v>
      </c>
      <c r="O173" s="1">
        <v>90004.0</v>
      </c>
      <c r="P173" s="1" t="s">
        <v>37</v>
      </c>
      <c r="Q173" s="1" t="s">
        <v>38</v>
      </c>
      <c r="R173" s="3">
        <v>20.94</v>
      </c>
      <c r="S173" s="1">
        <v>9.0</v>
      </c>
      <c r="T173" s="4">
        <v>20.32</v>
      </c>
    </row>
    <row r="174">
      <c r="A174" s="1" t="s">
        <v>405</v>
      </c>
      <c r="B174" s="2">
        <v>42132.0</v>
      </c>
      <c r="C174" s="2" t="str">
        <f t="shared" si="1"/>
        <v>May</v>
      </c>
      <c r="D174" s="6">
        <v>42255.0</v>
      </c>
      <c r="E174" s="1" t="s">
        <v>41</v>
      </c>
      <c r="F174" s="1" t="s">
        <v>406</v>
      </c>
      <c r="G174" s="1" t="s">
        <v>407</v>
      </c>
      <c r="H174" s="1" t="str">
        <f>IFERROR(__xludf.DUMMYFUNCTION("split(G174,"" "")"),"Chad")</f>
        <v>Chad</v>
      </c>
      <c r="I174" s="1" t="str">
        <f>IFERROR(__xludf.DUMMYFUNCTION("""COMPUTED_VALUE"""),"Sievert")</f>
        <v>Sievert</v>
      </c>
      <c r="J174" s="1" t="s">
        <v>23</v>
      </c>
      <c r="K174" s="1" t="s">
        <v>35</v>
      </c>
      <c r="L174" s="1" t="str">
        <f t="shared" si="2"/>
        <v>Los Angeles</v>
      </c>
      <c r="M174" s="1" t="s">
        <v>52</v>
      </c>
      <c r="N174" s="1" t="str">
        <f t="shared" si="3"/>
        <v>California</v>
      </c>
      <c r="O174" s="1">
        <v>90004.0</v>
      </c>
      <c r="P174" s="1" t="s">
        <v>37</v>
      </c>
      <c r="Q174" s="1" t="s">
        <v>38</v>
      </c>
      <c r="R174" s="3">
        <v>110.96</v>
      </c>
      <c r="S174" s="1">
        <v>9.0</v>
      </c>
      <c r="T174" s="4">
        <v>110.3</v>
      </c>
    </row>
    <row r="175">
      <c r="A175" s="1" t="s">
        <v>405</v>
      </c>
      <c r="B175" s="2">
        <v>42132.0</v>
      </c>
      <c r="C175" s="2" t="str">
        <f t="shared" si="1"/>
        <v>May</v>
      </c>
      <c r="D175" s="6">
        <v>42255.0</v>
      </c>
      <c r="E175" s="1" t="s">
        <v>41</v>
      </c>
      <c r="F175" s="1" t="s">
        <v>406</v>
      </c>
      <c r="G175" s="1" t="s">
        <v>407</v>
      </c>
      <c r="H175" s="1" t="str">
        <f>IFERROR(__xludf.DUMMYFUNCTION("split(G175,"" "")"),"Chad")</f>
        <v>Chad</v>
      </c>
      <c r="I175" s="1" t="str">
        <f>IFERROR(__xludf.DUMMYFUNCTION("""COMPUTED_VALUE"""),"Sievert")</f>
        <v>Sievert</v>
      </c>
      <c r="J175" s="1" t="s">
        <v>23</v>
      </c>
      <c r="K175" s="1" t="s">
        <v>35</v>
      </c>
      <c r="L175" s="1" t="str">
        <f t="shared" si="2"/>
        <v>Los Angeles</v>
      </c>
      <c r="M175" s="1" t="s">
        <v>52</v>
      </c>
      <c r="N175" s="1" t="str">
        <f t="shared" si="3"/>
        <v>California</v>
      </c>
      <c r="O175" s="1">
        <v>90004.0</v>
      </c>
      <c r="P175" s="1" t="s">
        <v>37</v>
      </c>
      <c r="Q175" s="1" t="s">
        <v>27</v>
      </c>
      <c r="R175" s="3">
        <v>340.144</v>
      </c>
      <c r="S175" s="1">
        <v>9.0</v>
      </c>
      <c r="T175" s="4">
        <v>339.46</v>
      </c>
    </row>
    <row r="176">
      <c r="A176" s="1" t="s">
        <v>408</v>
      </c>
      <c r="B176" s="2">
        <v>42261.0</v>
      </c>
      <c r="C176" s="2" t="str">
        <f t="shared" si="1"/>
        <v>Sep</v>
      </c>
      <c r="D176" s="1" t="s">
        <v>409</v>
      </c>
      <c r="E176" s="1" t="s">
        <v>41</v>
      </c>
      <c r="F176" s="1" t="s">
        <v>410</v>
      </c>
      <c r="G176" s="1" t="s">
        <v>411</v>
      </c>
      <c r="H176" s="1" t="str">
        <f>IFERROR(__xludf.DUMMYFUNCTION("split(G176,"" "")"),"Jennifer")</f>
        <v>Jennifer</v>
      </c>
      <c r="I176" s="1" t="str">
        <f>IFERROR(__xludf.DUMMYFUNCTION("""COMPUTED_VALUE"""),"Braxton")</f>
        <v>Braxton</v>
      </c>
      <c r="J176" s="1" t="s">
        <v>34</v>
      </c>
      <c r="K176" s="1" t="s">
        <v>188</v>
      </c>
      <c r="L176" s="1" t="str">
        <f t="shared" si="2"/>
        <v>Chicago</v>
      </c>
      <c r="M176" s="1" t="s">
        <v>135</v>
      </c>
      <c r="N176" s="1" t="str">
        <f t="shared" si="3"/>
        <v>Illinois</v>
      </c>
      <c r="O176" s="1">
        <v>60623.0</v>
      </c>
      <c r="P176" s="1" t="s">
        <v>71</v>
      </c>
      <c r="Q176" s="1" t="s">
        <v>38</v>
      </c>
      <c r="R176" s="3">
        <v>52.448</v>
      </c>
      <c r="S176" s="1">
        <v>6.0</v>
      </c>
      <c r="T176" s="4">
        <v>51.78</v>
      </c>
    </row>
    <row r="177">
      <c r="A177" s="1" t="s">
        <v>408</v>
      </c>
      <c r="B177" s="2">
        <v>42261.0</v>
      </c>
      <c r="C177" s="2" t="str">
        <f t="shared" si="1"/>
        <v>Sep</v>
      </c>
      <c r="D177" s="1" t="s">
        <v>409</v>
      </c>
      <c r="E177" s="1" t="s">
        <v>41</v>
      </c>
      <c r="F177" s="1" t="s">
        <v>410</v>
      </c>
      <c r="G177" s="1" t="s">
        <v>411</v>
      </c>
      <c r="H177" s="1" t="str">
        <f>IFERROR(__xludf.DUMMYFUNCTION("split(G177,"" "")"),"Jennifer")</f>
        <v>Jennifer</v>
      </c>
      <c r="I177" s="1" t="str">
        <f>IFERROR(__xludf.DUMMYFUNCTION("""COMPUTED_VALUE"""),"Braxton")</f>
        <v>Braxton</v>
      </c>
      <c r="J177" s="1" t="s">
        <v>34</v>
      </c>
      <c r="K177" s="1" t="s">
        <v>188</v>
      </c>
      <c r="L177" s="1" t="str">
        <f t="shared" si="2"/>
        <v>Chicago</v>
      </c>
      <c r="M177" s="1" t="s">
        <v>135</v>
      </c>
      <c r="N177" s="1" t="str">
        <f t="shared" si="3"/>
        <v>Illinois</v>
      </c>
      <c r="O177" s="1">
        <v>60623.0</v>
      </c>
      <c r="P177" s="1" t="s">
        <v>71</v>
      </c>
      <c r="Q177" s="1" t="s">
        <v>38</v>
      </c>
      <c r="R177" s="3">
        <v>20.16</v>
      </c>
      <c r="S177" s="1">
        <v>6.0</v>
      </c>
      <c r="T177" s="4">
        <v>19.4</v>
      </c>
    </row>
    <row r="178">
      <c r="A178" s="1" t="s">
        <v>412</v>
      </c>
      <c r="B178" s="2">
        <v>43211.0</v>
      </c>
      <c r="C178" s="2" t="str">
        <f t="shared" si="1"/>
        <v>Apr</v>
      </c>
      <c r="D178" s="1" t="s">
        <v>413</v>
      </c>
      <c r="E178" s="1" t="s">
        <v>20</v>
      </c>
      <c r="F178" s="1" t="s">
        <v>414</v>
      </c>
      <c r="G178" s="1" t="s">
        <v>415</v>
      </c>
      <c r="H178" s="1" t="str">
        <f>IFERROR(__xludf.DUMMYFUNCTION("split(G178,"" "")"),"Shirley")</f>
        <v>Shirley</v>
      </c>
      <c r="I178" s="1" t="str">
        <f>IFERROR(__xludf.DUMMYFUNCTION("""COMPUTED_VALUE"""),"Jackson")</f>
        <v>Jackson</v>
      </c>
      <c r="J178" s="1" t="s">
        <v>23</v>
      </c>
      <c r="K178" s="1" t="s">
        <v>129</v>
      </c>
      <c r="L178" s="1" t="str">
        <f t="shared" si="2"/>
        <v>Houston</v>
      </c>
      <c r="M178" s="1" t="s">
        <v>70</v>
      </c>
      <c r="N178" s="1" t="str">
        <f t="shared" si="3"/>
        <v>Texas</v>
      </c>
      <c r="O178" s="1">
        <v>77036.0</v>
      </c>
      <c r="P178" s="1" t="s">
        <v>71</v>
      </c>
      <c r="Q178" s="1" t="s">
        <v>38</v>
      </c>
      <c r="R178" s="3">
        <v>97.264</v>
      </c>
      <c r="S178" s="1">
        <v>7.0</v>
      </c>
      <c r="T178" s="4">
        <v>96.62</v>
      </c>
    </row>
    <row r="179">
      <c r="A179" s="1" t="s">
        <v>416</v>
      </c>
      <c r="B179" s="2">
        <v>42695.0</v>
      </c>
      <c r="C179" s="2" t="str">
        <f t="shared" si="1"/>
        <v>Nov</v>
      </c>
      <c r="D179" s="1" t="s">
        <v>417</v>
      </c>
      <c r="E179" s="1" t="s">
        <v>20</v>
      </c>
      <c r="F179" s="1" t="s">
        <v>207</v>
      </c>
      <c r="G179" s="1" t="s">
        <v>208</v>
      </c>
      <c r="H179" s="1" t="str">
        <f>IFERROR(__xludf.DUMMYFUNCTION("split(G179,"" "")"),"Joel")</f>
        <v>Joel</v>
      </c>
      <c r="I179" s="1" t="str">
        <f>IFERROR(__xludf.DUMMYFUNCTION("""COMPUTED_VALUE"""),"Eaton")</f>
        <v>Eaton</v>
      </c>
      <c r="J179" s="1" t="s">
        <v>23</v>
      </c>
      <c r="K179" s="1" t="s">
        <v>360</v>
      </c>
      <c r="L179" s="1" t="str">
        <f t="shared" si="2"/>
        <v>Newark</v>
      </c>
      <c r="M179" s="1" t="s">
        <v>304</v>
      </c>
      <c r="N179" s="1" t="str">
        <f t="shared" si="3"/>
        <v>Ohio</v>
      </c>
      <c r="O179" s="1">
        <v>43055.0</v>
      </c>
      <c r="P179" s="1" t="s">
        <v>100</v>
      </c>
      <c r="Q179" s="1" t="s">
        <v>27</v>
      </c>
      <c r="R179" s="3">
        <v>396.802</v>
      </c>
      <c r="S179" s="1">
        <v>4.0</v>
      </c>
      <c r="T179" s="4">
        <v>396.53</v>
      </c>
    </row>
    <row r="180">
      <c r="A180" s="1" t="s">
        <v>416</v>
      </c>
      <c r="B180" s="2">
        <v>42695.0</v>
      </c>
      <c r="C180" s="2" t="str">
        <f t="shared" si="1"/>
        <v>Nov</v>
      </c>
      <c r="D180" s="1" t="s">
        <v>417</v>
      </c>
      <c r="E180" s="1" t="s">
        <v>20</v>
      </c>
      <c r="F180" s="1" t="s">
        <v>207</v>
      </c>
      <c r="G180" s="1" t="s">
        <v>208</v>
      </c>
      <c r="H180" s="1" t="str">
        <f>IFERROR(__xludf.DUMMYFUNCTION("split(G180,"" "")"),"Joel")</f>
        <v>Joel</v>
      </c>
      <c r="I180" s="1" t="str">
        <f>IFERROR(__xludf.DUMMYFUNCTION("""COMPUTED_VALUE"""),"Eaton")</f>
        <v>Eaton</v>
      </c>
      <c r="J180" s="1" t="s">
        <v>23</v>
      </c>
      <c r="K180" s="1" t="s">
        <v>360</v>
      </c>
      <c r="L180" s="1" t="str">
        <f t="shared" si="2"/>
        <v>Newark</v>
      </c>
      <c r="M180" s="1" t="s">
        <v>304</v>
      </c>
      <c r="N180" s="1" t="str">
        <f t="shared" si="3"/>
        <v>Ohio</v>
      </c>
      <c r="O180" s="1">
        <v>43055.0</v>
      </c>
      <c r="P180" s="1" t="s">
        <v>100</v>
      </c>
      <c r="Q180" s="1" t="s">
        <v>38</v>
      </c>
      <c r="R180" s="3">
        <v>15.88</v>
      </c>
      <c r="S180" s="1">
        <v>4.0</v>
      </c>
      <c r="T180" s="4">
        <v>15.7</v>
      </c>
    </row>
    <row r="181">
      <c r="A181" s="1" t="s">
        <v>418</v>
      </c>
      <c r="B181" s="2">
        <v>42719.0</v>
      </c>
      <c r="C181" s="2" t="str">
        <f t="shared" si="1"/>
        <v>Dec</v>
      </c>
      <c r="D181" s="1" t="s">
        <v>419</v>
      </c>
      <c r="E181" s="1" t="s">
        <v>41</v>
      </c>
      <c r="F181" s="1" t="s">
        <v>420</v>
      </c>
      <c r="G181" s="1" t="s">
        <v>421</v>
      </c>
      <c r="H181" s="1" t="str">
        <f>IFERROR(__xludf.DUMMYFUNCTION("split(G181,"" "")"),"Jim")</f>
        <v>Jim</v>
      </c>
      <c r="I181" s="1" t="str">
        <f>IFERROR(__xludf.DUMMYFUNCTION("""COMPUTED_VALUE"""),"Kriz")</f>
        <v>Kriz</v>
      </c>
      <c r="J181" s="1" t="s">
        <v>68</v>
      </c>
      <c r="K181" s="1" t="s">
        <v>174</v>
      </c>
      <c r="L181" s="1" t="str">
        <f t="shared" si="2"/>
        <v>New York City</v>
      </c>
      <c r="M181" s="1" t="s">
        <v>175</v>
      </c>
      <c r="N181" s="1" t="str">
        <f t="shared" si="3"/>
        <v>New York</v>
      </c>
      <c r="O181" s="1">
        <v>10009.0</v>
      </c>
      <c r="P181" s="1" t="s">
        <v>100</v>
      </c>
      <c r="Q181" s="1" t="s">
        <v>38</v>
      </c>
      <c r="R181" s="3">
        <v>3.28</v>
      </c>
      <c r="S181" s="1">
        <v>1.0</v>
      </c>
      <c r="T181" s="4">
        <v>2.32</v>
      </c>
    </row>
    <row r="182">
      <c r="A182" s="1" t="s">
        <v>422</v>
      </c>
      <c r="B182" s="2">
        <v>42136.0</v>
      </c>
      <c r="C182" s="2" t="str">
        <f t="shared" si="1"/>
        <v>May</v>
      </c>
      <c r="D182" s="6">
        <v>42259.0</v>
      </c>
      <c r="E182" s="1" t="s">
        <v>20</v>
      </c>
      <c r="F182" s="1" t="s">
        <v>423</v>
      </c>
      <c r="G182" s="1" t="s">
        <v>424</v>
      </c>
      <c r="H182" s="1" t="str">
        <f>IFERROR(__xludf.DUMMYFUNCTION("split(G182,"" "")"),"David")</f>
        <v>David</v>
      </c>
      <c r="I182" s="1" t="str">
        <f>IFERROR(__xludf.DUMMYFUNCTION("""COMPUTED_VALUE"""),"Kendrick")</f>
        <v>Kendrick</v>
      </c>
      <c r="J182" s="1" t="s">
        <v>34</v>
      </c>
      <c r="K182" s="1" t="s">
        <v>219</v>
      </c>
      <c r="L182" s="1" t="str">
        <f t="shared" si="2"/>
        <v>Decatur</v>
      </c>
      <c r="M182" s="1" t="s">
        <v>135</v>
      </c>
      <c r="N182" s="1" t="str">
        <f t="shared" si="3"/>
        <v>Illinois</v>
      </c>
      <c r="O182" s="1">
        <v>62521.0</v>
      </c>
      <c r="P182" s="1" t="s">
        <v>71</v>
      </c>
      <c r="Q182" s="1" t="s">
        <v>38</v>
      </c>
      <c r="R182" s="3">
        <v>24.816</v>
      </c>
      <c r="S182" s="1">
        <v>6.0</v>
      </c>
      <c r="T182" s="4">
        <v>24.64</v>
      </c>
    </row>
    <row r="183">
      <c r="A183" s="1" t="s">
        <v>422</v>
      </c>
      <c r="B183" s="2">
        <v>42136.0</v>
      </c>
      <c r="C183" s="2" t="str">
        <f t="shared" si="1"/>
        <v>May</v>
      </c>
      <c r="D183" s="6">
        <v>42259.0</v>
      </c>
      <c r="E183" s="1" t="s">
        <v>20</v>
      </c>
      <c r="F183" s="1" t="s">
        <v>423</v>
      </c>
      <c r="G183" s="1" t="s">
        <v>424</v>
      </c>
      <c r="H183" s="1" t="str">
        <f>IFERROR(__xludf.DUMMYFUNCTION("split(G183,"" "")"),"David")</f>
        <v>David</v>
      </c>
      <c r="I183" s="1" t="str">
        <f>IFERROR(__xludf.DUMMYFUNCTION("""COMPUTED_VALUE"""),"Kendrick")</f>
        <v>Kendrick</v>
      </c>
      <c r="J183" s="1" t="s">
        <v>34</v>
      </c>
      <c r="K183" s="1" t="s">
        <v>219</v>
      </c>
      <c r="L183" s="1" t="str">
        <f t="shared" si="2"/>
        <v>Decatur</v>
      </c>
      <c r="M183" s="1" t="s">
        <v>135</v>
      </c>
      <c r="N183" s="1" t="str">
        <f t="shared" si="3"/>
        <v>Illinois</v>
      </c>
      <c r="O183" s="1">
        <v>62521.0</v>
      </c>
      <c r="P183" s="1" t="s">
        <v>71</v>
      </c>
      <c r="Q183" s="1" t="s">
        <v>51</v>
      </c>
      <c r="R183" s="3">
        <v>408.744</v>
      </c>
      <c r="S183" s="1">
        <v>6.0</v>
      </c>
      <c r="T183" s="4">
        <v>408.52</v>
      </c>
    </row>
    <row r="184">
      <c r="A184" s="1" t="s">
        <v>425</v>
      </c>
      <c r="B184" s="2">
        <v>42327.0</v>
      </c>
      <c r="C184" s="2" t="str">
        <f t="shared" si="1"/>
        <v>Nov</v>
      </c>
      <c r="D184" s="1" t="s">
        <v>426</v>
      </c>
      <c r="E184" s="1" t="s">
        <v>20</v>
      </c>
      <c r="F184" s="1" t="s">
        <v>427</v>
      </c>
      <c r="G184" s="1" t="s">
        <v>428</v>
      </c>
      <c r="H184" s="1" t="str">
        <f>IFERROR(__xludf.DUMMYFUNCTION("split(G184,"" "")"),"Robert")</f>
        <v>Robert</v>
      </c>
      <c r="I184" s="1" t="str">
        <f>IFERROR(__xludf.DUMMYFUNCTION("""COMPUTED_VALUE"""),"Marley")</f>
        <v>Marley</v>
      </c>
      <c r="J184" s="1" t="s">
        <v>68</v>
      </c>
      <c r="K184" s="1" t="s">
        <v>429</v>
      </c>
      <c r="L184" s="1" t="str">
        <f t="shared" si="2"/>
        <v>Monroe</v>
      </c>
      <c r="M184" s="1" t="s">
        <v>430</v>
      </c>
      <c r="N184" s="1" t="str">
        <f t="shared" si="3"/>
        <v>Louisiana</v>
      </c>
      <c r="O184" s="1">
        <v>71203.0</v>
      </c>
      <c r="P184" s="1" t="s">
        <v>26</v>
      </c>
      <c r="Q184" s="1" t="s">
        <v>51</v>
      </c>
      <c r="R184" s="3">
        <v>503.96</v>
      </c>
      <c r="S184" s="1">
        <v>7.0</v>
      </c>
      <c r="T184" s="4">
        <v>503.87</v>
      </c>
    </row>
    <row r="185">
      <c r="A185" s="1" t="s">
        <v>425</v>
      </c>
      <c r="B185" s="2">
        <v>42327.0</v>
      </c>
      <c r="C185" s="2" t="str">
        <f t="shared" si="1"/>
        <v>Nov</v>
      </c>
      <c r="D185" s="1" t="s">
        <v>426</v>
      </c>
      <c r="E185" s="1" t="s">
        <v>20</v>
      </c>
      <c r="F185" s="1" t="s">
        <v>427</v>
      </c>
      <c r="G185" s="1" t="s">
        <v>428</v>
      </c>
      <c r="H185" s="1" t="str">
        <f>IFERROR(__xludf.DUMMYFUNCTION("split(G185,"" "")"),"Robert")</f>
        <v>Robert</v>
      </c>
      <c r="I185" s="1" t="str">
        <f>IFERROR(__xludf.DUMMYFUNCTION("""COMPUTED_VALUE"""),"Marley")</f>
        <v>Marley</v>
      </c>
      <c r="J185" s="1" t="s">
        <v>68</v>
      </c>
      <c r="K185" s="1" t="s">
        <v>429</v>
      </c>
      <c r="L185" s="1" t="str">
        <f t="shared" si="2"/>
        <v>Monroe</v>
      </c>
      <c r="M185" s="1" t="s">
        <v>430</v>
      </c>
      <c r="N185" s="1" t="str">
        <f t="shared" si="3"/>
        <v>Louisiana</v>
      </c>
      <c r="O185" s="1">
        <v>71203.0</v>
      </c>
      <c r="P185" s="1" t="s">
        <v>26</v>
      </c>
      <c r="Q185" s="1" t="s">
        <v>51</v>
      </c>
      <c r="R185" s="3">
        <v>149.95</v>
      </c>
      <c r="S185" s="1">
        <v>7.0</v>
      </c>
      <c r="T185" s="4">
        <v>149.34</v>
      </c>
    </row>
    <row r="186">
      <c r="A186" s="1" t="s">
        <v>425</v>
      </c>
      <c r="B186" s="2">
        <v>42327.0</v>
      </c>
      <c r="C186" s="2" t="str">
        <f t="shared" si="1"/>
        <v>Nov</v>
      </c>
      <c r="D186" s="1" t="s">
        <v>426</v>
      </c>
      <c r="E186" s="1" t="s">
        <v>20</v>
      </c>
      <c r="F186" s="1" t="s">
        <v>427</v>
      </c>
      <c r="G186" s="1" t="s">
        <v>428</v>
      </c>
      <c r="H186" s="1" t="str">
        <f>IFERROR(__xludf.DUMMYFUNCTION("split(G186,"" "")"),"Robert")</f>
        <v>Robert</v>
      </c>
      <c r="I186" s="1" t="str">
        <f>IFERROR(__xludf.DUMMYFUNCTION("""COMPUTED_VALUE"""),"Marley")</f>
        <v>Marley</v>
      </c>
      <c r="J186" s="1" t="s">
        <v>68</v>
      </c>
      <c r="K186" s="1" t="s">
        <v>429</v>
      </c>
      <c r="L186" s="1" t="str">
        <f t="shared" si="2"/>
        <v>Monroe</v>
      </c>
      <c r="M186" s="1" t="s">
        <v>430</v>
      </c>
      <c r="N186" s="1" t="str">
        <f t="shared" si="3"/>
        <v>Louisiana</v>
      </c>
      <c r="O186" s="1">
        <v>71203.0</v>
      </c>
      <c r="P186" s="1" t="s">
        <v>26</v>
      </c>
      <c r="Q186" s="1" t="s">
        <v>51</v>
      </c>
      <c r="R186" s="3">
        <v>29.0</v>
      </c>
      <c r="S186" s="1">
        <v>7.0</v>
      </c>
      <c r="T186" s="4">
        <v>28.46</v>
      </c>
    </row>
    <row r="187">
      <c r="A187" s="1" t="s">
        <v>431</v>
      </c>
      <c r="B187" s="2">
        <v>43067.0</v>
      </c>
      <c r="C187" s="2" t="str">
        <f t="shared" si="1"/>
        <v>Nov</v>
      </c>
      <c r="D187" s="6">
        <v>42778.0</v>
      </c>
      <c r="E187" s="1" t="s">
        <v>41</v>
      </c>
      <c r="F187" s="1" t="s">
        <v>432</v>
      </c>
      <c r="G187" s="1" t="s">
        <v>433</v>
      </c>
      <c r="H187" s="1" t="str">
        <f>IFERROR(__xludf.DUMMYFUNCTION("split(G187,"" "")"),"Sally")</f>
        <v>Sally</v>
      </c>
      <c r="I187" s="1" t="str">
        <f>IFERROR(__xludf.DUMMYFUNCTION("""COMPUTED_VALUE"""),"Knutson")</f>
        <v>Knutson</v>
      </c>
      <c r="J187" s="1" t="s">
        <v>23</v>
      </c>
      <c r="K187" s="1" t="s">
        <v>434</v>
      </c>
      <c r="L187" s="1" t="str">
        <f t="shared" si="2"/>
        <v>Fairfield</v>
      </c>
      <c r="M187" s="1" t="s">
        <v>435</v>
      </c>
      <c r="N187" s="1" t="str">
        <f t="shared" si="3"/>
        <v>Connecticut</v>
      </c>
      <c r="O187" s="1">
        <v>6824.0</v>
      </c>
      <c r="P187" s="1" t="s">
        <v>100</v>
      </c>
      <c r="Q187" s="1" t="s">
        <v>38</v>
      </c>
      <c r="R187" s="3">
        <v>7.16</v>
      </c>
      <c r="S187" s="1">
        <v>6.0</v>
      </c>
      <c r="T187" s="4">
        <v>6.85</v>
      </c>
    </row>
    <row r="188">
      <c r="A188" s="1" t="s">
        <v>436</v>
      </c>
      <c r="B188" s="2">
        <v>42242.0</v>
      </c>
      <c r="C188" s="2" t="str">
        <f t="shared" si="1"/>
        <v>Aug</v>
      </c>
      <c r="D188" s="1" t="s">
        <v>437</v>
      </c>
      <c r="E188" s="1" t="s">
        <v>41</v>
      </c>
      <c r="F188" s="1" t="s">
        <v>438</v>
      </c>
      <c r="G188" s="1" t="s">
        <v>439</v>
      </c>
      <c r="H188" s="1" t="str">
        <f>IFERROR(__xludf.DUMMYFUNCTION("split(G188,"" "")"),"Frank")</f>
        <v>Frank</v>
      </c>
      <c r="I188" s="1" t="str">
        <f>IFERROR(__xludf.DUMMYFUNCTION("""COMPUTED_VALUE"""),"Merwin")</f>
        <v>Merwin</v>
      </c>
      <c r="J188" s="1" t="s">
        <v>68</v>
      </c>
      <c r="K188" s="1" t="s">
        <v>35</v>
      </c>
      <c r="L188" s="1" t="str">
        <f t="shared" si="2"/>
        <v>Los Angeles</v>
      </c>
      <c r="M188" s="1" t="s">
        <v>52</v>
      </c>
      <c r="N188" s="1" t="str">
        <f t="shared" si="3"/>
        <v>California</v>
      </c>
      <c r="O188" s="1">
        <v>90032.0</v>
      </c>
      <c r="P188" s="1" t="s">
        <v>37</v>
      </c>
      <c r="Q188" s="1" t="s">
        <v>51</v>
      </c>
      <c r="R188" s="3">
        <v>176.8</v>
      </c>
      <c r="S188" s="1">
        <v>9.0</v>
      </c>
      <c r="T188" s="4">
        <v>176.49</v>
      </c>
    </row>
    <row r="189">
      <c r="A189" s="1" t="s">
        <v>440</v>
      </c>
      <c r="B189" s="2">
        <v>42932.0</v>
      </c>
      <c r="C189" s="2" t="str">
        <f t="shared" si="1"/>
        <v>Jul</v>
      </c>
      <c r="D189" s="1" t="s">
        <v>137</v>
      </c>
      <c r="E189" s="1" t="s">
        <v>41</v>
      </c>
      <c r="F189" s="1" t="s">
        <v>441</v>
      </c>
      <c r="G189" s="1" t="s">
        <v>442</v>
      </c>
      <c r="H189" s="1" t="str">
        <f>IFERROR(__xludf.DUMMYFUNCTION("split(G189,"" "")"),"Alice")</f>
        <v>Alice</v>
      </c>
      <c r="I189" s="1" t="str">
        <f>IFERROR(__xludf.DUMMYFUNCTION("""COMPUTED_VALUE"""),"McCarthy")</f>
        <v>McCarthy</v>
      </c>
      <c r="J189" s="1" t="s">
        <v>34</v>
      </c>
      <c r="K189" s="1" t="s">
        <v>443</v>
      </c>
      <c r="L189" s="1" t="str">
        <f t="shared" si="2"/>
        <v>Grand Prairie</v>
      </c>
      <c r="M189" s="1" t="s">
        <v>70</v>
      </c>
      <c r="N189" s="1" t="str">
        <f t="shared" si="3"/>
        <v>Texas</v>
      </c>
      <c r="O189" s="1">
        <v>75051.0</v>
      </c>
      <c r="P189" s="1" t="s">
        <v>71</v>
      </c>
      <c r="Q189" s="1" t="s">
        <v>38</v>
      </c>
      <c r="R189" s="3">
        <v>37.224</v>
      </c>
      <c r="S189" s="1">
        <v>7.0</v>
      </c>
      <c r="T189" s="4">
        <v>37.03</v>
      </c>
    </row>
    <row r="190">
      <c r="A190" s="1" t="s">
        <v>440</v>
      </c>
      <c r="B190" s="2">
        <v>42932.0</v>
      </c>
      <c r="C190" s="2" t="str">
        <f t="shared" si="1"/>
        <v>Jul</v>
      </c>
      <c r="D190" s="1" t="s">
        <v>137</v>
      </c>
      <c r="E190" s="1" t="s">
        <v>41</v>
      </c>
      <c r="F190" s="1" t="s">
        <v>441</v>
      </c>
      <c r="G190" s="1" t="s">
        <v>442</v>
      </c>
      <c r="H190" s="1" t="str">
        <f>IFERROR(__xludf.DUMMYFUNCTION("split(G190,"" "")"),"Alice")</f>
        <v>Alice</v>
      </c>
      <c r="I190" s="1" t="str">
        <f>IFERROR(__xludf.DUMMYFUNCTION("""COMPUTED_VALUE"""),"McCarthy")</f>
        <v>McCarthy</v>
      </c>
      <c r="J190" s="1" t="s">
        <v>34</v>
      </c>
      <c r="K190" s="1" t="s">
        <v>443</v>
      </c>
      <c r="L190" s="1" t="str">
        <f t="shared" si="2"/>
        <v>Grand Prairie</v>
      </c>
      <c r="M190" s="1" t="s">
        <v>70</v>
      </c>
      <c r="N190" s="1" t="str">
        <f t="shared" si="3"/>
        <v>Texas</v>
      </c>
      <c r="O190" s="1">
        <v>75051.0</v>
      </c>
      <c r="P190" s="1" t="s">
        <v>71</v>
      </c>
      <c r="Q190" s="1" t="s">
        <v>38</v>
      </c>
      <c r="R190" s="3">
        <v>20.016</v>
      </c>
      <c r="S190" s="1">
        <v>7.0</v>
      </c>
      <c r="T190" s="4">
        <v>19.38</v>
      </c>
    </row>
    <row r="191">
      <c r="A191" s="1" t="s">
        <v>444</v>
      </c>
      <c r="B191" s="2">
        <v>42714.0</v>
      </c>
      <c r="C191" s="2" t="str">
        <f t="shared" si="1"/>
        <v>Dec</v>
      </c>
      <c r="D191" s="1" t="s">
        <v>445</v>
      </c>
      <c r="E191" s="1" t="s">
        <v>121</v>
      </c>
      <c r="F191" s="1" t="s">
        <v>446</v>
      </c>
      <c r="G191" s="1" t="s">
        <v>447</v>
      </c>
      <c r="H191" s="1" t="str">
        <f>IFERROR(__xludf.DUMMYFUNCTION("split(G191,"" "")"),"Mark")</f>
        <v>Mark</v>
      </c>
      <c r="I191" s="1" t="str">
        <f>IFERROR(__xludf.DUMMYFUNCTION("""COMPUTED_VALUE"""),"Packer")</f>
        <v>Packer</v>
      </c>
      <c r="J191" s="1" t="s">
        <v>68</v>
      </c>
      <c r="K191" s="1" t="s">
        <v>174</v>
      </c>
      <c r="L191" s="1" t="str">
        <f t="shared" si="2"/>
        <v>New York City</v>
      </c>
      <c r="M191" s="1" t="s">
        <v>175</v>
      </c>
      <c r="N191" s="1" t="str">
        <f t="shared" si="3"/>
        <v>New York</v>
      </c>
      <c r="O191" s="1">
        <v>10035.0</v>
      </c>
      <c r="P191" s="1" t="s">
        <v>100</v>
      </c>
      <c r="Q191" s="1" t="s">
        <v>27</v>
      </c>
      <c r="R191" s="3">
        <v>899.136</v>
      </c>
      <c r="S191" s="1">
        <v>1.0</v>
      </c>
      <c r="T191" s="4">
        <v>898.53</v>
      </c>
    </row>
    <row r="192">
      <c r="A192" s="1" t="s">
        <v>444</v>
      </c>
      <c r="B192" s="2">
        <v>42714.0</v>
      </c>
      <c r="C192" s="2" t="str">
        <f t="shared" si="1"/>
        <v>Dec</v>
      </c>
      <c r="D192" s="1" t="s">
        <v>445</v>
      </c>
      <c r="E192" s="1" t="s">
        <v>121</v>
      </c>
      <c r="F192" s="1" t="s">
        <v>446</v>
      </c>
      <c r="G192" s="1" t="s">
        <v>447</v>
      </c>
      <c r="H192" s="1" t="str">
        <f>IFERROR(__xludf.DUMMYFUNCTION("split(G192,"" "")"),"Mark")</f>
        <v>Mark</v>
      </c>
      <c r="I192" s="1" t="str">
        <f>IFERROR(__xludf.DUMMYFUNCTION("""COMPUTED_VALUE"""),"Packer")</f>
        <v>Packer</v>
      </c>
      <c r="J192" s="1" t="s">
        <v>68</v>
      </c>
      <c r="K192" s="1" t="s">
        <v>174</v>
      </c>
      <c r="L192" s="1" t="str">
        <f t="shared" si="2"/>
        <v>New York City</v>
      </c>
      <c r="M192" s="1" t="s">
        <v>175</v>
      </c>
      <c r="N192" s="1" t="str">
        <f t="shared" si="3"/>
        <v>New York</v>
      </c>
      <c r="O192" s="1">
        <v>10035.0</v>
      </c>
      <c r="P192" s="1" t="s">
        <v>100</v>
      </c>
      <c r="Q192" s="1" t="s">
        <v>51</v>
      </c>
      <c r="R192" s="3">
        <v>71.76</v>
      </c>
      <c r="S192" s="1">
        <v>1.0</v>
      </c>
      <c r="T192" s="4">
        <v>71.44</v>
      </c>
    </row>
    <row r="193">
      <c r="A193" s="1" t="s">
        <v>444</v>
      </c>
      <c r="B193" s="2">
        <v>42714.0</v>
      </c>
      <c r="C193" s="2" t="str">
        <f t="shared" si="1"/>
        <v>Dec</v>
      </c>
      <c r="D193" s="1" t="s">
        <v>445</v>
      </c>
      <c r="E193" s="1" t="s">
        <v>121</v>
      </c>
      <c r="F193" s="1" t="s">
        <v>446</v>
      </c>
      <c r="G193" s="1" t="s">
        <v>447</v>
      </c>
      <c r="H193" s="1" t="str">
        <f>IFERROR(__xludf.DUMMYFUNCTION("split(G193,"" "")"),"Mark")</f>
        <v>Mark</v>
      </c>
      <c r="I193" s="1" t="str">
        <f>IFERROR(__xludf.DUMMYFUNCTION("""COMPUTED_VALUE"""),"Packer")</f>
        <v>Packer</v>
      </c>
      <c r="J193" s="1" t="s">
        <v>68</v>
      </c>
      <c r="K193" s="1" t="s">
        <v>174</v>
      </c>
      <c r="L193" s="1" t="str">
        <f t="shared" si="2"/>
        <v>New York City</v>
      </c>
      <c r="M193" s="1" t="s">
        <v>175</v>
      </c>
      <c r="N193" s="1" t="str">
        <f t="shared" si="3"/>
        <v>New York</v>
      </c>
      <c r="O193" s="1">
        <v>10035.0</v>
      </c>
      <c r="P193" s="1" t="s">
        <v>100</v>
      </c>
      <c r="Q193" s="1" t="s">
        <v>38</v>
      </c>
      <c r="R193" s="3">
        <v>51.84</v>
      </c>
      <c r="S193" s="1">
        <v>1.0</v>
      </c>
      <c r="T193" s="4">
        <v>51.52</v>
      </c>
    </row>
    <row r="194">
      <c r="A194" s="1" t="s">
        <v>444</v>
      </c>
      <c r="B194" s="2">
        <v>42714.0</v>
      </c>
      <c r="C194" s="2" t="str">
        <f t="shared" si="1"/>
        <v>Dec</v>
      </c>
      <c r="D194" s="1" t="s">
        <v>445</v>
      </c>
      <c r="E194" s="1" t="s">
        <v>121</v>
      </c>
      <c r="F194" s="1" t="s">
        <v>446</v>
      </c>
      <c r="G194" s="1" t="s">
        <v>447</v>
      </c>
      <c r="H194" s="1" t="str">
        <f>IFERROR(__xludf.DUMMYFUNCTION("split(G194,"" "")"),"Mark")</f>
        <v>Mark</v>
      </c>
      <c r="I194" s="1" t="str">
        <f>IFERROR(__xludf.DUMMYFUNCTION("""COMPUTED_VALUE"""),"Packer")</f>
        <v>Packer</v>
      </c>
      <c r="J194" s="1" t="s">
        <v>68</v>
      </c>
      <c r="K194" s="1" t="s">
        <v>174</v>
      </c>
      <c r="L194" s="1" t="str">
        <f t="shared" si="2"/>
        <v>New York City</v>
      </c>
      <c r="M194" s="1" t="s">
        <v>175</v>
      </c>
      <c r="N194" s="1" t="str">
        <f t="shared" si="3"/>
        <v>New York</v>
      </c>
      <c r="O194" s="1">
        <v>10035.0</v>
      </c>
      <c r="P194" s="1" t="s">
        <v>100</v>
      </c>
      <c r="Q194" s="1" t="s">
        <v>27</v>
      </c>
      <c r="R194" s="3">
        <v>626.352</v>
      </c>
      <c r="S194" s="1">
        <v>1.0</v>
      </c>
      <c r="T194" s="4">
        <v>625.59</v>
      </c>
    </row>
    <row r="195">
      <c r="A195" s="1" t="s">
        <v>444</v>
      </c>
      <c r="B195" s="2">
        <v>42714.0</v>
      </c>
      <c r="C195" s="2" t="str">
        <f t="shared" si="1"/>
        <v>Dec</v>
      </c>
      <c r="D195" s="1" t="s">
        <v>445</v>
      </c>
      <c r="E195" s="1" t="s">
        <v>121</v>
      </c>
      <c r="F195" s="1" t="s">
        <v>446</v>
      </c>
      <c r="G195" s="1" t="s">
        <v>447</v>
      </c>
      <c r="H195" s="1" t="str">
        <f>IFERROR(__xludf.DUMMYFUNCTION("split(G195,"" "")"),"Mark")</f>
        <v>Mark</v>
      </c>
      <c r="I195" s="1" t="str">
        <f>IFERROR(__xludf.DUMMYFUNCTION("""COMPUTED_VALUE"""),"Packer")</f>
        <v>Packer</v>
      </c>
      <c r="J195" s="1" t="s">
        <v>68</v>
      </c>
      <c r="K195" s="1" t="s">
        <v>174</v>
      </c>
      <c r="L195" s="1" t="str">
        <f t="shared" si="2"/>
        <v>New York City</v>
      </c>
      <c r="M195" s="1" t="s">
        <v>175</v>
      </c>
      <c r="N195" s="1" t="str">
        <f t="shared" si="3"/>
        <v>New York</v>
      </c>
      <c r="O195" s="1">
        <v>10035.0</v>
      </c>
      <c r="P195" s="1" t="s">
        <v>100</v>
      </c>
      <c r="Q195" s="1" t="s">
        <v>38</v>
      </c>
      <c r="R195" s="3">
        <v>19.9</v>
      </c>
      <c r="S195" s="1">
        <v>1.0</v>
      </c>
      <c r="T195" s="4">
        <v>19.54</v>
      </c>
    </row>
    <row r="196">
      <c r="A196" s="1" t="s">
        <v>448</v>
      </c>
      <c r="B196" s="2">
        <v>42674.0</v>
      </c>
      <c r="C196" s="2" t="str">
        <f t="shared" si="1"/>
        <v>Oct</v>
      </c>
      <c r="D196" s="6">
        <v>42532.0</v>
      </c>
      <c r="E196" s="1" t="s">
        <v>41</v>
      </c>
      <c r="F196" s="1" t="s">
        <v>449</v>
      </c>
      <c r="G196" s="1" t="s">
        <v>450</v>
      </c>
      <c r="H196" s="1" t="str">
        <f>IFERROR(__xludf.DUMMYFUNCTION("split(G196,"" "")"),"Mary")</f>
        <v>Mary</v>
      </c>
      <c r="I196" s="1" t="str">
        <f>IFERROR(__xludf.DUMMYFUNCTION("""COMPUTED_VALUE"""),"Zewe")</f>
        <v>Zewe</v>
      </c>
      <c r="J196" s="1" t="s">
        <v>34</v>
      </c>
      <c r="K196" s="1" t="s">
        <v>451</v>
      </c>
      <c r="L196" s="1" t="str">
        <f t="shared" si="2"/>
        <v>Redlands</v>
      </c>
      <c r="M196" s="1" t="s">
        <v>52</v>
      </c>
      <c r="N196" s="1" t="str">
        <f t="shared" si="3"/>
        <v>California</v>
      </c>
      <c r="O196" s="1">
        <v>92374.0</v>
      </c>
      <c r="P196" s="1" t="s">
        <v>37</v>
      </c>
      <c r="Q196" s="1" t="s">
        <v>38</v>
      </c>
      <c r="R196" s="3">
        <v>14.28</v>
      </c>
      <c r="S196" s="1">
        <v>9.0</v>
      </c>
      <c r="T196" s="4">
        <v>14.19</v>
      </c>
    </row>
    <row r="197">
      <c r="A197" s="1" t="s">
        <v>452</v>
      </c>
      <c r="B197" s="2">
        <v>42084.0</v>
      </c>
      <c r="C197" s="2" t="str">
        <f t="shared" si="1"/>
        <v>Mar</v>
      </c>
      <c r="D197" s="1" t="s">
        <v>453</v>
      </c>
      <c r="E197" s="1" t="s">
        <v>41</v>
      </c>
      <c r="F197" s="1" t="s">
        <v>454</v>
      </c>
      <c r="G197" s="1" t="s">
        <v>455</v>
      </c>
      <c r="H197" s="1" t="str">
        <f>IFERROR(__xludf.DUMMYFUNCTION("split(G197,"" "")"),"Cassandra")</f>
        <v>Cassandra</v>
      </c>
      <c r="I197" s="1" t="str">
        <f>IFERROR(__xludf.DUMMYFUNCTION("""COMPUTED_VALUE"""),"Brandow")</f>
        <v>Brandow</v>
      </c>
      <c r="J197" s="1" t="s">
        <v>23</v>
      </c>
      <c r="K197" s="1" t="s">
        <v>456</v>
      </c>
      <c r="L197" s="1" t="str">
        <f t="shared" si="2"/>
        <v>Hamilton</v>
      </c>
      <c r="M197" s="1" t="s">
        <v>304</v>
      </c>
      <c r="N197" s="1" t="str">
        <f t="shared" si="3"/>
        <v>Ohio</v>
      </c>
      <c r="O197" s="1">
        <v>45011.0</v>
      </c>
      <c r="P197" s="1" t="s">
        <v>100</v>
      </c>
      <c r="Q197" s="1" t="s">
        <v>38</v>
      </c>
      <c r="R197" s="3">
        <v>7.408</v>
      </c>
      <c r="S197" s="1">
        <v>4.0</v>
      </c>
      <c r="T197" s="4">
        <v>6.46</v>
      </c>
    </row>
    <row r="198">
      <c r="A198" s="1" t="s">
        <v>452</v>
      </c>
      <c r="B198" s="2">
        <v>42084.0</v>
      </c>
      <c r="C198" s="2" t="str">
        <f t="shared" si="1"/>
        <v>Mar</v>
      </c>
      <c r="D198" s="1" t="s">
        <v>453</v>
      </c>
      <c r="E198" s="1" t="s">
        <v>41</v>
      </c>
      <c r="F198" s="1" t="s">
        <v>454</v>
      </c>
      <c r="G198" s="1" t="s">
        <v>455</v>
      </c>
      <c r="H198" s="1" t="str">
        <f>IFERROR(__xludf.DUMMYFUNCTION("split(G198,"" "")"),"Cassandra")</f>
        <v>Cassandra</v>
      </c>
      <c r="I198" s="1" t="str">
        <f>IFERROR(__xludf.DUMMYFUNCTION("""COMPUTED_VALUE"""),"Brandow")</f>
        <v>Brandow</v>
      </c>
      <c r="J198" s="1" t="s">
        <v>23</v>
      </c>
      <c r="K198" s="1" t="s">
        <v>456</v>
      </c>
      <c r="L198" s="1" t="str">
        <f t="shared" si="2"/>
        <v>Hamilton</v>
      </c>
      <c r="M198" s="1" t="s">
        <v>304</v>
      </c>
      <c r="N198" s="1" t="str">
        <f t="shared" si="3"/>
        <v>Ohio</v>
      </c>
      <c r="O198" s="1">
        <v>45011.0</v>
      </c>
      <c r="P198" s="1" t="s">
        <v>100</v>
      </c>
      <c r="Q198" s="1" t="s">
        <v>38</v>
      </c>
      <c r="R198" s="3">
        <v>6.048</v>
      </c>
      <c r="S198" s="1">
        <v>4.0</v>
      </c>
      <c r="T198" s="4">
        <v>5.82</v>
      </c>
    </row>
    <row r="199">
      <c r="A199" s="1" t="s">
        <v>457</v>
      </c>
      <c r="B199" s="2">
        <v>43262.0</v>
      </c>
      <c r="C199" s="2" t="str">
        <f t="shared" si="1"/>
        <v>Jun</v>
      </c>
      <c r="D199" s="1" t="s">
        <v>458</v>
      </c>
      <c r="E199" s="1" t="s">
        <v>41</v>
      </c>
      <c r="F199" s="1" t="s">
        <v>459</v>
      </c>
      <c r="G199" s="1" t="s">
        <v>460</v>
      </c>
      <c r="H199" s="1" t="str">
        <f>IFERROR(__xludf.DUMMYFUNCTION("split(G199,"" "")"),"Valerie")</f>
        <v>Valerie</v>
      </c>
      <c r="I199" s="1" t="str">
        <f>IFERROR(__xludf.DUMMYFUNCTION("""COMPUTED_VALUE"""),"Mitchum")</f>
        <v>Mitchum</v>
      </c>
      <c r="J199" s="1" t="s">
        <v>68</v>
      </c>
      <c r="K199" s="1" t="s">
        <v>461</v>
      </c>
      <c r="L199" s="1" t="str">
        <f t="shared" si="2"/>
        <v>Westfield</v>
      </c>
      <c r="M199" s="1" t="s">
        <v>462</v>
      </c>
      <c r="N199" s="1" t="str">
        <f t="shared" si="3"/>
        <v>New Jersey</v>
      </c>
      <c r="O199" s="1">
        <v>7090.0</v>
      </c>
      <c r="P199" s="1" t="s">
        <v>100</v>
      </c>
      <c r="Q199" s="1" t="s">
        <v>38</v>
      </c>
      <c r="R199" s="3">
        <v>46.26</v>
      </c>
      <c r="S199" s="1">
        <v>7.0</v>
      </c>
      <c r="T199" s="4">
        <v>45.71</v>
      </c>
    </row>
    <row r="200">
      <c r="A200" s="1" t="s">
        <v>463</v>
      </c>
      <c r="B200" s="2">
        <v>43258.0</v>
      </c>
      <c r="C200" s="2" t="str">
        <f t="shared" si="1"/>
        <v>Jun</v>
      </c>
      <c r="D200" s="1" t="s">
        <v>464</v>
      </c>
      <c r="E200" s="1" t="s">
        <v>41</v>
      </c>
      <c r="F200" s="1" t="s">
        <v>465</v>
      </c>
      <c r="G200" s="1" t="s">
        <v>466</v>
      </c>
      <c r="H200" s="1" t="str">
        <f>IFERROR(__xludf.DUMMYFUNCTION("split(G200,"" "")"),"Fred")</f>
        <v>Fred</v>
      </c>
      <c r="I200" s="1" t="str">
        <f>IFERROR(__xludf.DUMMYFUNCTION("""COMPUTED_VALUE"""),"Hopkins")</f>
        <v>Hopkins</v>
      </c>
      <c r="J200" s="1" t="s">
        <v>34</v>
      </c>
      <c r="K200" s="1" t="s">
        <v>98</v>
      </c>
      <c r="L200" s="1" t="str">
        <f t="shared" si="2"/>
        <v>Philadelphia</v>
      </c>
      <c r="M200" s="1" t="s">
        <v>99</v>
      </c>
      <c r="N200" s="1" t="str">
        <f t="shared" si="3"/>
        <v>Pennsylvania</v>
      </c>
      <c r="O200" s="1">
        <v>19120.0</v>
      </c>
      <c r="P200" s="1" t="s">
        <v>100</v>
      </c>
      <c r="Q200" s="1" t="s">
        <v>38</v>
      </c>
      <c r="R200" s="3">
        <v>2.946</v>
      </c>
      <c r="S200" s="1">
        <v>1.0</v>
      </c>
      <c r="T200" s="4">
        <v>2.85</v>
      </c>
    </row>
    <row r="201">
      <c r="A201" s="1" t="s">
        <v>463</v>
      </c>
      <c r="B201" s="2">
        <v>43258.0</v>
      </c>
      <c r="C201" s="2" t="str">
        <f t="shared" si="1"/>
        <v>Jun</v>
      </c>
      <c r="D201" s="1" t="s">
        <v>464</v>
      </c>
      <c r="E201" s="1" t="s">
        <v>41</v>
      </c>
      <c r="F201" s="1" t="s">
        <v>465</v>
      </c>
      <c r="G201" s="1" t="s">
        <v>466</v>
      </c>
      <c r="H201" s="1" t="str">
        <f>IFERROR(__xludf.DUMMYFUNCTION("split(G201,"" "")"),"Fred")</f>
        <v>Fred</v>
      </c>
      <c r="I201" s="1" t="str">
        <f>IFERROR(__xludf.DUMMYFUNCTION("""COMPUTED_VALUE"""),"Hopkins")</f>
        <v>Hopkins</v>
      </c>
      <c r="J201" s="1" t="s">
        <v>34</v>
      </c>
      <c r="K201" s="1" t="s">
        <v>98</v>
      </c>
      <c r="L201" s="1" t="str">
        <f t="shared" si="2"/>
        <v>Philadelphia</v>
      </c>
      <c r="M201" s="1" t="s">
        <v>99</v>
      </c>
      <c r="N201" s="1" t="str">
        <f t="shared" si="3"/>
        <v>Pennsylvania</v>
      </c>
      <c r="O201" s="1">
        <v>19120.0</v>
      </c>
      <c r="P201" s="1" t="s">
        <v>100</v>
      </c>
      <c r="Q201" s="1" t="s">
        <v>38</v>
      </c>
      <c r="R201" s="3">
        <v>16.056</v>
      </c>
      <c r="S201" s="1">
        <v>1.0</v>
      </c>
      <c r="T201" s="4">
        <v>15.84</v>
      </c>
    </row>
    <row r="202">
      <c r="A202" s="1" t="s">
        <v>467</v>
      </c>
      <c r="B202" s="2">
        <v>43275.0</v>
      </c>
      <c r="C202" s="2" t="str">
        <f t="shared" si="1"/>
        <v>Jun</v>
      </c>
      <c r="D202" s="1" t="s">
        <v>468</v>
      </c>
      <c r="E202" s="1" t="s">
        <v>41</v>
      </c>
      <c r="F202" s="1" t="s">
        <v>469</v>
      </c>
      <c r="G202" s="1" t="s">
        <v>470</v>
      </c>
      <c r="H202" s="1" t="str">
        <f>IFERROR(__xludf.DUMMYFUNCTION("split(G202,"" "")"),"Maria")</f>
        <v>Maria</v>
      </c>
      <c r="I202" s="1" t="str">
        <f>IFERROR(__xludf.DUMMYFUNCTION("""COMPUTED_VALUE"""),"Bertelson")</f>
        <v>Bertelson</v>
      </c>
      <c r="J202" s="1" t="s">
        <v>23</v>
      </c>
      <c r="K202" s="1" t="s">
        <v>471</v>
      </c>
      <c r="L202" s="1" t="str">
        <f t="shared" si="2"/>
        <v>Akron</v>
      </c>
      <c r="M202" s="1" t="s">
        <v>304</v>
      </c>
      <c r="N202" s="1" t="str">
        <f t="shared" si="3"/>
        <v>Ohio</v>
      </c>
      <c r="O202" s="1">
        <v>44312.0</v>
      </c>
      <c r="P202" s="1" t="s">
        <v>100</v>
      </c>
      <c r="Q202" s="1" t="s">
        <v>38</v>
      </c>
      <c r="R202" s="3">
        <v>21.744</v>
      </c>
      <c r="S202" s="1">
        <v>4.0</v>
      </c>
      <c r="T202" s="4">
        <v>21.73</v>
      </c>
    </row>
    <row r="203">
      <c r="A203" s="1" t="s">
        <v>472</v>
      </c>
      <c r="B203" s="2">
        <v>42071.0</v>
      </c>
      <c r="C203" s="2" t="str">
        <f t="shared" si="1"/>
        <v>Mar</v>
      </c>
      <c r="D203" s="6">
        <v>42132.0</v>
      </c>
      <c r="E203" s="1" t="s">
        <v>121</v>
      </c>
      <c r="F203" s="1" t="s">
        <v>473</v>
      </c>
      <c r="G203" s="1" t="s">
        <v>474</v>
      </c>
      <c r="H203" s="1" t="str">
        <f>IFERROR(__xludf.DUMMYFUNCTION("split(G203,"" "")"),"Bruce")</f>
        <v>Bruce</v>
      </c>
      <c r="I203" s="1" t="str">
        <f>IFERROR(__xludf.DUMMYFUNCTION("""COMPUTED_VALUE"""),"Stewart")</f>
        <v>Stewart</v>
      </c>
      <c r="J203" s="1" t="s">
        <v>23</v>
      </c>
      <c r="K203" s="1" t="s">
        <v>475</v>
      </c>
      <c r="L203" s="1" t="str">
        <f t="shared" si="2"/>
        <v>Denver</v>
      </c>
      <c r="M203" s="1" t="s">
        <v>279</v>
      </c>
      <c r="N203" s="1" t="str">
        <f t="shared" si="3"/>
        <v>Colorado</v>
      </c>
      <c r="O203" s="1">
        <v>80219.0</v>
      </c>
      <c r="P203" s="1" t="s">
        <v>37</v>
      </c>
      <c r="Q203" s="1" t="s">
        <v>27</v>
      </c>
      <c r="R203" s="3">
        <v>218.75</v>
      </c>
      <c r="S203" s="1">
        <v>8.0</v>
      </c>
      <c r="T203" s="4">
        <v>218.11</v>
      </c>
    </row>
    <row r="204">
      <c r="A204" s="1" t="s">
        <v>472</v>
      </c>
      <c r="B204" s="2">
        <v>42071.0</v>
      </c>
      <c r="C204" s="2" t="str">
        <f t="shared" si="1"/>
        <v>Mar</v>
      </c>
      <c r="D204" s="6">
        <v>42132.0</v>
      </c>
      <c r="E204" s="1" t="s">
        <v>121</v>
      </c>
      <c r="F204" s="1" t="s">
        <v>473</v>
      </c>
      <c r="G204" s="1" t="s">
        <v>474</v>
      </c>
      <c r="H204" s="1" t="str">
        <f>IFERROR(__xludf.DUMMYFUNCTION("split(G204,"" "")"),"Bruce")</f>
        <v>Bruce</v>
      </c>
      <c r="I204" s="1" t="str">
        <f>IFERROR(__xludf.DUMMYFUNCTION("""COMPUTED_VALUE"""),"Stewart")</f>
        <v>Stewart</v>
      </c>
      <c r="J204" s="1" t="s">
        <v>23</v>
      </c>
      <c r="K204" s="1" t="s">
        <v>475</v>
      </c>
      <c r="L204" s="1" t="str">
        <f t="shared" si="2"/>
        <v>Denver</v>
      </c>
      <c r="M204" s="1" t="s">
        <v>279</v>
      </c>
      <c r="N204" s="1" t="str">
        <f t="shared" si="3"/>
        <v>Colorado</v>
      </c>
      <c r="O204" s="1">
        <v>80219.0</v>
      </c>
      <c r="P204" s="1" t="s">
        <v>37</v>
      </c>
      <c r="Q204" s="1" t="s">
        <v>38</v>
      </c>
      <c r="R204" s="3">
        <v>2.6</v>
      </c>
      <c r="S204" s="1">
        <v>8.0</v>
      </c>
      <c r="T204" s="4">
        <v>2.52</v>
      </c>
    </row>
    <row r="205">
      <c r="A205" s="1" t="s">
        <v>476</v>
      </c>
      <c r="B205" s="2">
        <v>43451.0</v>
      </c>
      <c r="C205" s="2" t="str">
        <f t="shared" si="1"/>
        <v>Dec</v>
      </c>
      <c r="D205" s="1" t="s">
        <v>477</v>
      </c>
      <c r="E205" s="1" t="s">
        <v>20</v>
      </c>
      <c r="F205" s="1" t="s">
        <v>478</v>
      </c>
      <c r="G205" s="1" t="s">
        <v>479</v>
      </c>
      <c r="H205" s="1" t="str">
        <f>IFERROR(__xludf.DUMMYFUNCTION("split(G205,"" "")"),"Logan")</f>
        <v>Logan</v>
      </c>
      <c r="I205" s="1" t="str">
        <f>IFERROR(__xludf.DUMMYFUNCTION("""COMPUTED_VALUE"""),"Currie")</f>
        <v>Currie</v>
      </c>
      <c r="J205" s="1" t="s">
        <v>23</v>
      </c>
      <c r="K205" s="1" t="s">
        <v>480</v>
      </c>
      <c r="L205" s="1" t="str">
        <f t="shared" si="2"/>
        <v>Dallas</v>
      </c>
      <c r="M205" s="1" t="s">
        <v>70</v>
      </c>
      <c r="N205" s="1" t="str">
        <f t="shared" si="3"/>
        <v>Texas</v>
      </c>
      <c r="O205" s="1">
        <v>75220.0</v>
      </c>
      <c r="P205" s="1" t="s">
        <v>71</v>
      </c>
      <c r="Q205" s="1" t="s">
        <v>38</v>
      </c>
      <c r="R205" s="3">
        <v>66.284</v>
      </c>
      <c r="S205" s="1">
        <v>7.0</v>
      </c>
      <c r="T205" s="4">
        <v>65.82</v>
      </c>
    </row>
    <row r="206">
      <c r="A206" s="1" t="s">
        <v>481</v>
      </c>
      <c r="B206" s="2">
        <v>43165.0</v>
      </c>
      <c r="C206" s="2" t="str">
        <f t="shared" si="1"/>
        <v>Mar</v>
      </c>
      <c r="D206" s="6">
        <v>43287.0</v>
      </c>
      <c r="E206" s="1" t="s">
        <v>41</v>
      </c>
      <c r="F206" s="1" t="s">
        <v>482</v>
      </c>
      <c r="G206" s="1" t="s">
        <v>483</v>
      </c>
      <c r="H206" s="1" t="str">
        <f>IFERROR(__xludf.DUMMYFUNCTION("split(G206,"" "")"),"Heather")</f>
        <v>Heather</v>
      </c>
      <c r="I206" s="1" t="str">
        <f>IFERROR(__xludf.DUMMYFUNCTION("""COMPUTED_VALUE"""),"Kirkland")</f>
        <v>Kirkland</v>
      </c>
      <c r="J206" s="1" t="s">
        <v>34</v>
      </c>
      <c r="K206" s="1" t="s">
        <v>364</v>
      </c>
      <c r="L206" s="1" t="str">
        <f t="shared" si="2"/>
        <v>Franklin</v>
      </c>
      <c r="M206" s="1" t="s">
        <v>210</v>
      </c>
      <c r="N206" s="1" t="str">
        <f t="shared" si="3"/>
        <v>Tennessee</v>
      </c>
      <c r="O206" s="1">
        <v>37064.0</v>
      </c>
      <c r="P206" s="1" t="s">
        <v>26</v>
      </c>
      <c r="Q206" s="1" t="s">
        <v>27</v>
      </c>
      <c r="R206" s="3">
        <v>35.168</v>
      </c>
      <c r="S206" s="1">
        <v>3.0</v>
      </c>
      <c r="T206" s="4">
        <v>34.2</v>
      </c>
    </row>
    <row r="207">
      <c r="A207" s="1" t="s">
        <v>484</v>
      </c>
      <c r="B207" s="2">
        <v>43355.0</v>
      </c>
      <c r="C207" s="2" t="str">
        <f t="shared" si="1"/>
        <v>Sep</v>
      </c>
      <c r="D207" s="1" t="s">
        <v>485</v>
      </c>
      <c r="E207" s="1" t="s">
        <v>41</v>
      </c>
      <c r="F207" s="1" t="s">
        <v>486</v>
      </c>
      <c r="G207" s="1" t="s">
        <v>487</v>
      </c>
      <c r="H207" s="1" t="str">
        <f>IFERROR(__xludf.DUMMYFUNCTION("split(G207,"" "")"),"Laurel")</f>
        <v>Laurel</v>
      </c>
      <c r="I207" s="1" t="str">
        <f>IFERROR(__xludf.DUMMYFUNCTION("""COMPUTED_VALUE"""),"Elliston")</f>
        <v>Elliston</v>
      </c>
      <c r="J207" s="1" t="s">
        <v>23</v>
      </c>
      <c r="K207" s="1" t="s">
        <v>488</v>
      </c>
      <c r="L207" s="1" t="str">
        <f t="shared" si="2"/>
        <v>Whittier</v>
      </c>
      <c r="M207" s="1" t="s">
        <v>52</v>
      </c>
      <c r="N207" s="1" t="str">
        <f t="shared" si="3"/>
        <v>California</v>
      </c>
      <c r="O207" s="1">
        <v>90604.0</v>
      </c>
      <c r="P207" s="1" t="s">
        <v>37</v>
      </c>
      <c r="Q207" s="1" t="s">
        <v>51</v>
      </c>
      <c r="R207" s="3">
        <v>444.768</v>
      </c>
      <c r="S207" s="1">
        <v>9.0</v>
      </c>
      <c r="T207" s="4">
        <v>444.02</v>
      </c>
    </row>
    <row r="208">
      <c r="A208" s="1" t="s">
        <v>489</v>
      </c>
      <c r="B208" s="2">
        <v>43112.0</v>
      </c>
      <c r="C208" s="2" t="str">
        <f t="shared" si="1"/>
        <v>Jan</v>
      </c>
      <c r="D208" s="6">
        <v>43293.0</v>
      </c>
      <c r="E208" s="1" t="s">
        <v>41</v>
      </c>
      <c r="F208" s="1" t="s">
        <v>490</v>
      </c>
      <c r="G208" s="1" t="s">
        <v>491</v>
      </c>
      <c r="H208" s="1" t="str">
        <f>IFERROR(__xludf.DUMMYFUNCTION("split(G208,"" "")"),"Joseph")</f>
        <v>Joseph</v>
      </c>
      <c r="I208" s="1" t="str">
        <f>IFERROR(__xludf.DUMMYFUNCTION("""COMPUTED_VALUE"""),"Holt")</f>
        <v>Holt</v>
      </c>
      <c r="J208" s="1" t="s">
        <v>23</v>
      </c>
      <c r="K208" s="1" t="s">
        <v>492</v>
      </c>
      <c r="L208" s="1" t="str">
        <f t="shared" si="2"/>
        <v>Saginaw</v>
      </c>
      <c r="M208" s="1" t="s">
        <v>157</v>
      </c>
      <c r="N208" s="1" t="str">
        <f t="shared" si="3"/>
        <v>Michigan</v>
      </c>
      <c r="O208" s="1">
        <v>48601.0</v>
      </c>
      <c r="P208" s="1" t="s">
        <v>71</v>
      </c>
      <c r="Q208" s="1" t="s">
        <v>38</v>
      </c>
      <c r="R208" s="3">
        <v>83.92</v>
      </c>
      <c r="S208" s="1">
        <v>4.0</v>
      </c>
      <c r="T208" s="4">
        <v>83.79</v>
      </c>
    </row>
    <row r="209">
      <c r="A209" s="1" t="s">
        <v>489</v>
      </c>
      <c r="B209" s="2">
        <v>43112.0</v>
      </c>
      <c r="C209" s="2" t="str">
        <f t="shared" si="1"/>
        <v>Jan</v>
      </c>
      <c r="D209" s="6">
        <v>43293.0</v>
      </c>
      <c r="E209" s="1" t="s">
        <v>41</v>
      </c>
      <c r="F209" s="1" t="s">
        <v>490</v>
      </c>
      <c r="G209" s="1" t="s">
        <v>491</v>
      </c>
      <c r="H209" s="1" t="str">
        <f>IFERROR(__xludf.DUMMYFUNCTION("split(G209,"" "")"),"Joseph")</f>
        <v>Joseph</v>
      </c>
      <c r="I209" s="1" t="str">
        <f>IFERROR(__xludf.DUMMYFUNCTION("""COMPUTED_VALUE"""),"Holt")</f>
        <v>Holt</v>
      </c>
      <c r="J209" s="1" t="s">
        <v>23</v>
      </c>
      <c r="K209" s="1" t="s">
        <v>492</v>
      </c>
      <c r="L209" s="1" t="str">
        <f t="shared" si="2"/>
        <v>Saginaw</v>
      </c>
      <c r="M209" s="1" t="s">
        <v>157</v>
      </c>
      <c r="N209" s="1" t="str">
        <f t="shared" si="3"/>
        <v>Michigan</v>
      </c>
      <c r="O209" s="1">
        <v>48601.0</v>
      </c>
      <c r="P209" s="1" t="s">
        <v>71</v>
      </c>
      <c r="Q209" s="1" t="s">
        <v>51</v>
      </c>
      <c r="R209" s="3">
        <v>131.98</v>
      </c>
      <c r="S209" s="1">
        <v>4.0</v>
      </c>
      <c r="T209" s="4">
        <v>131.38</v>
      </c>
    </row>
    <row r="210">
      <c r="A210" s="1" t="s">
        <v>489</v>
      </c>
      <c r="B210" s="2">
        <v>43112.0</v>
      </c>
      <c r="C210" s="2" t="str">
        <f t="shared" si="1"/>
        <v>Jan</v>
      </c>
      <c r="D210" s="6">
        <v>43293.0</v>
      </c>
      <c r="E210" s="1" t="s">
        <v>41</v>
      </c>
      <c r="F210" s="1" t="s">
        <v>490</v>
      </c>
      <c r="G210" s="1" t="s">
        <v>491</v>
      </c>
      <c r="H210" s="1" t="str">
        <f>IFERROR(__xludf.DUMMYFUNCTION("split(G210,"" "")"),"Joseph")</f>
        <v>Joseph</v>
      </c>
      <c r="I210" s="1" t="str">
        <f>IFERROR(__xludf.DUMMYFUNCTION("""COMPUTED_VALUE"""),"Holt")</f>
        <v>Holt</v>
      </c>
      <c r="J210" s="1" t="s">
        <v>23</v>
      </c>
      <c r="K210" s="1" t="s">
        <v>492</v>
      </c>
      <c r="L210" s="1" t="str">
        <f t="shared" si="2"/>
        <v>Saginaw</v>
      </c>
      <c r="M210" s="1" t="s">
        <v>157</v>
      </c>
      <c r="N210" s="1" t="str">
        <f t="shared" si="3"/>
        <v>Michigan</v>
      </c>
      <c r="O210" s="1">
        <v>48601.0</v>
      </c>
      <c r="P210" s="1" t="s">
        <v>71</v>
      </c>
      <c r="Q210" s="1" t="s">
        <v>38</v>
      </c>
      <c r="R210" s="3">
        <v>15.92</v>
      </c>
      <c r="S210" s="1">
        <v>4.0</v>
      </c>
      <c r="T210" s="4">
        <v>15.35</v>
      </c>
    </row>
    <row r="211">
      <c r="A211" s="1" t="s">
        <v>489</v>
      </c>
      <c r="B211" s="2">
        <v>43112.0</v>
      </c>
      <c r="C211" s="2" t="str">
        <f t="shared" si="1"/>
        <v>Jan</v>
      </c>
      <c r="D211" s="6">
        <v>43293.0</v>
      </c>
      <c r="E211" s="1" t="s">
        <v>41</v>
      </c>
      <c r="F211" s="1" t="s">
        <v>490</v>
      </c>
      <c r="G211" s="1" t="s">
        <v>491</v>
      </c>
      <c r="H211" s="1" t="str">
        <f>IFERROR(__xludf.DUMMYFUNCTION("split(G211,"" "")"),"Joseph")</f>
        <v>Joseph</v>
      </c>
      <c r="I211" s="1" t="str">
        <f>IFERROR(__xludf.DUMMYFUNCTION("""COMPUTED_VALUE"""),"Holt")</f>
        <v>Holt</v>
      </c>
      <c r="J211" s="1" t="s">
        <v>23</v>
      </c>
      <c r="K211" s="1" t="s">
        <v>492</v>
      </c>
      <c r="L211" s="1" t="str">
        <f t="shared" si="2"/>
        <v>Saginaw</v>
      </c>
      <c r="M211" s="1" t="s">
        <v>157</v>
      </c>
      <c r="N211" s="1" t="str">
        <f t="shared" si="3"/>
        <v>Michigan</v>
      </c>
      <c r="O211" s="1">
        <v>48601.0</v>
      </c>
      <c r="P211" s="1" t="s">
        <v>71</v>
      </c>
      <c r="Q211" s="1" t="s">
        <v>38</v>
      </c>
      <c r="R211" s="3">
        <v>52.29</v>
      </c>
      <c r="S211" s="1">
        <v>4.0</v>
      </c>
      <c r="T211" s="4">
        <v>51.64</v>
      </c>
    </row>
    <row r="212">
      <c r="A212" s="1" t="s">
        <v>489</v>
      </c>
      <c r="B212" s="2">
        <v>43112.0</v>
      </c>
      <c r="C212" s="2" t="str">
        <f t="shared" si="1"/>
        <v>Jan</v>
      </c>
      <c r="D212" s="6">
        <v>43293.0</v>
      </c>
      <c r="E212" s="1" t="s">
        <v>41</v>
      </c>
      <c r="F212" s="1" t="s">
        <v>490</v>
      </c>
      <c r="G212" s="1" t="s">
        <v>491</v>
      </c>
      <c r="H212" s="1" t="str">
        <f>IFERROR(__xludf.DUMMYFUNCTION("split(G212,"" "")"),"Joseph")</f>
        <v>Joseph</v>
      </c>
      <c r="I212" s="1" t="str">
        <f>IFERROR(__xludf.DUMMYFUNCTION("""COMPUTED_VALUE"""),"Holt")</f>
        <v>Holt</v>
      </c>
      <c r="J212" s="1" t="s">
        <v>23</v>
      </c>
      <c r="K212" s="1" t="s">
        <v>492</v>
      </c>
      <c r="L212" s="1" t="str">
        <f t="shared" si="2"/>
        <v>Saginaw</v>
      </c>
      <c r="M212" s="1" t="s">
        <v>157</v>
      </c>
      <c r="N212" s="1" t="str">
        <f t="shared" si="3"/>
        <v>Michigan</v>
      </c>
      <c r="O212" s="1">
        <v>48601.0</v>
      </c>
      <c r="P212" s="1" t="s">
        <v>71</v>
      </c>
      <c r="Q212" s="1" t="s">
        <v>38</v>
      </c>
      <c r="R212" s="3">
        <v>91.99</v>
      </c>
      <c r="S212" s="1">
        <v>4.0</v>
      </c>
      <c r="T212" s="4">
        <v>91.9</v>
      </c>
    </row>
    <row r="213">
      <c r="A213" s="1" t="s">
        <v>493</v>
      </c>
      <c r="B213" s="2">
        <v>42615.0</v>
      </c>
      <c r="C213" s="2" t="str">
        <f t="shared" si="1"/>
        <v>Sep</v>
      </c>
      <c r="D213" s="1" t="s">
        <v>494</v>
      </c>
      <c r="E213" s="1" t="s">
        <v>20</v>
      </c>
      <c r="F213" s="1" t="s">
        <v>495</v>
      </c>
      <c r="G213" s="1" t="s">
        <v>496</v>
      </c>
      <c r="H213" s="1" t="str">
        <f>IFERROR(__xludf.DUMMYFUNCTION("split(G213,"" "")"),"Michael")</f>
        <v>Michael</v>
      </c>
      <c r="I213" s="1" t="str">
        <f>IFERROR(__xludf.DUMMYFUNCTION("""COMPUTED_VALUE"""),"Stewart")</f>
        <v>Stewart</v>
      </c>
      <c r="J213" s="1" t="s">
        <v>34</v>
      </c>
      <c r="K213" s="1" t="s">
        <v>480</v>
      </c>
      <c r="L213" s="1" t="str">
        <f t="shared" si="2"/>
        <v>Dallas</v>
      </c>
      <c r="M213" s="1" t="s">
        <v>70</v>
      </c>
      <c r="N213" s="1" t="str">
        <f t="shared" si="3"/>
        <v>Texas</v>
      </c>
      <c r="O213" s="1">
        <v>75220.0</v>
      </c>
      <c r="P213" s="1" t="s">
        <v>71</v>
      </c>
      <c r="Q213" s="1" t="s">
        <v>51</v>
      </c>
      <c r="R213" s="3">
        <v>20.8</v>
      </c>
      <c r="S213" s="1">
        <v>7.0</v>
      </c>
      <c r="T213" s="4">
        <v>20.41</v>
      </c>
    </row>
    <row r="214">
      <c r="A214" s="1" t="s">
        <v>497</v>
      </c>
      <c r="B214" s="2">
        <v>42401.0</v>
      </c>
      <c r="C214" s="2" t="str">
        <f t="shared" si="1"/>
        <v>Feb</v>
      </c>
      <c r="D214" s="6">
        <v>42614.0</v>
      </c>
      <c r="E214" s="1" t="s">
        <v>41</v>
      </c>
      <c r="F214" s="1" t="s">
        <v>498</v>
      </c>
      <c r="G214" s="1" t="s">
        <v>499</v>
      </c>
      <c r="H214" s="1" t="str">
        <f>IFERROR(__xludf.DUMMYFUNCTION("split(G214,"" "")"),"Victoria")</f>
        <v>Victoria</v>
      </c>
      <c r="I214" s="1" t="str">
        <f>IFERROR(__xludf.DUMMYFUNCTION("""COMPUTED_VALUE"""),"Wilson")</f>
        <v>Wilson</v>
      </c>
      <c r="J214" s="1" t="s">
        <v>34</v>
      </c>
      <c r="K214" s="1" t="s">
        <v>500</v>
      </c>
      <c r="L214" s="1" t="str">
        <f t="shared" si="2"/>
        <v>Medina</v>
      </c>
      <c r="M214" s="1" t="s">
        <v>304</v>
      </c>
      <c r="N214" s="1" t="str">
        <f t="shared" si="3"/>
        <v>Ohio</v>
      </c>
      <c r="O214" s="1">
        <v>44256.0</v>
      </c>
      <c r="P214" s="1" t="s">
        <v>100</v>
      </c>
      <c r="Q214" s="1" t="s">
        <v>38</v>
      </c>
      <c r="R214" s="3">
        <v>23.68</v>
      </c>
      <c r="S214" s="1">
        <v>4.0</v>
      </c>
      <c r="T214" s="4">
        <v>22.79</v>
      </c>
    </row>
    <row r="215">
      <c r="A215" s="1" t="s">
        <v>497</v>
      </c>
      <c r="B215" s="2">
        <v>42401.0</v>
      </c>
      <c r="C215" s="2" t="str">
        <f t="shared" si="1"/>
        <v>Feb</v>
      </c>
      <c r="D215" s="6">
        <v>42614.0</v>
      </c>
      <c r="E215" s="1" t="s">
        <v>41</v>
      </c>
      <c r="F215" s="1" t="s">
        <v>498</v>
      </c>
      <c r="G215" s="1" t="s">
        <v>499</v>
      </c>
      <c r="H215" s="1" t="str">
        <f>IFERROR(__xludf.DUMMYFUNCTION("split(G215,"" "")"),"Victoria")</f>
        <v>Victoria</v>
      </c>
      <c r="I215" s="1" t="str">
        <f>IFERROR(__xludf.DUMMYFUNCTION("""COMPUTED_VALUE"""),"Wilson")</f>
        <v>Wilson</v>
      </c>
      <c r="J215" s="1" t="s">
        <v>34</v>
      </c>
      <c r="K215" s="1" t="s">
        <v>500</v>
      </c>
      <c r="L215" s="1" t="str">
        <f t="shared" si="2"/>
        <v>Medina</v>
      </c>
      <c r="M215" s="1" t="s">
        <v>304</v>
      </c>
      <c r="N215" s="1" t="str">
        <f t="shared" si="3"/>
        <v>Ohio</v>
      </c>
      <c r="O215" s="1">
        <v>44256.0</v>
      </c>
      <c r="P215" s="1" t="s">
        <v>100</v>
      </c>
      <c r="Q215" s="1" t="s">
        <v>27</v>
      </c>
      <c r="R215" s="3">
        <v>452.45</v>
      </c>
      <c r="S215" s="1">
        <v>4.0</v>
      </c>
      <c r="T215" s="4">
        <v>451.96</v>
      </c>
    </row>
    <row r="216">
      <c r="A216" s="1" t="s">
        <v>497</v>
      </c>
      <c r="B216" s="2">
        <v>42401.0</v>
      </c>
      <c r="C216" s="2" t="str">
        <f t="shared" si="1"/>
        <v>Feb</v>
      </c>
      <c r="D216" s="6">
        <v>42614.0</v>
      </c>
      <c r="E216" s="1" t="s">
        <v>41</v>
      </c>
      <c r="F216" s="1" t="s">
        <v>498</v>
      </c>
      <c r="G216" s="1" t="s">
        <v>499</v>
      </c>
      <c r="H216" s="1" t="str">
        <f>IFERROR(__xludf.DUMMYFUNCTION("split(G216,"" "")"),"Victoria")</f>
        <v>Victoria</v>
      </c>
      <c r="I216" s="1" t="str">
        <f>IFERROR(__xludf.DUMMYFUNCTION("""COMPUTED_VALUE"""),"Wilson")</f>
        <v>Wilson</v>
      </c>
      <c r="J216" s="1" t="s">
        <v>34</v>
      </c>
      <c r="K216" s="1" t="s">
        <v>500</v>
      </c>
      <c r="L216" s="1" t="str">
        <f t="shared" si="2"/>
        <v>Medina</v>
      </c>
      <c r="M216" s="1" t="s">
        <v>304</v>
      </c>
      <c r="N216" s="1" t="str">
        <f t="shared" si="3"/>
        <v>Ohio</v>
      </c>
      <c r="O216" s="1">
        <v>44256.0</v>
      </c>
      <c r="P216" s="1" t="s">
        <v>100</v>
      </c>
      <c r="Q216" s="1" t="s">
        <v>51</v>
      </c>
      <c r="R216" s="3">
        <v>62.982</v>
      </c>
      <c r="S216" s="1">
        <v>4.0</v>
      </c>
      <c r="T216" s="4">
        <v>62.62</v>
      </c>
    </row>
    <row r="217">
      <c r="A217" s="1" t="s">
        <v>497</v>
      </c>
      <c r="B217" s="2">
        <v>42401.0</v>
      </c>
      <c r="C217" s="2" t="str">
        <f t="shared" si="1"/>
        <v>Feb</v>
      </c>
      <c r="D217" s="6">
        <v>42614.0</v>
      </c>
      <c r="E217" s="1" t="s">
        <v>41</v>
      </c>
      <c r="F217" s="1" t="s">
        <v>498</v>
      </c>
      <c r="G217" s="1" t="s">
        <v>499</v>
      </c>
      <c r="H217" s="1" t="str">
        <f>IFERROR(__xludf.DUMMYFUNCTION("split(G217,"" "")"),"Victoria")</f>
        <v>Victoria</v>
      </c>
      <c r="I217" s="1" t="str">
        <f>IFERROR(__xludf.DUMMYFUNCTION("""COMPUTED_VALUE"""),"Wilson")</f>
        <v>Wilson</v>
      </c>
      <c r="J217" s="1" t="s">
        <v>34</v>
      </c>
      <c r="K217" s="1" t="s">
        <v>500</v>
      </c>
      <c r="L217" s="1" t="str">
        <f t="shared" si="2"/>
        <v>Medina</v>
      </c>
      <c r="M217" s="1" t="s">
        <v>304</v>
      </c>
      <c r="N217" s="1" t="str">
        <f t="shared" si="3"/>
        <v>Ohio</v>
      </c>
      <c r="O217" s="1">
        <v>44256.0</v>
      </c>
      <c r="P217" s="1" t="s">
        <v>100</v>
      </c>
      <c r="Q217" s="1" t="s">
        <v>51</v>
      </c>
      <c r="R217" s="3">
        <v>1188.0</v>
      </c>
      <c r="S217" s="1">
        <v>4.0</v>
      </c>
      <c r="T217" s="4">
        <v>1187.52</v>
      </c>
    </row>
    <row r="218">
      <c r="A218" s="1" t="s">
        <v>497</v>
      </c>
      <c r="B218" s="2">
        <v>42401.0</v>
      </c>
      <c r="C218" s="2" t="str">
        <f t="shared" si="1"/>
        <v>Feb</v>
      </c>
      <c r="D218" s="6">
        <v>42614.0</v>
      </c>
      <c r="E218" s="1" t="s">
        <v>41</v>
      </c>
      <c r="F218" s="1" t="s">
        <v>498</v>
      </c>
      <c r="G218" s="1" t="s">
        <v>499</v>
      </c>
      <c r="H218" s="1" t="str">
        <f>IFERROR(__xludf.DUMMYFUNCTION("split(G218,"" "")"),"Victoria")</f>
        <v>Victoria</v>
      </c>
      <c r="I218" s="1" t="str">
        <f>IFERROR(__xludf.DUMMYFUNCTION("""COMPUTED_VALUE"""),"Wilson")</f>
        <v>Wilson</v>
      </c>
      <c r="J218" s="1" t="s">
        <v>34</v>
      </c>
      <c r="K218" s="1" t="s">
        <v>500</v>
      </c>
      <c r="L218" s="1" t="str">
        <f t="shared" si="2"/>
        <v>Medina</v>
      </c>
      <c r="M218" s="1" t="s">
        <v>304</v>
      </c>
      <c r="N218" s="1" t="str">
        <f t="shared" si="3"/>
        <v>Ohio</v>
      </c>
      <c r="O218" s="1">
        <v>44256.0</v>
      </c>
      <c r="P218" s="1" t="s">
        <v>100</v>
      </c>
      <c r="Q218" s="1" t="s">
        <v>51</v>
      </c>
      <c r="R218" s="3">
        <v>89.584</v>
      </c>
      <c r="S218" s="1">
        <v>4.0</v>
      </c>
      <c r="T218" s="4">
        <v>88.71</v>
      </c>
    </row>
    <row r="219">
      <c r="A219" s="1" t="s">
        <v>501</v>
      </c>
      <c r="B219" s="2">
        <v>43036.0</v>
      </c>
      <c r="C219" s="2" t="str">
        <f t="shared" si="1"/>
        <v>Oct</v>
      </c>
      <c r="D219" s="6">
        <v>42746.0</v>
      </c>
      <c r="E219" s="1" t="s">
        <v>41</v>
      </c>
      <c r="F219" s="1" t="s">
        <v>502</v>
      </c>
      <c r="G219" s="1" t="s">
        <v>503</v>
      </c>
      <c r="H219" s="1" t="str">
        <f>IFERROR(__xludf.DUMMYFUNCTION("split(G219,"" "")"),"Jonathan")</f>
        <v>Jonathan</v>
      </c>
      <c r="I219" s="1" t="str">
        <f>IFERROR(__xludf.DUMMYFUNCTION("""COMPUTED_VALUE"""),"Howell")</f>
        <v>Howell</v>
      </c>
      <c r="J219" s="1" t="s">
        <v>23</v>
      </c>
      <c r="K219" s="1" t="s">
        <v>35</v>
      </c>
      <c r="L219" s="1" t="str">
        <f t="shared" si="2"/>
        <v>Los Angeles</v>
      </c>
      <c r="M219" s="1" t="s">
        <v>52</v>
      </c>
      <c r="N219" s="1" t="str">
        <f t="shared" si="3"/>
        <v>California</v>
      </c>
      <c r="O219" s="1">
        <v>90032.0</v>
      </c>
      <c r="P219" s="1" t="s">
        <v>37</v>
      </c>
      <c r="Q219" s="1" t="s">
        <v>38</v>
      </c>
      <c r="R219" s="3">
        <v>93.06</v>
      </c>
      <c r="S219" s="1">
        <v>9.0</v>
      </c>
      <c r="T219" s="4">
        <v>92.37</v>
      </c>
    </row>
    <row r="220">
      <c r="A220" s="1" t="s">
        <v>501</v>
      </c>
      <c r="B220" s="2">
        <v>43036.0</v>
      </c>
      <c r="C220" s="2" t="str">
        <f t="shared" si="1"/>
        <v>Oct</v>
      </c>
      <c r="D220" s="6">
        <v>42746.0</v>
      </c>
      <c r="E220" s="1" t="s">
        <v>41</v>
      </c>
      <c r="F220" s="1" t="s">
        <v>502</v>
      </c>
      <c r="G220" s="1" t="s">
        <v>503</v>
      </c>
      <c r="H220" s="1" t="str">
        <f>IFERROR(__xludf.DUMMYFUNCTION("split(G220,"" "")"),"Jonathan")</f>
        <v>Jonathan</v>
      </c>
      <c r="I220" s="1" t="str">
        <f>IFERROR(__xludf.DUMMYFUNCTION("""COMPUTED_VALUE"""),"Howell")</f>
        <v>Howell</v>
      </c>
      <c r="J220" s="1" t="s">
        <v>23</v>
      </c>
      <c r="K220" s="1" t="s">
        <v>35</v>
      </c>
      <c r="L220" s="1" t="str">
        <f t="shared" si="2"/>
        <v>Los Angeles</v>
      </c>
      <c r="M220" s="1" t="s">
        <v>52</v>
      </c>
      <c r="N220" s="1" t="str">
        <f t="shared" si="3"/>
        <v>California</v>
      </c>
      <c r="O220" s="1">
        <v>90032.0</v>
      </c>
      <c r="P220" s="1" t="s">
        <v>37</v>
      </c>
      <c r="Q220" s="1" t="s">
        <v>51</v>
      </c>
      <c r="R220" s="3">
        <v>302.376</v>
      </c>
      <c r="S220" s="1">
        <v>9.0</v>
      </c>
      <c r="T220" s="4">
        <v>301.89</v>
      </c>
    </row>
    <row r="221">
      <c r="A221" s="1" t="s">
        <v>504</v>
      </c>
      <c r="B221" s="2">
        <v>42728.0</v>
      </c>
      <c r="C221" s="2" t="str">
        <f t="shared" si="1"/>
        <v>Dec</v>
      </c>
      <c r="D221" s="1" t="s">
        <v>505</v>
      </c>
      <c r="E221" s="1" t="s">
        <v>121</v>
      </c>
      <c r="F221" s="1" t="s">
        <v>506</v>
      </c>
      <c r="G221" s="1" t="s">
        <v>507</v>
      </c>
      <c r="H221" s="1" t="str">
        <f>IFERROR(__xludf.DUMMYFUNCTION("split(G221,"" "")"),"Joni")</f>
        <v>Joni</v>
      </c>
      <c r="I221" s="1" t="str">
        <f>IFERROR(__xludf.DUMMYFUNCTION("""COMPUTED_VALUE"""),"Blumstein")</f>
        <v>Blumstein</v>
      </c>
      <c r="J221" s="1" t="s">
        <v>23</v>
      </c>
      <c r="K221" s="1" t="s">
        <v>508</v>
      </c>
      <c r="L221" s="1" t="str">
        <f t="shared" si="2"/>
        <v>Dublin</v>
      </c>
      <c r="M221" s="1" t="s">
        <v>304</v>
      </c>
      <c r="N221" s="1" t="str">
        <f t="shared" si="3"/>
        <v>Ohio</v>
      </c>
      <c r="O221" s="1">
        <v>43017.0</v>
      </c>
      <c r="P221" s="1" t="s">
        <v>100</v>
      </c>
      <c r="Q221" s="1" t="s">
        <v>38</v>
      </c>
      <c r="R221" s="3">
        <v>5.584</v>
      </c>
      <c r="S221" s="1">
        <v>4.0</v>
      </c>
      <c r="T221" s="4">
        <v>5.29</v>
      </c>
    </row>
    <row r="222">
      <c r="A222" s="1" t="s">
        <v>504</v>
      </c>
      <c r="B222" s="2">
        <v>42728.0</v>
      </c>
      <c r="C222" s="2" t="str">
        <f t="shared" si="1"/>
        <v>Dec</v>
      </c>
      <c r="D222" s="1" t="s">
        <v>505</v>
      </c>
      <c r="E222" s="1" t="s">
        <v>121</v>
      </c>
      <c r="F222" s="1" t="s">
        <v>506</v>
      </c>
      <c r="G222" s="1" t="s">
        <v>507</v>
      </c>
      <c r="H222" s="1" t="str">
        <f>IFERROR(__xludf.DUMMYFUNCTION("split(G222,"" "")"),"Joni")</f>
        <v>Joni</v>
      </c>
      <c r="I222" s="1" t="str">
        <f>IFERROR(__xludf.DUMMYFUNCTION("""COMPUTED_VALUE"""),"Blumstein")</f>
        <v>Blumstein</v>
      </c>
      <c r="J222" s="1" t="s">
        <v>23</v>
      </c>
      <c r="K222" s="1" t="s">
        <v>508</v>
      </c>
      <c r="L222" s="1" t="str">
        <f t="shared" si="2"/>
        <v>Dublin</v>
      </c>
      <c r="M222" s="1" t="s">
        <v>304</v>
      </c>
      <c r="N222" s="1" t="str">
        <f t="shared" si="3"/>
        <v>Ohio</v>
      </c>
      <c r="O222" s="1">
        <v>43017.0</v>
      </c>
      <c r="P222" s="1" t="s">
        <v>100</v>
      </c>
      <c r="Q222" s="1" t="s">
        <v>38</v>
      </c>
      <c r="R222" s="3">
        <v>22.704</v>
      </c>
      <c r="S222" s="1">
        <v>4.0</v>
      </c>
      <c r="T222" s="4">
        <v>22.21</v>
      </c>
    </row>
    <row r="223">
      <c r="A223" s="1" t="s">
        <v>504</v>
      </c>
      <c r="B223" s="2">
        <v>42728.0</v>
      </c>
      <c r="C223" s="2" t="str">
        <f t="shared" si="1"/>
        <v>Dec</v>
      </c>
      <c r="D223" s="1" t="s">
        <v>505</v>
      </c>
      <c r="E223" s="1" t="s">
        <v>121</v>
      </c>
      <c r="F223" s="1" t="s">
        <v>506</v>
      </c>
      <c r="G223" s="1" t="s">
        <v>507</v>
      </c>
      <c r="H223" s="1" t="str">
        <f>IFERROR(__xludf.DUMMYFUNCTION("split(G223,"" "")"),"Joni")</f>
        <v>Joni</v>
      </c>
      <c r="I223" s="1" t="str">
        <f>IFERROR(__xludf.DUMMYFUNCTION("""COMPUTED_VALUE"""),"Blumstein")</f>
        <v>Blumstein</v>
      </c>
      <c r="J223" s="1" t="s">
        <v>23</v>
      </c>
      <c r="K223" s="1" t="s">
        <v>508</v>
      </c>
      <c r="L223" s="1" t="str">
        <f t="shared" si="2"/>
        <v>Dublin</v>
      </c>
      <c r="M223" s="1" t="s">
        <v>304</v>
      </c>
      <c r="N223" s="1" t="str">
        <f t="shared" si="3"/>
        <v>Ohio</v>
      </c>
      <c r="O223" s="1">
        <v>43017.0</v>
      </c>
      <c r="P223" s="1" t="s">
        <v>100</v>
      </c>
      <c r="Q223" s="1" t="s">
        <v>38</v>
      </c>
      <c r="R223" s="3">
        <v>19.776</v>
      </c>
      <c r="S223" s="1">
        <v>4.0</v>
      </c>
      <c r="T223" s="4">
        <v>18.84</v>
      </c>
    </row>
    <row r="224">
      <c r="A224" s="1" t="s">
        <v>504</v>
      </c>
      <c r="B224" s="2">
        <v>42728.0</v>
      </c>
      <c r="C224" s="2" t="str">
        <f t="shared" si="1"/>
        <v>Dec</v>
      </c>
      <c r="D224" s="1" t="s">
        <v>505</v>
      </c>
      <c r="E224" s="1" t="s">
        <v>121</v>
      </c>
      <c r="F224" s="1" t="s">
        <v>506</v>
      </c>
      <c r="G224" s="1" t="s">
        <v>507</v>
      </c>
      <c r="H224" s="1" t="str">
        <f>IFERROR(__xludf.DUMMYFUNCTION("split(G224,"" "")"),"Joni")</f>
        <v>Joni</v>
      </c>
      <c r="I224" s="1" t="str">
        <f>IFERROR(__xludf.DUMMYFUNCTION("""COMPUTED_VALUE"""),"Blumstein")</f>
        <v>Blumstein</v>
      </c>
      <c r="J224" s="1" t="s">
        <v>23</v>
      </c>
      <c r="K224" s="1" t="s">
        <v>508</v>
      </c>
      <c r="L224" s="1" t="str">
        <f t="shared" si="2"/>
        <v>Dublin</v>
      </c>
      <c r="M224" s="1" t="s">
        <v>304</v>
      </c>
      <c r="N224" s="1" t="str">
        <f t="shared" si="3"/>
        <v>Ohio</v>
      </c>
      <c r="O224" s="1">
        <v>43017.0</v>
      </c>
      <c r="P224" s="1" t="s">
        <v>100</v>
      </c>
      <c r="Q224" s="1" t="s">
        <v>27</v>
      </c>
      <c r="R224" s="3">
        <v>72.704</v>
      </c>
      <c r="S224" s="1">
        <v>4.0</v>
      </c>
      <c r="T224" s="4">
        <v>72.19</v>
      </c>
    </row>
    <row r="225">
      <c r="A225" s="1" t="s">
        <v>504</v>
      </c>
      <c r="B225" s="2">
        <v>42728.0</v>
      </c>
      <c r="C225" s="2" t="str">
        <f t="shared" si="1"/>
        <v>Dec</v>
      </c>
      <c r="D225" s="1" t="s">
        <v>505</v>
      </c>
      <c r="E225" s="1" t="s">
        <v>121</v>
      </c>
      <c r="F225" s="1" t="s">
        <v>506</v>
      </c>
      <c r="G225" s="1" t="s">
        <v>507</v>
      </c>
      <c r="H225" s="1" t="str">
        <f>IFERROR(__xludf.DUMMYFUNCTION("split(G225,"" "")"),"Joni")</f>
        <v>Joni</v>
      </c>
      <c r="I225" s="1" t="str">
        <f>IFERROR(__xludf.DUMMYFUNCTION("""COMPUTED_VALUE"""),"Blumstein")</f>
        <v>Blumstein</v>
      </c>
      <c r="J225" s="1" t="s">
        <v>23</v>
      </c>
      <c r="K225" s="1" t="s">
        <v>508</v>
      </c>
      <c r="L225" s="1" t="str">
        <f t="shared" si="2"/>
        <v>Dublin</v>
      </c>
      <c r="M225" s="1" t="s">
        <v>304</v>
      </c>
      <c r="N225" s="1" t="str">
        <f t="shared" si="3"/>
        <v>Ohio</v>
      </c>
      <c r="O225" s="1">
        <v>43017.0</v>
      </c>
      <c r="P225" s="1" t="s">
        <v>100</v>
      </c>
      <c r="Q225" s="1" t="s">
        <v>51</v>
      </c>
      <c r="R225" s="3">
        <v>479.988</v>
      </c>
      <c r="S225" s="1">
        <v>4.0</v>
      </c>
      <c r="T225" s="4">
        <v>479.35</v>
      </c>
    </row>
    <row r="226">
      <c r="A226" s="1" t="s">
        <v>504</v>
      </c>
      <c r="B226" s="2">
        <v>42728.0</v>
      </c>
      <c r="C226" s="2" t="str">
        <f t="shared" si="1"/>
        <v>Dec</v>
      </c>
      <c r="D226" s="1" t="s">
        <v>505</v>
      </c>
      <c r="E226" s="1" t="s">
        <v>121</v>
      </c>
      <c r="F226" s="1" t="s">
        <v>506</v>
      </c>
      <c r="G226" s="1" t="s">
        <v>507</v>
      </c>
      <c r="H226" s="1" t="str">
        <f>IFERROR(__xludf.DUMMYFUNCTION("split(G226,"" "")"),"Joni")</f>
        <v>Joni</v>
      </c>
      <c r="I226" s="1" t="str">
        <f>IFERROR(__xludf.DUMMYFUNCTION("""COMPUTED_VALUE"""),"Blumstein")</f>
        <v>Blumstein</v>
      </c>
      <c r="J226" s="1" t="s">
        <v>23</v>
      </c>
      <c r="K226" s="1" t="s">
        <v>508</v>
      </c>
      <c r="L226" s="1" t="str">
        <f t="shared" si="2"/>
        <v>Dublin</v>
      </c>
      <c r="M226" s="1" t="s">
        <v>304</v>
      </c>
      <c r="N226" s="1" t="str">
        <f t="shared" si="3"/>
        <v>Ohio</v>
      </c>
      <c r="O226" s="1">
        <v>43017.0</v>
      </c>
      <c r="P226" s="1" t="s">
        <v>100</v>
      </c>
      <c r="Q226" s="1" t="s">
        <v>38</v>
      </c>
      <c r="R226" s="3">
        <v>27.168</v>
      </c>
      <c r="S226" s="1">
        <v>4.0</v>
      </c>
      <c r="T226" s="4">
        <v>26.83</v>
      </c>
    </row>
    <row r="227">
      <c r="A227" s="1" t="s">
        <v>509</v>
      </c>
      <c r="B227" s="2">
        <v>42621.0</v>
      </c>
      <c r="C227" s="2" t="str">
        <f t="shared" si="1"/>
        <v>Sep</v>
      </c>
      <c r="D227" s="1" t="s">
        <v>510</v>
      </c>
      <c r="E227" s="1" t="s">
        <v>41</v>
      </c>
      <c r="F227" s="1" t="s">
        <v>511</v>
      </c>
      <c r="G227" s="1" t="s">
        <v>512</v>
      </c>
      <c r="H227" s="1" t="str">
        <f>IFERROR(__xludf.DUMMYFUNCTION("split(G227,"" "")"),"David")</f>
        <v>David</v>
      </c>
      <c r="I227" s="1" t="str">
        <f>IFERROR(__xludf.DUMMYFUNCTION("""COMPUTED_VALUE"""),"Smith")</f>
        <v>Smith</v>
      </c>
      <c r="J227" s="1" t="s">
        <v>34</v>
      </c>
      <c r="K227" s="1" t="s">
        <v>513</v>
      </c>
      <c r="L227" s="1" t="str">
        <f t="shared" si="2"/>
        <v>Detroit</v>
      </c>
      <c r="M227" s="1" t="s">
        <v>157</v>
      </c>
      <c r="N227" s="1" t="str">
        <f t="shared" si="3"/>
        <v>Michigan</v>
      </c>
      <c r="O227" s="1">
        <v>48227.0</v>
      </c>
      <c r="P227" s="1" t="s">
        <v>71</v>
      </c>
      <c r="Q227" s="1" t="s">
        <v>38</v>
      </c>
      <c r="R227" s="3">
        <v>2.2</v>
      </c>
      <c r="S227" s="1">
        <v>4.0</v>
      </c>
      <c r="T227" s="4">
        <v>2.12</v>
      </c>
    </row>
    <row r="228">
      <c r="A228" s="1" t="s">
        <v>509</v>
      </c>
      <c r="B228" s="2">
        <v>42621.0</v>
      </c>
      <c r="C228" s="2" t="str">
        <f t="shared" si="1"/>
        <v>Sep</v>
      </c>
      <c r="D228" s="1" t="s">
        <v>510</v>
      </c>
      <c r="E228" s="1" t="s">
        <v>41</v>
      </c>
      <c r="F228" s="1" t="s">
        <v>511</v>
      </c>
      <c r="G228" s="1" t="s">
        <v>512</v>
      </c>
      <c r="H228" s="1" t="str">
        <f>IFERROR(__xludf.DUMMYFUNCTION("split(G228,"" "")"),"David")</f>
        <v>David</v>
      </c>
      <c r="I228" s="1" t="str">
        <f>IFERROR(__xludf.DUMMYFUNCTION("""COMPUTED_VALUE"""),"Smith")</f>
        <v>Smith</v>
      </c>
      <c r="J228" s="1" t="s">
        <v>34</v>
      </c>
      <c r="K228" s="1" t="s">
        <v>513</v>
      </c>
      <c r="L228" s="1" t="str">
        <f t="shared" si="2"/>
        <v>Detroit</v>
      </c>
      <c r="M228" s="1" t="s">
        <v>157</v>
      </c>
      <c r="N228" s="1" t="str">
        <f t="shared" si="3"/>
        <v>Michigan</v>
      </c>
      <c r="O228" s="1">
        <v>48227.0</v>
      </c>
      <c r="P228" s="1" t="s">
        <v>71</v>
      </c>
      <c r="Q228" s="1" t="s">
        <v>27</v>
      </c>
      <c r="R228" s="3">
        <v>622.45</v>
      </c>
      <c r="S228" s="1">
        <v>4.0</v>
      </c>
      <c r="T228" s="4">
        <v>622.09</v>
      </c>
    </row>
    <row r="229">
      <c r="A229" s="1" t="s">
        <v>509</v>
      </c>
      <c r="B229" s="2">
        <v>42621.0</v>
      </c>
      <c r="C229" s="2" t="str">
        <f t="shared" si="1"/>
        <v>Sep</v>
      </c>
      <c r="D229" s="1" t="s">
        <v>510</v>
      </c>
      <c r="E229" s="1" t="s">
        <v>41</v>
      </c>
      <c r="F229" s="1" t="s">
        <v>511</v>
      </c>
      <c r="G229" s="1" t="s">
        <v>512</v>
      </c>
      <c r="H229" s="1" t="str">
        <f>IFERROR(__xludf.DUMMYFUNCTION("split(G229,"" "")"),"David")</f>
        <v>David</v>
      </c>
      <c r="I229" s="1" t="str">
        <f>IFERROR(__xludf.DUMMYFUNCTION("""COMPUTED_VALUE"""),"Smith")</f>
        <v>Smith</v>
      </c>
      <c r="J229" s="1" t="s">
        <v>34</v>
      </c>
      <c r="K229" s="1" t="s">
        <v>513</v>
      </c>
      <c r="L229" s="1" t="str">
        <f t="shared" si="2"/>
        <v>Detroit</v>
      </c>
      <c r="M229" s="1" t="s">
        <v>157</v>
      </c>
      <c r="N229" s="1" t="str">
        <f t="shared" si="3"/>
        <v>Michigan</v>
      </c>
      <c r="O229" s="1">
        <v>48227.0</v>
      </c>
      <c r="P229" s="1" t="s">
        <v>71</v>
      </c>
      <c r="Q229" s="1" t="s">
        <v>38</v>
      </c>
      <c r="R229" s="3">
        <v>21.98</v>
      </c>
      <c r="S229" s="1">
        <v>4.0</v>
      </c>
      <c r="T229" s="4">
        <v>21.78</v>
      </c>
    </row>
    <row r="230">
      <c r="A230" s="1" t="s">
        <v>514</v>
      </c>
      <c r="B230" s="2">
        <v>42428.0</v>
      </c>
      <c r="C230" s="2" t="str">
        <f t="shared" si="1"/>
        <v>Feb</v>
      </c>
      <c r="D230" s="6">
        <v>42463.0</v>
      </c>
      <c r="E230" s="1" t="s">
        <v>41</v>
      </c>
      <c r="F230" s="1" t="s">
        <v>515</v>
      </c>
      <c r="G230" s="1" t="s">
        <v>516</v>
      </c>
      <c r="H230" s="1" t="str">
        <f>IFERROR(__xludf.DUMMYFUNCTION("split(G230,"" "")"),"Valerie")</f>
        <v>Valerie</v>
      </c>
      <c r="I230" s="1" t="str">
        <f>IFERROR(__xludf.DUMMYFUNCTION("""COMPUTED_VALUE"""),"Dominguez")</f>
        <v>Dominguez</v>
      </c>
      <c r="J230" s="1" t="s">
        <v>23</v>
      </c>
      <c r="K230" s="1" t="s">
        <v>235</v>
      </c>
      <c r="L230" s="1" t="str">
        <f t="shared" si="2"/>
        <v>Columbia</v>
      </c>
      <c r="M230" s="1" t="s">
        <v>210</v>
      </c>
      <c r="N230" s="1" t="str">
        <f t="shared" si="3"/>
        <v>Tennessee</v>
      </c>
      <c r="O230" s="1">
        <v>38401.0</v>
      </c>
      <c r="P230" s="1" t="s">
        <v>26</v>
      </c>
      <c r="Q230" s="1" t="s">
        <v>27</v>
      </c>
      <c r="R230" s="3">
        <v>161.568</v>
      </c>
      <c r="S230" s="1">
        <v>3.0</v>
      </c>
      <c r="T230" s="4">
        <v>161.03</v>
      </c>
    </row>
    <row r="231">
      <c r="A231" s="1" t="s">
        <v>514</v>
      </c>
      <c r="B231" s="2">
        <v>42428.0</v>
      </c>
      <c r="C231" s="2" t="str">
        <f t="shared" si="1"/>
        <v>Feb</v>
      </c>
      <c r="D231" s="6">
        <v>42463.0</v>
      </c>
      <c r="E231" s="1" t="s">
        <v>41</v>
      </c>
      <c r="F231" s="1" t="s">
        <v>515</v>
      </c>
      <c r="G231" s="1" t="s">
        <v>516</v>
      </c>
      <c r="H231" s="1" t="str">
        <f>IFERROR(__xludf.DUMMYFUNCTION("split(G231,"" "")"),"Valerie")</f>
        <v>Valerie</v>
      </c>
      <c r="I231" s="1" t="str">
        <f>IFERROR(__xludf.DUMMYFUNCTION("""COMPUTED_VALUE"""),"Dominguez")</f>
        <v>Dominguez</v>
      </c>
      <c r="J231" s="1" t="s">
        <v>23</v>
      </c>
      <c r="K231" s="1" t="s">
        <v>235</v>
      </c>
      <c r="L231" s="1" t="str">
        <f t="shared" si="2"/>
        <v>Columbia</v>
      </c>
      <c r="M231" s="1" t="s">
        <v>210</v>
      </c>
      <c r="N231" s="1" t="str">
        <f t="shared" si="3"/>
        <v>Tennessee</v>
      </c>
      <c r="O231" s="1">
        <v>38401.0</v>
      </c>
      <c r="P231" s="1" t="s">
        <v>26</v>
      </c>
      <c r="Q231" s="1" t="s">
        <v>27</v>
      </c>
      <c r="R231" s="3">
        <v>389.696</v>
      </c>
      <c r="S231" s="1">
        <v>3.0</v>
      </c>
      <c r="T231" s="4">
        <v>389.21</v>
      </c>
    </row>
    <row r="232">
      <c r="A232" s="1" t="s">
        <v>517</v>
      </c>
      <c r="B232" s="2">
        <v>42260.0</v>
      </c>
      <c r="C232" s="2" t="str">
        <f t="shared" si="1"/>
        <v>Sep</v>
      </c>
      <c r="D232" s="1" t="s">
        <v>518</v>
      </c>
      <c r="E232" s="1" t="s">
        <v>41</v>
      </c>
      <c r="F232" s="1" t="s">
        <v>519</v>
      </c>
      <c r="G232" s="1" t="s">
        <v>520</v>
      </c>
      <c r="H232" s="1" t="str">
        <f>IFERROR(__xludf.DUMMYFUNCTION("split(G232,"" "")"),"Erin")</f>
        <v>Erin</v>
      </c>
      <c r="I232" s="1" t="str">
        <f>IFERROR(__xludf.DUMMYFUNCTION("""COMPUTED_VALUE"""),"Ashbrook")</f>
        <v>Ashbrook</v>
      </c>
      <c r="J232" s="1" t="s">
        <v>34</v>
      </c>
      <c r="K232" s="1" t="s">
        <v>284</v>
      </c>
      <c r="L232" s="1" t="str">
        <f t="shared" si="2"/>
        <v>Charlotte</v>
      </c>
      <c r="M232" s="1" t="s">
        <v>58</v>
      </c>
      <c r="N232" s="1" t="str">
        <f t="shared" si="3"/>
        <v>North Carolina</v>
      </c>
      <c r="O232" s="1">
        <v>28205.0</v>
      </c>
      <c r="P232" s="1" t="s">
        <v>26</v>
      </c>
      <c r="Q232" s="1" t="s">
        <v>38</v>
      </c>
      <c r="R232" s="3">
        <v>18.648</v>
      </c>
      <c r="S232" s="1">
        <v>2.0</v>
      </c>
      <c r="T232" s="4">
        <v>18.45</v>
      </c>
    </row>
    <row r="233">
      <c r="A233" s="1" t="s">
        <v>521</v>
      </c>
      <c r="B233" s="2">
        <v>43285.0</v>
      </c>
      <c r="C233" s="2" t="str">
        <f t="shared" si="1"/>
        <v>Jul</v>
      </c>
      <c r="D233" s="6">
        <v>43438.0</v>
      </c>
      <c r="E233" s="1" t="s">
        <v>41</v>
      </c>
      <c r="F233" s="1" t="s">
        <v>231</v>
      </c>
      <c r="G233" s="1" t="s">
        <v>232</v>
      </c>
      <c r="H233" s="1" t="str">
        <f>IFERROR(__xludf.DUMMYFUNCTION("split(G233,"" "")"),"Christopher")</f>
        <v>Christopher</v>
      </c>
      <c r="I233" s="1" t="str">
        <f>IFERROR(__xludf.DUMMYFUNCTION("""COMPUTED_VALUE"""),"Schild")</f>
        <v>Schild</v>
      </c>
      <c r="J233" s="1" t="s">
        <v>68</v>
      </c>
      <c r="K233" s="1" t="s">
        <v>522</v>
      </c>
      <c r="L233" s="1" t="str">
        <f t="shared" si="2"/>
        <v>Tampa</v>
      </c>
      <c r="M233" s="1" t="s">
        <v>145</v>
      </c>
      <c r="N233" s="1" t="str">
        <f t="shared" si="3"/>
        <v>Florida</v>
      </c>
      <c r="O233" s="1">
        <v>33614.0</v>
      </c>
      <c r="P233" s="1" t="s">
        <v>26</v>
      </c>
      <c r="Q233" s="1" t="s">
        <v>27</v>
      </c>
      <c r="R233" s="3">
        <v>233.86</v>
      </c>
      <c r="S233" s="1">
        <v>3.0</v>
      </c>
      <c r="T233" s="4">
        <v>233.41</v>
      </c>
    </row>
    <row r="234">
      <c r="A234" s="1" t="s">
        <v>521</v>
      </c>
      <c r="B234" s="2">
        <v>43285.0</v>
      </c>
      <c r="C234" s="2" t="str">
        <f t="shared" si="1"/>
        <v>Jul</v>
      </c>
      <c r="D234" s="6">
        <v>43438.0</v>
      </c>
      <c r="E234" s="1" t="s">
        <v>41</v>
      </c>
      <c r="F234" s="1" t="s">
        <v>231</v>
      </c>
      <c r="G234" s="1" t="s">
        <v>232</v>
      </c>
      <c r="H234" s="1" t="str">
        <f>IFERROR(__xludf.DUMMYFUNCTION("split(G234,"" "")"),"Christopher")</f>
        <v>Christopher</v>
      </c>
      <c r="I234" s="1" t="str">
        <f>IFERROR(__xludf.DUMMYFUNCTION("""COMPUTED_VALUE"""),"Schild")</f>
        <v>Schild</v>
      </c>
      <c r="J234" s="1" t="s">
        <v>68</v>
      </c>
      <c r="K234" s="1" t="s">
        <v>522</v>
      </c>
      <c r="L234" s="1" t="str">
        <f t="shared" si="2"/>
        <v>Tampa</v>
      </c>
      <c r="M234" s="1" t="s">
        <v>145</v>
      </c>
      <c r="N234" s="1" t="str">
        <f t="shared" si="3"/>
        <v>Florida</v>
      </c>
      <c r="O234" s="1">
        <v>33614.0</v>
      </c>
      <c r="P234" s="1" t="s">
        <v>26</v>
      </c>
      <c r="Q234" s="1" t="s">
        <v>27</v>
      </c>
      <c r="R234" s="3">
        <v>620.6145</v>
      </c>
      <c r="S234" s="1">
        <v>3.0</v>
      </c>
      <c r="T234" s="4">
        <v>620.39</v>
      </c>
    </row>
    <row r="235">
      <c r="A235" s="1" t="s">
        <v>521</v>
      </c>
      <c r="B235" s="2">
        <v>43285.0</v>
      </c>
      <c r="C235" s="2" t="str">
        <f t="shared" si="1"/>
        <v>Jul</v>
      </c>
      <c r="D235" s="6">
        <v>43438.0</v>
      </c>
      <c r="E235" s="1" t="s">
        <v>41</v>
      </c>
      <c r="F235" s="1" t="s">
        <v>231</v>
      </c>
      <c r="G235" s="1" t="s">
        <v>232</v>
      </c>
      <c r="H235" s="1" t="str">
        <f>IFERROR(__xludf.DUMMYFUNCTION("split(G235,"" "")"),"Christopher")</f>
        <v>Christopher</v>
      </c>
      <c r="I235" s="1" t="str">
        <f>IFERROR(__xludf.DUMMYFUNCTION("""COMPUTED_VALUE"""),"Schild")</f>
        <v>Schild</v>
      </c>
      <c r="J235" s="1" t="s">
        <v>68</v>
      </c>
      <c r="K235" s="1" t="s">
        <v>522</v>
      </c>
      <c r="L235" s="1" t="str">
        <f t="shared" si="2"/>
        <v>Tampa</v>
      </c>
      <c r="M235" s="1" t="s">
        <v>145</v>
      </c>
      <c r="N235" s="1" t="str">
        <f t="shared" si="3"/>
        <v>Florida</v>
      </c>
      <c r="O235" s="1">
        <v>33614.0</v>
      </c>
      <c r="P235" s="1" t="s">
        <v>26</v>
      </c>
      <c r="Q235" s="1" t="s">
        <v>38</v>
      </c>
      <c r="R235" s="3">
        <v>5.328</v>
      </c>
      <c r="S235" s="1">
        <v>3.0</v>
      </c>
      <c r="T235" s="4">
        <v>4.57</v>
      </c>
    </row>
    <row r="236">
      <c r="A236" s="1" t="s">
        <v>521</v>
      </c>
      <c r="B236" s="2">
        <v>43285.0</v>
      </c>
      <c r="C236" s="2" t="str">
        <f t="shared" si="1"/>
        <v>Jul</v>
      </c>
      <c r="D236" s="6">
        <v>43438.0</v>
      </c>
      <c r="E236" s="1" t="s">
        <v>41</v>
      </c>
      <c r="F236" s="1" t="s">
        <v>231</v>
      </c>
      <c r="G236" s="1" t="s">
        <v>232</v>
      </c>
      <c r="H236" s="1" t="str">
        <f>IFERROR(__xludf.DUMMYFUNCTION("split(G236,"" "")"),"Christopher")</f>
        <v>Christopher</v>
      </c>
      <c r="I236" s="1" t="str">
        <f>IFERROR(__xludf.DUMMYFUNCTION("""COMPUTED_VALUE"""),"Schild")</f>
        <v>Schild</v>
      </c>
      <c r="J236" s="1" t="s">
        <v>68</v>
      </c>
      <c r="K236" s="1" t="s">
        <v>522</v>
      </c>
      <c r="L236" s="1" t="str">
        <f t="shared" si="2"/>
        <v>Tampa</v>
      </c>
      <c r="M236" s="1" t="s">
        <v>145</v>
      </c>
      <c r="N236" s="1" t="str">
        <f t="shared" si="3"/>
        <v>Florida</v>
      </c>
      <c r="O236" s="1">
        <v>33614.0</v>
      </c>
      <c r="P236" s="1" t="s">
        <v>26</v>
      </c>
      <c r="Q236" s="1" t="s">
        <v>27</v>
      </c>
      <c r="R236" s="3">
        <v>258.072</v>
      </c>
      <c r="S236" s="1">
        <v>3.0</v>
      </c>
      <c r="T236" s="4">
        <v>258.03</v>
      </c>
    </row>
    <row r="237">
      <c r="A237" s="1" t="s">
        <v>521</v>
      </c>
      <c r="B237" s="2">
        <v>43285.0</v>
      </c>
      <c r="C237" s="2" t="str">
        <f t="shared" si="1"/>
        <v>Jul</v>
      </c>
      <c r="D237" s="6">
        <v>43438.0</v>
      </c>
      <c r="E237" s="1" t="s">
        <v>41</v>
      </c>
      <c r="F237" s="1" t="s">
        <v>231</v>
      </c>
      <c r="G237" s="1" t="s">
        <v>232</v>
      </c>
      <c r="H237" s="1" t="str">
        <f>IFERROR(__xludf.DUMMYFUNCTION("split(G237,"" "")"),"Christopher")</f>
        <v>Christopher</v>
      </c>
      <c r="I237" s="1" t="str">
        <f>IFERROR(__xludf.DUMMYFUNCTION("""COMPUTED_VALUE"""),"Schild")</f>
        <v>Schild</v>
      </c>
      <c r="J237" s="1" t="s">
        <v>68</v>
      </c>
      <c r="K237" s="1" t="s">
        <v>522</v>
      </c>
      <c r="L237" s="1" t="str">
        <f t="shared" si="2"/>
        <v>Tampa</v>
      </c>
      <c r="M237" s="1" t="s">
        <v>145</v>
      </c>
      <c r="N237" s="1" t="str">
        <f t="shared" si="3"/>
        <v>Florida</v>
      </c>
      <c r="O237" s="1">
        <v>33614.0</v>
      </c>
      <c r="P237" s="1" t="s">
        <v>26</v>
      </c>
      <c r="Q237" s="1" t="s">
        <v>51</v>
      </c>
      <c r="R237" s="3">
        <v>617.976</v>
      </c>
      <c r="S237" s="1">
        <v>3.0</v>
      </c>
      <c r="T237" s="4">
        <v>617.0</v>
      </c>
    </row>
    <row r="238">
      <c r="A238" s="1" t="s">
        <v>523</v>
      </c>
      <c r="B238" s="2">
        <v>43445.0</v>
      </c>
      <c r="C238" s="2" t="str">
        <f t="shared" si="1"/>
        <v>Dec</v>
      </c>
      <c r="D238" s="1" t="s">
        <v>230</v>
      </c>
      <c r="E238" s="1" t="s">
        <v>41</v>
      </c>
      <c r="F238" s="1" t="s">
        <v>524</v>
      </c>
      <c r="G238" s="1" t="s">
        <v>525</v>
      </c>
      <c r="H238" s="1" t="str">
        <f>IFERROR(__xludf.DUMMYFUNCTION("split(G238,"" "")"),"David")</f>
        <v>David</v>
      </c>
      <c r="I238" s="1" t="str">
        <f>IFERROR(__xludf.DUMMYFUNCTION("""COMPUTED_VALUE"""),"Bremer")</f>
        <v>Bremer</v>
      </c>
      <c r="J238" s="1" t="s">
        <v>34</v>
      </c>
      <c r="K238" s="1" t="s">
        <v>526</v>
      </c>
      <c r="L238" s="1" t="str">
        <f t="shared" si="2"/>
        <v>Santa Clara</v>
      </c>
      <c r="M238" s="1" t="s">
        <v>52</v>
      </c>
      <c r="N238" s="1" t="str">
        <f t="shared" si="3"/>
        <v>California</v>
      </c>
      <c r="O238" s="1">
        <v>95051.0</v>
      </c>
      <c r="P238" s="1" t="s">
        <v>37</v>
      </c>
      <c r="Q238" s="1" t="s">
        <v>38</v>
      </c>
      <c r="R238" s="3">
        <v>10.56</v>
      </c>
      <c r="S238" s="1">
        <v>9.0</v>
      </c>
      <c r="T238" s="4">
        <v>9.71</v>
      </c>
    </row>
    <row r="239">
      <c r="A239" s="1" t="s">
        <v>527</v>
      </c>
      <c r="B239" s="2">
        <v>42831.0</v>
      </c>
      <c r="C239" s="2" t="str">
        <f t="shared" si="1"/>
        <v>Apr</v>
      </c>
      <c r="D239" s="6">
        <v>42984.0</v>
      </c>
      <c r="E239" s="1" t="s">
        <v>20</v>
      </c>
      <c r="F239" s="1" t="s">
        <v>528</v>
      </c>
      <c r="G239" s="1" t="s">
        <v>529</v>
      </c>
      <c r="H239" s="1" t="str">
        <f>IFERROR(__xludf.DUMMYFUNCTION("split(G239,"" "")"),"Ken")</f>
        <v>Ken</v>
      </c>
      <c r="I239" s="1" t="str">
        <f>IFERROR(__xludf.DUMMYFUNCTION("""COMPUTED_VALUE"""),"Lonsdale")</f>
        <v>Lonsdale</v>
      </c>
      <c r="J239" s="1" t="s">
        <v>23</v>
      </c>
      <c r="K239" s="1" t="s">
        <v>188</v>
      </c>
      <c r="L239" s="1" t="str">
        <f t="shared" si="2"/>
        <v>Chicago</v>
      </c>
      <c r="M239" s="1" t="s">
        <v>135</v>
      </c>
      <c r="N239" s="1" t="str">
        <f t="shared" si="3"/>
        <v>Illinois</v>
      </c>
      <c r="O239" s="1">
        <v>60610.0</v>
      </c>
      <c r="P239" s="1" t="s">
        <v>71</v>
      </c>
      <c r="Q239" s="1" t="s">
        <v>38</v>
      </c>
      <c r="R239" s="3">
        <v>25.92</v>
      </c>
      <c r="S239" s="1">
        <v>6.0</v>
      </c>
      <c r="T239" s="4">
        <v>25.59</v>
      </c>
    </row>
    <row r="240">
      <c r="A240" s="1" t="s">
        <v>527</v>
      </c>
      <c r="B240" s="2">
        <v>42831.0</v>
      </c>
      <c r="C240" s="2" t="str">
        <f t="shared" si="1"/>
        <v>Apr</v>
      </c>
      <c r="D240" s="6">
        <v>42984.0</v>
      </c>
      <c r="E240" s="1" t="s">
        <v>20</v>
      </c>
      <c r="F240" s="1" t="s">
        <v>528</v>
      </c>
      <c r="G240" s="1" t="s">
        <v>529</v>
      </c>
      <c r="H240" s="1" t="str">
        <f>IFERROR(__xludf.DUMMYFUNCTION("split(G240,"" "")"),"Ken")</f>
        <v>Ken</v>
      </c>
      <c r="I240" s="1" t="str">
        <f>IFERROR(__xludf.DUMMYFUNCTION("""COMPUTED_VALUE"""),"Lonsdale")</f>
        <v>Lonsdale</v>
      </c>
      <c r="J240" s="1" t="s">
        <v>23</v>
      </c>
      <c r="K240" s="1" t="s">
        <v>188</v>
      </c>
      <c r="L240" s="1" t="str">
        <f t="shared" si="2"/>
        <v>Chicago</v>
      </c>
      <c r="M240" s="1" t="s">
        <v>135</v>
      </c>
      <c r="N240" s="1" t="str">
        <f t="shared" si="3"/>
        <v>Illinois</v>
      </c>
      <c r="O240" s="1">
        <v>60610.0</v>
      </c>
      <c r="P240" s="1" t="s">
        <v>71</v>
      </c>
      <c r="Q240" s="1" t="s">
        <v>27</v>
      </c>
      <c r="R240" s="3">
        <v>419.68</v>
      </c>
      <c r="S240" s="1">
        <v>6.0</v>
      </c>
      <c r="T240" s="4">
        <v>418.98</v>
      </c>
    </row>
    <row r="241">
      <c r="A241" s="1" t="s">
        <v>527</v>
      </c>
      <c r="B241" s="2">
        <v>42831.0</v>
      </c>
      <c r="C241" s="2" t="str">
        <f t="shared" si="1"/>
        <v>Apr</v>
      </c>
      <c r="D241" s="6">
        <v>42984.0</v>
      </c>
      <c r="E241" s="1" t="s">
        <v>20</v>
      </c>
      <c r="F241" s="1" t="s">
        <v>528</v>
      </c>
      <c r="G241" s="1" t="s">
        <v>529</v>
      </c>
      <c r="H241" s="1" t="str">
        <f>IFERROR(__xludf.DUMMYFUNCTION("split(G241,"" "")"),"Ken")</f>
        <v>Ken</v>
      </c>
      <c r="I241" s="1" t="str">
        <f>IFERROR(__xludf.DUMMYFUNCTION("""COMPUTED_VALUE"""),"Lonsdale")</f>
        <v>Lonsdale</v>
      </c>
      <c r="J241" s="1" t="s">
        <v>23</v>
      </c>
      <c r="K241" s="1" t="s">
        <v>188</v>
      </c>
      <c r="L241" s="1" t="str">
        <f t="shared" si="2"/>
        <v>Chicago</v>
      </c>
      <c r="M241" s="1" t="s">
        <v>135</v>
      </c>
      <c r="N241" s="1" t="str">
        <f t="shared" si="3"/>
        <v>Illinois</v>
      </c>
      <c r="O241" s="1">
        <v>60610.0</v>
      </c>
      <c r="P241" s="1" t="s">
        <v>71</v>
      </c>
      <c r="Q241" s="1" t="s">
        <v>27</v>
      </c>
      <c r="R241" s="3">
        <v>11.688</v>
      </c>
      <c r="S241" s="1">
        <v>6.0</v>
      </c>
      <c r="T241" s="4">
        <v>10.99</v>
      </c>
    </row>
    <row r="242">
      <c r="A242" s="1" t="s">
        <v>527</v>
      </c>
      <c r="B242" s="2">
        <v>42831.0</v>
      </c>
      <c r="C242" s="2" t="str">
        <f t="shared" si="1"/>
        <v>Apr</v>
      </c>
      <c r="D242" s="6">
        <v>42984.0</v>
      </c>
      <c r="E242" s="1" t="s">
        <v>20</v>
      </c>
      <c r="F242" s="1" t="s">
        <v>528</v>
      </c>
      <c r="G242" s="1" t="s">
        <v>529</v>
      </c>
      <c r="H242" s="1" t="str">
        <f>IFERROR(__xludf.DUMMYFUNCTION("split(G242,"" "")"),"Ken")</f>
        <v>Ken</v>
      </c>
      <c r="I242" s="1" t="str">
        <f>IFERROR(__xludf.DUMMYFUNCTION("""COMPUTED_VALUE"""),"Lonsdale")</f>
        <v>Lonsdale</v>
      </c>
      <c r="J242" s="1" t="s">
        <v>23</v>
      </c>
      <c r="K242" s="1" t="s">
        <v>188</v>
      </c>
      <c r="L242" s="1" t="str">
        <f t="shared" si="2"/>
        <v>Chicago</v>
      </c>
      <c r="M242" s="1" t="s">
        <v>135</v>
      </c>
      <c r="N242" s="1" t="str">
        <f t="shared" si="3"/>
        <v>Illinois</v>
      </c>
      <c r="O242" s="1">
        <v>60610.0</v>
      </c>
      <c r="P242" s="1" t="s">
        <v>71</v>
      </c>
      <c r="Q242" s="1" t="s">
        <v>51</v>
      </c>
      <c r="R242" s="3">
        <v>31.984</v>
      </c>
      <c r="S242" s="1">
        <v>6.0</v>
      </c>
      <c r="T242" s="4">
        <v>31.54</v>
      </c>
    </row>
    <row r="243">
      <c r="A243" s="1" t="s">
        <v>527</v>
      </c>
      <c r="B243" s="2">
        <v>42831.0</v>
      </c>
      <c r="C243" s="2" t="str">
        <f t="shared" si="1"/>
        <v>Apr</v>
      </c>
      <c r="D243" s="6">
        <v>42984.0</v>
      </c>
      <c r="E243" s="1" t="s">
        <v>20</v>
      </c>
      <c r="F243" s="1" t="s">
        <v>528</v>
      </c>
      <c r="G243" s="1" t="s">
        <v>529</v>
      </c>
      <c r="H243" s="1" t="str">
        <f>IFERROR(__xludf.DUMMYFUNCTION("split(G243,"" "")"),"Ken")</f>
        <v>Ken</v>
      </c>
      <c r="I243" s="1" t="str">
        <f>IFERROR(__xludf.DUMMYFUNCTION("""COMPUTED_VALUE"""),"Lonsdale")</f>
        <v>Lonsdale</v>
      </c>
      <c r="J243" s="1" t="s">
        <v>23</v>
      </c>
      <c r="K243" s="1" t="s">
        <v>188</v>
      </c>
      <c r="L243" s="1" t="str">
        <f t="shared" si="2"/>
        <v>Chicago</v>
      </c>
      <c r="M243" s="1" t="s">
        <v>135</v>
      </c>
      <c r="N243" s="1" t="str">
        <f t="shared" si="3"/>
        <v>Illinois</v>
      </c>
      <c r="O243" s="1">
        <v>60610.0</v>
      </c>
      <c r="P243" s="1" t="s">
        <v>71</v>
      </c>
      <c r="Q243" s="1" t="s">
        <v>27</v>
      </c>
      <c r="R243" s="3">
        <v>177.225</v>
      </c>
      <c r="S243" s="1">
        <v>6.0</v>
      </c>
      <c r="T243" s="4">
        <v>177.17</v>
      </c>
    </row>
    <row r="244">
      <c r="A244" s="1" t="s">
        <v>527</v>
      </c>
      <c r="B244" s="2">
        <v>42831.0</v>
      </c>
      <c r="C244" s="2" t="str">
        <f t="shared" si="1"/>
        <v>Apr</v>
      </c>
      <c r="D244" s="6">
        <v>42984.0</v>
      </c>
      <c r="E244" s="1" t="s">
        <v>20</v>
      </c>
      <c r="F244" s="1" t="s">
        <v>528</v>
      </c>
      <c r="G244" s="1" t="s">
        <v>529</v>
      </c>
      <c r="H244" s="1" t="str">
        <f>IFERROR(__xludf.DUMMYFUNCTION("split(G244,"" "")"),"Ken")</f>
        <v>Ken</v>
      </c>
      <c r="I244" s="1" t="str">
        <f>IFERROR(__xludf.DUMMYFUNCTION("""COMPUTED_VALUE"""),"Lonsdale")</f>
        <v>Lonsdale</v>
      </c>
      <c r="J244" s="1" t="s">
        <v>23</v>
      </c>
      <c r="K244" s="1" t="s">
        <v>188</v>
      </c>
      <c r="L244" s="1" t="str">
        <f t="shared" si="2"/>
        <v>Chicago</v>
      </c>
      <c r="M244" s="1" t="s">
        <v>135</v>
      </c>
      <c r="N244" s="1" t="str">
        <f t="shared" si="3"/>
        <v>Illinois</v>
      </c>
      <c r="O244" s="1">
        <v>60610.0</v>
      </c>
      <c r="P244" s="1" t="s">
        <v>71</v>
      </c>
      <c r="Q244" s="1" t="s">
        <v>27</v>
      </c>
      <c r="R244" s="3">
        <v>4.044</v>
      </c>
      <c r="S244" s="1">
        <v>6.0</v>
      </c>
      <c r="T244" s="4">
        <v>3.17</v>
      </c>
    </row>
    <row r="245">
      <c r="A245" s="1" t="s">
        <v>527</v>
      </c>
      <c r="B245" s="2">
        <v>42831.0</v>
      </c>
      <c r="C245" s="2" t="str">
        <f t="shared" si="1"/>
        <v>Apr</v>
      </c>
      <c r="D245" s="6">
        <v>42984.0</v>
      </c>
      <c r="E245" s="1" t="s">
        <v>20</v>
      </c>
      <c r="F245" s="1" t="s">
        <v>528</v>
      </c>
      <c r="G245" s="1" t="s">
        <v>529</v>
      </c>
      <c r="H245" s="1" t="str">
        <f>IFERROR(__xludf.DUMMYFUNCTION("split(G245,"" "")"),"Ken")</f>
        <v>Ken</v>
      </c>
      <c r="I245" s="1" t="str">
        <f>IFERROR(__xludf.DUMMYFUNCTION("""COMPUTED_VALUE"""),"Lonsdale")</f>
        <v>Lonsdale</v>
      </c>
      <c r="J245" s="1" t="s">
        <v>23</v>
      </c>
      <c r="K245" s="1" t="s">
        <v>188</v>
      </c>
      <c r="L245" s="1" t="str">
        <f t="shared" si="2"/>
        <v>Chicago</v>
      </c>
      <c r="M245" s="1" t="s">
        <v>135</v>
      </c>
      <c r="N245" s="1" t="str">
        <f t="shared" si="3"/>
        <v>Illinois</v>
      </c>
      <c r="O245" s="1">
        <v>60610.0</v>
      </c>
      <c r="P245" s="1" t="s">
        <v>71</v>
      </c>
      <c r="Q245" s="1" t="s">
        <v>38</v>
      </c>
      <c r="R245" s="3">
        <v>7.408</v>
      </c>
      <c r="S245" s="1">
        <v>6.0</v>
      </c>
      <c r="T245" s="4">
        <v>6.77</v>
      </c>
    </row>
    <row r="246">
      <c r="A246" s="1" t="s">
        <v>530</v>
      </c>
      <c r="B246" s="2">
        <v>42010.0</v>
      </c>
      <c r="C246" s="2" t="str">
        <f t="shared" si="1"/>
        <v>Jan</v>
      </c>
      <c r="D246" s="6">
        <v>42161.0</v>
      </c>
      <c r="E246" s="1" t="s">
        <v>20</v>
      </c>
      <c r="F246" s="1" t="s">
        <v>531</v>
      </c>
      <c r="G246" s="1" t="s">
        <v>532</v>
      </c>
      <c r="H246" s="1" t="str">
        <f>IFERROR(__xludf.DUMMYFUNCTION("split(G246,"" "")"),"Dianna")</f>
        <v>Dianna</v>
      </c>
      <c r="I246" s="1" t="str">
        <f>IFERROR(__xludf.DUMMYFUNCTION("""COMPUTED_VALUE"""),"Wilson")</f>
        <v>Wilson</v>
      </c>
      <c r="J246" s="1" t="s">
        <v>68</v>
      </c>
      <c r="K246" s="1" t="s">
        <v>533</v>
      </c>
      <c r="L246" s="1" t="str">
        <f t="shared" si="2"/>
        <v>Lakeville</v>
      </c>
      <c r="M246" s="1" t="s">
        <v>151</v>
      </c>
      <c r="N246" s="1" t="str">
        <f t="shared" si="3"/>
        <v>Minnesota</v>
      </c>
      <c r="O246" s="1">
        <v>55044.0</v>
      </c>
      <c r="P246" s="1" t="s">
        <v>71</v>
      </c>
      <c r="Q246" s="1" t="s">
        <v>27</v>
      </c>
      <c r="R246" s="3">
        <v>2001.86</v>
      </c>
      <c r="S246" s="1">
        <v>5.0</v>
      </c>
      <c r="T246" s="4">
        <v>2001.35</v>
      </c>
    </row>
    <row r="247">
      <c r="A247" s="1" t="s">
        <v>530</v>
      </c>
      <c r="B247" s="2">
        <v>42010.0</v>
      </c>
      <c r="C247" s="2" t="str">
        <f t="shared" si="1"/>
        <v>Jan</v>
      </c>
      <c r="D247" s="6">
        <v>42161.0</v>
      </c>
      <c r="E247" s="1" t="s">
        <v>20</v>
      </c>
      <c r="F247" s="1" t="s">
        <v>531</v>
      </c>
      <c r="G247" s="1" t="s">
        <v>532</v>
      </c>
      <c r="H247" s="1" t="str">
        <f>IFERROR(__xludf.DUMMYFUNCTION("split(G247,"" "")"),"Dianna")</f>
        <v>Dianna</v>
      </c>
      <c r="I247" s="1" t="str">
        <f>IFERROR(__xludf.DUMMYFUNCTION("""COMPUTED_VALUE"""),"Wilson")</f>
        <v>Wilson</v>
      </c>
      <c r="J247" s="1" t="s">
        <v>68</v>
      </c>
      <c r="K247" s="1" t="s">
        <v>533</v>
      </c>
      <c r="L247" s="1" t="str">
        <f t="shared" si="2"/>
        <v>Lakeville</v>
      </c>
      <c r="M247" s="1" t="s">
        <v>151</v>
      </c>
      <c r="N247" s="1" t="str">
        <f t="shared" si="3"/>
        <v>Minnesota</v>
      </c>
      <c r="O247" s="1">
        <v>55044.0</v>
      </c>
      <c r="P247" s="1" t="s">
        <v>71</v>
      </c>
      <c r="Q247" s="1" t="s">
        <v>38</v>
      </c>
      <c r="R247" s="3">
        <v>166.72</v>
      </c>
      <c r="S247" s="1">
        <v>5.0</v>
      </c>
      <c r="T247" s="4">
        <v>166.12</v>
      </c>
    </row>
    <row r="248">
      <c r="A248" s="1" t="s">
        <v>530</v>
      </c>
      <c r="B248" s="2">
        <v>42010.0</v>
      </c>
      <c r="C248" s="2" t="str">
        <f t="shared" si="1"/>
        <v>Jan</v>
      </c>
      <c r="D248" s="6">
        <v>42161.0</v>
      </c>
      <c r="E248" s="1" t="s">
        <v>20</v>
      </c>
      <c r="F248" s="1" t="s">
        <v>531</v>
      </c>
      <c r="G248" s="1" t="s">
        <v>532</v>
      </c>
      <c r="H248" s="1" t="str">
        <f>IFERROR(__xludf.DUMMYFUNCTION("split(G248,"" "")"),"Dianna")</f>
        <v>Dianna</v>
      </c>
      <c r="I248" s="1" t="str">
        <f>IFERROR(__xludf.DUMMYFUNCTION("""COMPUTED_VALUE"""),"Wilson")</f>
        <v>Wilson</v>
      </c>
      <c r="J248" s="1" t="s">
        <v>68</v>
      </c>
      <c r="K248" s="1" t="s">
        <v>533</v>
      </c>
      <c r="L248" s="1" t="str">
        <f t="shared" si="2"/>
        <v>Lakeville</v>
      </c>
      <c r="M248" s="1" t="s">
        <v>151</v>
      </c>
      <c r="N248" s="1" t="str">
        <f t="shared" si="3"/>
        <v>Minnesota</v>
      </c>
      <c r="O248" s="1">
        <v>55044.0</v>
      </c>
      <c r="P248" s="1" t="s">
        <v>71</v>
      </c>
      <c r="Q248" s="1" t="s">
        <v>38</v>
      </c>
      <c r="R248" s="3">
        <v>47.88</v>
      </c>
      <c r="S248" s="1">
        <v>5.0</v>
      </c>
      <c r="T248" s="4">
        <v>47.37</v>
      </c>
    </row>
    <row r="249">
      <c r="A249" s="1" t="s">
        <v>530</v>
      </c>
      <c r="B249" s="2">
        <v>42010.0</v>
      </c>
      <c r="C249" s="2" t="str">
        <f t="shared" si="1"/>
        <v>Jan</v>
      </c>
      <c r="D249" s="6">
        <v>42161.0</v>
      </c>
      <c r="E249" s="1" t="s">
        <v>20</v>
      </c>
      <c r="F249" s="1" t="s">
        <v>531</v>
      </c>
      <c r="G249" s="1" t="s">
        <v>532</v>
      </c>
      <c r="H249" s="1" t="str">
        <f>IFERROR(__xludf.DUMMYFUNCTION("split(G249,"" "")"),"Dianna")</f>
        <v>Dianna</v>
      </c>
      <c r="I249" s="1" t="str">
        <f>IFERROR(__xludf.DUMMYFUNCTION("""COMPUTED_VALUE"""),"Wilson")</f>
        <v>Wilson</v>
      </c>
      <c r="J249" s="1" t="s">
        <v>68</v>
      </c>
      <c r="K249" s="1" t="s">
        <v>533</v>
      </c>
      <c r="L249" s="1" t="str">
        <f t="shared" si="2"/>
        <v>Lakeville</v>
      </c>
      <c r="M249" s="1" t="s">
        <v>151</v>
      </c>
      <c r="N249" s="1" t="str">
        <f t="shared" si="3"/>
        <v>Minnesota</v>
      </c>
      <c r="O249" s="1">
        <v>55044.0</v>
      </c>
      <c r="P249" s="1" t="s">
        <v>71</v>
      </c>
      <c r="Q249" s="1" t="s">
        <v>38</v>
      </c>
      <c r="R249" s="3">
        <v>1503.25</v>
      </c>
      <c r="S249" s="1">
        <v>5.0</v>
      </c>
      <c r="T249" s="4">
        <v>1502.81</v>
      </c>
    </row>
    <row r="250">
      <c r="A250" s="1" t="s">
        <v>530</v>
      </c>
      <c r="B250" s="2">
        <v>42010.0</v>
      </c>
      <c r="C250" s="2" t="str">
        <f t="shared" si="1"/>
        <v>Jan</v>
      </c>
      <c r="D250" s="6">
        <v>42161.0</v>
      </c>
      <c r="E250" s="1" t="s">
        <v>20</v>
      </c>
      <c r="F250" s="1" t="s">
        <v>531</v>
      </c>
      <c r="G250" s="1" t="s">
        <v>532</v>
      </c>
      <c r="H250" s="1" t="str">
        <f>IFERROR(__xludf.DUMMYFUNCTION("split(G250,"" "")"),"Dianna")</f>
        <v>Dianna</v>
      </c>
      <c r="I250" s="1" t="str">
        <f>IFERROR(__xludf.DUMMYFUNCTION("""COMPUTED_VALUE"""),"Wilson")</f>
        <v>Wilson</v>
      </c>
      <c r="J250" s="1" t="s">
        <v>68</v>
      </c>
      <c r="K250" s="1" t="s">
        <v>533</v>
      </c>
      <c r="L250" s="1" t="str">
        <f t="shared" si="2"/>
        <v>Lakeville</v>
      </c>
      <c r="M250" s="1" t="s">
        <v>151</v>
      </c>
      <c r="N250" s="1" t="str">
        <f t="shared" si="3"/>
        <v>Minnesota</v>
      </c>
      <c r="O250" s="1">
        <v>55044.0</v>
      </c>
      <c r="P250" s="1" t="s">
        <v>71</v>
      </c>
      <c r="Q250" s="1" t="s">
        <v>38</v>
      </c>
      <c r="R250" s="3">
        <v>25.92</v>
      </c>
      <c r="S250" s="1">
        <v>5.0</v>
      </c>
      <c r="T250" s="4">
        <v>25.76</v>
      </c>
    </row>
    <row r="251">
      <c r="A251" s="1" t="s">
        <v>534</v>
      </c>
      <c r="B251" s="2">
        <v>43020.0</v>
      </c>
      <c r="C251" s="2" t="str">
        <f t="shared" si="1"/>
        <v>Oct</v>
      </c>
      <c r="D251" s="1" t="s">
        <v>535</v>
      </c>
      <c r="E251" s="1" t="s">
        <v>20</v>
      </c>
      <c r="F251" s="1" t="s">
        <v>536</v>
      </c>
      <c r="G251" s="1" t="s">
        <v>537</v>
      </c>
      <c r="H251" s="1" t="str">
        <f>IFERROR(__xludf.DUMMYFUNCTION("split(G251,"" "")"),"Logan")</f>
        <v>Logan</v>
      </c>
      <c r="I251" s="1" t="str">
        <f>IFERROR(__xludf.DUMMYFUNCTION("""COMPUTED_VALUE"""),"Haushalter")</f>
        <v>Haushalter</v>
      </c>
      <c r="J251" s="1" t="s">
        <v>23</v>
      </c>
      <c r="K251" s="1" t="s">
        <v>87</v>
      </c>
      <c r="L251" s="1" t="str">
        <f t="shared" si="2"/>
        <v>San Francisco</v>
      </c>
      <c r="M251" s="1" t="s">
        <v>52</v>
      </c>
      <c r="N251" s="1" t="str">
        <f t="shared" si="3"/>
        <v>California</v>
      </c>
      <c r="O251" s="1">
        <v>94109.0</v>
      </c>
      <c r="P251" s="1" t="s">
        <v>37</v>
      </c>
      <c r="Q251" s="1" t="s">
        <v>27</v>
      </c>
      <c r="R251" s="3">
        <v>321.568</v>
      </c>
      <c r="S251" s="1">
        <v>9.0</v>
      </c>
      <c r="T251" s="4">
        <v>320.85</v>
      </c>
    </row>
    <row r="252">
      <c r="A252" s="1" t="s">
        <v>538</v>
      </c>
      <c r="B252" s="2">
        <v>43048.0</v>
      </c>
      <c r="C252" s="2" t="str">
        <f t="shared" si="1"/>
        <v>Nov</v>
      </c>
      <c r="D252" s="1" t="s">
        <v>539</v>
      </c>
      <c r="E252" s="1" t="s">
        <v>41</v>
      </c>
      <c r="F252" s="1" t="s">
        <v>540</v>
      </c>
      <c r="G252" s="1" t="s">
        <v>541</v>
      </c>
      <c r="H252" s="1" t="str">
        <f>IFERROR(__xludf.DUMMYFUNCTION("split(G252,"" "")"),"Kelly")</f>
        <v>Kelly</v>
      </c>
      <c r="I252" s="1" t="str">
        <f>IFERROR(__xludf.DUMMYFUNCTION("""COMPUTED_VALUE"""),"Collister")</f>
        <v>Collister</v>
      </c>
      <c r="J252" s="1" t="s">
        <v>23</v>
      </c>
      <c r="K252" s="1" t="s">
        <v>542</v>
      </c>
      <c r="L252" s="1" t="str">
        <f t="shared" si="2"/>
        <v>San Diego</v>
      </c>
      <c r="M252" s="1" t="s">
        <v>52</v>
      </c>
      <c r="N252" s="1" t="str">
        <f t="shared" si="3"/>
        <v>California</v>
      </c>
      <c r="O252" s="1">
        <v>92037.0</v>
      </c>
      <c r="P252" s="1" t="s">
        <v>37</v>
      </c>
      <c r="Q252" s="1" t="s">
        <v>38</v>
      </c>
      <c r="R252" s="3">
        <v>7.61</v>
      </c>
      <c r="S252" s="1">
        <v>9.0</v>
      </c>
      <c r="T252" s="4">
        <v>7.3</v>
      </c>
    </row>
    <row r="253">
      <c r="A253" s="1" t="s">
        <v>538</v>
      </c>
      <c r="B253" s="2">
        <v>43048.0</v>
      </c>
      <c r="C253" s="2" t="str">
        <f t="shared" si="1"/>
        <v>Nov</v>
      </c>
      <c r="D253" s="1" t="s">
        <v>539</v>
      </c>
      <c r="E253" s="1" t="s">
        <v>41</v>
      </c>
      <c r="F253" s="1" t="s">
        <v>540</v>
      </c>
      <c r="G253" s="1" t="s">
        <v>541</v>
      </c>
      <c r="H253" s="1" t="str">
        <f>IFERROR(__xludf.DUMMYFUNCTION("split(G253,"" "")"),"Kelly")</f>
        <v>Kelly</v>
      </c>
      <c r="I253" s="1" t="str">
        <f>IFERROR(__xludf.DUMMYFUNCTION("""COMPUTED_VALUE"""),"Collister")</f>
        <v>Collister</v>
      </c>
      <c r="J253" s="1" t="s">
        <v>23</v>
      </c>
      <c r="K253" s="1" t="s">
        <v>542</v>
      </c>
      <c r="L253" s="1" t="str">
        <f t="shared" si="2"/>
        <v>San Diego</v>
      </c>
      <c r="M253" s="1" t="s">
        <v>52</v>
      </c>
      <c r="N253" s="1" t="str">
        <f t="shared" si="3"/>
        <v>California</v>
      </c>
      <c r="O253" s="1">
        <v>92037.0</v>
      </c>
      <c r="P253" s="1" t="s">
        <v>37</v>
      </c>
      <c r="Q253" s="1" t="s">
        <v>51</v>
      </c>
      <c r="R253" s="3">
        <v>3347.37</v>
      </c>
      <c r="S253" s="1">
        <v>9.0</v>
      </c>
      <c r="T253" s="4">
        <v>3347.33</v>
      </c>
    </row>
    <row r="254">
      <c r="A254" s="1" t="s">
        <v>543</v>
      </c>
      <c r="B254" s="2">
        <v>43020.0</v>
      </c>
      <c r="C254" s="2" t="str">
        <f t="shared" si="1"/>
        <v>Oct</v>
      </c>
      <c r="D254" s="1" t="s">
        <v>89</v>
      </c>
      <c r="E254" s="1" t="s">
        <v>121</v>
      </c>
      <c r="F254" s="1" t="s">
        <v>544</v>
      </c>
      <c r="G254" s="1" t="s">
        <v>545</v>
      </c>
      <c r="H254" s="1" t="str">
        <f>IFERROR(__xludf.DUMMYFUNCTION("split(G254,"" "")"),"Delfina")</f>
        <v>Delfina</v>
      </c>
      <c r="I254" s="1" t="str">
        <f>IFERROR(__xludf.DUMMYFUNCTION("""COMPUTED_VALUE"""),"Latchford")</f>
        <v>Latchford</v>
      </c>
      <c r="J254" s="1" t="s">
        <v>23</v>
      </c>
      <c r="K254" s="1" t="s">
        <v>174</v>
      </c>
      <c r="L254" s="1" t="str">
        <f t="shared" si="2"/>
        <v>New York City</v>
      </c>
      <c r="M254" s="1" t="s">
        <v>175</v>
      </c>
      <c r="N254" s="1" t="str">
        <f t="shared" si="3"/>
        <v>New York</v>
      </c>
      <c r="O254" s="1">
        <v>10024.0</v>
      </c>
      <c r="P254" s="1" t="s">
        <v>100</v>
      </c>
      <c r="Q254" s="1" t="s">
        <v>38</v>
      </c>
      <c r="R254" s="3">
        <v>80.58</v>
      </c>
      <c r="S254" s="1">
        <v>1.0</v>
      </c>
      <c r="T254" s="4">
        <v>79.76</v>
      </c>
    </row>
    <row r="255">
      <c r="A255" s="1" t="s">
        <v>543</v>
      </c>
      <c r="B255" s="2">
        <v>43020.0</v>
      </c>
      <c r="C255" s="2" t="str">
        <f t="shared" si="1"/>
        <v>Oct</v>
      </c>
      <c r="D255" s="1" t="s">
        <v>89</v>
      </c>
      <c r="E255" s="1" t="s">
        <v>121</v>
      </c>
      <c r="F255" s="1" t="s">
        <v>544</v>
      </c>
      <c r="G255" s="1" t="s">
        <v>545</v>
      </c>
      <c r="H255" s="1" t="str">
        <f>IFERROR(__xludf.DUMMYFUNCTION("split(G255,"" "")"),"Delfina")</f>
        <v>Delfina</v>
      </c>
      <c r="I255" s="1" t="str">
        <f>IFERROR(__xludf.DUMMYFUNCTION("""COMPUTED_VALUE"""),"Latchford")</f>
        <v>Latchford</v>
      </c>
      <c r="J255" s="1" t="s">
        <v>23</v>
      </c>
      <c r="K255" s="1" t="s">
        <v>174</v>
      </c>
      <c r="L255" s="1" t="str">
        <f t="shared" si="2"/>
        <v>New York City</v>
      </c>
      <c r="M255" s="1" t="s">
        <v>175</v>
      </c>
      <c r="N255" s="1" t="str">
        <f t="shared" si="3"/>
        <v>New York</v>
      </c>
      <c r="O255" s="1">
        <v>10024.0</v>
      </c>
      <c r="P255" s="1" t="s">
        <v>100</v>
      </c>
      <c r="Q255" s="1" t="s">
        <v>38</v>
      </c>
      <c r="R255" s="3">
        <v>361.92</v>
      </c>
      <c r="S255" s="1">
        <v>1.0</v>
      </c>
      <c r="T255" s="4">
        <v>361.13</v>
      </c>
    </row>
    <row r="256">
      <c r="A256" s="1" t="s">
        <v>546</v>
      </c>
      <c r="B256" s="2">
        <v>42702.0</v>
      </c>
      <c r="C256" s="2" t="str">
        <f t="shared" si="1"/>
        <v>Nov</v>
      </c>
      <c r="D256" s="6">
        <v>42472.0</v>
      </c>
      <c r="E256" s="1" t="s">
        <v>41</v>
      </c>
      <c r="F256" s="1" t="s">
        <v>547</v>
      </c>
      <c r="G256" s="1" t="s">
        <v>548</v>
      </c>
      <c r="H256" s="1" t="str">
        <f>IFERROR(__xludf.DUMMYFUNCTION("split(G256,"" "")"),"Dan")</f>
        <v>Dan</v>
      </c>
      <c r="I256" s="1" t="str">
        <f>IFERROR(__xludf.DUMMYFUNCTION("""COMPUTED_VALUE"""),"Reichenbach")</f>
        <v>Reichenbach</v>
      </c>
      <c r="J256" s="1" t="s">
        <v>34</v>
      </c>
      <c r="K256" s="1" t="s">
        <v>188</v>
      </c>
      <c r="L256" s="1" t="str">
        <f t="shared" si="2"/>
        <v>Chicago</v>
      </c>
      <c r="M256" s="1" t="s">
        <v>135</v>
      </c>
      <c r="N256" s="1" t="str">
        <f t="shared" si="3"/>
        <v>Illinois</v>
      </c>
      <c r="O256" s="1">
        <v>60623.0</v>
      </c>
      <c r="P256" s="1" t="s">
        <v>71</v>
      </c>
      <c r="Q256" s="1" t="s">
        <v>27</v>
      </c>
      <c r="R256" s="3">
        <v>12.132</v>
      </c>
      <c r="S256" s="1">
        <v>6.0</v>
      </c>
      <c r="T256" s="4">
        <v>11.56</v>
      </c>
    </row>
    <row r="257">
      <c r="A257" s="1" t="s">
        <v>546</v>
      </c>
      <c r="B257" s="2">
        <v>42702.0</v>
      </c>
      <c r="C257" s="2" t="str">
        <f t="shared" si="1"/>
        <v>Nov</v>
      </c>
      <c r="D257" s="6">
        <v>42472.0</v>
      </c>
      <c r="E257" s="1" t="s">
        <v>41</v>
      </c>
      <c r="F257" s="1" t="s">
        <v>547</v>
      </c>
      <c r="G257" s="1" t="s">
        <v>548</v>
      </c>
      <c r="H257" s="1" t="str">
        <f>IFERROR(__xludf.DUMMYFUNCTION("split(G257,"" "")"),"Dan")</f>
        <v>Dan</v>
      </c>
      <c r="I257" s="1" t="str">
        <f>IFERROR(__xludf.DUMMYFUNCTION("""COMPUTED_VALUE"""),"Reichenbach")</f>
        <v>Reichenbach</v>
      </c>
      <c r="J257" s="1" t="s">
        <v>34</v>
      </c>
      <c r="K257" s="1" t="s">
        <v>188</v>
      </c>
      <c r="L257" s="1" t="str">
        <f t="shared" si="2"/>
        <v>Chicago</v>
      </c>
      <c r="M257" s="1" t="s">
        <v>135</v>
      </c>
      <c r="N257" s="1" t="str">
        <f t="shared" si="3"/>
        <v>Illinois</v>
      </c>
      <c r="O257" s="1">
        <v>60623.0</v>
      </c>
      <c r="P257" s="1" t="s">
        <v>71</v>
      </c>
      <c r="Q257" s="1" t="s">
        <v>38</v>
      </c>
      <c r="R257" s="3">
        <v>82.368</v>
      </c>
      <c r="S257" s="1">
        <v>6.0</v>
      </c>
      <c r="T257" s="4">
        <v>81.4</v>
      </c>
    </row>
    <row r="258">
      <c r="A258" s="1" t="s">
        <v>546</v>
      </c>
      <c r="B258" s="2">
        <v>42702.0</v>
      </c>
      <c r="C258" s="2" t="str">
        <f t="shared" si="1"/>
        <v>Nov</v>
      </c>
      <c r="D258" s="6">
        <v>42472.0</v>
      </c>
      <c r="E258" s="1" t="s">
        <v>41</v>
      </c>
      <c r="F258" s="1" t="s">
        <v>547</v>
      </c>
      <c r="G258" s="1" t="s">
        <v>548</v>
      </c>
      <c r="H258" s="1" t="str">
        <f>IFERROR(__xludf.DUMMYFUNCTION("split(G258,"" "")"),"Dan")</f>
        <v>Dan</v>
      </c>
      <c r="I258" s="1" t="str">
        <f>IFERROR(__xludf.DUMMYFUNCTION("""COMPUTED_VALUE"""),"Reichenbach")</f>
        <v>Reichenbach</v>
      </c>
      <c r="J258" s="1" t="s">
        <v>34</v>
      </c>
      <c r="K258" s="1" t="s">
        <v>188</v>
      </c>
      <c r="L258" s="1" t="str">
        <f t="shared" si="2"/>
        <v>Chicago</v>
      </c>
      <c r="M258" s="1" t="s">
        <v>135</v>
      </c>
      <c r="N258" s="1" t="str">
        <f t="shared" si="3"/>
        <v>Illinois</v>
      </c>
      <c r="O258" s="1">
        <v>60623.0</v>
      </c>
      <c r="P258" s="1" t="s">
        <v>71</v>
      </c>
      <c r="Q258" s="1" t="s">
        <v>38</v>
      </c>
      <c r="R258" s="3">
        <v>53.92</v>
      </c>
      <c r="S258" s="1">
        <v>6.0</v>
      </c>
      <c r="T258" s="4">
        <v>53.56</v>
      </c>
    </row>
    <row r="259">
      <c r="A259" s="1" t="s">
        <v>546</v>
      </c>
      <c r="B259" s="2">
        <v>42702.0</v>
      </c>
      <c r="C259" s="2" t="str">
        <f t="shared" si="1"/>
        <v>Nov</v>
      </c>
      <c r="D259" s="6">
        <v>42472.0</v>
      </c>
      <c r="E259" s="1" t="s">
        <v>41</v>
      </c>
      <c r="F259" s="1" t="s">
        <v>547</v>
      </c>
      <c r="G259" s="1" t="s">
        <v>548</v>
      </c>
      <c r="H259" s="1" t="str">
        <f>IFERROR(__xludf.DUMMYFUNCTION("split(G259,"" "")"),"Dan")</f>
        <v>Dan</v>
      </c>
      <c r="I259" s="1" t="str">
        <f>IFERROR(__xludf.DUMMYFUNCTION("""COMPUTED_VALUE"""),"Reichenbach")</f>
        <v>Reichenbach</v>
      </c>
      <c r="J259" s="1" t="s">
        <v>34</v>
      </c>
      <c r="K259" s="1" t="s">
        <v>188</v>
      </c>
      <c r="L259" s="1" t="str">
        <f t="shared" si="2"/>
        <v>Chicago</v>
      </c>
      <c r="M259" s="1" t="s">
        <v>135</v>
      </c>
      <c r="N259" s="1" t="str">
        <f t="shared" si="3"/>
        <v>Illinois</v>
      </c>
      <c r="O259" s="1">
        <v>60623.0</v>
      </c>
      <c r="P259" s="1" t="s">
        <v>71</v>
      </c>
      <c r="Q259" s="1" t="s">
        <v>51</v>
      </c>
      <c r="R259" s="3">
        <v>647.904</v>
      </c>
      <c r="S259" s="1">
        <v>6.0</v>
      </c>
      <c r="T259" s="4">
        <v>647.48</v>
      </c>
    </row>
    <row r="260">
      <c r="A260" s="1" t="s">
        <v>549</v>
      </c>
      <c r="B260" s="2">
        <v>43112.0</v>
      </c>
      <c r="C260" s="2" t="str">
        <f t="shared" si="1"/>
        <v>Jan</v>
      </c>
      <c r="D260" s="6">
        <v>43171.0</v>
      </c>
      <c r="E260" s="1" t="s">
        <v>20</v>
      </c>
      <c r="F260" s="1" t="s">
        <v>550</v>
      </c>
      <c r="G260" s="1" t="s">
        <v>551</v>
      </c>
      <c r="H260" s="1" t="str">
        <f>IFERROR(__xludf.DUMMYFUNCTION("split(G260,"" "")"),"Craig")</f>
        <v>Craig</v>
      </c>
      <c r="I260" s="1" t="str">
        <f>IFERROR(__xludf.DUMMYFUNCTION("""COMPUTED_VALUE"""),"Carreira")</f>
        <v>Carreira</v>
      </c>
      <c r="J260" s="1" t="s">
        <v>23</v>
      </c>
      <c r="K260" s="1" t="s">
        <v>174</v>
      </c>
      <c r="L260" s="1" t="str">
        <f t="shared" si="2"/>
        <v>New York City</v>
      </c>
      <c r="M260" s="1" t="s">
        <v>175</v>
      </c>
      <c r="N260" s="1" t="str">
        <f t="shared" si="3"/>
        <v>New York</v>
      </c>
      <c r="O260" s="1">
        <v>10009.0</v>
      </c>
      <c r="P260" s="1" t="s">
        <v>100</v>
      </c>
      <c r="Q260" s="1" t="s">
        <v>51</v>
      </c>
      <c r="R260" s="3">
        <v>20.37</v>
      </c>
      <c r="S260" s="1">
        <v>1.0</v>
      </c>
      <c r="T260" s="4">
        <v>20.03</v>
      </c>
    </row>
    <row r="261">
      <c r="A261" s="1" t="s">
        <v>549</v>
      </c>
      <c r="B261" s="2">
        <v>43112.0</v>
      </c>
      <c r="C261" s="2" t="str">
        <f t="shared" si="1"/>
        <v>Jan</v>
      </c>
      <c r="D261" s="6">
        <v>43171.0</v>
      </c>
      <c r="E261" s="1" t="s">
        <v>20</v>
      </c>
      <c r="F261" s="1" t="s">
        <v>550</v>
      </c>
      <c r="G261" s="1" t="s">
        <v>551</v>
      </c>
      <c r="H261" s="1" t="str">
        <f>IFERROR(__xludf.DUMMYFUNCTION("split(G261,"" "")"),"Craig")</f>
        <v>Craig</v>
      </c>
      <c r="I261" s="1" t="str">
        <f>IFERROR(__xludf.DUMMYFUNCTION("""COMPUTED_VALUE"""),"Carreira")</f>
        <v>Carreira</v>
      </c>
      <c r="J261" s="1" t="s">
        <v>23</v>
      </c>
      <c r="K261" s="1" t="s">
        <v>174</v>
      </c>
      <c r="L261" s="1" t="str">
        <f t="shared" si="2"/>
        <v>New York City</v>
      </c>
      <c r="M261" s="1" t="s">
        <v>175</v>
      </c>
      <c r="N261" s="1" t="str">
        <f t="shared" si="3"/>
        <v>New York</v>
      </c>
      <c r="O261" s="1">
        <v>10009.0</v>
      </c>
      <c r="P261" s="1" t="s">
        <v>100</v>
      </c>
      <c r="Q261" s="1" t="s">
        <v>38</v>
      </c>
      <c r="R261" s="3">
        <v>221.55</v>
      </c>
      <c r="S261" s="1">
        <v>1.0</v>
      </c>
      <c r="T261" s="4">
        <v>220.87</v>
      </c>
    </row>
    <row r="262">
      <c r="A262" s="1" t="s">
        <v>549</v>
      </c>
      <c r="B262" s="2">
        <v>43112.0</v>
      </c>
      <c r="C262" s="2" t="str">
        <f t="shared" si="1"/>
        <v>Jan</v>
      </c>
      <c r="D262" s="6">
        <v>43171.0</v>
      </c>
      <c r="E262" s="1" t="s">
        <v>20</v>
      </c>
      <c r="F262" s="1" t="s">
        <v>550</v>
      </c>
      <c r="G262" s="1" t="s">
        <v>551</v>
      </c>
      <c r="H262" s="1" t="str">
        <f>IFERROR(__xludf.DUMMYFUNCTION("split(G262,"" "")"),"Craig")</f>
        <v>Craig</v>
      </c>
      <c r="I262" s="1" t="str">
        <f>IFERROR(__xludf.DUMMYFUNCTION("""COMPUTED_VALUE"""),"Carreira")</f>
        <v>Carreira</v>
      </c>
      <c r="J262" s="1" t="s">
        <v>23</v>
      </c>
      <c r="K262" s="1" t="s">
        <v>174</v>
      </c>
      <c r="L262" s="1" t="str">
        <f t="shared" si="2"/>
        <v>New York City</v>
      </c>
      <c r="M262" s="1" t="s">
        <v>175</v>
      </c>
      <c r="N262" s="1" t="str">
        <f t="shared" si="3"/>
        <v>New York</v>
      </c>
      <c r="O262" s="1">
        <v>10009.0</v>
      </c>
      <c r="P262" s="1" t="s">
        <v>100</v>
      </c>
      <c r="Q262" s="1" t="s">
        <v>38</v>
      </c>
      <c r="R262" s="3">
        <v>17.52</v>
      </c>
      <c r="S262" s="1">
        <v>1.0</v>
      </c>
      <c r="T262" s="4">
        <v>16.7</v>
      </c>
    </row>
    <row r="263">
      <c r="A263" s="1" t="s">
        <v>552</v>
      </c>
      <c r="B263" s="2">
        <v>43318.0</v>
      </c>
      <c r="C263" s="2" t="str">
        <f t="shared" si="1"/>
        <v>Aug</v>
      </c>
      <c r="D263" s="6">
        <v>43440.0</v>
      </c>
      <c r="E263" s="1" t="s">
        <v>41</v>
      </c>
      <c r="F263" s="1" t="s">
        <v>553</v>
      </c>
      <c r="G263" s="1" t="s">
        <v>554</v>
      </c>
      <c r="H263" s="1" t="str">
        <f>IFERROR(__xludf.DUMMYFUNCTION("split(G263,"" "")"),"Dorris")</f>
        <v>Dorris</v>
      </c>
      <c r="I263" s="1" t="str">
        <f>IFERROR(__xludf.DUMMYFUNCTION("""COMPUTED_VALUE"""),"liebe")</f>
        <v>liebe</v>
      </c>
      <c r="J263" s="1" t="s">
        <v>34</v>
      </c>
      <c r="K263" s="1" t="s">
        <v>355</v>
      </c>
      <c r="L263" s="1" t="str">
        <f t="shared" si="2"/>
        <v>Pasadena</v>
      </c>
      <c r="M263" s="1" t="s">
        <v>70</v>
      </c>
      <c r="N263" s="1" t="str">
        <f t="shared" si="3"/>
        <v>Texas</v>
      </c>
      <c r="O263" s="1">
        <v>77506.0</v>
      </c>
      <c r="P263" s="1" t="s">
        <v>71</v>
      </c>
      <c r="Q263" s="1" t="s">
        <v>38</v>
      </c>
      <c r="R263" s="3">
        <v>1.624</v>
      </c>
      <c r="S263" s="1">
        <v>7.0</v>
      </c>
      <c r="T263" s="4">
        <v>0.85</v>
      </c>
    </row>
    <row r="264">
      <c r="A264" s="1" t="s">
        <v>555</v>
      </c>
      <c r="B264" s="2">
        <v>42266.0</v>
      </c>
      <c r="C264" s="2" t="str">
        <f t="shared" si="1"/>
        <v>Sep</v>
      </c>
      <c r="D264" s="1" t="s">
        <v>556</v>
      </c>
      <c r="E264" s="1" t="s">
        <v>20</v>
      </c>
      <c r="F264" s="1" t="s">
        <v>557</v>
      </c>
      <c r="G264" s="1" t="s">
        <v>558</v>
      </c>
      <c r="H264" s="1" t="str">
        <f>IFERROR(__xludf.DUMMYFUNCTION("split(G264,"" "")"),"Sean")</f>
        <v>Sean</v>
      </c>
      <c r="I264" s="1" t="str">
        <f>IFERROR(__xludf.DUMMYFUNCTION("""COMPUTED_VALUE"""),"Braxton")</f>
        <v>Braxton</v>
      </c>
      <c r="J264" s="1" t="s">
        <v>34</v>
      </c>
      <c r="K264" s="1" t="s">
        <v>129</v>
      </c>
      <c r="L264" s="1" t="str">
        <f t="shared" si="2"/>
        <v>Houston</v>
      </c>
      <c r="M264" s="1" t="s">
        <v>70</v>
      </c>
      <c r="N264" s="1" t="str">
        <f t="shared" si="3"/>
        <v>Texas</v>
      </c>
      <c r="O264" s="1">
        <v>77036.0</v>
      </c>
      <c r="P264" s="1" t="s">
        <v>71</v>
      </c>
      <c r="Q264" s="1" t="s">
        <v>51</v>
      </c>
      <c r="R264" s="3">
        <v>3059.982</v>
      </c>
      <c r="S264" s="1">
        <v>7.0</v>
      </c>
      <c r="T264" s="4">
        <v>3059.67</v>
      </c>
    </row>
    <row r="265">
      <c r="A265" s="1" t="s">
        <v>555</v>
      </c>
      <c r="B265" s="2">
        <v>42266.0</v>
      </c>
      <c r="C265" s="2" t="str">
        <f t="shared" si="1"/>
        <v>Sep</v>
      </c>
      <c r="D265" s="1" t="s">
        <v>556</v>
      </c>
      <c r="E265" s="1" t="s">
        <v>20</v>
      </c>
      <c r="F265" s="1" t="s">
        <v>557</v>
      </c>
      <c r="G265" s="1" t="s">
        <v>558</v>
      </c>
      <c r="H265" s="1" t="str">
        <f>IFERROR(__xludf.DUMMYFUNCTION("split(G265,"" "")"),"Sean")</f>
        <v>Sean</v>
      </c>
      <c r="I265" s="1" t="str">
        <f>IFERROR(__xludf.DUMMYFUNCTION("""COMPUTED_VALUE"""),"Braxton")</f>
        <v>Braxton</v>
      </c>
      <c r="J265" s="1" t="s">
        <v>34</v>
      </c>
      <c r="K265" s="1" t="s">
        <v>129</v>
      </c>
      <c r="L265" s="1" t="str">
        <f t="shared" si="2"/>
        <v>Houston</v>
      </c>
      <c r="M265" s="1" t="s">
        <v>70</v>
      </c>
      <c r="N265" s="1" t="str">
        <f t="shared" si="3"/>
        <v>Texas</v>
      </c>
      <c r="O265" s="1">
        <v>77036.0</v>
      </c>
      <c r="P265" s="1" t="s">
        <v>71</v>
      </c>
      <c r="Q265" s="1" t="s">
        <v>51</v>
      </c>
      <c r="R265" s="3">
        <v>2519.958</v>
      </c>
      <c r="S265" s="1">
        <v>7.0</v>
      </c>
      <c r="T265" s="4">
        <v>2519.78</v>
      </c>
    </row>
    <row r="266">
      <c r="A266" s="1" t="s">
        <v>559</v>
      </c>
      <c r="B266" s="2">
        <v>42892.0</v>
      </c>
      <c r="C266" s="2" t="str">
        <f t="shared" si="1"/>
        <v>Jun</v>
      </c>
      <c r="D266" s="1" t="s">
        <v>560</v>
      </c>
      <c r="E266" s="1" t="s">
        <v>41</v>
      </c>
      <c r="F266" s="1" t="s">
        <v>561</v>
      </c>
      <c r="G266" s="1" t="s">
        <v>562</v>
      </c>
      <c r="H266" s="1" t="str">
        <f>IFERROR(__xludf.DUMMYFUNCTION("split(G266,"" "")"),"Roy")</f>
        <v>Roy</v>
      </c>
      <c r="I266" s="1" t="str">
        <f>IFERROR(__xludf.DUMMYFUNCTION("""COMPUTED_VALUE"""),"Collins")</f>
        <v>Collins</v>
      </c>
      <c r="J266" s="1" t="s">
        <v>23</v>
      </c>
      <c r="K266" s="1" t="s">
        <v>188</v>
      </c>
      <c r="L266" s="1" t="str">
        <f t="shared" si="2"/>
        <v>Chicago</v>
      </c>
      <c r="M266" s="1" t="s">
        <v>135</v>
      </c>
      <c r="N266" s="1" t="str">
        <f t="shared" si="3"/>
        <v>Illinois</v>
      </c>
      <c r="O266" s="1">
        <v>60610.0</v>
      </c>
      <c r="P266" s="1" t="s">
        <v>71</v>
      </c>
      <c r="Q266" s="1" t="s">
        <v>51</v>
      </c>
      <c r="R266" s="3">
        <v>328.224</v>
      </c>
      <c r="S266" s="1">
        <v>6.0</v>
      </c>
      <c r="T266" s="4">
        <v>328.16</v>
      </c>
    </row>
    <row r="267">
      <c r="A267" s="1" t="s">
        <v>563</v>
      </c>
      <c r="B267" s="2">
        <v>42654.0</v>
      </c>
      <c r="C267" s="2" t="str">
        <f t="shared" si="1"/>
        <v>Oct</v>
      </c>
      <c r="D267" s="1" t="s">
        <v>564</v>
      </c>
      <c r="E267" s="1" t="s">
        <v>41</v>
      </c>
      <c r="F267" s="1" t="s">
        <v>565</v>
      </c>
      <c r="G267" s="1" t="s">
        <v>566</v>
      </c>
      <c r="H267" s="1" t="str">
        <f>IFERROR(__xludf.DUMMYFUNCTION("split(G267,"" "")"),"Alan")</f>
        <v>Alan</v>
      </c>
      <c r="I267" s="1" t="str">
        <f>IFERROR(__xludf.DUMMYFUNCTION("""COMPUTED_VALUE"""),"Hwang")</f>
        <v>Hwang</v>
      </c>
      <c r="J267" s="1" t="s">
        <v>23</v>
      </c>
      <c r="K267" s="1" t="s">
        <v>567</v>
      </c>
      <c r="L267" s="1" t="str">
        <f t="shared" si="2"/>
        <v>Brentwood</v>
      </c>
      <c r="M267" s="1" t="s">
        <v>52</v>
      </c>
      <c r="N267" s="1" t="str">
        <f t="shared" si="3"/>
        <v>California</v>
      </c>
      <c r="O267" s="1">
        <v>94513.0</v>
      </c>
      <c r="P267" s="1" t="s">
        <v>37</v>
      </c>
      <c r="Q267" s="1" t="s">
        <v>51</v>
      </c>
      <c r="R267" s="3">
        <v>79.9</v>
      </c>
      <c r="S267" s="1">
        <v>9.0</v>
      </c>
      <c r="T267" s="4">
        <v>79.2</v>
      </c>
    </row>
    <row r="268">
      <c r="A268" s="1" t="s">
        <v>568</v>
      </c>
      <c r="B268" s="2">
        <v>43267.0</v>
      </c>
      <c r="C268" s="2" t="str">
        <f t="shared" si="1"/>
        <v>Jun</v>
      </c>
      <c r="D268" s="1" t="s">
        <v>261</v>
      </c>
      <c r="E268" s="1" t="s">
        <v>41</v>
      </c>
      <c r="F268" s="1" t="s">
        <v>569</v>
      </c>
      <c r="G268" s="1" t="s">
        <v>570</v>
      </c>
      <c r="H268" s="1" t="str">
        <f>IFERROR(__xludf.DUMMYFUNCTION("split(G268,"" "")"),"Claudia")</f>
        <v>Claudia</v>
      </c>
      <c r="I268" s="1" t="str">
        <f>IFERROR(__xludf.DUMMYFUNCTION("""COMPUTED_VALUE"""),"Bergmann")</f>
        <v>Bergmann</v>
      </c>
      <c r="J268" s="1" t="s">
        <v>34</v>
      </c>
      <c r="K268" s="1" t="s">
        <v>571</v>
      </c>
      <c r="L268" s="1" t="str">
        <f t="shared" si="2"/>
        <v>Chapel Hill</v>
      </c>
      <c r="M268" s="1" t="s">
        <v>58</v>
      </c>
      <c r="N268" s="1" t="str">
        <f t="shared" si="3"/>
        <v>North Carolina</v>
      </c>
      <c r="O268" s="1">
        <v>27514.0</v>
      </c>
      <c r="P268" s="1" t="s">
        <v>26</v>
      </c>
      <c r="Q268" s="1" t="s">
        <v>38</v>
      </c>
      <c r="R268" s="3">
        <v>14.016</v>
      </c>
      <c r="S268" s="1">
        <v>2.0</v>
      </c>
      <c r="T268" s="4">
        <v>13.92</v>
      </c>
    </row>
    <row r="269">
      <c r="A269" s="1" t="s">
        <v>572</v>
      </c>
      <c r="B269" s="2">
        <v>42757.0</v>
      </c>
      <c r="C269" s="2" t="str">
        <f t="shared" si="1"/>
        <v>Jan</v>
      </c>
      <c r="D269" s="1" t="s">
        <v>573</v>
      </c>
      <c r="E269" s="1" t="s">
        <v>41</v>
      </c>
      <c r="F269" s="1" t="s">
        <v>238</v>
      </c>
      <c r="G269" s="1" t="s">
        <v>239</v>
      </c>
      <c r="H269" s="1" t="str">
        <f>IFERROR(__xludf.DUMMYFUNCTION("split(G269,"" "")"),"Paul")</f>
        <v>Paul</v>
      </c>
      <c r="I269" s="1" t="str">
        <f>IFERROR(__xludf.DUMMYFUNCTION("""COMPUTED_VALUE"""),"Gonzalez")</f>
        <v>Gonzalez</v>
      </c>
      <c r="J269" s="1" t="s">
        <v>23</v>
      </c>
      <c r="K269" s="1" t="s">
        <v>574</v>
      </c>
      <c r="L269" s="1" t="str">
        <f t="shared" si="2"/>
        <v>Morristown</v>
      </c>
      <c r="M269" s="1" t="s">
        <v>462</v>
      </c>
      <c r="N269" s="1" t="str">
        <f t="shared" si="3"/>
        <v>New Jersey</v>
      </c>
      <c r="O269" s="1">
        <v>7960.0</v>
      </c>
      <c r="P269" s="1" t="s">
        <v>100</v>
      </c>
      <c r="Q269" s="1" t="s">
        <v>38</v>
      </c>
      <c r="R269" s="3">
        <v>7.56</v>
      </c>
      <c r="S269" s="1">
        <v>7.0</v>
      </c>
      <c r="T269" s="4">
        <v>6.82</v>
      </c>
    </row>
    <row r="270">
      <c r="A270" s="1" t="s">
        <v>575</v>
      </c>
      <c r="B270" s="2">
        <v>43355.0</v>
      </c>
      <c r="C270" s="2" t="str">
        <f t="shared" si="1"/>
        <v>Sep</v>
      </c>
      <c r="D270" s="1" t="s">
        <v>576</v>
      </c>
      <c r="E270" s="1" t="s">
        <v>41</v>
      </c>
      <c r="F270" s="1" t="s">
        <v>577</v>
      </c>
      <c r="G270" s="1" t="s">
        <v>578</v>
      </c>
      <c r="H270" s="1" t="str">
        <f>IFERROR(__xludf.DUMMYFUNCTION("split(G270,"" "")"),"Christine")</f>
        <v>Christine</v>
      </c>
      <c r="I270" s="1" t="str">
        <f>IFERROR(__xludf.DUMMYFUNCTION("""COMPUTED_VALUE"""),"Abelman")</f>
        <v>Abelman</v>
      </c>
      <c r="J270" s="1" t="s">
        <v>34</v>
      </c>
      <c r="K270" s="1" t="s">
        <v>579</v>
      </c>
      <c r="L270" s="1" t="str">
        <f t="shared" si="2"/>
        <v>Cincinnati</v>
      </c>
      <c r="M270" s="1" t="s">
        <v>304</v>
      </c>
      <c r="N270" s="1" t="str">
        <f t="shared" si="3"/>
        <v>Ohio</v>
      </c>
      <c r="O270" s="1">
        <v>45231.0</v>
      </c>
      <c r="P270" s="1" t="s">
        <v>100</v>
      </c>
      <c r="Q270" s="1" t="s">
        <v>38</v>
      </c>
      <c r="R270" s="3">
        <v>37.208</v>
      </c>
      <c r="S270" s="1">
        <v>4.0</v>
      </c>
      <c r="T270" s="4">
        <v>36.95</v>
      </c>
    </row>
    <row r="271">
      <c r="A271" s="1" t="s">
        <v>575</v>
      </c>
      <c r="B271" s="2">
        <v>43355.0</v>
      </c>
      <c r="C271" s="2" t="str">
        <f t="shared" si="1"/>
        <v>Sep</v>
      </c>
      <c r="D271" s="1" t="s">
        <v>576</v>
      </c>
      <c r="E271" s="1" t="s">
        <v>41</v>
      </c>
      <c r="F271" s="1" t="s">
        <v>577</v>
      </c>
      <c r="G271" s="1" t="s">
        <v>578</v>
      </c>
      <c r="H271" s="1" t="str">
        <f>IFERROR(__xludf.DUMMYFUNCTION("split(G271,"" "")"),"Christine")</f>
        <v>Christine</v>
      </c>
      <c r="I271" s="1" t="str">
        <f>IFERROR(__xludf.DUMMYFUNCTION("""COMPUTED_VALUE"""),"Abelman")</f>
        <v>Abelman</v>
      </c>
      <c r="J271" s="1" t="s">
        <v>34</v>
      </c>
      <c r="K271" s="1" t="s">
        <v>579</v>
      </c>
      <c r="L271" s="1" t="str">
        <f t="shared" si="2"/>
        <v>Cincinnati</v>
      </c>
      <c r="M271" s="1" t="s">
        <v>304</v>
      </c>
      <c r="N271" s="1" t="str">
        <f t="shared" si="3"/>
        <v>Ohio</v>
      </c>
      <c r="O271" s="1">
        <v>45231.0</v>
      </c>
      <c r="P271" s="1" t="s">
        <v>100</v>
      </c>
      <c r="Q271" s="1" t="s">
        <v>38</v>
      </c>
      <c r="R271" s="3">
        <v>57.576</v>
      </c>
      <c r="S271" s="1">
        <v>4.0</v>
      </c>
      <c r="T271" s="4">
        <v>56.83</v>
      </c>
    </row>
    <row r="272">
      <c r="A272" s="1" t="s">
        <v>580</v>
      </c>
      <c r="B272" s="2">
        <v>43462.0</v>
      </c>
      <c r="C272" s="2" t="str">
        <f t="shared" si="1"/>
        <v>Dec</v>
      </c>
      <c r="D272" s="6">
        <v>43497.0</v>
      </c>
      <c r="E272" s="1" t="s">
        <v>20</v>
      </c>
      <c r="F272" s="1" t="s">
        <v>581</v>
      </c>
      <c r="G272" s="1" t="s">
        <v>582</v>
      </c>
      <c r="H272" s="1" t="str">
        <f>IFERROR(__xludf.DUMMYFUNCTION("split(G272,"" "")"),"Kristen")</f>
        <v>Kristen</v>
      </c>
      <c r="I272" s="1" t="str">
        <f>IFERROR(__xludf.DUMMYFUNCTION("""COMPUTED_VALUE"""),"Hastings")</f>
        <v>Hastings</v>
      </c>
      <c r="J272" s="1" t="s">
        <v>34</v>
      </c>
      <c r="K272" s="1" t="s">
        <v>87</v>
      </c>
      <c r="L272" s="1" t="str">
        <f t="shared" si="2"/>
        <v>San Francisco</v>
      </c>
      <c r="M272" s="1" t="s">
        <v>52</v>
      </c>
      <c r="N272" s="1" t="str">
        <f t="shared" si="3"/>
        <v>California</v>
      </c>
      <c r="O272" s="1">
        <v>94110.0</v>
      </c>
      <c r="P272" s="1" t="s">
        <v>37</v>
      </c>
      <c r="Q272" s="1" t="s">
        <v>38</v>
      </c>
      <c r="R272" s="3">
        <v>725.84</v>
      </c>
      <c r="S272" s="1">
        <v>9.0</v>
      </c>
      <c r="T272" s="4">
        <v>725.11</v>
      </c>
    </row>
    <row r="273">
      <c r="A273" s="1" t="s">
        <v>583</v>
      </c>
      <c r="B273" s="2">
        <v>42581.0</v>
      </c>
      <c r="C273" s="2" t="str">
        <f t="shared" si="1"/>
        <v>Jul</v>
      </c>
      <c r="D273" s="1" t="s">
        <v>584</v>
      </c>
      <c r="E273" s="1" t="s">
        <v>121</v>
      </c>
      <c r="F273" s="1" t="s">
        <v>353</v>
      </c>
      <c r="G273" s="1" t="s">
        <v>354</v>
      </c>
      <c r="H273" s="1" t="str">
        <f>IFERROR(__xludf.DUMMYFUNCTION("split(G273,"" "")"),"Helen")</f>
        <v>Helen</v>
      </c>
      <c r="I273" s="1" t="str">
        <f>IFERROR(__xludf.DUMMYFUNCTION("""COMPUTED_VALUE"""),"Andreada")</f>
        <v>Andreada</v>
      </c>
      <c r="J273" s="1" t="s">
        <v>23</v>
      </c>
      <c r="K273" s="1" t="s">
        <v>87</v>
      </c>
      <c r="L273" s="1" t="str">
        <f t="shared" si="2"/>
        <v>San Francisco</v>
      </c>
      <c r="M273" s="1" t="s">
        <v>52</v>
      </c>
      <c r="N273" s="1" t="str">
        <f t="shared" si="3"/>
        <v>California</v>
      </c>
      <c r="O273" s="1">
        <v>94109.0</v>
      </c>
      <c r="P273" s="1" t="s">
        <v>37</v>
      </c>
      <c r="Q273" s="1" t="s">
        <v>51</v>
      </c>
      <c r="R273" s="3">
        <v>209.93</v>
      </c>
      <c r="S273" s="1">
        <v>9.0</v>
      </c>
      <c r="T273" s="4">
        <v>209.15</v>
      </c>
    </row>
    <row r="274">
      <c r="A274" s="1" t="s">
        <v>583</v>
      </c>
      <c r="B274" s="2">
        <v>42581.0</v>
      </c>
      <c r="C274" s="2" t="str">
        <f t="shared" si="1"/>
        <v>Jul</v>
      </c>
      <c r="D274" s="1" t="s">
        <v>584</v>
      </c>
      <c r="E274" s="1" t="s">
        <v>121</v>
      </c>
      <c r="F274" s="1" t="s">
        <v>353</v>
      </c>
      <c r="G274" s="1" t="s">
        <v>354</v>
      </c>
      <c r="H274" s="1" t="str">
        <f>IFERROR(__xludf.DUMMYFUNCTION("split(G274,"" "")"),"Helen")</f>
        <v>Helen</v>
      </c>
      <c r="I274" s="1" t="str">
        <f>IFERROR(__xludf.DUMMYFUNCTION("""COMPUTED_VALUE"""),"Andreada")</f>
        <v>Andreada</v>
      </c>
      <c r="J274" s="1" t="s">
        <v>23</v>
      </c>
      <c r="K274" s="1" t="s">
        <v>87</v>
      </c>
      <c r="L274" s="1" t="str">
        <f t="shared" si="2"/>
        <v>San Francisco</v>
      </c>
      <c r="M274" s="1" t="s">
        <v>52</v>
      </c>
      <c r="N274" s="1" t="str">
        <f t="shared" si="3"/>
        <v>California</v>
      </c>
      <c r="O274" s="1">
        <v>94109.0</v>
      </c>
      <c r="P274" s="1" t="s">
        <v>37</v>
      </c>
      <c r="Q274" s="1" t="s">
        <v>27</v>
      </c>
      <c r="R274" s="3">
        <v>5.28</v>
      </c>
      <c r="S274" s="1">
        <v>9.0</v>
      </c>
      <c r="T274" s="4">
        <v>4.86</v>
      </c>
    </row>
    <row r="275">
      <c r="A275" s="1" t="s">
        <v>583</v>
      </c>
      <c r="B275" s="2">
        <v>42581.0</v>
      </c>
      <c r="C275" s="2" t="str">
        <f t="shared" si="1"/>
        <v>Jul</v>
      </c>
      <c r="D275" s="1" t="s">
        <v>584</v>
      </c>
      <c r="E275" s="1" t="s">
        <v>121</v>
      </c>
      <c r="F275" s="1" t="s">
        <v>353</v>
      </c>
      <c r="G275" s="1" t="s">
        <v>354</v>
      </c>
      <c r="H275" s="1" t="str">
        <f>IFERROR(__xludf.DUMMYFUNCTION("split(G275,"" "")"),"Helen")</f>
        <v>Helen</v>
      </c>
      <c r="I275" s="1" t="str">
        <f>IFERROR(__xludf.DUMMYFUNCTION("""COMPUTED_VALUE"""),"Andreada")</f>
        <v>Andreada</v>
      </c>
      <c r="J275" s="1" t="s">
        <v>23</v>
      </c>
      <c r="K275" s="1" t="s">
        <v>87</v>
      </c>
      <c r="L275" s="1" t="str">
        <f t="shared" si="2"/>
        <v>San Francisco</v>
      </c>
      <c r="M275" s="1" t="s">
        <v>52</v>
      </c>
      <c r="N275" s="1" t="str">
        <f t="shared" si="3"/>
        <v>California</v>
      </c>
      <c r="O275" s="1">
        <v>94109.0</v>
      </c>
      <c r="P275" s="1" t="s">
        <v>37</v>
      </c>
      <c r="Q275" s="1" t="s">
        <v>38</v>
      </c>
      <c r="R275" s="3">
        <v>10.92</v>
      </c>
      <c r="S275" s="1">
        <v>9.0</v>
      </c>
      <c r="T275" s="4">
        <v>10.3</v>
      </c>
    </row>
    <row r="276">
      <c r="A276" s="1" t="s">
        <v>585</v>
      </c>
      <c r="B276" s="2">
        <v>43359.0</v>
      </c>
      <c r="C276" s="2" t="str">
        <f t="shared" si="1"/>
        <v>Sep</v>
      </c>
      <c r="D276" s="1" t="s">
        <v>204</v>
      </c>
      <c r="E276" s="1" t="s">
        <v>121</v>
      </c>
      <c r="F276" s="1" t="s">
        <v>586</v>
      </c>
      <c r="G276" s="1" t="s">
        <v>587</v>
      </c>
      <c r="H276" s="1" t="str">
        <f>IFERROR(__xludf.DUMMYFUNCTION("split(G276,"" "")"),"Barry")</f>
        <v>Barry</v>
      </c>
      <c r="I276" s="1" t="str">
        <f>IFERROR(__xludf.DUMMYFUNCTION("""COMPUTED_VALUE"""),"Blumstein")</f>
        <v>Blumstein</v>
      </c>
      <c r="J276" s="1" t="s">
        <v>34</v>
      </c>
      <c r="K276" s="1" t="s">
        <v>588</v>
      </c>
      <c r="L276" s="1" t="str">
        <f t="shared" si="2"/>
        <v>Inglewood</v>
      </c>
      <c r="M276" s="1" t="s">
        <v>52</v>
      </c>
      <c r="N276" s="1" t="str">
        <f t="shared" si="3"/>
        <v>California</v>
      </c>
      <c r="O276" s="1">
        <v>90301.0</v>
      </c>
      <c r="P276" s="1" t="s">
        <v>37</v>
      </c>
      <c r="Q276" s="1" t="s">
        <v>38</v>
      </c>
      <c r="R276" s="3">
        <v>8.82</v>
      </c>
      <c r="S276" s="1">
        <v>9.0</v>
      </c>
      <c r="T276" s="4">
        <v>8.48</v>
      </c>
    </row>
    <row r="277">
      <c r="A277" s="1" t="s">
        <v>585</v>
      </c>
      <c r="B277" s="2">
        <v>43359.0</v>
      </c>
      <c r="C277" s="2" t="str">
        <f t="shared" si="1"/>
        <v>Sep</v>
      </c>
      <c r="D277" s="1" t="s">
        <v>204</v>
      </c>
      <c r="E277" s="1" t="s">
        <v>121</v>
      </c>
      <c r="F277" s="1" t="s">
        <v>586</v>
      </c>
      <c r="G277" s="1" t="s">
        <v>587</v>
      </c>
      <c r="H277" s="1" t="str">
        <f>IFERROR(__xludf.DUMMYFUNCTION("split(G277,"" "")"),"Barry")</f>
        <v>Barry</v>
      </c>
      <c r="I277" s="1" t="str">
        <f>IFERROR(__xludf.DUMMYFUNCTION("""COMPUTED_VALUE"""),"Blumstein")</f>
        <v>Blumstein</v>
      </c>
      <c r="J277" s="1" t="s">
        <v>34</v>
      </c>
      <c r="K277" s="1" t="s">
        <v>588</v>
      </c>
      <c r="L277" s="1" t="str">
        <f t="shared" si="2"/>
        <v>Inglewood</v>
      </c>
      <c r="M277" s="1" t="s">
        <v>52</v>
      </c>
      <c r="N277" s="1" t="str">
        <f t="shared" si="3"/>
        <v>California</v>
      </c>
      <c r="O277" s="1">
        <v>90301.0</v>
      </c>
      <c r="P277" s="1" t="s">
        <v>37</v>
      </c>
      <c r="Q277" s="1" t="s">
        <v>38</v>
      </c>
      <c r="R277" s="3">
        <v>5.98</v>
      </c>
      <c r="S277" s="1">
        <v>9.0</v>
      </c>
      <c r="T277" s="4">
        <v>5.94</v>
      </c>
    </row>
    <row r="278">
      <c r="A278" s="1" t="s">
        <v>589</v>
      </c>
      <c r="B278" s="2">
        <v>43386.0</v>
      </c>
      <c r="C278" s="2" t="str">
        <f t="shared" si="1"/>
        <v>Oct</v>
      </c>
      <c r="D278" s="1" t="s">
        <v>590</v>
      </c>
      <c r="E278" s="1" t="s">
        <v>41</v>
      </c>
      <c r="F278" s="1" t="s">
        <v>591</v>
      </c>
      <c r="G278" s="1" t="s">
        <v>592</v>
      </c>
      <c r="H278" s="1" t="str">
        <f>IFERROR(__xludf.DUMMYFUNCTION("split(G278,"" "")"),"Andrew")</f>
        <v>Andrew</v>
      </c>
      <c r="I278" s="1" t="str">
        <f>IFERROR(__xludf.DUMMYFUNCTION("""COMPUTED_VALUE"""),"Gjertsen")</f>
        <v>Gjertsen</v>
      </c>
      <c r="J278" s="1" t="s">
        <v>34</v>
      </c>
      <c r="K278" s="1" t="s">
        <v>98</v>
      </c>
      <c r="L278" s="1" t="str">
        <f t="shared" si="2"/>
        <v>Philadelphia</v>
      </c>
      <c r="M278" s="1" t="s">
        <v>99</v>
      </c>
      <c r="N278" s="1" t="str">
        <f t="shared" si="3"/>
        <v>Pennsylvania</v>
      </c>
      <c r="O278" s="1">
        <v>19140.0</v>
      </c>
      <c r="P278" s="1" t="s">
        <v>100</v>
      </c>
      <c r="Q278" s="1" t="s">
        <v>38</v>
      </c>
      <c r="R278" s="3">
        <v>11.648</v>
      </c>
      <c r="S278" s="1">
        <v>1.0</v>
      </c>
      <c r="T278" s="4">
        <v>11.42</v>
      </c>
    </row>
    <row r="279">
      <c r="A279" s="1" t="s">
        <v>589</v>
      </c>
      <c r="B279" s="2">
        <v>43386.0</v>
      </c>
      <c r="C279" s="2" t="str">
        <f t="shared" si="1"/>
        <v>Oct</v>
      </c>
      <c r="D279" s="1" t="s">
        <v>590</v>
      </c>
      <c r="E279" s="1" t="s">
        <v>41</v>
      </c>
      <c r="F279" s="1" t="s">
        <v>591</v>
      </c>
      <c r="G279" s="1" t="s">
        <v>592</v>
      </c>
      <c r="H279" s="1" t="str">
        <f>IFERROR(__xludf.DUMMYFUNCTION("split(G279,"" "")"),"Andrew")</f>
        <v>Andrew</v>
      </c>
      <c r="I279" s="1" t="str">
        <f>IFERROR(__xludf.DUMMYFUNCTION("""COMPUTED_VALUE"""),"Gjertsen")</f>
        <v>Gjertsen</v>
      </c>
      <c r="J279" s="1" t="s">
        <v>34</v>
      </c>
      <c r="K279" s="1" t="s">
        <v>98</v>
      </c>
      <c r="L279" s="1" t="str">
        <f t="shared" si="2"/>
        <v>Philadelphia</v>
      </c>
      <c r="M279" s="1" t="s">
        <v>99</v>
      </c>
      <c r="N279" s="1" t="str">
        <f t="shared" si="3"/>
        <v>Pennsylvania</v>
      </c>
      <c r="O279" s="1">
        <v>19140.0</v>
      </c>
      <c r="P279" s="1" t="s">
        <v>100</v>
      </c>
      <c r="Q279" s="1" t="s">
        <v>38</v>
      </c>
      <c r="R279" s="3">
        <v>18.176</v>
      </c>
      <c r="S279" s="1">
        <v>1.0</v>
      </c>
      <c r="T279" s="4">
        <v>18.17</v>
      </c>
    </row>
    <row r="280">
      <c r="A280" s="1" t="s">
        <v>589</v>
      </c>
      <c r="B280" s="2">
        <v>43386.0</v>
      </c>
      <c r="C280" s="2" t="str">
        <f t="shared" si="1"/>
        <v>Oct</v>
      </c>
      <c r="D280" s="1" t="s">
        <v>590</v>
      </c>
      <c r="E280" s="1" t="s">
        <v>41</v>
      </c>
      <c r="F280" s="1" t="s">
        <v>591</v>
      </c>
      <c r="G280" s="1" t="s">
        <v>592</v>
      </c>
      <c r="H280" s="1" t="str">
        <f>IFERROR(__xludf.DUMMYFUNCTION("split(G280,"" "")"),"Andrew")</f>
        <v>Andrew</v>
      </c>
      <c r="I280" s="1" t="str">
        <f>IFERROR(__xludf.DUMMYFUNCTION("""COMPUTED_VALUE"""),"Gjertsen")</f>
        <v>Gjertsen</v>
      </c>
      <c r="J280" s="1" t="s">
        <v>34</v>
      </c>
      <c r="K280" s="1" t="s">
        <v>98</v>
      </c>
      <c r="L280" s="1" t="str">
        <f t="shared" si="2"/>
        <v>Philadelphia</v>
      </c>
      <c r="M280" s="1" t="s">
        <v>99</v>
      </c>
      <c r="N280" s="1" t="str">
        <f t="shared" si="3"/>
        <v>Pennsylvania</v>
      </c>
      <c r="O280" s="1">
        <v>19140.0</v>
      </c>
      <c r="P280" s="1" t="s">
        <v>100</v>
      </c>
      <c r="Q280" s="1" t="s">
        <v>38</v>
      </c>
      <c r="R280" s="3">
        <v>59.712</v>
      </c>
      <c r="S280" s="1">
        <v>1.0</v>
      </c>
      <c r="T280" s="4">
        <v>59.13</v>
      </c>
    </row>
    <row r="281">
      <c r="A281" s="1" t="s">
        <v>589</v>
      </c>
      <c r="B281" s="2">
        <v>43386.0</v>
      </c>
      <c r="C281" s="2" t="str">
        <f t="shared" si="1"/>
        <v>Oct</v>
      </c>
      <c r="D281" s="1" t="s">
        <v>590</v>
      </c>
      <c r="E281" s="1" t="s">
        <v>41</v>
      </c>
      <c r="F281" s="1" t="s">
        <v>591</v>
      </c>
      <c r="G281" s="1" t="s">
        <v>592</v>
      </c>
      <c r="H281" s="1" t="str">
        <f>IFERROR(__xludf.DUMMYFUNCTION("split(G281,"" "")"),"Andrew")</f>
        <v>Andrew</v>
      </c>
      <c r="I281" s="1" t="str">
        <f>IFERROR(__xludf.DUMMYFUNCTION("""COMPUTED_VALUE"""),"Gjertsen")</f>
        <v>Gjertsen</v>
      </c>
      <c r="J281" s="1" t="s">
        <v>34</v>
      </c>
      <c r="K281" s="1" t="s">
        <v>98</v>
      </c>
      <c r="L281" s="1" t="str">
        <f t="shared" si="2"/>
        <v>Philadelphia</v>
      </c>
      <c r="M281" s="1" t="s">
        <v>99</v>
      </c>
      <c r="N281" s="1" t="str">
        <f t="shared" si="3"/>
        <v>Pennsylvania</v>
      </c>
      <c r="O281" s="1">
        <v>19140.0</v>
      </c>
      <c r="P281" s="1" t="s">
        <v>100</v>
      </c>
      <c r="Q281" s="1" t="s">
        <v>38</v>
      </c>
      <c r="R281" s="3">
        <v>24.84</v>
      </c>
      <c r="S281" s="1">
        <v>1.0</v>
      </c>
      <c r="T281" s="4">
        <v>24.29</v>
      </c>
    </row>
    <row r="282">
      <c r="A282" s="1" t="s">
        <v>593</v>
      </c>
      <c r="B282" s="2">
        <v>42639.0</v>
      </c>
      <c r="C282" s="2" t="str">
        <f t="shared" si="1"/>
        <v>Sep</v>
      </c>
      <c r="D282" s="1" t="s">
        <v>594</v>
      </c>
      <c r="E282" s="1" t="s">
        <v>20</v>
      </c>
      <c r="F282" s="1" t="s">
        <v>313</v>
      </c>
      <c r="G282" s="1" t="s">
        <v>314</v>
      </c>
      <c r="H282" s="1" t="str">
        <f>IFERROR(__xludf.DUMMYFUNCTION("split(G282,"" "")"),"Steven")</f>
        <v>Steven</v>
      </c>
      <c r="I282" s="1" t="str">
        <f>IFERROR(__xludf.DUMMYFUNCTION("""COMPUTED_VALUE"""),"Cartwright")</f>
        <v>Cartwright</v>
      </c>
      <c r="J282" s="1" t="s">
        <v>23</v>
      </c>
      <c r="K282" s="1" t="s">
        <v>129</v>
      </c>
      <c r="L282" s="1" t="str">
        <f t="shared" si="2"/>
        <v>Houston</v>
      </c>
      <c r="M282" s="1" t="s">
        <v>70</v>
      </c>
      <c r="N282" s="1" t="str">
        <f t="shared" si="3"/>
        <v>Texas</v>
      </c>
      <c r="O282" s="1">
        <v>77070.0</v>
      </c>
      <c r="P282" s="1" t="s">
        <v>71</v>
      </c>
      <c r="Q282" s="1" t="s">
        <v>38</v>
      </c>
      <c r="R282" s="3">
        <v>2.08</v>
      </c>
      <c r="S282" s="1">
        <v>7.0</v>
      </c>
      <c r="T282" s="4">
        <v>1.98</v>
      </c>
    </row>
    <row r="283">
      <c r="A283" s="1" t="s">
        <v>593</v>
      </c>
      <c r="B283" s="2">
        <v>42639.0</v>
      </c>
      <c r="C283" s="2" t="str">
        <f t="shared" si="1"/>
        <v>Sep</v>
      </c>
      <c r="D283" s="1" t="s">
        <v>594</v>
      </c>
      <c r="E283" s="1" t="s">
        <v>20</v>
      </c>
      <c r="F283" s="1" t="s">
        <v>313</v>
      </c>
      <c r="G283" s="1" t="s">
        <v>314</v>
      </c>
      <c r="H283" s="1" t="str">
        <f>IFERROR(__xludf.DUMMYFUNCTION("split(G283,"" "")"),"Steven")</f>
        <v>Steven</v>
      </c>
      <c r="I283" s="1" t="str">
        <f>IFERROR(__xludf.DUMMYFUNCTION("""COMPUTED_VALUE"""),"Cartwright")</f>
        <v>Cartwright</v>
      </c>
      <c r="J283" s="1" t="s">
        <v>23</v>
      </c>
      <c r="K283" s="1" t="s">
        <v>129</v>
      </c>
      <c r="L283" s="1" t="str">
        <f t="shared" si="2"/>
        <v>Houston</v>
      </c>
      <c r="M283" s="1" t="s">
        <v>70</v>
      </c>
      <c r="N283" s="1" t="str">
        <f t="shared" si="3"/>
        <v>Texas</v>
      </c>
      <c r="O283" s="1">
        <v>77070.0</v>
      </c>
      <c r="P283" s="1" t="s">
        <v>71</v>
      </c>
      <c r="Q283" s="1" t="s">
        <v>51</v>
      </c>
      <c r="R283" s="3">
        <v>1114.4</v>
      </c>
      <c r="S283" s="1">
        <v>7.0</v>
      </c>
      <c r="T283" s="4">
        <v>1113.53</v>
      </c>
    </row>
    <row r="284">
      <c r="A284" s="1" t="s">
        <v>595</v>
      </c>
      <c r="B284" s="2">
        <v>42411.0</v>
      </c>
      <c r="C284" s="2" t="str">
        <f t="shared" si="1"/>
        <v>Feb</v>
      </c>
      <c r="D284" s="6">
        <v>42532.0</v>
      </c>
      <c r="E284" s="1" t="s">
        <v>41</v>
      </c>
      <c r="F284" s="1" t="s">
        <v>596</v>
      </c>
      <c r="G284" s="1" t="s">
        <v>597</v>
      </c>
      <c r="H284" s="1" t="str">
        <f>IFERROR(__xludf.DUMMYFUNCTION("split(G284,"" "")"),"Jas")</f>
        <v>Jas</v>
      </c>
      <c r="I284" s="1" t="str">
        <f>IFERROR(__xludf.DUMMYFUNCTION("""COMPUTED_VALUE"""),"O'Carroll")</f>
        <v>O'Carroll</v>
      </c>
      <c r="J284" s="1" t="s">
        <v>23</v>
      </c>
      <c r="K284" s="1" t="s">
        <v>35</v>
      </c>
      <c r="L284" s="1" t="str">
        <f t="shared" si="2"/>
        <v>Los Angeles</v>
      </c>
      <c r="M284" s="1" t="s">
        <v>52</v>
      </c>
      <c r="N284" s="1" t="str">
        <f t="shared" si="3"/>
        <v>California</v>
      </c>
      <c r="O284" s="1">
        <v>90004.0</v>
      </c>
      <c r="P284" s="1" t="s">
        <v>37</v>
      </c>
      <c r="Q284" s="1" t="s">
        <v>27</v>
      </c>
      <c r="R284" s="3">
        <v>1038.84</v>
      </c>
      <c r="S284" s="1">
        <v>9.0</v>
      </c>
      <c r="T284" s="4">
        <v>1038.1</v>
      </c>
    </row>
    <row r="285">
      <c r="A285" s="1" t="s">
        <v>598</v>
      </c>
      <c r="B285" s="2">
        <v>42639.0</v>
      </c>
      <c r="C285" s="2" t="str">
        <f t="shared" si="1"/>
        <v>Sep</v>
      </c>
      <c r="D285" s="6">
        <v>42410.0</v>
      </c>
      <c r="E285" s="1" t="s">
        <v>41</v>
      </c>
      <c r="F285" s="1" t="s">
        <v>112</v>
      </c>
      <c r="G285" s="1" t="s">
        <v>113</v>
      </c>
      <c r="H285" s="1" t="str">
        <f>IFERROR(__xludf.DUMMYFUNCTION("split(G285,"" "")"),"Tracy")</f>
        <v>Tracy</v>
      </c>
      <c r="I285" s="1" t="str">
        <f>IFERROR(__xludf.DUMMYFUNCTION("""COMPUTED_VALUE"""),"Blumstein")</f>
        <v>Blumstein</v>
      </c>
      <c r="J285" s="1" t="s">
        <v>23</v>
      </c>
      <c r="K285" s="1" t="s">
        <v>255</v>
      </c>
      <c r="L285" s="1" t="str">
        <f t="shared" si="2"/>
        <v>Portland</v>
      </c>
      <c r="M285" s="1" t="s">
        <v>256</v>
      </c>
      <c r="N285" s="1" t="str">
        <f t="shared" si="3"/>
        <v>Oregon</v>
      </c>
      <c r="O285" s="1">
        <v>97206.0</v>
      </c>
      <c r="P285" s="1" t="s">
        <v>37</v>
      </c>
      <c r="Q285" s="1" t="s">
        <v>38</v>
      </c>
      <c r="R285" s="3">
        <v>141.76</v>
      </c>
      <c r="S285" s="1">
        <v>9.0</v>
      </c>
      <c r="T285" s="4">
        <v>141.39</v>
      </c>
    </row>
    <row r="286">
      <c r="A286" s="1" t="s">
        <v>598</v>
      </c>
      <c r="B286" s="2">
        <v>42639.0</v>
      </c>
      <c r="C286" s="2" t="str">
        <f t="shared" si="1"/>
        <v>Sep</v>
      </c>
      <c r="D286" s="6">
        <v>42410.0</v>
      </c>
      <c r="E286" s="1" t="s">
        <v>41</v>
      </c>
      <c r="F286" s="1" t="s">
        <v>112</v>
      </c>
      <c r="G286" s="1" t="s">
        <v>113</v>
      </c>
      <c r="H286" s="1" t="str">
        <f>IFERROR(__xludf.DUMMYFUNCTION("split(G286,"" "")"),"Tracy")</f>
        <v>Tracy</v>
      </c>
      <c r="I286" s="1" t="str">
        <f>IFERROR(__xludf.DUMMYFUNCTION("""COMPUTED_VALUE"""),"Blumstein")</f>
        <v>Blumstein</v>
      </c>
      <c r="J286" s="1" t="s">
        <v>23</v>
      </c>
      <c r="K286" s="1" t="s">
        <v>255</v>
      </c>
      <c r="L286" s="1" t="str">
        <f t="shared" si="2"/>
        <v>Portland</v>
      </c>
      <c r="M286" s="1" t="s">
        <v>256</v>
      </c>
      <c r="N286" s="1" t="str">
        <f t="shared" si="3"/>
        <v>Oregon</v>
      </c>
      <c r="O286" s="1">
        <v>97206.0</v>
      </c>
      <c r="P286" s="1" t="s">
        <v>37</v>
      </c>
      <c r="Q286" s="1" t="s">
        <v>51</v>
      </c>
      <c r="R286" s="3">
        <v>239.8</v>
      </c>
      <c r="S286" s="1">
        <v>9.0</v>
      </c>
      <c r="T286" s="4">
        <v>239.3</v>
      </c>
    </row>
    <row r="287">
      <c r="A287" s="1" t="s">
        <v>598</v>
      </c>
      <c r="B287" s="2">
        <v>42639.0</v>
      </c>
      <c r="C287" s="2" t="str">
        <f t="shared" si="1"/>
        <v>Sep</v>
      </c>
      <c r="D287" s="6">
        <v>42410.0</v>
      </c>
      <c r="E287" s="1" t="s">
        <v>41</v>
      </c>
      <c r="F287" s="1" t="s">
        <v>112</v>
      </c>
      <c r="G287" s="1" t="s">
        <v>113</v>
      </c>
      <c r="H287" s="1" t="str">
        <f>IFERROR(__xludf.DUMMYFUNCTION("split(G287,"" "")"),"Tracy")</f>
        <v>Tracy</v>
      </c>
      <c r="I287" s="1" t="str">
        <f>IFERROR(__xludf.DUMMYFUNCTION("""COMPUTED_VALUE"""),"Blumstein")</f>
        <v>Blumstein</v>
      </c>
      <c r="J287" s="1" t="s">
        <v>23</v>
      </c>
      <c r="K287" s="1" t="s">
        <v>255</v>
      </c>
      <c r="L287" s="1" t="str">
        <f t="shared" si="2"/>
        <v>Portland</v>
      </c>
      <c r="M287" s="1" t="s">
        <v>256</v>
      </c>
      <c r="N287" s="1" t="str">
        <f t="shared" si="3"/>
        <v>Oregon</v>
      </c>
      <c r="O287" s="1">
        <v>97206.0</v>
      </c>
      <c r="P287" s="1" t="s">
        <v>37</v>
      </c>
      <c r="Q287" s="1" t="s">
        <v>38</v>
      </c>
      <c r="R287" s="3">
        <v>31.104</v>
      </c>
      <c r="S287" s="1">
        <v>9.0</v>
      </c>
      <c r="T287" s="4">
        <v>30.4</v>
      </c>
    </row>
    <row r="288">
      <c r="A288" s="1" t="s">
        <v>599</v>
      </c>
      <c r="B288" s="2">
        <v>43087.0</v>
      </c>
      <c r="C288" s="2" t="str">
        <f t="shared" si="1"/>
        <v>Dec</v>
      </c>
      <c r="D288" s="1" t="s">
        <v>600</v>
      </c>
      <c r="E288" s="1" t="s">
        <v>20</v>
      </c>
      <c r="F288" s="1" t="s">
        <v>601</v>
      </c>
      <c r="G288" s="1" t="s">
        <v>602</v>
      </c>
      <c r="H288" s="1" t="str">
        <f>IFERROR(__xludf.DUMMYFUNCTION("split(G288,"" "")"),"Alan")</f>
        <v>Alan</v>
      </c>
      <c r="I288" s="1" t="str">
        <f>IFERROR(__xludf.DUMMYFUNCTION("""COMPUTED_VALUE"""),"Haines")</f>
        <v>Haines</v>
      </c>
      <c r="J288" s="1" t="s">
        <v>34</v>
      </c>
      <c r="K288" s="1" t="s">
        <v>603</v>
      </c>
      <c r="L288" s="1" t="str">
        <f t="shared" si="2"/>
        <v>Tamarac</v>
      </c>
      <c r="M288" s="1" t="s">
        <v>145</v>
      </c>
      <c r="N288" s="1" t="str">
        <f t="shared" si="3"/>
        <v>Florida</v>
      </c>
      <c r="O288" s="1">
        <v>33319.0</v>
      </c>
      <c r="P288" s="1" t="s">
        <v>26</v>
      </c>
      <c r="Q288" s="1" t="s">
        <v>38</v>
      </c>
      <c r="R288" s="3">
        <v>254.058</v>
      </c>
      <c r="S288" s="1">
        <v>3.0</v>
      </c>
      <c r="T288" s="4">
        <v>253.74</v>
      </c>
    </row>
    <row r="289">
      <c r="A289" s="1" t="s">
        <v>599</v>
      </c>
      <c r="B289" s="2">
        <v>43087.0</v>
      </c>
      <c r="C289" s="2" t="str">
        <f t="shared" si="1"/>
        <v>Dec</v>
      </c>
      <c r="D289" s="1" t="s">
        <v>600</v>
      </c>
      <c r="E289" s="1" t="s">
        <v>20</v>
      </c>
      <c r="F289" s="1" t="s">
        <v>601</v>
      </c>
      <c r="G289" s="1" t="s">
        <v>602</v>
      </c>
      <c r="H289" s="1" t="str">
        <f>IFERROR(__xludf.DUMMYFUNCTION("split(G289,"" "")"),"Alan")</f>
        <v>Alan</v>
      </c>
      <c r="I289" s="1" t="str">
        <f>IFERROR(__xludf.DUMMYFUNCTION("""COMPUTED_VALUE"""),"Haines")</f>
        <v>Haines</v>
      </c>
      <c r="J289" s="1" t="s">
        <v>34</v>
      </c>
      <c r="K289" s="1" t="s">
        <v>603</v>
      </c>
      <c r="L289" s="1" t="str">
        <f t="shared" si="2"/>
        <v>Tamarac</v>
      </c>
      <c r="M289" s="1" t="s">
        <v>145</v>
      </c>
      <c r="N289" s="1" t="str">
        <f t="shared" si="3"/>
        <v>Florida</v>
      </c>
      <c r="O289" s="1">
        <v>33319.0</v>
      </c>
      <c r="P289" s="1" t="s">
        <v>26</v>
      </c>
      <c r="Q289" s="1" t="s">
        <v>38</v>
      </c>
      <c r="R289" s="3">
        <v>194.528</v>
      </c>
      <c r="S289" s="1">
        <v>3.0</v>
      </c>
      <c r="T289" s="4">
        <v>193.93</v>
      </c>
    </row>
    <row r="290">
      <c r="A290" s="1" t="s">
        <v>599</v>
      </c>
      <c r="B290" s="2">
        <v>43087.0</v>
      </c>
      <c r="C290" s="2" t="str">
        <f t="shared" si="1"/>
        <v>Dec</v>
      </c>
      <c r="D290" s="1" t="s">
        <v>600</v>
      </c>
      <c r="E290" s="1" t="s">
        <v>20</v>
      </c>
      <c r="F290" s="1" t="s">
        <v>601</v>
      </c>
      <c r="G290" s="1" t="s">
        <v>602</v>
      </c>
      <c r="H290" s="1" t="str">
        <f>IFERROR(__xludf.DUMMYFUNCTION("split(G290,"" "")"),"Alan")</f>
        <v>Alan</v>
      </c>
      <c r="I290" s="1" t="str">
        <f>IFERROR(__xludf.DUMMYFUNCTION("""COMPUTED_VALUE"""),"Haines")</f>
        <v>Haines</v>
      </c>
      <c r="J290" s="1" t="s">
        <v>34</v>
      </c>
      <c r="K290" s="1" t="s">
        <v>603</v>
      </c>
      <c r="L290" s="1" t="str">
        <f t="shared" si="2"/>
        <v>Tamarac</v>
      </c>
      <c r="M290" s="1" t="s">
        <v>145</v>
      </c>
      <c r="N290" s="1" t="str">
        <f t="shared" si="3"/>
        <v>Florida</v>
      </c>
      <c r="O290" s="1">
        <v>33319.0</v>
      </c>
      <c r="P290" s="1" t="s">
        <v>26</v>
      </c>
      <c r="Q290" s="1" t="s">
        <v>38</v>
      </c>
      <c r="R290" s="3">
        <v>961.48</v>
      </c>
      <c r="S290" s="1">
        <v>3.0</v>
      </c>
      <c r="T290" s="4">
        <v>961.3</v>
      </c>
    </row>
    <row r="291">
      <c r="A291" s="1" t="s">
        <v>604</v>
      </c>
      <c r="B291" s="2">
        <v>43059.0</v>
      </c>
      <c r="C291" s="2" t="str">
        <f t="shared" si="1"/>
        <v>Nov</v>
      </c>
      <c r="D291" s="1" t="s">
        <v>381</v>
      </c>
      <c r="E291" s="1" t="s">
        <v>20</v>
      </c>
      <c r="F291" s="1" t="s">
        <v>605</v>
      </c>
      <c r="G291" s="1" t="s">
        <v>606</v>
      </c>
      <c r="H291" s="1" t="str">
        <f>IFERROR(__xludf.DUMMYFUNCTION("split(G291,"" "")"),"Nick")</f>
        <v>Nick</v>
      </c>
      <c r="I291" s="1" t="str">
        <f>IFERROR(__xludf.DUMMYFUNCTION("""COMPUTED_VALUE"""),"Zandusky")</f>
        <v>Zandusky</v>
      </c>
      <c r="J291" s="1" t="s">
        <v>68</v>
      </c>
      <c r="K291" s="1" t="s">
        <v>303</v>
      </c>
      <c r="L291" s="1" t="str">
        <f t="shared" si="2"/>
        <v>Columbus</v>
      </c>
      <c r="M291" s="1" t="s">
        <v>304</v>
      </c>
      <c r="N291" s="1" t="str">
        <f t="shared" si="3"/>
        <v>Ohio</v>
      </c>
      <c r="O291" s="1">
        <v>43229.0</v>
      </c>
      <c r="P291" s="1" t="s">
        <v>100</v>
      </c>
      <c r="Q291" s="1" t="s">
        <v>38</v>
      </c>
      <c r="R291" s="3">
        <v>19.096</v>
      </c>
      <c r="S291" s="1">
        <v>4.0</v>
      </c>
      <c r="T291" s="4">
        <v>18.34</v>
      </c>
    </row>
    <row r="292">
      <c r="A292" s="1" t="s">
        <v>604</v>
      </c>
      <c r="B292" s="2">
        <v>43059.0</v>
      </c>
      <c r="C292" s="2" t="str">
        <f t="shared" si="1"/>
        <v>Nov</v>
      </c>
      <c r="D292" s="1" t="s">
        <v>381</v>
      </c>
      <c r="E292" s="1" t="s">
        <v>20</v>
      </c>
      <c r="F292" s="1" t="s">
        <v>605</v>
      </c>
      <c r="G292" s="1" t="s">
        <v>606</v>
      </c>
      <c r="H292" s="1" t="str">
        <f>IFERROR(__xludf.DUMMYFUNCTION("split(G292,"" "")"),"Nick")</f>
        <v>Nick</v>
      </c>
      <c r="I292" s="1" t="str">
        <f>IFERROR(__xludf.DUMMYFUNCTION("""COMPUTED_VALUE"""),"Zandusky")</f>
        <v>Zandusky</v>
      </c>
      <c r="J292" s="1" t="s">
        <v>68</v>
      </c>
      <c r="K292" s="1" t="s">
        <v>303</v>
      </c>
      <c r="L292" s="1" t="str">
        <f t="shared" si="2"/>
        <v>Columbus</v>
      </c>
      <c r="M292" s="1" t="s">
        <v>304</v>
      </c>
      <c r="N292" s="1" t="str">
        <f t="shared" si="3"/>
        <v>Ohio</v>
      </c>
      <c r="O292" s="1">
        <v>43229.0</v>
      </c>
      <c r="P292" s="1" t="s">
        <v>100</v>
      </c>
      <c r="Q292" s="1" t="s">
        <v>38</v>
      </c>
      <c r="R292" s="3">
        <v>18.496</v>
      </c>
      <c r="S292" s="1">
        <v>4.0</v>
      </c>
      <c r="T292" s="4">
        <v>18.02</v>
      </c>
    </row>
    <row r="293">
      <c r="A293" s="1" t="s">
        <v>604</v>
      </c>
      <c r="B293" s="2">
        <v>43059.0</v>
      </c>
      <c r="C293" s="2" t="str">
        <f t="shared" si="1"/>
        <v>Nov</v>
      </c>
      <c r="D293" s="1" t="s">
        <v>381</v>
      </c>
      <c r="E293" s="1" t="s">
        <v>20</v>
      </c>
      <c r="F293" s="1" t="s">
        <v>605</v>
      </c>
      <c r="G293" s="1" t="s">
        <v>606</v>
      </c>
      <c r="H293" s="1" t="str">
        <f>IFERROR(__xludf.DUMMYFUNCTION("split(G293,"" "")"),"Nick")</f>
        <v>Nick</v>
      </c>
      <c r="I293" s="1" t="str">
        <f>IFERROR(__xludf.DUMMYFUNCTION("""COMPUTED_VALUE"""),"Zandusky")</f>
        <v>Zandusky</v>
      </c>
      <c r="J293" s="1" t="s">
        <v>68</v>
      </c>
      <c r="K293" s="1" t="s">
        <v>303</v>
      </c>
      <c r="L293" s="1" t="str">
        <f t="shared" si="2"/>
        <v>Columbus</v>
      </c>
      <c r="M293" s="1" t="s">
        <v>304</v>
      </c>
      <c r="N293" s="1" t="str">
        <f t="shared" si="3"/>
        <v>Ohio</v>
      </c>
      <c r="O293" s="1">
        <v>43229.0</v>
      </c>
      <c r="P293" s="1" t="s">
        <v>100</v>
      </c>
      <c r="Q293" s="1" t="s">
        <v>51</v>
      </c>
      <c r="R293" s="3">
        <v>255.984</v>
      </c>
      <c r="S293" s="1">
        <v>4.0</v>
      </c>
      <c r="T293" s="4">
        <v>255.27</v>
      </c>
    </row>
    <row r="294">
      <c r="A294" s="1" t="s">
        <v>604</v>
      </c>
      <c r="B294" s="2">
        <v>43059.0</v>
      </c>
      <c r="C294" s="2" t="str">
        <f t="shared" si="1"/>
        <v>Nov</v>
      </c>
      <c r="D294" s="1" t="s">
        <v>381</v>
      </c>
      <c r="E294" s="1" t="s">
        <v>20</v>
      </c>
      <c r="F294" s="1" t="s">
        <v>605</v>
      </c>
      <c r="G294" s="1" t="s">
        <v>606</v>
      </c>
      <c r="H294" s="1" t="str">
        <f>IFERROR(__xludf.DUMMYFUNCTION("split(G294,"" "")"),"Nick")</f>
        <v>Nick</v>
      </c>
      <c r="I294" s="1" t="str">
        <f>IFERROR(__xludf.DUMMYFUNCTION("""COMPUTED_VALUE"""),"Zandusky")</f>
        <v>Zandusky</v>
      </c>
      <c r="J294" s="1" t="s">
        <v>68</v>
      </c>
      <c r="K294" s="1" t="s">
        <v>303</v>
      </c>
      <c r="L294" s="1" t="str">
        <f t="shared" si="2"/>
        <v>Columbus</v>
      </c>
      <c r="M294" s="1" t="s">
        <v>304</v>
      </c>
      <c r="N294" s="1" t="str">
        <f t="shared" si="3"/>
        <v>Ohio</v>
      </c>
      <c r="O294" s="1">
        <v>43229.0</v>
      </c>
      <c r="P294" s="1" t="s">
        <v>100</v>
      </c>
      <c r="Q294" s="1" t="s">
        <v>27</v>
      </c>
      <c r="R294" s="3">
        <v>86.97</v>
      </c>
      <c r="S294" s="1">
        <v>4.0</v>
      </c>
      <c r="T294" s="4">
        <v>86.48</v>
      </c>
    </row>
    <row r="295">
      <c r="A295" s="1" t="s">
        <v>607</v>
      </c>
      <c r="B295" s="2">
        <v>42364.0</v>
      </c>
      <c r="C295" s="2" t="str">
        <f t="shared" si="1"/>
        <v>Dec</v>
      </c>
      <c r="D295" s="1" t="s">
        <v>317</v>
      </c>
      <c r="E295" s="1" t="s">
        <v>121</v>
      </c>
      <c r="F295" s="1" t="s">
        <v>608</v>
      </c>
      <c r="G295" s="1" t="s">
        <v>609</v>
      </c>
      <c r="H295" s="1" t="str">
        <f>IFERROR(__xludf.DUMMYFUNCTION("split(G295,"" "")"),"Kelly")</f>
        <v>Kelly</v>
      </c>
      <c r="I295" s="1" t="str">
        <f>IFERROR(__xludf.DUMMYFUNCTION("""COMPUTED_VALUE"""),"Lampkin")</f>
        <v>Lampkin</v>
      </c>
      <c r="J295" s="1" t="s">
        <v>34</v>
      </c>
      <c r="K295" s="1" t="s">
        <v>610</v>
      </c>
      <c r="L295" s="1" t="str">
        <f t="shared" si="2"/>
        <v>Colorado Springs</v>
      </c>
      <c r="M295" s="1" t="s">
        <v>279</v>
      </c>
      <c r="N295" s="1" t="str">
        <f t="shared" si="3"/>
        <v>Colorado</v>
      </c>
      <c r="O295" s="1">
        <v>80906.0</v>
      </c>
      <c r="P295" s="1" t="s">
        <v>37</v>
      </c>
      <c r="Q295" s="1" t="s">
        <v>27</v>
      </c>
      <c r="R295" s="3">
        <v>300.416</v>
      </c>
      <c r="S295" s="1">
        <v>8.0</v>
      </c>
      <c r="T295" s="4">
        <v>299.42</v>
      </c>
    </row>
    <row r="296">
      <c r="A296" s="1" t="s">
        <v>607</v>
      </c>
      <c r="B296" s="2">
        <v>42364.0</v>
      </c>
      <c r="C296" s="2" t="str">
        <f t="shared" si="1"/>
        <v>Dec</v>
      </c>
      <c r="D296" s="1" t="s">
        <v>317</v>
      </c>
      <c r="E296" s="1" t="s">
        <v>121</v>
      </c>
      <c r="F296" s="1" t="s">
        <v>608</v>
      </c>
      <c r="G296" s="1" t="s">
        <v>609</v>
      </c>
      <c r="H296" s="1" t="str">
        <f>IFERROR(__xludf.DUMMYFUNCTION("split(G296,"" "")"),"Kelly")</f>
        <v>Kelly</v>
      </c>
      <c r="I296" s="1" t="str">
        <f>IFERROR(__xludf.DUMMYFUNCTION("""COMPUTED_VALUE"""),"Lampkin")</f>
        <v>Lampkin</v>
      </c>
      <c r="J296" s="1" t="s">
        <v>34</v>
      </c>
      <c r="K296" s="1" t="s">
        <v>610</v>
      </c>
      <c r="L296" s="1" t="str">
        <f t="shared" si="2"/>
        <v>Colorado Springs</v>
      </c>
      <c r="M296" s="1" t="s">
        <v>279</v>
      </c>
      <c r="N296" s="1" t="str">
        <f t="shared" si="3"/>
        <v>Colorado</v>
      </c>
      <c r="O296" s="1">
        <v>80906.0</v>
      </c>
      <c r="P296" s="1" t="s">
        <v>37</v>
      </c>
      <c r="Q296" s="1" t="s">
        <v>27</v>
      </c>
      <c r="R296" s="3">
        <v>230.352</v>
      </c>
      <c r="S296" s="1">
        <v>8.0</v>
      </c>
      <c r="T296" s="4">
        <v>229.78</v>
      </c>
    </row>
    <row r="297">
      <c r="A297" s="1" t="s">
        <v>607</v>
      </c>
      <c r="B297" s="2">
        <v>42364.0</v>
      </c>
      <c r="C297" s="2" t="str">
        <f t="shared" si="1"/>
        <v>Dec</v>
      </c>
      <c r="D297" s="1" t="s">
        <v>317</v>
      </c>
      <c r="E297" s="1" t="s">
        <v>121</v>
      </c>
      <c r="F297" s="1" t="s">
        <v>608</v>
      </c>
      <c r="G297" s="1" t="s">
        <v>609</v>
      </c>
      <c r="H297" s="1" t="str">
        <f>IFERROR(__xludf.DUMMYFUNCTION("split(G297,"" "")"),"Kelly")</f>
        <v>Kelly</v>
      </c>
      <c r="I297" s="1" t="str">
        <f>IFERROR(__xludf.DUMMYFUNCTION("""COMPUTED_VALUE"""),"Lampkin")</f>
        <v>Lampkin</v>
      </c>
      <c r="J297" s="1" t="s">
        <v>34</v>
      </c>
      <c r="K297" s="1" t="s">
        <v>610</v>
      </c>
      <c r="L297" s="1" t="str">
        <f t="shared" si="2"/>
        <v>Colorado Springs</v>
      </c>
      <c r="M297" s="1" t="s">
        <v>279</v>
      </c>
      <c r="N297" s="1" t="str">
        <f t="shared" si="3"/>
        <v>Colorado</v>
      </c>
      <c r="O297" s="1">
        <v>80906.0</v>
      </c>
      <c r="P297" s="1" t="s">
        <v>37</v>
      </c>
      <c r="Q297" s="1" t="s">
        <v>27</v>
      </c>
      <c r="R297" s="3">
        <v>218.352</v>
      </c>
      <c r="S297" s="1">
        <v>8.0</v>
      </c>
      <c r="T297" s="4">
        <v>218.02</v>
      </c>
    </row>
    <row r="298">
      <c r="A298" s="1" t="s">
        <v>607</v>
      </c>
      <c r="B298" s="2">
        <v>42364.0</v>
      </c>
      <c r="C298" s="2" t="str">
        <f t="shared" si="1"/>
        <v>Dec</v>
      </c>
      <c r="D298" s="1" t="s">
        <v>317</v>
      </c>
      <c r="E298" s="1" t="s">
        <v>121</v>
      </c>
      <c r="F298" s="1" t="s">
        <v>608</v>
      </c>
      <c r="G298" s="1" t="s">
        <v>609</v>
      </c>
      <c r="H298" s="1" t="str">
        <f>IFERROR(__xludf.DUMMYFUNCTION("split(G298,"" "")"),"Kelly")</f>
        <v>Kelly</v>
      </c>
      <c r="I298" s="1" t="str">
        <f>IFERROR(__xludf.DUMMYFUNCTION("""COMPUTED_VALUE"""),"Lampkin")</f>
        <v>Lampkin</v>
      </c>
      <c r="J298" s="1" t="s">
        <v>34</v>
      </c>
      <c r="K298" s="1" t="s">
        <v>610</v>
      </c>
      <c r="L298" s="1" t="str">
        <f t="shared" si="2"/>
        <v>Colorado Springs</v>
      </c>
      <c r="M298" s="1" t="s">
        <v>279</v>
      </c>
      <c r="N298" s="1" t="str">
        <f t="shared" si="3"/>
        <v>Colorado</v>
      </c>
      <c r="O298" s="1">
        <v>80906.0</v>
      </c>
      <c r="P298" s="1" t="s">
        <v>37</v>
      </c>
      <c r="Q298" s="1" t="s">
        <v>38</v>
      </c>
      <c r="R298" s="3">
        <v>78.6</v>
      </c>
      <c r="S298" s="1">
        <v>8.0</v>
      </c>
      <c r="T298" s="4">
        <v>78.29</v>
      </c>
    </row>
    <row r="299">
      <c r="A299" s="1" t="s">
        <v>607</v>
      </c>
      <c r="B299" s="2">
        <v>42364.0</v>
      </c>
      <c r="C299" s="2" t="str">
        <f t="shared" si="1"/>
        <v>Dec</v>
      </c>
      <c r="D299" s="1" t="s">
        <v>317</v>
      </c>
      <c r="E299" s="1" t="s">
        <v>121</v>
      </c>
      <c r="F299" s="1" t="s">
        <v>608</v>
      </c>
      <c r="G299" s="1" t="s">
        <v>609</v>
      </c>
      <c r="H299" s="1" t="str">
        <f>IFERROR(__xludf.DUMMYFUNCTION("split(G299,"" "")"),"Kelly")</f>
        <v>Kelly</v>
      </c>
      <c r="I299" s="1" t="str">
        <f>IFERROR(__xludf.DUMMYFUNCTION("""COMPUTED_VALUE"""),"Lampkin")</f>
        <v>Lampkin</v>
      </c>
      <c r="J299" s="1" t="s">
        <v>34</v>
      </c>
      <c r="K299" s="1" t="s">
        <v>610</v>
      </c>
      <c r="L299" s="1" t="str">
        <f t="shared" si="2"/>
        <v>Colorado Springs</v>
      </c>
      <c r="M299" s="1" t="s">
        <v>279</v>
      </c>
      <c r="N299" s="1" t="str">
        <f t="shared" si="3"/>
        <v>Colorado</v>
      </c>
      <c r="O299" s="1">
        <v>80906.0</v>
      </c>
      <c r="P299" s="1" t="s">
        <v>37</v>
      </c>
      <c r="Q299" s="1" t="s">
        <v>38</v>
      </c>
      <c r="R299" s="3">
        <v>27.552</v>
      </c>
      <c r="S299" s="1">
        <v>8.0</v>
      </c>
      <c r="T299" s="4">
        <v>27.54</v>
      </c>
    </row>
    <row r="300">
      <c r="A300" s="1" t="s">
        <v>611</v>
      </c>
      <c r="B300" s="2">
        <v>43036.0</v>
      </c>
      <c r="C300" s="2" t="str">
        <f t="shared" si="1"/>
        <v>Oct</v>
      </c>
      <c r="D300" s="6">
        <v>42805.0</v>
      </c>
      <c r="E300" s="1" t="s">
        <v>41</v>
      </c>
      <c r="F300" s="1" t="s">
        <v>341</v>
      </c>
      <c r="G300" s="1" t="s">
        <v>342</v>
      </c>
      <c r="H300" s="1" t="str">
        <f>IFERROR(__xludf.DUMMYFUNCTION("split(G300,"" "")"),"Jonathan")</f>
        <v>Jonathan</v>
      </c>
      <c r="I300" s="1" t="str">
        <f>IFERROR(__xludf.DUMMYFUNCTION("""COMPUTED_VALUE"""),"Doherty")</f>
        <v>Doherty</v>
      </c>
      <c r="J300" s="1" t="s">
        <v>34</v>
      </c>
      <c r="K300" s="1" t="s">
        <v>612</v>
      </c>
      <c r="L300" s="1" t="str">
        <f t="shared" si="2"/>
        <v>Belleville</v>
      </c>
      <c r="M300" s="1" t="s">
        <v>462</v>
      </c>
      <c r="N300" s="1" t="str">
        <f t="shared" si="3"/>
        <v>New Jersey</v>
      </c>
      <c r="O300" s="1">
        <v>7109.0</v>
      </c>
      <c r="P300" s="1" t="s">
        <v>100</v>
      </c>
      <c r="Q300" s="1" t="s">
        <v>38</v>
      </c>
      <c r="R300" s="3">
        <v>32.4</v>
      </c>
      <c r="S300" s="1">
        <v>7.0</v>
      </c>
      <c r="T300" s="4">
        <v>32.06</v>
      </c>
    </row>
    <row r="301">
      <c r="A301" s="1" t="s">
        <v>611</v>
      </c>
      <c r="B301" s="2">
        <v>43036.0</v>
      </c>
      <c r="C301" s="2" t="str">
        <f t="shared" si="1"/>
        <v>Oct</v>
      </c>
      <c r="D301" s="6">
        <v>42805.0</v>
      </c>
      <c r="E301" s="1" t="s">
        <v>41</v>
      </c>
      <c r="F301" s="1" t="s">
        <v>341</v>
      </c>
      <c r="G301" s="1" t="s">
        <v>342</v>
      </c>
      <c r="H301" s="1" t="str">
        <f>IFERROR(__xludf.DUMMYFUNCTION("split(G301,"" "")"),"Jonathan")</f>
        <v>Jonathan</v>
      </c>
      <c r="I301" s="1" t="str">
        <f>IFERROR(__xludf.DUMMYFUNCTION("""COMPUTED_VALUE"""),"Doherty")</f>
        <v>Doherty</v>
      </c>
      <c r="J301" s="1" t="s">
        <v>34</v>
      </c>
      <c r="K301" s="1" t="s">
        <v>612</v>
      </c>
      <c r="L301" s="1" t="str">
        <f t="shared" si="2"/>
        <v>Belleville</v>
      </c>
      <c r="M301" s="1" t="s">
        <v>462</v>
      </c>
      <c r="N301" s="1" t="str">
        <f t="shared" si="3"/>
        <v>New Jersey</v>
      </c>
      <c r="O301" s="1">
        <v>7109.0</v>
      </c>
      <c r="P301" s="1" t="s">
        <v>100</v>
      </c>
      <c r="Q301" s="1" t="s">
        <v>38</v>
      </c>
      <c r="R301" s="3">
        <v>1082.48</v>
      </c>
      <c r="S301" s="1">
        <v>7.0</v>
      </c>
      <c r="T301" s="4">
        <v>1081.82</v>
      </c>
    </row>
    <row r="302">
      <c r="A302" s="1" t="s">
        <v>611</v>
      </c>
      <c r="B302" s="2">
        <v>43036.0</v>
      </c>
      <c r="C302" s="2" t="str">
        <f t="shared" si="1"/>
        <v>Oct</v>
      </c>
      <c r="D302" s="6">
        <v>42805.0</v>
      </c>
      <c r="E302" s="1" t="s">
        <v>41</v>
      </c>
      <c r="F302" s="1" t="s">
        <v>341</v>
      </c>
      <c r="G302" s="1" t="s">
        <v>342</v>
      </c>
      <c r="H302" s="1" t="str">
        <f>IFERROR(__xludf.DUMMYFUNCTION("split(G302,"" "")"),"Jonathan")</f>
        <v>Jonathan</v>
      </c>
      <c r="I302" s="1" t="str">
        <f>IFERROR(__xludf.DUMMYFUNCTION("""COMPUTED_VALUE"""),"Doherty")</f>
        <v>Doherty</v>
      </c>
      <c r="J302" s="1" t="s">
        <v>34</v>
      </c>
      <c r="K302" s="1" t="s">
        <v>612</v>
      </c>
      <c r="L302" s="1" t="str">
        <f t="shared" si="2"/>
        <v>Belleville</v>
      </c>
      <c r="M302" s="1" t="s">
        <v>462</v>
      </c>
      <c r="N302" s="1" t="str">
        <f t="shared" si="3"/>
        <v>New Jersey</v>
      </c>
      <c r="O302" s="1">
        <v>7109.0</v>
      </c>
      <c r="P302" s="1" t="s">
        <v>100</v>
      </c>
      <c r="Q302" s="1" t="s">
        <v>38</v>
      </c>
      <c r="R302" s="3">
        <v>56.91</v>
      </c>
      <c r="S302" s="1">
        <v>7.0</v>
      </c>
      <c r="T302" s="4">
        <v>56.78</v>
      </c>
    </row>
    <row r="303">
      <c r="A303" s="1" t="s">
        <v>611</v>
      </c>
      <c r="B303" s="2">
        <v>43036.0</v>
      </c>
      <c r="C303" s="2" t="str">
        <f t="shared" si="1"/>
        <v>Oct</v>
      </c>
      <c r="D303" s="6">
        <v>42805.0</v>
      </c>
      <c r="E303" s="1" t="s">
        <v>41</v>
      </c>
      <c r="F303" s="1" t="s">
        <v>341</v>
      </c>
      <c r="G303" s="1" t="s">
        <v>342</v>
      </c>
      <c r="H303" s="1" t="str">
        <f>IFERROR(__xludf.DUMMYFUNCTION("split(G303,"" "")"),"Jonathan")</f>
        <v>Jonathan</v>
      </c>
      <c r="I303" s="1" t="str">
        <f>IFERROR(__xludf.DUMMYFUNCTION("""COMPUTED_VALUE"""),"Doherty")</f>
        <v>Doherty</v>
      </c>
      <c r="J303" s="1" t="s">
        <v>34</v>
      </c>
      <c r="K303" s="1" t="s">
        <v>612</v>
      </c>
      <c r="L303" s="1" t="str">
        <f t="shared" si="2"/>
        <v>Belleville</v>
      </c>
      <c r="M303" s="1" t="s">
        <v>462</v>
      </c>
      <c r="N303" s="1" t="str">
        <f t="shared" si="3"/>
        <v>New Jersey</v>
      </c>
      <c r="O303" s="1">
        <v>7109.0</v>
      </c>
      <c r="P303" s="1" t="s">
        <v>100</v>
      </c>
      <c r="Q303" s="1" t="s">
        <v>27</v>
      </c>
      <c r="R303" s="3">
        <v>77.6</v>
      </c>
      <c r="S303" s="1">
        <v>7.0</v>
      </c>
      <c r="T303" s="4">
        <v>76.91</v>
      </c>
    </row>
    <row r="304">
      <c r="A304" s="1" t="s">
        <v>611</v>
      </c>
      <c r="B304" s="2">
        <v>43036.0</v>
      </c>
      <c r="C304" s="2" t="str">
        <f t="shared" si="1"/>
        <v>Oct</v>
      </c>
      <c r="D304" s="6">
        <v>42805.0</v>
      </c>
      <c r="E304" s="1" t="s">
        <v>41</v>
      </c>
      <c r="F304" s="1" t="s">
        <v>341</v>
      </c>
      <c r="G304" s="1" t="s">
        <v>342</v>
      </c>
      <c r="H304" s="1" t="str">
        <f>IFERROR(__xludf.DUMMYFUNCTION("split(G304,"" "")"),"Jonathan")</f>
        <v>Jonathan</v>
      </c>
      <c r="I304" s="1" t="str">
        <f>IFERROR(__xludf.DUMMYFUNCTION("""COMPUTED_VALUE"""),"Doherty")</f>
        <v>Doherty</v>
      </c>
      <c r="J304" s="1" t="s">
        <v>34</v>
      </c>
      <c r="K304" s="1" t="s">
        <v>612</v>
      </c>
      <c r="L304" s="1" t="str">
        <f t="shared" si="2"/>
        <v>Belleville</v>
      </c>
      <c r="M304" s="1" t="s">
        <v>462</v>
      </c>
      <c r="N304" s="1" t="str">
        <f t="shared" si="3"/>
        <v>New Jersey</v>
      </c>
      <c r="O304" s="1">
        <v>7109.0</v>
      </c>
      <c r="P304" s="1" t="s">
        <v>100</v>
      </c>
      <c r="Q304" s="1" t="s">
        <v>38</v>
      </c>
      <c r="R304" s="3">
        <v>14.28</v>
      </c>
      <c r="S304" s="1">
        <v>7.0</v>
      </c>
      <c r="T304" s="4">
        <v>14.16</v>
      </c>
    </row>
    <row r="305">
      <c r="A305" s="1" t="s">
        <v>613</v>
      </c>
      <c r="B305" s="2">
        <v>43423.0</v>
      </c>
      <c r="C305" s="2" t="str">
        <f t="shared" si="1"/>
        <v>Nov</v>
      </c>
      <c r="D305" s="1" t="s">
        <v>614</v>
      </c>
      <c r="E305" s="1" t="s">
        <v>41</v>
      </c>
      <c r="F305" s="1" t="s">
        <v>502</v>
      </c>
      <c r="G305" s="1" t="s">
        <v>503</v>
      </c>
      <c r="H305" s="1" t="str">
        <f>IFERROR(__xludf.DUMMYFUNCTION("split(G305,"" "")"),"Jonathan")</f>
        <v>Jonathan</v>
      </c>
      <c r="I305" s="1" t="str">
        <f>IFERROR(__xludf.DUMMYFUNCTION("""COMPUTED_VALUE"""),"Howell")</f>
        <v>Howell</v>
      </c>
      <c r="J305" s="1" t="s">
        <v>23</v>
      </c>
      <c r="K305" s="1" t="s">
        <v>188</v>
      </c>
      <c r="L305" s="1" t="str">
        <f t="shared" si="2"/>
        <v>Chicago</v>
      </c>
      <c r="M305" s="1" t="s">
        <v>135</v>
      </c>
      <c r="N305" s="1" t="str">
        <f t="shared" si="3"/>
        <v>Illinois</v>
      </c>
      <c r="O305" s="1">
        <v>60623.0</v>
      </c>
      <c r="P305" s="1" t="s">
        <v>71</v>
      </c>
      <c r="Q305" s="1" t="s">
        <v>27</v>
      </c>
      <c r="R305" s="3">
        <v>219.075</v>
      </c>
      <c r="S305" s="1">
        <v>6.0</v>
      </c>
      <c r="T305" s="4">
        <v>218.6</v>
      </c>
    </row>
    <row r="306">
      <c r="A306" s="1" t="s">
        <v>615</v>
      </c>
      <c r="B306" s="2">
        <v>42465.0</v>
      </c>
      <c r="C306" s="2" t="str">
        <f t="shared" si="1"/>
        <v>Apr</v>
      </c>
      <c r="D306" s="6">
        <v>42618.0</v>
      </c>
      <c r="E306" s="1" t="s">
        <v>20</v>
      </c>
      <c r="F306" s="1" t="s">
        <v>616</v>
      </c>
      <c r="G306" s="1" t="s">
        <v>617</v>
      </c>
      <c r="H306" s="1" t="str">
        <f>IFERROR(__xludf.DUMMYFUNCTION("split(G306,"" "")"),"Alan")</f>
        <v>Alan</v>
      </c>
      <c r="I306" s="1" t="str">
        <f>IFERROR(__xludf.DUMMYFUNCTION("""COMPUTED_VALUE"""),"Schoenberger")</f>
        <v>Schoenberger</v>
      </c>
      <c r="J306" s="1" t="s">
        <v>34</v>
      </c>
      <c r="K306" s="1" t="s">
        <v>174</v>
      </c>
      <c r="L306" s="1" t="str">
        <f t="shared" si="2"/>
        <v>New York City</v>
      </c>
      <c r="M306" s="1" t="s">
        <v>175</v>
      </c>
      <c r="N306" s="1" t="str">
        <f t="shared" si="3"/>
        <v>New York</v>
      </c>
      <c r="O306" s="1">
        <v>10024.0</v>
      </c>
      <c r="P306" s="1" t="s">
        <v>100</v>
      </c>
      <c r="Q306" s="1" t="s">
        <v>27</v>
      </c>
      <c r="R306" s="3">
        <v>26.8</v>
      </c>
      <c r="S306" s="1">
        <v>1.0</v>
      </c>
      <c r="T306" s="4">
        <v>25.99</v>
      </c>
    </row>
    <row r="307">
      <c r="A307" s="1" t="s">
        <v>618</v>
      </c>
      <c r="B307" s="2">
        <v>42368.0</v>
      </c>
      <c r="C307" s="2" t="str">
        <f t="shared" si="1"/>
        <v>Dec</v>
      </c>
      <c r="D307" s="6">
        <v>42461.0</v>
      </c>
      <c r="E307" s="1" t="s">
        <v>41</v>
      </c>
      <c r="F307" s="1" t="s">
        <v>212</v>
      </c>
      <c r="G307" s="1" t="s">
        <v>213</v>
      </c>
      <c r="H307" s="1" t="str">
        <f>IFERROR(__xludf.DUMMYFUNCTION("split(G307,"" "")"),"Ken")</f>
        <v>Ken</v>
      </c>
      <c r="I307" s="1" t="str">
        <f>IFERROR(__xludf.DUMMYFUNCTION("""COMPUTED_VALUE"""),"Brennan")</f>
        <v>Brennan</v>
      </c>
      <c r="J307" s="1" t="s">
        <v>34</v>
      </c>
      <c r="K307" s="1" t="s">
        <v>619</v>
      </c>
      <c r="L307" s="1" t="str">
        <f t="shared" si="2"/>
        <v>Taylor</v>
      </c>
      <c r="M307" s="1" t="s">
        <v>157</v>
      </c>
      <c r="N307" s="1" t="str">
        <f t="shared" si="3"/>
        <v>Michigan</v>
      </c>
      <c r="O307" s="1">
        <v>48180.0</v>
      </c>
      <c r="P307" s="1" t="s">
        <v>71</v>
      </c>
      <c r="Q307" s="1" t="s">
        <v>38</v>
      </c>
      <c r="R307" s="3">
        <v>9.84</v>
      </c>
      <c r="S307" s="1">
        <v>4.0</v>
      </c>
      <c r="T307" s="4">
        <v>9.41</v>
      </c>
    </row>
    <row r="308">
      <c r="A308" s="1" t="s">
        <v>620</v>
      </c>
      <c r="B308" s="2">
        <v>42010.0</v>
      </c>
      <c r="C308" s="2" t="str">
        <f t="shared" si="1"/>
        <v>Jan</v>
      </c>
      <c r="D308" s="6">
        <v>42161.0</v>
      </c>
      <c r="E308" s="1" t="s">
        <v>41</v>
      </c>
      <c r="F308" s="1" t="s">
        <v>621</v>
      </c>
      <c r="G308" s="1" t="s">
        <v>622</v>
      </c>
      <c r="H308" s="1" t="str">
        <f>IFERROR(__xludf.DUMMYFUNCTION("split(G308,"" "")"),"Corey")</f>
        <v>Corey</v>
      </c>
      <c r="I308" s="1" t="str">
        <f>IFERROR(__xludf.DUMMYFUNCTION("""COMPUTED_VALUE"""),"Roper")</f>
        <v>Roper</v>
      </c>
      <c r="J308" s="1" t="s">
        <v>68</v>
      </c>
      <c r="K308" s="1" t="s">
        <v>623</v>
      </c>
      <c r="L308" s="1" t="str">
        <f t="shared" si="2"/>
        <v>Lakewood</v>
      </c>
      <c r="M308" s="1" t="s">
        <v>462</v>
      </c>
      <c r="N308" s="1" t="str">
        <f t="shared" si="3"/>
        <v>New Jersey</v>
      </c>
      <c r="O308" s="1">
        <v>8701.0</v>
      </c>
      <c r="P308" s="1" t="s">
        <v>100</v>
      </c>
      <c r="Q308" s="1" t="s">
        <v>38</v>
      </c>
      <c r="R308" s="3">
        <v>45.48</v>
      </c>
      <c r="S308" s="1">
        <v>8.0</v>
      </c>
      <c r="T308" s="4">
        <v>45.44</v>
      </c>
    </row>
    <row r="309">
      <c r="A309" s="1" t="s">
        <v>620</v>
      </c>
      <c r="B309" s="2">
        <v>42010.0</v>
      </c>
      <c r="C309" s="2" t="str">
        <f t="shared" si="1"/>
        <v>Jan</v>
      </c>
      <c r="D309" s="6">
        <v>42161.0</v>
      </c>
      <c r="E309" s="1" t="s">
        <v>41</v>
      </c>
      <c r="F309" s="1" t="s">
        <v>621</v>
      </c>
      <c r="G309" s="1" t="s">
        <v>622</v>
      </c>
      <c r="H309" s="1" t="str">
        <f>IFERROR(__xludf.DUMMYFUNCTION("split(G309,"" "")"),"Corey")</f>
        <v>Corey</v>
      </c>
      <c r="I309" s="1" t="str">
        <f>IFERROR(__xludf.DUMMYFUNCTION("""COMPUTED_VALUE"""),"Roper")</f>
        <v>Roper</v>
      </c>
      <c r="J309" s="1" t="s">
        <v>68</v>
      </c>
      <c r="K309" s="1" t="s">
        <v>623</v>
      </c>
      <c r="L309" s="1" t="str">
        <f t="shared" si="2"/>
        <v>Lakewood</v>
      </c>
      <c r="M309" s="1" t="s">
        <v>462</v>
      </c>
      <c r="N309" s="1" t="str">
        <f t="shared" si="3"/>
        <v>New Jersey</v>
      </c>
      <c r="O309" s="1">
        <v>8701.0</v>
      </c>
      <c r="P309" s="1" t="s">
        <v>100</v>
      </c>
      <c r="Q309" s="1" t="s">
        <v>38</v>
      </c>
      <c r="R309" s="3">
        <v>289.2</v>
      </c>
      <c r="S309" s="1">
        <v>8.0</v>
      </c>
      <c r="T309" s="4">
        <v>288.87</v>
      </c>
    </row>
    <row r="310">
      <c r="A310" s="1" t="s">
        <v>624</v>
      </c>
      <c r="B310" s="2">
        <v>43205.0</v>
      </c>
      <c r="C310" s="2" t="str">
        <f t="shared" si="1"/>
        <v>Apr</v>
      </c>
      <c r="D310" s="1" t="s">
        <v>625</v>
      </c>
      <c r="E310" s="1" t="s">
        <v>121</v>
      </c>
      <c r="F310" s="1" t="s">
        <v>626</v>
      </c>
      <c r="G310" s="1" t="s">
        <v>627</v>
      </c>
      <c r="H310" s="1" t="str">
        <f>IFERROR(__xludf.DUMMYFUNCTION("split(G310,"" "")"),"Shahid")</f>
        <v>Shahid</v>
      </c>
      <c r="I310" s="1" t="str">
        <f>IFERROR(__xludf.DUMMYFUNCTION("""COMPUTED_VALUE"""),"Hopkins")</f>
        <v>Hopkins</v>
      </c>
      <c r="J310" s="1" t="s">
        <v>23</v>
      </c>
      <c r="K310" s="1" t="s">
        <v>628</v>
      </c>
      <c r="L310" s="1" t="str">
        <f t="shared" si="2"/>
        <v>Arlington</v>
      </c>
      <c r="M310" s="1" t="s">
        <v>198</v>
      </c>
      <c r="N310" s="1" t="str">
        <f t="shared" si="3"/>
        <v>Virginia</v>
      </c>
      <c r="O310" s="1">
        <v>22204.0</v>
      </c>
      <c r="P310" s="1" t="s">
        <v>26</v>
      </c>
      <c r="Q310" s="1" t="s">
        <v>38</v>
      </c>
      <c r="R310" s="3">
        <v>4.89</v>
      </c>
      <c r="S310" s="1">
        <v>2.0</v>
      </c>
      <c r="T310" s="4">
        <v>4.36</v>
      </c>
    </row>
    <row r="311">
      <c r="A311" s="1" t="s">
        <v>629</v>
      </c>
      <c r="B311" s="2">
        <v>43078.0</v>
      </c>
      <c r="C311" s="2" t="str">
        <f t="shared" si="1"/>
        <v>Dec</v>
      </c>
      <c r="D311" s="1" t="s">
        <v>630</v>
      </c>
      <c r="E311" s="1" t="s">
        <v>20</v>
      </c>
      <c r="F311" s="1" t="s">
        <v>631</v>
      </c>
      <c r="G311" s="1" t="s">
        <v>632</v>
      </c>
      <c r="H311" s="1" t="str">
        <f>IFERROR(__xludf.DUMMYFUNCTION("split(G311,"" "")"),"Ben")</f>
        <v>Ben</v>
      </c>
      <c r="I311" s="1" t="str">
        <f>IFERROR(__xludf.DUMMYFUNCTION("""COMPUTED_VALUE"""),"Peterman")</f>
        <v>Peterman</v>
      </c>
      <c r="J311" s="1" t="s">
        <v>34</v>
      </c>
      <c r="K311" s="1" t="s">
        <v>633</v>
      </c>
      <c r="L311" s="1" t="str">
        <f t="shared" si="2"/>
        <v>Arvada</v>
      </c>
      <c r="M311" s="1" t="s">
        <v>279</v>
      </c>
      <c r="N311" s="1" t="str">
        <f t="shared" si="3"/>
        <v>Colorado</v>
      </c>
      <c r="O311" s="1">
        <v>80004.0</v>
      </c>
      <c r="P311" s="1" t="s">
        <v>37</v>
      </c>
      <c r="Q311" s="1" t="s">
        <v>27</v>
      </c>
      <c r="R311" s="3">
        <v>15.136</v>
      </c>
      <c r="S311" s="1">
        <v>8.0</v>
      </c>
      <c r="T311" s="4">
        <v>14.89</v>
      </c>
    </row>
    <row r="312">
      <c r="A312" s="1" t="s">
        <v>629</v>
      </c>
      <c r="B312" s="2">
        <v>43078.0</v>
      </c>
      <c r="C312" s="2" t="str">
        <f t="shared" si="1"/>
        <v>Dec</v>
      </c>
      <c r="D312" s="1" t="s">
        <v>630</v>
      </c>
      <c r="E312" s="1" t="s">
        <v>20</v>
      </c>
      <c r="F312" s="1" t="s">
        <v>631</v>
      </c>
      <c r="G312" s="1" t="s">
        <v>632</v>
      </c>
      <c r="H312" s="1" t="str">
        <f>IFERROR(__xludf.DUMMYFUNCTION("split(G312,"" "")"),"Ben")</f>
        <v>Ben</v>
      </c>
      <c r="I312" s="1" t="str">
        <f>IFERROR(__xludf.DUMMYFUNCTION("""COMPUTED_VALUE"""),"Peterman")</f>
        <v>Peterman</v>
      </c>
      <c r="J312" s="1" t="s">
        <v>34</v>
      </c>
      <c r="K312" s="1" t="s">
        <v>633</v>
      </c>
      <c r="L312" s="1" t="str">
        <f t="shared" si="2"/>
        <v>Arvada</v>
      </c>
      <c r="M312" s="1" t="s">
        <v>279</v>
      </c>
      <c r="N312" s="1" t="str">
        <f t="shared" si="3"/>
        <v>Colorado</v>
      </c>
      <c r="O312" s="1">
        <v>80004.0</v>
      </c>
      <c r="P312" s="1" t="s">
        <v>37</v>
      </c>
      <c r="Q312" s="1" t="s">
        <v>27</v>
      </c>
      <c r="R312" s="3">
        <v>466.768</v>
      </c>
      <c r="S312" s="1">
        <v>8.0</v>
      </c>
      <c r="T312" s="4">
        <v>465.9</v>
      </c>
    </row>
    <row r="313">
      <c r="A313" s="1" t="s">
        <v>629</v>
      </c>
      <c r="B313" s="2">
        <v>43078.0</v>
      </c>
      <c r="C313" s="2" t="str">
        <f t="shared" si="1"/>
        <v>Dec</v>
      </c>
      <c r="D313" s="1" t="s">
        <v>630</v>
      </c>
      <c r="E313" s="1" t="s">
        <v>20</v>
      </c>
      <c r="F313" s="1" t="s">
        <v>631</v>
      </c>
      <c r="G313" s="1" t="s">
        <v>632</v>
      </c>
      <c r="H313" s="1" t="str">
        <f>IFERROR(__xludf.DUMMYFUNCTION("split(G313,"" "")"),"Ben")</f>
        <v>Ben</v>
      </c>
      <c r="I313" s="1" t="str">
        <f>IFERROR(__xludf.DUMMYFUNCTION("""COMPUTED_VALUE"""),"Peterman")</f>
        <v>Peterman</v>
      </c>
      <c r="J313" s="1" t="s">
        <v>34</v>
      </c>
      <c r="K313" s="1" t="s">
        <v>633</v>
      </c>
      <c r="L313" s="1" t="str">
        <f t="shared" si="2"/>
        <v>Arvada</v>
      </c>
      <c r="M313" s="1" t="s">
        <v>279</v>
      </c>
      <c r="N313" s="1" t="str">
        <f t="shared" si="3"/>
        <v>Colorado</v>
      </c>
      <c r="O313" s="1">
        <v>80004.0</v>
      </c>
      <c r="P313" s="1" t="s">
        <v>37</v>
      </c>
      <c r="Q313" s="1" t="s">
        <v>27</v>
      </c>
      <c r="R313" s="3">
        <v>15.232</v>
      </c>
      <c r="S313" s="1">
        <v>8.0</v>
      </c>
      <c r="T313" s="4">
        <v>14.76</v>
      </c>
    </row>
    <row r="314">
      <c r="A314" s="1" t="s">
        <v>629</v>
      </c>
      <c r="B314" s="2">
        <v>43078.0</v>
      </c>
      <c r="C314" s="2" t="str">
        <f t="shared" si="1"/>
        <v>Dec</v>
      </c>
      <c r="D314" s="1" t="s">
        <v>630</v>
      </c>
      <c r="E314" s="1" t="s">
        <v>20</v>
      </c>
      <c r="F314" s="1" t="s">
        <v>631</v>
      </c>
      <c r="G314" s="1" t="s">
        <v>632</v>
      </c>
      <c r="H314" s="1" t="str">
        <f>IFERROR(__xludf.DUMMYFUNCTION("split(G314,"" "")"),"Ben")</f>
        <v>Ben</v>
      </c>
      <c r="I314" s="1" t="str">
        <f>IFERROR(__xludf.DUMMYFUNCTION("""COMPUTED_VALUE"""),"Peterman")</f>
        <v>Peterman</v>
      </c>
      <c r="J314" s="1" t="s">
        <v>34</v>
      </c>
      <c r="K314" s="1" t="s">
        <v>633</v>
      </c>
      <c r="L314" s="1" t="str">
        <f t="shared" si="2"/>
        <v>Arvada</v>
      </c>
      <c r="M314" s="1" t="s">
        <v>279</v>
      </c>
      <c r="N314" s="1" t="str">
        <f t="shared" si="3"/>
        <v>Colorado</v>
      </c>
      <c r="O314" s="1">
        <v>80004.0</v>
      </c>
      <c r="P314" s="1" t="s">
        <v>37</v>
      </c>
      <c r="Q314" s="1" t="s">
        <v>38</v>
      </c>
      <c r="R314" s="3">
        <v>6.264</v>
      </c>
      <c r="S314" s="1">
        <v>8.0</v>
      </c>
      <c r="T314" s="4">
        <v>5.52</v>
      </c>
    </row>
    <row r="315">
      <c r="A315" s="1" t="s">
        <v>634</v>
      </c>
      <c r="B315" s="2">
        <v>42274.0</v>
      </c>
      <c r="C315" s="2" t="str">
        <f t="shared" si="1"/>
        <v>Sep</v>
      </c>
      <c r="D315" s="6">
        <v>42073.0</v>
      </c>
      <c r="E315" s="1" t="s">
        <v>41</v>
      </c>
      <c r="F315" s="1" t="s">
        <v>635</v>
      </c>
      <c r="G315" s="1" t="s">
        <v>636</v>
      </c>
      <c r="H315" s="1" t="str">
        <f>IFERROR(__xludf.DUMMYFUNCTION("split(G315,"" "")"),"Thomas")</f>
        <v>Thomas</v>
      </c>
      <c r="I315" s="1" t="str">
        <f>IFERROR(__xludf.DUMMYFUNCTION("""COMPUTED_VALUE"""),"Seio")</f>
        <v>Seio</v>
      </c>
      <c r="J315" s="1" t="s">
        <v>34</v>
      </c>
      <c r="K315" s="1" t="s">
        <v>637</v>
      </c>
      <c r="L315" s="1" t="str">
        <f t="shared" si="2"/>
        <v>Hackensack</v>
      </c>
      <c r="M315" s="1" t="s">
        <v>462</v>
      </c>
      <c r="N315" s="1" t="str">
        <f t="shared" si="3"/>
        <v>New Jersey</v>
      </c>
      <c r="O315" s="1">
        <v>7601.0</v>
      </c>
      <c r="P315" s="1" t="s">
        <v>100</v>
      </c>
      <c r="Q315" s="1" t="s">
        <v>27</v>
      </c>
      <c r="R315" s="3">
        <v>87.54</v>
      </c>
      <c r="S315" s="1">
        <v>7.0</v>
      </c>
      <c r="T315" s="4">
        <v>87.11</v>
      </c>
    </row>
    <row r="316">
      <c r="A316" s="1" t="s">
        <v>638</v>
      </c>
      <c r="B316" s="2">
        <v>42255.0</v>
      </c>
      <c r="C316" s="2" t="str">
        <f t="shared" si="1"/>
        <v>Sep</v>
      </c>
      <c r="D316" s="1" t="s">
        <v>639</v>
      </c>
      <c r="E316" s="1" t="s">
        <v>41</v>
      </c>
      <c r="F316" s="1" t="s">
        <v>640</v>
      </c>
      <c r="G316" s="1" t="s">
        <v>641</v>
      </c>
      <c r="H316" s="1" t="str">
        <f>IFERROR(__xludf.DUMMYFUNCTION("split(G316,"" "")"),"Andy")</f>
        <v>Andy</v>
      </c>
      <c r="I316" s="1" t="str">
        <f>IFERROR(__xludf.DUMMYFUNCTION("""COMPUTED_VALUE"""),"Gerbode")</f>
        <v>Gerbode</v>
      </c>
      <c r="J316" s="1" t="s">
        <v>34</v>
      </c>
      <c r="K316" s="1" t="s">
        <v>642</v>
      </c>
      <c r="L316" s="1" t="str">
        <f t="shared" si="2"/>
        <v>Saint Petersburg</v>
      </c>
      <c r="M316" s="1" t="s">
        <v>145</v>
      </c>
      <c r="N316" s="1" t="str">
        <f t="shared" si="3"/>
        <v>Florida</v>
      </c>
      <c r="O316" s="1">
        <v>33710.0</v>
      </c>
      <c r="P316" s="1" t="s">
        <v>26</v>
      </c>
      <c r="Q316" s="1" t="s">
        <v>51</v>
      </c>
      <c r="R316" s="3">
        <v>178.384</v>
      </c>
      <c r="S316" s="1">
        <v>3.0</v>
      </c>
      <c r="T316" s="4">
        <v>178.32</v>
      </c>
    </row>
    <row r="317">
      <c r="A317" s="1" t="s">
        <v>638</v>
      </c>
      <c r="B317" s="2">
        <v>42255.0</v>
      </c>
      <c r="C317" s="2" t="str">
        <f t="shared" si="1"/>
        <v>Sep</v>
      </c>
      <c r="D317" s="1" t="s">
        <v>639</v>
      </c>
      <c r="E317" s="1" t="s">
        <v>41</v>
      </c>
      <c r="F317" s="1" t="s">
        <v>640</v>
      </c>
      <c r="G317" s="1" t="s">
        <v>641</v>
      </c>
      <c r="H317" s="1" t="str">
        <f>IFERROR(__xludf.DUMMYFUNCTION("split(G317,"" "")"),"Andy")</f>
        <v>Andy</v>
      </c>
      <c r="I317" s="1" t="str">
        <f>IFERROR(__xludf.DUMMYFUNCTION("""COMPUTED_VALUE"""),"Gerbode")</f>
        <v>Gerbode</v>
      </c>
      <c r="J317" s="1" t="s">
        <v>34</v>
      </c>
      <c r="K317" s="1" t="s">
        <v>642</v>
      </c>
      <c r="L317" s="1" t="str">
        <f t="shared" si="2"/>
        <v>Saint Petersburg</v>
      </c>
      <c r="M317" s="1" t="s">
        <v>145</v>
      </c>
      <c r="N317" s="1" t="str">
        <f t="shared" si="3"/>
        <v>Florida</v>
      </c>
      <c r="O317" s="1">
        <v>33710.0</v>
      </c>
      <c r="P317" s="1" t="s">
        <v>26</v>
      </c>
      <c r="Q317" s="1" t="s">
        <v>38</v>
      </c>
      <c r="R317" s="3">
        <v>15.552</v>
      </c>
      <c r="S317" s="1">
        <v>3.0</v>
      </c>
      <c r="T317" s="4">
        <v>15.28</v>
      </c>
    </row>
    <row r="318">
      <c r="A318" s="1" t="s">
        <v>643</v>
      </c>
      <c r="B318" s="2">
        <v>42366.0</v>
      </c>
      <c r="C318" s="2" t="str">
        <f t="shared" si="1"/>
        <v>Dec</v>
      </c>
      <c r="D318" s="1" t="s">
        <v>644</v>
      </c>
      <c r="E318" s="1" t="s">
        <v>121</v>
      </c>
      <c r="F318" s="1" t="s">
        <v>645</v>
      </c>
      <c r="G318" s="1" t="s">
        <v>646</v>
      </c>
      <c r="H318" s="1" t="str">
        <f>IFERROR(__xludf.DUMMYFUNCTION("split(G318,"" "")"),"Sung")</f>
        <v>Sung</v>
      </c>
      <c r="I318" s="1" t="str">
        <f>IFERROR(__xludf.DUMMYFUNCTION("""COMPUTED_VALUE"""),"Pak")</f>
        <v>Pak</v>
      </c>
      <c r="J318" s="1" t="s">
        <v>34</v>
      </c>
      <c r="K318" s="1" t="s">
        <v>98</v>
      </c>
      <c r="L318" s="1" t="str">
        <f t="shared" si="2"/>
        <v>Philadelphia</v>
      </c>
      <c r="M318" s="1" t="s">
        <v>99</v>
      </c>
      <c r="N318" s="1" t="str">
        <f t="shared" si="3"/>
        <v>Pennsylvania</v>
      </c>
      <c r="O318" s="1">
        <v>19143.0</v>
      </c>
      <c r="P318" s="1" t="s">
        <v>100</v>
      </c>
      <c r="Q318" s="1" t="s">
        <v>38</v>
      </c>
      <c r="R318" s="3">
        <v>99.136</v>
      </c>
      <c r="S318" s="1">
        <v>1.0</v>
      </c>
      <c r="T318" s="4">
        <v>99.02</v>
      </c>
    </row>
    <row r="319">
      <c r="A319" s="1" t="s">
        <v>647</v>
      </c>
      <c r="B319" s="2">
        <v>42105.0</v>
      </c>
      <c r="C319" s="2" t="str">
        <f t="shared" si="1"/>
        <v>Apr</v>
      </c>
      <c r="D319" s="6">
        <v>42258.0</v>
      </c>
      <c r="E319" s="1" t="s">
        <v>41</v>
      </c>
      <c r="F319" s="1" t="s">
        <v>648</v>
      </c>
      <c r="G319" s="1" t="s">
        <v>649</v>
      </c>
      <c r="H319" s="1" t="str">
        <f>IFERROR(__xludf.DUMMYFUNCTION("split(G319,"" "")"),"Nathan")</f>
        <v>Nathan</v>
      </c>
      <c r="I319" s="1" t="str">
        <f>IFERROR(__xludf.DUMMYFUNCTION("""COMPUTED_VALUE"""),"Mautz")</f>
        <v>Mautz</v>
      </c>
      <c r="J319" s="1" t="s">
        <v>68</v>
      </c>
      <c r="K319" s="1" t="s">
        <v>174</v>
      </c>
      <c r="L319" s="1" t="str">
        <f t="shared" si="2"/>
        <v>New York City</v>
      </c>
      <c r="M319" s="1" t="s">
        <v>175</v>
      </c>
      <c r="N319" s="1" t="str">
        <f t="shared" si="3"/>
        <v>New York</v>
      </c>
      <c r="O319" s="1">
        <v>10024.0</v>
      </c>
      <c r="P319" s="1" t="s">
        <v>100</v>
      </c>
      <c r="Q319" s="1" t="s">
        <v>27</v>
      </c>
      <c r="R319" s="3">
        <v>135.882</v>
      </c>
      <c r="S319" s="1">
        <v>1.0</v>
      </c>
      <c r="T319" s="4">
        <v>135.21</v>
      </c>
    </row>
    <row r="320">
      <c r="A320" s="1" t="s">
        <v>647</v>
      </c>
      <c r="B320" s="2">
        <v>42105.0</v>
      </c>
      <c r="C320" s="2" t="str">
        <f t="shared" si="1"/>
        <v>Apr</v>
      </c>
      <c r="D320" s="6">
        <v>42258.0</v>
      </c>
      <c r="E320" s="1" t="s">
        <v>41</v>
      </c>
      <c r="F320" s="1" t="s">
        <v>648</v>
      </c>
      <c r="G320" s="1" t="s">
        <v>649</v>
      </c>
      <c r="H320" s="1" t="str">
        <f>IFERROR(__xludf.DUMMYFUNCTION("split(G320,"" "")"),"Nathan")</f>
        <v>Nathan</v>
      </c>
      <c r="I320" s="1" t="str">
        <f>IFERROR(__xludf.DUMMYFUNCTION("""COMPUTED_VALUE"""),"Mautz")</f>
        <v>Mautz</v>
      </c>
      <c r="J320" s="1" t="s">
        <v>68</v>
      </c>
      <c r="K320" s="1" t="s">
        <v>174</v>
      </c>
      <c r="L320" s="1" t="str">
        <f t="shared" si="2"/>
        <v>New York City</v>
      </c>
      <c r="M320" s="1" t="s">
        <v>175</v>
      </c>
      <c r="N320" s="1" t="str">
        <f t="shared" si="3"/>
        <v>New York</v>
      </c>
      <c r="O320" s="1">
        <v>10024.0</v>
      </c>
      <c r="P320" s="1" t="s">
        <v>100</v>
      </c>
      <c r="Q320" s="1" t="s">
        <v>51</v>
      </c>
      <c r="R320" s="3">
        <v>3991.98</v>
      </c>
      <c r="S320" s="1">
        <v>1.0</v>
      </c>
      <c r="T320" s="4">
        <v>3991.36</v>
      </c>
    </row>
    <row r="321">
      <c r="A321" s="1" t="s">
        <v>647</v>
      </c>
      <c r="B321" s="2">
        <v>42105.0</v>
      </c>
      <c r="C321" s="2" t="str">
        <f t="shared" si="1"/>
        <v>Apr</v>
      </c>
      <c r="D321" s="6">
        <v>42258.0</v>
      </c>
      <c r="E321" s="1" t="s">
        <v>41</v>
      </c>
      <c r="F321" s="1" t="s">
        <v>648</v>
      </c>
      <c r="G321" s="1" t="s">
        <v>649</v>
      </c>
      <c r="H321" s="1" t="str">
        <f>IFERROR(__xludf.DUMMYFUNCTION("split(G321,"" "")"),"Nathan")</f>
        <v>Nathan</v>
      </c>
      <c r="I321" s="1" t="str">
        <f>IFERROR(__xludf.DUMMYFUNCTION("""COMPUTED_VALUE"""),"Mautz")</f>
        <v>Mautz</v>
      </c>
      <c r="J321" s="1" t="s">
        <v>68</v>
      </c>
      <c r="K321" s="1" t="s">
        <v>174</v>
      </c>
      <c r="L321" s="1" t="str">
        <f t="shared" si="2"/>
        <v>New York City</v>
      </c>
      <c r="M321" s="1" t="s">
        <v>175</v>
      </c>
      <c r="N321" s="1" t="str">
        <f t="shared" si="3"/>
        <v>New York</v>
      </c>
      <c r="O321" s="1">
        <v>10024.0</v>
      </c>
      <c r="P321" s="1" t="s">
        <v>100</v>
      </c>
      <c r="Q321" s="1" t="s">
        <v>51</v>
      </c>
      <c r="R321" s="3">
        <v>275.94</v>
      </c>
      <c r="S321" s="1">
        <v>1.0</v>
      </c>
      <c r="T321" s="4">
        <v>275.36</v>
      </c>
    </row>
    <row r="322">
      <c r="A322" s="1" t="s">
        <v>647</v>
      </c>
      <c r="B322" s="2">
        <v>42105.0</v>
      </c>
      <c r="C322" s="2" t="str">
        <f t="shared" si="1"/>
        <v>Apr</v>
      </c>
      <c r="D322" s="6">
        <v>42258.0</v>
      </c>
      <c r="E322" s="1" t="s">
        <v>41</v>
      </c>
      <c r="F322" s="1" t="s">
        <v>648</v>
      </c>
      <c r="G322" s="1" t="s">
        <v>649</v>
      </c>
      <c r="H322" s="1" t="str">
        <f>IFERROR(__xludf.DUMMYFUNCTION("split(G322,"" "")"),"Nathan")</f>
        <v>Nathan</v>
      </c>
      <c r="I322" s="1" t="str">
        <f>IFERROR(__xludf.DUMMYFUNCTION("""COMPUTED_VALUE"""),"Mautz")</f>
        <v>Mautz</v>
      </c>
      <c r="J322" s="1" t="s">
        <v>68</v>
      </c>
      <c r="K322" s="1" t="s">
        <v>174</v>
      </c>
      <c r="L322" s="1" t="str">
        <f t="shared" si="2"/>
        <v>New York City</v>
      </c>
      <c r="M322" s="1" t="s">
        <v>175</v>
      </c>
      <c r="N322" s="1" t="str">
        <f t="shared" si="3"/>
        <v>New York</v>
      </c>
      <c r="O322" s="1">
        <v>10024.0</v>
      </c>
      <c r="P322" s="1" t="s">
        <v>100</v>
      </c>
      <c r="Q322" s="1" t="s">
        <v>51</v>
      </c>
      <c r="R322" s="3">
        <v>360.0</v>
      </c>
      <c r="S322" s="1">
        <v>1.0</v>
      </c>
      <c r="T322" s="4">
        <v>359.42</v>
      </c>
    </row>
    <row r="323">
      <c r="A323" s="1" t="s">
        <v>647</v>
      </c>
      <c r="B323" s="2">
        <v>42105.0</v>
      </c>
      <c r="C323" s="2" t="str">
        <f t="shared" si="1"/>
        <v>Apr</v>
      </c>
      <c r="D323" s="6">
        <v>42258.0</v>
      </c>
      <c r="E323" s="1" t="s">
        <v>41</v>
      </c>
      <c r="F323" s="1" t="s">
        <v>648</v>
      </c>
      <c r="G323" s="1" t="s">
        <v>649</v>
      </c>
      <c r="H323" s="1" t="str">
        <f>IFERROR(__xludf.DUMMYFUNCTION("split(G323,"" "")"),"Nathan")</f>
        <v>Nathan</v>
      </c>
      <c r="I323" s="1" t="str">
        <f>IFERROR(__xludf.DUMMYFUNCTION("""COMPUTED_VALUE"""),"Mautz")</f>
        <v>Mautz</v>
      </c>
      <c r="J323" s="1" t="s">
        <v>68</v>
      </c>
      <c r="K323" s="1" t="s">
        <v>174</v>
      </c>
      <c r="L323" s="1" t="str">
        <f t="shared" si="2"/>
        <v>New York City</v>
      </c>
      <c r="M323" s="1" t="s">
        <v>175</v>
      </c>
      <c r="N323" s="1" t="str">
        <f t="shared" si="3"/>
        <v>New York</v>
      </c>
      <c r="O323" s="1">
        <v>10024.0</v>
      </c>
      <c r="P323" s="1" t="s">
        <v>100</v>
      </c>
      <c r="Q323" s="1" t="s">
        <v>38</v>
      </c>
      <c r="R323" s="3">
        <v>43.57</v>
      </c>
      <c r="S323" s="1">
        <v>1.0</v>
      </c>
      <c r="T323" s="4">
        <v>43.4</v>
      </c>
    </row>
    <row r="324">
      <c r="A324" s="1" t="s">
        <v>650</v>
      </c>
      <c r="B324" s="2">
        <v>42266.0</v>
      </c>
      <c r="C324" s="2" t="str">
        <f t="shared" si="1"/>
        <v>Sep</v>
      </c>
      <c r="D324" s="1" t="s">
        <v>651</v>
      </c>
      <c r="E324" s="1" t="s">
        <v>41</v>
      </c>
      <c r="F324" s="1" t="s">
        <v>652</v>
      </c>
      <c r="G324" s="1" t="s">
        <v>653</v>
      </c>
      <c r="H324" s="1" t="str">
        <f>IFERROR(__xludf.DUMMYFUNCTION("split(G324,"" "")"),"Frank")</f>
        <v>Frank</v>
      </c>
      <c r="I324" s="1" t="str">
        <f>IFERROR(__xludf.DUMMYFUNCTION("""COMPUTED_VALUE"""),"Atkinson")</f>
        <v>Atkinson</v>
      </c>
      <c r="J324" s="1" t="s">
        <v>34</v>
      </c>
      <c r="K324" s="1" t="s">
        <v>654</v>
      </c>
      <c r="L324" s="1" t="str">
        <f t="shared" si="2"/>
        <v>Long Beach</v>
      </c>
      <c r="M324" s="1" t="s">
        <v>52</v>
      </c>
      <c r="N324" s="1" t="str">
        <f t="shared" si="3"/>
        <v>California</v>
      </c>
      <c r="O324" s="1">
        <v>90805.0</v>
      </c>
      <c r="P324" s="1" t="s">
        <v>37</v>
      </c>
      <c r="Q324" s="1" t="s">
        <v>38</v>
      </c>
      <c r="R324" s="3">
        <v>7.16</v>
      </c>
      <c r="S324" s="1">
        <v>9.0</v>
      </c>
      <c r="T324" s="4">
        <v>6.57</v>
      </c>
    </row>
    <row r="325">
      <c r="A325" s="1" t="s">
        <v>655</v>
      </c>
      <c r="B325" s="2">
        <v>42848.0</v>
      </c>
      <c r="C325" s="2" t="str">
        <f t="shared" si="1"/>
        <v>Apr</v>
      </c>
      <c r="D325" s="1" t="s">
        <v>656</v>
      </c>
      <c r="E325" s="1" t="s">
        <v>41</v>
      </c>
      <c r="F325" s="1" t="s">
        <v>657</v>
      </c>
      <c r="G325" s="1" t="s">
        <v>658</v>
      </c>
      <c r="H325" s="1" t="str">
        <f>IFERROR(__xludf.DUMMYFUNCTION("split(G325,"" "")"),"Grace")</f>
        <v>Grace</v>
      </c>
      <c r="I325" s="1" t="str">
        <f>IFERROR(__xludf.DUMMYFUNCTION("""COMPUTED_VALUE"""),"Kelly")</f>
        <v>Kelly</v>
      </c>
      <c r="J325" s="1" t="s">
        <v>34</v>
      </c>
      <c r="K325" s="1" t="s">
        <v>659</v>
      </c>
      <c r="L325" s="1" t="str">
        <f t="shared" si="2"/>
        <v>Hesperia</v>
      </c>
      <c r="M325" s="1" t="s">
        <v>52</v>
      </c>
      <c r="N325" s="1" t="str">
        <f t="shared" si="3"/>
        <v>California</v>
      </c>
      <c r="O325" s="1">
        <v>92345.0</v>
      </c>
      <c r="P325" s="1" t="s">
        <v>37</v>
      </c>
      <c r="Q325" s="1" t="s">
        <v>38</v>
      </c>
      <c r="R325" s="3">
        <v>251.52</v>
      </c>
      <c r="S325" s="1">
        <v>9.0</v>
      </c>
      <c r="T325" s="4">
        <v>250.57</v>
      </c>
    </row>
    <row r="326">
      <c r="A326" s="1" t="s">
        <v>655</v>
      </c>
      <c r="B326" s="2">
        <v>42848.0</v>
      </c>
      <c r="C326" s="2" t="str">
        <f t="shared" si="1"/>
        <v>Apr</v>
      </c>
      <c r="D326" s="1" t="s">
        <v>656</v>
      </c>
      <c r="E326" s="1" t="s">
        <v>41</v>
      </c>
      <c r="F326" s="1" t="s">
        <v>657</v>
      </c>
      <c r="G326" s="1" t="s">
        <v>658</v>
      </c>
      <c r="H326" s="1" t="str">
        <f>IFERROR(__xludf.DUMMYFUNCTION("split(G326,"" "")"),"Grace")</f>
        <v>Grace</v>
      </c>
      <c r="I326" s="1" t="str">
        <f>IFERROR(__xludf.DUMMYFUNCTION("""COMPUTED_VALUE"""),"Kelly")</f>
        <v>Kelly</v>
      </c>
      <c r="J326" s="1" t="s">
        <v>34</v>
      </c>
      <c r="K326" s="1" t="s">
        <v>659</v>
      </c>
      <c r="L326" s="1" t="str">
        <f t="shared" si="2"/>
        <v>Hesperia</v>
      </c>
      <c r="M326" s="1" t="s">
        <v>52</v>
      </c>
      <c r="N326" s="1" t="str">
        <f t="shared" si="3"/>
        <v>California</v>
      </c>
      <c r="O326" s="1">
        <v>92345.0</v>
      </c>
      <c r="P326" s="1" t="s">
        <v>37</v>
      </c>
      <c r="Q326" s="1" t="s">
        <v>51</v>
      </c>
      <c r="R326" s="3">
        <v>99.99</v>
      </c>
      <c r="S326" s="1">
        <v>9.0</v>
      </c>
      <c r="T326" s="4">
        <v>99.99</v>
      </c>
    </row>
    <row r="327">
      <c r="A327" s="1" t="s">
        <v>660</v>
      </c>
      <c r="B327" s="2">
        <v>43170.0</v>
      </c>
      <c r="C327" s="2" t="str">
        <f t="shared" si="1"/>
        <v>Mar</v>
      </c>
      <c r="D327" s="6">
        <v>43231.0</v>
      </c>
      <c r="E327" s="1" t="s">
        <v>20</v>
      </c>
      <c r="F327" s="1" t="s">
        <v>661</v>
      </c>
      <c r="G327" s="1" t="s">
        <v>662</v>
      </c>
      <c r="H327" s="1" t="str">
        <f>IFERROR(__xludf.DUMMYFUNCTION("split(G327,"" "")"),"Don")</f>
        <v>Don</v>
      </c>
      <c r="I327" s="1" t="str">
        <f>IFERROR(__xludf.DUMMYFUNCTION("""COMPUTED_VALUE"""),"Jones")</f>
        <v>Jones</v>
      </c>
      <c r="J327" s="1" t="s">
        <v>34</v>
      </c>
      <c r="K327" s="1" t="s">
        <v>663</v>
      </c>
      <c r="L327" s="1" t="str">
        <f t="shared" si="2"/>
        <v>Murfreesboro</v>
      </c>
      <c r="M327" s="1" t="s">
        <v>210</v>
      </c>
      <c r="N327" s="1" t="str">
        <f t="shared" si="3"/>
        <v>Tennessee</v>
      </c>
      <c r="O327" s="1">
        <v>37130.0</v>
      </c>
      <c r="P327" s="1" t="s">
        <v>26</v>
      </c>
      <c r="Q327" s="1" t="s">
        <v>27</v>
      </c>
      <c r="R327" s="3">
        <v>15.992</v>
      </c>
      <c r="S327" s="1">
        <v>3.0</v>
      </c>
      <c r="T327" s="4">
        <v>15.43</v>
      </c>
    </row>
    <row r="328">
      <c r="A328" s="1" t="s">
        <v>664</v>
      </c>
      <c r="B328" s="2">
        <v>42977.0</v>
      </c>
      <c r="C328" s="2" t="str">
        <f t="shared" si="1"/>
        <v>Aug</v>
      </c>
      <c r="D328" s="6">
        <v>42744.0</v>
      </c>
      <c r="E328" s="1" t="s">
        <v>121</v>
      </c>
      <c r="F328" s="1" t="s">
        <v>665</v>
      </c>
      <c r="G328" s="1" t="s">
        <v>666</v>
      </c>
      <c r="H328" s="1" t="str">
        <f>IFERROR(__xludf.DUMMYFUNCTION("split(G328,"" "")"),"Patrick")</f>
        <v>Patrick</v>
      </c>
      <c r="I328" s="1" t="str">
        <f>IFERROR(__xludf.DUMMYFUNCTION("""COMPUTED_VALUE"""),"O'Brill")</f>
        <v>O'Brill</v>
      </c>
      <c r="J328" s="1" t="s">
        <v>23</v>
      </c>
      <c r="K328" s="1" t="s">
        <v>98</v>
      </c>
      <c r="L328" s="1" t="str">
        <f t="shared" si="2"/>
        <v>Philadelphia</v>
      </c>
      <c r="M328" s="1" t="s">
        <v>99</v>
      </c>
      <c r="N328" s="1" t="str">
        <f t="shared" si="3"/>
        <v>Pennsylvania</v>
      </c>
      <c r="O328" s="1">
        <v>19143.0</v>
      </c>
      <c r="P328" s="1" t="s">
        <v>100</v>
      </c>
      <c r="Q328" s="1" t="s">
        <v>51</v>
      </c>
      <c r="R328" s="3">
        <v>290.898</v>
      </c>
      <c r="S328" s="1">
        <v>1.0</v>
      </c>
      <c r="T328" s="4">
        <v>290.29</v>
      </c>
    </row>
    <row r="329">
      <c r="A329" s="1" t="s">
        <v>664</v>
      </c>
      <c r="B329" s="2">
        <v>42977.0</v>
      </c>
      <c r="C329" s="2" t="str">
        <f t="shared" si="1"/>
        <v>Aug</v>
      </c>
      <c r="D329" s="6">
        <v>42744.0</v>
      </c>
      <c r="E329" s="1" t="s">
        <v>121</v>
      </c>
      <c r="F329" s="1" t="s">
        <v>665</v>
      </c>
      <c r="G329" s="1" t="s">
        <v>666</v>
      </c>
      <c r="H329" s="1" t="str">
        <f>IFERROR(__xludf.DUMMYFUNCTION("split(G329,"" "")"),"Patrick")</f>
        <v>Patrick</v>
      </c>
      <c r="I329" s="1" t="str">
        <f>IFERROR(__xludf.DUMMYFUNCTION("""COMPUTED_VALUE"""),"O'Brill")</f>
        <v>O'Brill</v>
      </c>
      <c r="J329" s="1" t="s">
        <v>23</v>
      </c>
      <c r="K329" s="1" t="s">
        <v>98</v>
      </c>
      <c r="L329" s="1" t="str">
        <f t="shared" si="2"/>
        <v>Philadelphia</v>
      </c>
      <c r="M329" s="1" t="s">
        <v>99</v>
      </c>
      <c r="N329" s="1" t="str">
        <f t="shared" si="3"/>
        <v>Pennsylvania</v>
      </c>
      <c r="O329" s="1">
        <v>19143.0</v>
      </c>
      <c r="P329" s="1" t="s">
        <v>100</v>
      </c>
      <c r="Q329" s="1" t="s">
        <v>38</v>
      </c>
      <c r="R329" s="3">
        <v>54.224</v>
      </c>
      <c r="S329" s="1">
        <v>1.0</v>
      </c>
      <c r="T329" s="4">
        <v>53.98</v>
      </c>
    </row>
    <row r="330">
      <c r="A330" s="1" t="s">
        <v>664</v>
      </c>
      <c r="B330" s="2">
        <v>42977.0</v>
      </c>
      <c r="C330" s="2" t="str">
        <f t="shared" si="1"/>
        <v>Aug</v>
      </c>
      <c r="D330" s="6">
        <v>42744.0</v>
      </c>
      <c r="E330" s="1" t="s">
        <v>121</v>
      </c>
      <c r="F330" s="1" t="s">
        <v>665</v>
      </c>
      <c r="G330" s="1" t="s">
        <v>666</v>
      </c>
      <c r="H330" s="1" t="str">
        <f>IFERROR(__xludf.DUMMYFUNCTION("split(G330,"" "")"),"Patrick")</f>
        <v>Patrick</v>
      </c>
      <c r="I330" s="1" t="str">
        <f>IFERROR(__xludf.DUMMYFUNCTION("""COMPUTED_VALUE"""),"O'Brill")</f>
        <v>O'Brill</v>
      </c>
      <c r="J330" s="1" t="s">
        <v>23</v>
      </c>
      <c r="K330" s="1" t="s">
        <v>98</v>
      </c>
      <c r="L330" s="1" t="str">
        <f t="shared" si="2"/>
        <v>Philadelphia</v>
      </c>
      <c r="M330" s="1" t="s">
        <v>99</v>
      </c>
      <c r="N330" s="1" t="str">
        <f t="shared" si="3"/>
        <v>Pennsylvania</v>
      </c>
      <c r="O330" s="1">
        <v>19143.0</v>
      </c>
      <c r="P330" s="1" t="s">
        <v>100</v>
      </c>
      <c r="Q330" s="1" t="s">
        <v>27</v>
      </c>
      <c r="R330" s="3">
        <v>786.744</v>
      </c>
      <c r="S330" s="1">
        <v>1.0</v>
      </c>
      <c r="T330" s="4">
        <v>786.38</v>
      </c>
    </row>
    <row r="331">
      <c r="A331" s="1" t="s">
        <v>664</v>
      </c>
      <c r="B331" s="2">
        <v>42977.0</v>
      </c>
      <c r="C331" s="2" t="str">
        <f t="shared" si="1"/>
        <v>Aug</v>
      </c>
      <c r="D331" s="6">
        <v>42744.0</v>
      </c>
      <c r="E331" s="1" t="s">
        <v>121</v>
      </c>
      <c r="F331" s="1" t="s">
        <v>665</v>
      </c>
      <c r="G331" s="1" t="s">
        <v>666</v>
      </c>
      <c r="H331" s="1" t="str">
        <f>IFERROR(__xludf.DUMMYFUNCTION("split(G331,"" "")"),"Patrick")</f>
        <v>Patrick</v>
      </c>
      <c r="I331" s="1" t="str">
        <f>IFERROR(__xludf.DUMMYFUNCTION("""COMPUTED_VALUE"""),"O'Brill")</f>
        <v>O'Brill</v>
      </c>
      <c r="J331" s="1" t="s">
        <v>23</v>
      </c>
      <c r="K331" s="1" t="s">
        <v>98</v>
      </c>
      <c r="L331" s="1" t="str">
        <f t="shared" si="2"/>
        <v>Philadelphia</v>
      </c>
      <c r="M331" s="1" t="s">
        <v>99</v>
      </c>
      <c r="N331" s="1" t="str">
        <f t="shared" si="3"/>
        <v>Pennsylvania</v>
      </c>
      <c r="O331" s="1">
        <v>19143.0</v>
      </c>
      <c r="P331" s="1" t="s">
        <v>100</v>
      </c>
      <c r="Q331" s="1" t="s">
        <v>38</v>
      </c>
      <c r="R331" s="3">
        <v>100.24</v>
      </c>
      <c r="S331" s="1">
        <v>1.0</v>
      </c>
      <c r="T331" s="4">
        <v>99.24</v>
      </c>
    </row>
    <row r="332">
      <c r="A332" s="1" t="s">
        <v>664</v>
      </c>
      <c r="B332" s="2">
        <v>42977.0</v>
      </c>
      <c r="C332" s="2" t="str">
        <f t="shared" si="1"/>
        <v>Aug</v>
      </c>
      <c r="D332" s="6">
        <v>42744.0</v>
      </c>
      <c r="E332" s="1" t="s">
        <v>121</v>
      </c>
      <c r="F332" s="1" t="s">
        <v>665</v>
      </c>
      <c r="G332" s="1" t="s">
        <v>666</v>
      </c>
      <c r="H332" s="1" t="str">
        <f>IFERROR(__xludf.DUMMYFUNCTION("split(G332,"" "")"),"Patrick")</f>
        <v>Patrick</v>
      </c>
      <c r="I332" s="1" t="str">
        <f>IFERROR(__xludf.DUMMYFUNCTION("""COMPUTED_VALUE"""),"O'Brill")</f>
        <v>O'Brill</v>
      </c>
      <c r="J332" s="1" t="s">
        <v>23</v>
      </c>
      <c r="K332" s="1" t="s">
        <v>98</v>
      </c>
      <c r="L332" s="1" t="str">
        <f t="shared" si="2"/>
        <v>Philadelphia</v>
      </c>
      <c r="M332" s="1" t="s">
        <v>99</v>
      </c>
      <c r="N332" s="1" t="str">
        <f t="shared" si="3"/>
        <v>Pennsylvania</v>
      </c>
      <c r="O332" s="1">
        <v>19143.0</v>
      </c>
      <c r="P332" s="1" t="s">
        <v>100</v>
      </c>
      <c r="Q332" s="1" t="s">
        <v>38</v>
      </c>
      <c r="R332" s="3">
        <v>37.764</v>
      </c>
      <c r="S332" s="1">
        <v>1.0</v>
      </c>
      <c r="T332" s="4">
        <v>37.7</v>
      </c>
    </row>
    <row r="333">
      <c r="A333" s="1" t="s">
        <v>667</v>
      </c>
      <c r="B333" s="2">
        <v>42850.0</v>
      </c>
      <c r="C333" s="2" t="str">
        <f t="shared" si="1"/>
        <v>Apr</v>
      </c>
      <c r="D333" s="1" t="s">
        <v>668</v>
      </c>
      <c r="E333" s="1" t="s">
        <v>20</v>
      </c>
      <c r="F333" s="1" t="s">
        <v>669</v>
      </c>
      <c r="G333" s="1" t="s">
        <v>670</v>
      </c>
      <c r="H333" s="1" t="str">
        <f>IFERROR(__xludf.DUMMYFUNCTION("split(G333,"" "")"),"John")</f>
        <v>John</v>
      </c>
      <c r="I333" s="1" t="str">
        <f>IFERROR(__xludf.DUMMYFUNCTION("""COMPUTED_VALUE"""),"Lucas")</f>
        <v>Lucas</v>
      </c>
      <c r="J333" s="1" t="s">
        <v>23</v>
      </c>
      <c r="K333" s="1" t="s">
        <v>98</v>
      </c>
      <c r="L333" s="1" t="str">
        <f t="shared" si="2"/>
        <v>Philadelphia</v>
      </c>
      <c r="M333" s="1" t="s">
        <v>99</v>
      </c>
      <c r="N333" s="1" t="str">
        <f t="shared" si="3"/>
        <v>Pennsylvania</v>
      </c>
      <c r="O333" s="1">
        <v>19134.0</v>
      </c>
      <c r="P333" s="1" t="s">
        <v>100</v>
      </c>
      <c r="Q333" s="1" t="s">
        <v>51</v>
      </c>
      <c r="R333" s="3">
        <v>82.8</v>
      </c>
      <c r="S333" s="1">
        <v>1.0</v>
      </c>
      <c r="T333" s="4">
        <v>82.11</v>
      </c>
    </row>
    <row r="334">
      <c r="A334" s="1" t="s">
        <v>667</v>
      </c>
      <c r="B334" s="2">
        <v>42850.0</v>
      </c>
      <c r="C334" s="2" t="str">
        <f t="shared" si="1"/>
        <v>Apr</v>
      </c>
      <c r="D334" s="1" t="s">
        <v>668</v>
      </c>
      <c r="E334" s="1" t="s">
        <v>20</v>
      </c>
      <c r="F334" s="1" t="s">
        <v>669</v>
      </c>
      <c r="G334" s="1" t="s">
        <v>670</v>
      </c>
      <c r="H334" s="1" t="str">
        <f>IFERROR(__xludf.DUMMYFUNCTION("split(G334,"" "")"),"John")</f>
        <v>John</v>
      </c>
      <c r="I334" s="1" t="str">
        <f>IFERROR(__xludf.DUMMYFUNCTION("""COMPUTED_VALUE"""),"Lucas")</f>
        <v>Lucas</v>
      </c>
      <c r="J334" s="1" t="s">
        <v>23</v>
      </c>
      <c r="K334" s="1" t="s">
        <v>98</v>
      </c>
      <c r="L334" s="1" t="str">
        <f t="shared" si="2"/>
        <v>Philadelphia</v>
      </c>
      <c r="M334" s="1" t="s">
        <v>99</v>
      </c>
      <c r="N334" s="1" t="str">
        <f t="shared" si="3"/>
        <v>Pennsylvania</v>
      </c>
      <c r="O334" s="1">
        <v>19134.0</v>
      </c>
      <c r="P334" s="1" t="s">
        <v>100</v>
      </c>
      <c r="Q334" s="1" t="s">
        <v>38</v>
      </c>
      <c r="R334" s="3">
        <v>20.724</v>
      </c>
      <c r="S334" s="1">
        <v>1.0</v>
      </c>
      <c r="T334" s="4">
        <v>20.19</v>
      </c>
    </row>
    <row r="335">
      <c r="A335" s="1" t="s">
        <v>667</v>
      </c>
      <c r="B335" s="2">
        <v>42850.0</v>
      </c>
      <c r="C335" s="2" t="str">
        <f t="shared" si="1"/>
        <v>Apr</v>
      </c>
      <c r="D335" s="1" t="s">
        <v>668</v>
      </c>
      <c r="E335" s="1" t="s">
        <v>20</v>
      </c>
      <c r="F335" s="1" t="s">
        <v>669</v>
      </c>
      <c r="G335" s="1" t="s">
        <v>670</v>
      </c>
      <c r="H335" s="1" t="str">
        <f>IFERROR(__xludf.DUMMYFUNCTION("split(G335,"" "")"),"John")</f>
        <v>John</v>
      </c>
      <c r="I335" s="1" t="str">
        <f>IFERROR(__xludf.DUMMYFUNCTION("""COMPUTED_VALUE"""),"Lucas")</f>
        <v>Lucas</v>
      </c>
      <c r="J335" s="1" t="s">
        <v>23</v>
      </c>
      <c r="K335" s="1" t="s">
        <v>98</v>
      </c>
      <c r="L335" s="1" t="str">
        <f t="shared" si="2"/>
        <v>Philadelphia</v>
      </c>
      <c r="M335" s="1" t="s">
        <v>99</v>
      </c>
      <c r="N335" s="1" t="str">
        <f t="shared" si="3"/>
        <v>Pennsylvania</v>
      </c>
      <c r="O335" s="1">
        <v>19134.0</v>
      </c>
      <c r="P335" s="1" t="s">
        <v>100</v>
      </c>
      <c r="Q335" s="1" t="s">
        <v>38</v>
      </c>
      <c r="R335" s="3">
        <v>4.896</v>
      </c>
      <c r="S335" s="1">
        <v>1.0</v>
      </c>
      <c r="T335" s="4">
        <v>4.8</v>
      </c>
    </row>
    <row r="336">
      <c r="A336" s="1" t="s">
        <v>671</v>
      </c>
      <c r="B336" s="2">
        <v>42378.0</v>
      </c>
      <c r="C336" s="2" t="str">
        <f t="shared" si="1"/>
        <v>Jan</v>
      </c>
      <c r="D336" s="6">
        <v>42469.0</v>
      </c>
      <c r="E336" s="1" t="s">
        <v>20</v>
      </c>
      <c r="F336" s="1" t="s">
        <v>672</v>
      </c>
      <c r="G336" s="1" t="s">
        <v>673</v>
      </c>
      <c r="H336" s="1" t="str">
        <f>IFERROR(__xludf.DUMMYFUNCTION("split(G336,"" "")"),"Doug")</f>
        <v>Doug</v>
      </c>
      <c r="I336" s="1" t="str">
        <f>IFERROR(__xludf.DUMMYFUNCTION("""COMPUTED_VALUE"""),"Bickford")</f>
        <v>Bickford</v>
      </c>
      <c r="J336" s="1" t="s">
        <v>23</v>
      </c>
      <c r="K336" s="1" t="s">
        <v>35</v>
      </c>
      <c r="L336" s="1" t="str">
        <f t="shared" si="2"/>
        <v>Los Angeles</v>
      </c>
      <c r="M336" s="1" t="s">
        <v>52</v>
      </c>
      <c r="N336" s="1" t="str">
        <f t="shared" si="3"/>
        <v>California</v>
      </c>
      <c r="O336" s="1">
        <v>90045.0</v>
      </c>
      <c r="P336" s="1" t="s">
        <v>37</v>
      </c>
      <c r="Q336" s="1" t="s">
        <v>38</v>
      </c>
      <c r="R336" s="3">
        <v>4.752</v>
      </c>
      <c r="S336" s="1">
        <v>9.0</v>
      </c>
      <c r="T336" s="4">
        <v>4.63</v>
      </c>
    </row>
    <row r="337">
      <c r="A337" s="1" t="s">
        <v>671</v>
      </c>
      <c r="B337" s="2">
        <v>42378.0</v>
      </c>
      <c r="C337" s="2" t="str">
        <f t="shared" si="1"/>
        <v>Jan</v>
      </c>
      <c r="D337" s="6">
        <v>42469.0</v>
      </c>
      <c r="E337" s="1" t="s">
        <v>20</v>
      </c>
      <c r="F337" s="1" t="s">
        <v>672</v>
      </c>
      <c r="G337" s="1" t="s">
        <v>673</v>
      </c>
      <c r="H337" s="1" t="str">
        <f>IFERROR(__xludf.DUMMYFUNCTION("split(G337,"" "")"),"Doug")</f>
        <v>Doug</v>
      </c>
      <c r="I337" s="1" t="str">
        <f>IFERROR(__xludf.DUMMYFUNCTION("""COMPUTED_VALUE"""),"Bickford")</f>
        <v>Bickford</v>
      </c>
      <c r="J337" s="1" t="s">
        <v>23</v>
      </c>
      <c r="K337" s="1" t="s">
        <v>35</v>
      </c>
      <c r="L337" s="1" t="str">
        <f t="shared" si="2"/>
        <v>Los Angeles</v>
      </c>
      <c r="M337" s="1" t="s">
        <v>52</v>
      </c>
      <c r="N337" s="1" t="str">
        <f t="shared" si="3"/>
        <v>California</v>
      </c>
      <c r="O337" s="1">
        <v>90045.0</v>
      </c>
      <c r="P337" s="1" t="s">
        <v>37</v>
      </c>
      <c r="Q337" s="1" t="s">
        <v>51</v>
      </c>
      <c r="R337" s="3">
        <v>959.984</v>
      </c>
      <c r="S337" s="1">
        <v>9.0</v>
      </c>
      <c r="T337" s="4">
        <v>959.68</v>
      </c>
    </row>
    <row r="338">
      <c r="A338" s="1" t="s">
        <v>671</v>
      </c>
      <c r="B338" s="2">
        <v>42378.0</v>
      </c>
      <c r="C338" s="2" t="str">
        <f t="shared" si="1"/>
        <v>Jan</v>
      </c>
      <c r="D338" s="6">
        <v>42469.0</v>
      </c>
      <c r="E338" s="1" t="s">
        <v>20</v>
      </c>
      <c r="F338" s="1" t="s">
        <v>672</v>
      </c>
      <c r="G338" s="1" t="s">
        <v>673</v>
      </c>
      <c r="H338" s="1" t="str">
        <f>IFERROR(__xludf.DUMMYFUNCTION("split(G338,"" "")"),"Doug")</f>
        <v>Doug</v>
      </c>
      <c r="I338" s="1" t="str">
        <f>IFERROR(__xludf.DUMMYFUNCTION("""COMPUTED_VALUE"""),"Bickford")</f>
        <v>Bickford</v>
      </c>
      <c r="J338" s="1" t="s">
        <v>23</v>
      </c>
      <c r="K338" s="1" t="s">
        <v>35</v>
      </c>
      <c r="L338" s="1" t="str">
        <f t="shared" si="2"/>
        <v>Los Angeles</v>
      </c>
      <c r="M338" s="1" t="s">
        <v>52</v>
      </c>
      <c r="N338" s="1" t="str">
        <f t="shared" si="3"/>
        <v>California</v>
      </c>
      <c r="O338" s="1">
        <v>90045.0</v>
      </c>
      <c r="P338" s="1" t="s">
        <v>37</v>
      </c>
      <c r="Q338" s="1" t="s">
        <v>38</v>
      </c>
      <c r="R338" s="3">
        <v>14.368</v>
      </c>
      <c r="S338" s="1">
        <v>9.0</v>
      </c>
      <c r="T338" s="4">
        <v>13.73</v>
      </c>
    </row>
    <row r="339">
      <c r="A339" s="1" t="s">
        <v>674</v>
      </c>
      <c r="B339" s="2">
        <v>42345.0</v>
      </c>
      <c r="C339" s="2" t="str">
        <f t="shared" si="1"/>
        <v>Dec</v>
      </c>
      <c r="D339" s="1" t="s">
        <v>675</v>
      </c>
      <c r="E339" s="1" t="s">
        <v>41</v>
      </c>
      <c r="F339" s="1" t="s">
        <v>676</v>
      </c>
      <c r="G339" s="1" t="s">
        <v>677</v>
      </c>
      <c r="H339" s="1" t="str">
        <f>IFERROR(__xludf.DUMMYFUNCTION("split(G339,"" "")"),"Alyssa")</f>
        <v>Alyssa</v>
      </c>
      <c r="I339" s="1" t="str">
        <f>IFERROR(__xludf.DUMMYFUNCTION("""COMPUTED_VALUE"""),"Crouse")</f>
        <v>Crouse</v>
      </c>
      <c r="J339" s="1" t="s">
        <v>34</v>
      </c>
      <c r="K339" s="1" t="s">
        <v>87</v>
      </c>
      <c r="L339" s="1" t="str">
        <f t="shared" si="2"/>
        <v>San Francisco</v>
      </c>
      <c r="M339" s="1" t="s">
        <v>52</v>
      </c>
      <c r="N339" s="1" t="str">
        <f t="shared" si="3"/>
        <v>California</v>
      </c>
      <c r="O339" s="1">
        <v>94122.0</v>
      </c>
      <c r="P339" s="1" t="s">
        <v>37</v>
      </c>
      <c r="Q339" s="1" t="s">
        <v>38</v>
      </c>
      <c r="R339" s="3">
        <v>7.712</v>
      </c>
      <c r="S339" s="1">
        <v>9.0</v>
      </c>
      <c r="T339" s="4">
        <v>7.19</v>
      </c>
    </row>
    <row r="340">
      <c r="A340" s="1" t="s">
        <v>674</v>
      </c>
      <c r="B340" s="2">
        <v>42345.0</v>
      </c>
      <c r="C340" s="2" t="str">
        <f t="shared" si="1"/>
        <v>Dec</v>
      </c>
      <c r="D340" s="1" t="s">
        <v>675</v>
      </c>
      <c r="E340" s="1" t="s">
        <v>41</v>
      </c>
      <c r="F340" s="1" t="s">
        <v>676</v>
      </c>
      <c r="G340" s="1" t="s">
        <v>677</v>
      </c>
      <c r="H340" s="1" t="str">
        <f>IFERROR(__xludf.DUMMYFUNCTION("split(G340,"" "")"),"Alyssa")</f>
        <v>Alyssa</v>
      </c>
      <c r="I340" s="1" t="str">
        <f>IFERROR(__xludf.DUMMYFUNCTION("""COMPUTED_VALUE"""),"Crouse")</f>
        <v>Crouse</v>
      </c>
      <c r="J340" s="1" t="s">
        <v>34</v>
      </c>
      <c r="K340" s="1" t="s">
        <v>87</v>
      </c>
      <c r="L340" s="1" t="str">
        <f t="shared" si="2"/>
        <v>San Francisco</v>
      </c>
      <c r="M340" s="1" t="s">
        <v>52</v>
      </c>
      <c r="N340" s="1" t="str">
        <f t="shared" si="3"/>
        <v>California</v>
      </c>
      <c r="O340" s="1">
        <v>94122.0</v>
      </c>
      <c r="P340" s="1" t="s">
        <v>37</v>
      </c>
      <c r="Q340" s="1" t="s">
        <v>27</v>
      </c>
      <c r="R340" s="3">
        <v>698.352</v>
      </c>
      <c r="S340" s="1">
        <v>9.0</v>
      </c>
      <c r="T340" s="4">
        <v>698.24</v>
      </c>
    </row>
    <row r="341">
      <c r="A341" s="1" t="s">
        <v>678</v>
      </c>
      <c r="B341" s="2">
        <v>42543.0</v>
      </c>
      <c r="C341" s="2" t="str">
        <f t="shared" si="1"/>
        <v>Jun</v>
      </c>
      <c r="D341" s="1" t="s">
        <v>679</v>
      </c>
      <c r="E341" s="1" t="s">
        <v>20</v>
      </c>
      <c r="F341" s="1" t="s">
        <v>528</v>
      </c>
      <c r="G341" s="1" t="s">
        <v>529</v>
      </c>
      <c r="H341" s="1" t="str">
        <f>IFERROR(__xludf.DUMMYFUNCTION("split(G341,"" "")"),"Ken")</f>
        <v>Ken</v>
      </c>
      <c r="I341" s="1" t="str">
        <f>IFERROR(__xludf.DUMMYFUNCTION("""COMPUTED_VALUE"""),"Lonsdale")</f>
        <v>Lonsdale</v>
      </c>
      <c r="J341" s="1" t="s">
        <v>23</v>
      </c>
      <c r="K341" s="1" t="s">
        <v>680</v>
      </c>
      <c r="L341" s="1" t="str">
        <f t="shared" si="2"/>
        <v>Layton</v>
      </c>
      <c r="M341" s="1" t="s">
        <v>83</v>
      </c>
      <c r="N341" s="1" t="str">
        <f t="shared" si="3"/>
        <v>Utah</v>
      </c>
      <c r="O341" s="1">
        <v>84041.0</v>
      </c>
      <c r="P341" s="1" t="s">
        <v>37</v>
      </c>
      <c r="Q341" s="1" t="s">
        <v>38</v>
      </c>
      <c r="R341" s="3">
        <v>4.96</v>
      </c>
      <c r="S341" s="1">
        <v>8.0</v>
      </c>
      <c r="T341" s="4">
        <v>4.45</v>
      </c>
    </row>
    <row r="342">
      <c r="A342" s="1" t="s">
        <v>681</v>
      </c>
      <c r="B342" s="2">
        <v>42107.0</v>
      </c>
      <c r="C342" s="2" t="str">
        <f t="shared" si="1"/>
        <v>Apr</v>
      </c>
      <c r="D342" s="1" t="s">
        <v>682</v>
      </c>
      <c r="E342" s="1" t="s">
        <v>20</v>
      </c>
      <c r="F342" s="1" t="s">
        <v>341</v>
      </c>
      <c r="G342" s="1" t="s">
        <v>342</v>
      </c>
      <c r="H342" s="1" t="str">
        <f>IFERROR(__xludf.DUMMYFUNCTION("split(G342,"" "")"),"Jonathan")</f>
        <v>Jonathan</v>
      </c>
      <c r="I342" s="1" t="str">
        <f>IFERROR(__xludf.DUMMYFUNCTION("""COMPUTED_VALUE"""),"Doherty")</f>
        <v>Doherty</v>
      </c>
      <c r="J342" s="1" t="s">
        <v>34</v>
      </c>
      <c r="K342" s="1" t="s">
        <v>98</v>
      </c>
      <c r="L342" s="1" t="str">
        <f t="shared" si="2"/>
        <v>Philadelphia</v>
      </c>
      <c r="M342" s="1" t="s">
        <v>99</v>
      </c>
      <c r="N342" s="1" t="str">
        <f t="shared" si="3"/>
        <v>Pennsylvania</v>
      </c>
      <c r="O342" s="1">
        <v>19140.0</v>
      </c>
      <c r="P342" s="1" t="s">
        <v>100</v>
      </c>
      <c r="Q342" s="1" t="s">
        <v>38</v>
      </c>
      <c r="R342" s="3">
        <v>17.856</v>
      </c>
      <c r="S342" s="1">
        <v>1.0</v>
      </c>
      <c r="T342" s="4">
        <v>17.12</v>
      </c>
    </row>
    <row r="343">
      <c r="A343" s="1" t="s">
        <v>681</v>
      </c>
      <c r="B343" s="2">
        <v>42107.0</v>
      </c>
      <c r="C343" s="2" t="str">
        <f t="shared" si="1"/>
        <v>Apr</v>
      </c>
      <c r="D343" s="1" t="s">
        <v>682</v>
      </c>
      <c r="E343" s="1" t="s">
        <v>20</v>
      </c>
      <c r="F343" s="1" t="s">
        <v>341</v>
      </c>
      <c r="G343" s="1" t="s">
        <v>342</v>
      </c>
      <c r="H343" s="1" t="str">
        <f>IFERROR(__xludf.DUMMYFUNCTION("split(G343,"" "")"),"Jonathan")</f>
        <v>Jonathan</v>
      </c>
      <c r="I343" s="1" t="str">
        <f>IFERROR(__xludf.DUMMYFUNCTION("""COMPUTED_VALUE"""),"Doherty")</f>
        <v>Doherty</v>
      </c>
      <c r="J343" s="1" t="s">
        <v>34</v>
      </c>
      <c r="K343" s="1" t="s">
        <v>98</v>
      </c>
      <c r="L343" s="1" t="str">
        <f t="shared" si="2"/>
        <v>Philadelphia</v>
      </c>
      <c r="M343" s="1" t="s">
        <v>99</v>
      </c>
      <c r="N343" s="1" t="str">
        <f t="shared" si="3"/>
        <v>Pennsylvania</v>
      </c>
      <c r="O343" s="1">
        <v>19140.0</v>
      </c>
      <c r="P343" s="1" t="s">
        <v>100</v>
      </c>
      <c r="Q343" s="1" t="s">
        <v>38</v>
      </c>
      <c r="R343" s="3">
        <v>509.97</v>
      </c>
      <c r="S343" s="1">
        <v>1.0</v>
      </c>
      <c r="T343" s="4">
        <v>509.93</v>
      </c>
    </row>
    <row r="344">
      <c r="A344" s="1" t="s">
        <v>681</v>
      </c>
      <c r="B344" s="2">
        <v>42107.0</v>
      </c>
      <c r="C344" s="2" t="str">
        <f t="shared" si="1"/>
        <v>Apr</v>
      </c>
      <c r="D344" s="1" t="s">
        <v>682</v>
      </c>
      <c r="E344" s="1" t="s">
        <v>20</v>
      </c>
      <c r="F344" s="1" t="s">
        <v>341</v>
      </c>
      <c r="G344" s="1" t="s">
        <v>342</v>
      </c>
      <c r="H344" s="1" t="str">
        <f>IFERROR(__xludf.DUMMYFUNCTION("split(G344,"" "")"),"Jonathan")</f>
        <v>Jonathan</v>
      </c>
      <c r="I344" s="1" t="str">
        <f>IFERROR(__xludf.DUMMYFUNCTION("""COMPUTED_VALUE"""),"Doherty")</f>
        <v>Doherty</v>
      </c>
      <c r="J344" s="1" t="s">
        <v>34</v>
      </c>
      <c r="K344" s="1" t="s">
        <v>98</v>
      </c>
      <c r="L344" s="1" t="str">
        <f t="shared" si="2"/>
        <v>Philadelphia</v>
      </c>
      <c r="M344" s="1" t="s">
        <v>99</v>
      </c>
      <c r="N344" s="1" t="str">
        <f t="shared" si="3"/>
        <v>Pennsylvania</v>
      </c>
      <c r="O344" s="1">
        <v>19140.0</v>
      </c>
      <c r="P344" s="1" t="s">
        <v>100</v>
      </c>
      <c r="Q344" s="1" t="s">
        <v>38</v>
      </c>
      <c r="R344" s="3">
        <v>30.992</v>
      </c>
      <c r="S344" s="1">
        <v>1.0</v>
      </c>
      <c r="T344" s="4">
        <v>30.06</v>
      </c>
    </row>
    <row r="345">
      <c r="A345" s="1" t="s">
        <v>681</v>
      </c>
      <c r="B345" s="2">
        <v>42107.0</v>
      </c>
      <c r="C345" s="2" t="str">
        <f t="shared" si="1"/>
        <v>Apr</v>
      </c>
      <c r="D345" s="1" t="s">
        <v>682</v>
      </c>
      <c r="E345" s="1" t="s">
        <v>20</v>
      </c>
      <c r="F345" s="1" t="s">
        <v>341</v>
      </c>
      <c r="G345" s="1" t="s">
        <v>342</v>
      </c>
      <c r="H345" s="1" t="str">
        <f>IFERROR(__xludf.DUMMYFUNCTION("split(G345,"" "")"),"Jonathan")</f>
        <v>Jonathan</v>
      </c>
      <c r="I345" s="1" t="str">
        <f>IFERROR(__xludf.DUMMYFUNCTION("""COMPUTED_VALUE"""),"Doherty")</f>
        <v>Doherty</v>
      </c>
      <c r="J345" s="1" t="s">
        <v>34</v>
      </c>
      <c r="K345" s="1" t="s">
        <v>98</v>
      </c>
      <c r="L345" s="1" t="str">
        <f t="shared" si="2"/>
        <v>Philadelphia</v>
      </c>
      <c r="M345" s="1" t="s">
        <v>99</v>
      </c>
      <c r="N345" s="1" t="str">
        <f t="shared" si="3"/>
        <v>Pennsylvania</v>
      </c>
      <c r="O345" s="1">
        <v>19140.0</v>
      </c>
      <c r="P345" s="1" t="s">
        <v>100</v>
      </c>
      <c r="Q345" s="1" t="s">
        <v>51</v>
      </c>
      <c r="R345" s="3">
        <v>71.928</v>
      </c>
      <c r="S345" s="1">
        <v>1.0</v>
      </c>
      <c r="T345" s="4">
        <v>71.77</v>
      </c>
    </row>
    <row r="346">
      <c r="A346" s="1" t="s">
        <v>683</v>
      </c>
      <c r="B346" s="2">
        <v>42724.0</v>
      </c>
      <c r="C346" s="2" t="str">
        <f t="shared" si="1"/>
        <v>Dec</v>
      </c>
      <c r="D346" s="1" t="s">
        <v>684</v>
      </c>
      <c r="E346" s="1" t="s">
        <v>41</v>
      </c>
      <c r="F346" s="1" t="s">
        <v>406</v>
      </c>
      <c r="G346" s="1" t="s">
        <v>407</v>
      </c>
      <c r="H346" s="1" t="str">
        <f>IFERROR(__xludf.DUMMYFUNCTION("split(G346,"" "")"),"Chad")</f>
        <v>Chad</v>
      </c>
      <c r="I346" s="1" t="str">
        <f>IFERROR(__xludf.DUMMYFUNCTION("""COMPUTED_VALUE"""),"Sievert")</f>
        <v>Sievert</v>
      </c>
      <c r="J346" s="1" t="s">
        <v>23</v>
      </c>
      <c r="K346" s="1" t="s">
        <v>685</v>
      </c>
      <c r="L346" s="1" t="str">
        <f t="shared" si="2"/>
        <v>Austin</v>
      </c>
      <c r="M346" s="1" t="s">
        <v>70</v>
      </c>
      <c r="N346" s="1" t="str">
        <f t="shared" si="3"/>
        <v>Texas</v>
      </c>
      <c r="O346" s="1">
        <v>78745.0</v>
      </c>
      <c r="P346" s="1" t="s">
        <v>71</v>
      </c>
      <c r="Q346" s="1" t="s">
        <v>38</v>
      </c>
      <c r="R346" s="3">
        <v>88.8</v>
      </c>
      <c r="S346" s="1">
        <v>7.0</v>
      </c>
      <c r="T346" s="4">
        <v>88.41</v>
      </c>
    </row>
    <row r="347">
      <c r="A347" s="1" t="s">
        <v>686</v>
      </c>
      <c r="B347" s="2">
        <v>43266.0</v>
      </c>
      <c r="C347" s="2" t="str">
        <f t="shared" si="1"/>
        <v>Jun</v>
      </c>
      <c r="D347" s="1" t="s">
        <v>687</v>
      </c>
      <c r="E347" s="1" t="s">
        <v>41</v>
      </c>
      <c r="F347" s="1" t="s">
        <v>688</v>
      </c>
      <c r="G347" s="1" t="s">
        <v>689</v>
      </c>
      <c r="H347" s="1" t="str">
        <f>IFERROR(__xludf.DUMMYFUNCTION("split(G347,"" "")"),"Clay")</f>
        <v>Clay</v>
      </c>
      <c r="I347" s="1" t="str">
        <f>IFERROR(__xludf.DUMMYFUNCTION("""COMPUTED_VALUE"""),"Cheatham")</f>
        <v>Cheatham</v>
      </c>
      <c r="J347" s="1" t="s">
        <v>23</v>
      </c>
      <c r="K347" s="1" t="s">
        <v>87</v>
      </c>
      <c r="L347" s="1" t="str">
        <f t="shared" si="2"/>
        <v>San Francisco</v>
      </c>
      <c r="M347" s="1" t="s">
        <v>52</v>
      </c>
      <c r="N347" s="1" t="str">
        <f t="shared" si="3"/>
        <v>California</v>
      </c>
      <c r="O347" s="1">
        <v>94122.0</v>
      </c>
      <c r="P347" s="1" t="s">
        <v>37</v>
      </c>
      <c r="Q347" s="1" t="s">
        <v>51</v>
      </c>
      <c r="R347" s="3">
        <v>47.976</v>
      </c>
      <c r="S347" s="1">
        <v>9.0</v>
      </c>
      <c r="T347" s="4">
        <v>47.57</v>
      </c>
    </row>
    <row r="348">
      <c r="A348" s="1" t="s">
        <v>690</v>
      </c>
      <c r="B348" s="2">
        <v>43319.0</v>
      </c>
      <c r="C348" s="2" t="str">
        <f t="shared" si="1"/>
        <v>Aug</v>
      </c>
      <c r="D348" s="6">
        <v>43441.0</v>
      </c>
      <c r="E348" s="1" t="s">
        <v>41</v>
      </c>
      <c r="F348" s="1" t="s">
        <v>691</v>
      </c>
      <c r="G348" s="1" t="s">
        <v>692</v>
      </c>
      <c r="H348" s="1" t="str">
        <f>IFERROR(__xludf.DUMMYFUNCTION("split(G348,"" "")"),"Tamara")</f>
        <v>Tamara</v>
      </c>
      <c r="I348" s="1" t="str">
        <f>IFERROR(__xludf.DUMMYFUNCTION("""COMPUTED_VALUE"""),"Dahlen")</f>
        <v>Dahlen</v>
      </c>
      <c r="J348" s="1" t="s">
        <v>23</v>
      </c>
      <c r="K348" s="1" t="s">
        <v>693</v>
      </c>
      <c r="L348" s="1" t="str">
        <f t="shared" si="2"/>
        <v>Lowell</v>
      </c>
      <c r="M348" s="1" t="s">
        <v>694</v>
      </c>
      <c r="N348" s="1" t="str">
        <f t="shared" si="3"/>
        <v>Massachusetts</v>
      </c>
      <c r="O348" s="1">
        <v>1852.0</v>
      </c>
      <c r="P348" s="1" t="s">
        <v>100</v>
      </c>
      <c r="Q348" s="1" t="s">
        <v>38</v>
      </c>
      <c r="R348" s="3">
        <v>7.56</v>
      </c>
      <c r="S348" s="1">
        <v>1.0</v>
      </c>
      <c r="T348" s="4">
        <v>6.69</v>
      </c>
    </row>
    <row r="349">
      <c r="A349" s="1" t="s">
        <v>690</v>
      </c>
      <c r="B349" s="2">
        <v>43319.0</v>
      </c>
      <c r="C349" s="2" t="str">
        <f t="shared" si="1"/>
        <v>Aug</v>
      </c>
      <c r="D349" s="6">
        <v>43441.0</v>
      </c>
      <c r="E349" s="1" t="s">
        <v>41</v>
      </c>
      <c r="F349" s="1" t="s">
        <v>691</v>
      </c>
      <c r="G349" s="1" t="s">
        <v>692</v>
      </c>
      <c r="H349" s="1" t="str">
        <f>IFERROR(__xludf.DUMMYFUNCTION("split(G349,"" "")"),"Tamara")</f>
        <v>Tamara</v>
      </c>
      <c r="I349" s="1" t="str">
        <f>IFERROR(__xludf.DUMMYFUNCTION("""COMPUTED_VALUE"""),"Dahlen")</f>
        <v>Dahlen</v>
      </c>
      <c r="J349" s="1" t="s">
        <v>23</v>
      </c>
      <c r="K349" s="1" t="s">
        <v>693</v>
      </c>
      <c r="L349" s="1" t="str">
        <f t="shared" si="2"/>
        <v>Lowell</v>
      </c>
      <c r="M349" s="1" t="s">
        <v>694</v>
      </c>
      <c r="N349" s="1" t="str">
        <f t="shared" si="3"/>
        <v>Massachusetts</v>
      </c>
      <c r="O349" s="1">
        <v>1852.0</v>
      </c>
      <c r="P349" s="1" t="s">
        <v>100</v>
      </c>
      <c r="Q349" s="1" t="s">
        <v>38</v>
      </c>
      <c r="R349" s="3">
        <v>24.56</v>
      </c>
      <c r="S349" s="1">
        <v>1.0</v>
      </c>
      <c r="T349" s="4">
        <v>23.77</v>
      </c>
    </row>
    <row r="350">
      <c r="A350" s="1" t="s">
        <v>690</v>
      </c>
      <c r="B350" s="2">
        <v>43319.0</v>
      </c>
      <c r="C350" s="2" t="str">
        <f t="shared" si="1"/>
        <v>Aug</v>
      </c>
      <c r="D350" s="6">
        <v>43441.0</v>
      </c>
      <c r="E350" s="1" t="s">
        <v>41</v>
      </c>
      <c r="F350" s="1" t="s">
        <v>691</v>
      </c>
      <c r="G350" s="1" t="s">
        <v>692</v>
      </c>
      <c r="H350" s="1" t="str">
        <f>IFERROR(__xludf.DUMMYFUNCTION("split(G350,"" "")"),"Tamara")</f>
        <v>Tamara</v>
      </c>
      <c r="I350" s="1" t="str">
        <f>IFERROR(__xludf.DUMMYFUNCTION("""COMPUTED_VALUE"""),"Dahlen")</f>
        <v>Dahlen</v>
      </c>
      <c r="J350" s="1" t="s">
        <v>23</v>
      </c>
      <c r="K350" s="1" t="s">
        <v>693</v>
      </c>
      <c r="L350" s="1" t="str">
        <f t="shared" si="2"/>
        <v>Lowell</v>
      </c>
      <c r="M350" s="1" t="s">
        <v>694</v>
      </c>
      <c r="N350" s="1" t="str">
        <f t="shared" si="3"/>
        <v>Massachusetts</v>
      </c>
      <c r="O350" s="1">
        <v>1852.0</v>
      </c>
      <c r="P350" s="1" t="s">
        <v>100</v>
      </c>
      <c r="Q350" s="1" t="s">
        <v>38</v>
      </c>
      <c r="R350" s="3">
        <v>12.96</v>
      </c>
      <c r="S350" s="1">
        <v>1.0</v>
      </c>
      <c r="T350" s="4">
        <v>12.95</v>
      </c>
    </row>
    <row r="351">
      <c r="A351" s="1" t="s">
        <v>695</v>
      </c>
      <c r="B351" s="2">
        <v>42744.0</v>
      </c>
      <c r="C351" s="2" t="str">
        <f t="shared" si="1"/>
        <v>Jan</v>
      </c>
      <c r="D351" s="6">
        <v>42803.0</v>
      </c>
      <c r="E351" s="1" t="s">
        <v>121</v>
      </c>
      <c r="F351" s="1" t="s">
        <v>696</v>
      </c>
      <c r="G351" s="1" t="s">
        <v>697</v>
      </c>
      <c r="H351" s="1" t="str">
        <f>IFERROR(__xludf.DUMMYFUNCTION("split(G351,"" "")"),"Adam")</f>
        <v>Adam</v>
      </c>
      <c r="I351" s="1" t="str">
        <f>IFERROR(__xludf.DUMMYFUNCTION("""COMPUTED_VALUE"""),"Bellavance")</f>
        <v>Bellavance</v>
      </c>
      <c r="J351" s="1" t="s">
        <v>68</v>
      </c>
      <c r="K351" s="1" t="s">
        <v>174</v>
      </c>
      <c r="L351" s="1" t="str">
        <f t="shared" si="2"/>
        <v>New York City</v>
      </c>
      <c r="M351" s="1" t="s">
        <v>175</v>
      </c>
      <c r="N351" s="1" t="str">
        <f t="shared" si="3"/>
        <v>New York</v>
      </c>
      <c r="O351" s="1">
        <v>10009.0</v>
      </c>
      <c r="P351" s="1" t="s">
        <v>100</v>
      </c>
      <c r="Q351" s="1" t="s">
        <v>51</v>
      </c>
      <c r="R351" s="3">
        <v>6.79</v>
      </c>
      <c r="S351" s="1">
        <v>1.0</v>
      </c>
      <c r="T351" s="4">
        <v>6.4</v>
      </c>
    </row>
    <row r="352">
      <c r="A352" s="1" t="s">
        <v>695</v>
      </c>
      <c r="B352" s="2">
        <v>42744.0</v>
      </c>
      <c r="C352" s="2" t="str">
        <f t="shared" si="1"/>
        <v>Jan</v>
      </c>
      <c r="D352" s="6">
        <v>42803.0</v>
      </c>
      <c r="E352" s="1" t="s">
        <v>121</v>
      </c>
      <c r="F352" s="1" t="s">
        <v>696</v>
      </c>
      <c r="G352" s="1" t="s">
        <v>697</v>
      </c>
      <c r="H352" s="1" t="str">
        <f>IFERROR(__xludf.DUMMYFUNCTION("split(G352,"" "")"),"Adam")</f>
        <v>Adam</v>
      </c>
      <c r="I352" s="1" t="str">
        <f>IFERROR(__xludf.DUMMYFUNCTION("""COMPUTED_VALUE"""),"Bellavance")</f>
        <v>Bellavance</v>
      </c>
      <c r="J352" s="1" t="s">
        <v>68</v>
      </c>
      <c r="K352" s="1" t="s">
        <v>174</v>
      </c>
      <c r="L352" s="1" t="str">
        <f t="shared" si="2"/>
        <v>New York City</v>
      </c>
      <c r="M352" s="1" t="s">
        <v>175</v>
      </c>
      <c r="N352" s="1" t="str">
        <f t="shared" si="3"/>
        <v>New York</v>
      </c>
      <c r="O352" s="1">
        <v>10009.0</v>
      </c>
      <c r="P352" s="1" t="s">
        <v>100</v>
      </c>
      <c r="Q352" s="1" t="s">
        <v>38</v>
      </c>
      <c r="R352" s="3">
        <v>24.56</v>
      </c>
      <c r="S352" s="1">
        <v>1.0</v>
      </c>
      <c r="T352" s="4">
        <v>23.66</v>
      </c>
    </row>
    <row r="353">
      <c r="A353" s="1" t="s">
        <v>695</v>
      </c>
      <c r="B353" s="2">
        <v>42744.0</v>
      </c>
      <c r="C353" s="2" t="str">
        <f t="shared" si="1"/>
        <v>Jan</v>
      </c>
      <c r="D353" s="6">
        <v>42803.0</v>
      </c>
      <c r="E353" s="1" t="s">
        <v>121</v>
      </c>
      <c r="F353" s="1" t="s">
        <v>696</v>
      </c>
      <c r="G353" s="1" t="s">
        <v>697</v>
      </c>
      <c r="H353" s="1" t="str">
        <f>IFERROR(__xludf.DUMMYFUNCTION("split(G353,"" "")"),"Adam")</f>
        <v>Adam</v>
      </c>
      <c r="I353" s="1" t="str">
        <f>IFERROR(__xludf.DUMMYFUNCTION("""COMPUTED_VALUE"""),"Bellavance")</f>
        <v>Bellavance</v>
      </c>
      <c r="J353" s="1" t="s">
        <v>68</v>
      </c>
      <c r="K353" s="1" t="s">
        <v>174</v>
      </c>
      <c r="L353" s="1" t="str">
        <f t="shared" si="2"/>
        <v>New York City</v>
      </c>
      <c r="M353" s="1" t="s">
        <v>175</v>
      </c>
      <c r="N353" s="1" t="str">
        <f t="shared" si="3"/>
        <v>New York</v>
      </c>
      <c r="O353" s="1">
        <v>10009.0</v>
      </c>
      <c r="P353" s="1" t="s">
        <v>100</v>
      </c>
      <c r="Q353" s="1" t="s">
        <v>38</v>
      </c>
      <c r="R353" s="3">
        <v>3.048</v>
      </c>
      <c r="S353" s="1">
        <v>1.0</v>
      </c>
      <c r="T353" s="4">
        <v>2.22</v>
      </c>
    </row>
    <row r="354">
      <c r="A354" s="1" t="s">
        <v>695</v>
      </c>
      <c r="B354" s="2">
        <v>42744.0</v>
      </c>
      <c r="C354" s="2" t="str">
        <f t="shared" si="1"/>
        <v>Jan</v>
      </c>
      <c r="D354" s="6">
        <v>42803.0</v>
      </c>
      <c r="E354" s="1" t="s">
        <v>121</v>
      </c>
      <c r="F354" s="1" t="s">
        <v>696</v>
      </c>
      <c r="G354" s="1" t="s">
        <v>697</v>
      </c>
      <c r="H354" s="1" t="str">
        <f>IFERROR(__xludf.DUMMYFUNCTION("split(G354,"" "")"),"Adam")</f>
        <v>Adam</v>
      </c>
      <c r="I354" s="1" t="str">
        <f>IFERROR(__xludf.DUMMYFUNCTION("""COMPUTED_VALUE"""),"Bellavance")</f>
        <v>Bellavance</v>
      </c>
      <c r="J354" s="1" t="s">
        <v>68</v>
      </c>
      <c r="K354" s="1" t="s">
        <v>174</v>
      </c>
      <c r="L354" s="1" t="str">
        <f t="shared" si="2"/>
        <v>New York City</v>
      </c>
      <c r="M354" s="1" t="s">
        <v>175</v>
      </c>
      <c r="N354" s="1" t="str">
        <f t="shared" si="3"/>
        <v>New York</v>
      </c>
      <c r="O354" s="1">
        <v>10009.0</v>
      </c>
      <c r="P354" s="1" t="s">
        <v>100</v>
      </c>
      <c r="Q354" s="1" t="s">
        <v>38</v>
      </c>
      <c r="R354" s="3">
        <v>49.12</v>
      </c>
      <c r="S354" s="1">
        <v>1.0</v>
      </c>
      <c r="T354" s="4">
        <v>48.36</v>
      </c>
    </row>
    <row r="355">
      <c r="A355" s="1" t="s">
        <v>695</v>
      </c>
      <c r="B355" s="2">
        <v>42744.0</v>
      </c>
      <c r="C355" s="2" t="str">
        <f t="shared" si="1"/>
        <v>Jan</v>
      </c>
      <c r="D355" s="6">
        <v>42803.0</v>
      </c>
      <c r="E355" s="1" t="s">
        <v>121</v>
      </c>
      <c r="F355" s="1" t="s">
        <v>696</v>
      </c>
      <c r="G355" s="1" t="s">
        <v>697</v>
      </c>
      <c r="H355" s="1" t="str">
        <f>IFERROR(__xludf.DUMMYFUNCTION("split(G355,"" "")"),"Adam")</f>
        <v>Adam</v>
      </c>
      <c r="I355" s="1" t="str">
        <f>IFERROR(__xludf.DUMMYFUNCTION("""COMPUTED_VALUE"""),"Bellavance")</f>
        <v>Bellavance</v>
      </c>
      <c r="J355" s="1" t="s">
        <v>68</v>
      </c>
      <c r="K355" s="1" t="s">
        <v>174</v>
      </c>
      <c r="L355" s="1" t="str">
        <f t="shared" si="2"/>
        <v>New York City</v>
      </c>
      <c r="M355" s="1" t="s">
        <v>175</v>
      </c>
      <c r="N355" s="1" t="str">
        <f t="shared" si="3"/>
        <v>New York</v>
      </c>
      <c r="O355" s="1">
        <v>10009.0</v>
      </c>
      <c r="P355" s="1" t="s">
        <v>100</v>
      </c>
      <c r="Q355" s="1" t="s">
        <v>38</v>
      </c>
      <c r="R355" s="3">
        <v>4355.168</v>
      </c>
      <c r="S355" s="1">
        <v>1.0</v>
      </c>
      <c r="T355" s="4">
        <v>4355.06</v>
      </c>
    </row>
    <row r="356">
      <c r="A356" s="1" t="s">
        <v>698</v>
      </c>
      <c r="B356" s="2">
        <v>42951.0</v>
      </c>
      <c r="C356" s="2" t="str">
        <f t="shared" si="1"/>
        <v>Aug</v>
      </c>
      <c r="D356" s="1" t="s">
        <v>699</v>
      </c>
      <c r="E356" s="1" t="s">
        <v>41</v>
      </c>
      <c r="F356" s="1" t="s">
        <v>700</v>
      </c>
      <c r="G356" s="1" t="s">
        <v>701</v>
      </c>
      <c r="H356" s="1" t="str">
        <f>IFERROR(__xludf.DUMMYFUNCTION("split(G356,"" "")"),"Jeremy")</f>
        <v>Jeremy</v>
      </c>
      <c r="I356" s="1" t="str">
        <f>IFERROR(__xludf.DUMMYFUNCTION("""COMPUTED_VALUE"""),"Lonsdale")</f>
        <v>Lonsdale</v>
      </c>
      <c r="J356" s="1" t="s">
        <v>23</v>
      </c>
      <c r="K356" s="1" t="s">
        <v>174</v>
      </c>
      <c r="L356" s="1" t="str">
        <f t="shared" si="2"/>
        <v>New York City</v>
      </c>
      <c r="M356" s="1" t="s">
        <v>175</v>
      </c>
      <c r="N356" s="1" t="str">
        <f t="shared" si="3"/>
        <v>New York</v>
      </c>
      <c r="O356" s="1">
        <v>10035.0</v>
      </c>
      <c r="P356" s="1" t="s">
        <v>100</v>
      </c>
      <c r="Q356" s="1" t="s">
        <v>27</v>
      </c>
      <c r="R356" s="3">
        <v>388.704</v>
      </c>
      <c r="S356" s="1">
        <v>1.0</v>
      </c>
      <c r="T356" s="4">
        <v>388.45</v>
      </c>
    </row>
    <row r="357">
      <c r="A357" s="1" t="s">
        <v>698</v>
      </c>
      <c r="B357" s="2">
        <v>42951.0</v>
      </c>
      <c r="C357" s="2" t="str">
        <f t="shared" si="1"/>
        <v>Aug</v>
      </c>
      <c r="D357" s="1" t="s">
        <v>699</v>
      </c>
      <c r="E357" s="1" t="s">
        <v>41</v>
      </c>
      <c r="F357" s="1" t="s">
        <v>700</v>
      </c>
      <c r="G357" s="1" t="s">
        <v>701</v>
      </c>
      <c r="H357" s="1" t="str">
        <f>IFERROR(__xludf.DUMMYFUNCTION("split(G357,"" "")"),"Jeremy")</f>
        <v>Jeremy</v>
      </c>
      <c r="I357" s="1" t="str">
        <f>IFERROR(__xludf.DUMMYFUNCTION("""COMPUTED_VALUE"""),"Lonsdale")</f>
        <v>Lonsdale</v>
      </c>
      <c r="J357" s="1" t="s">
        <v>23</v>
      </c>
      <c r="K357" s="1" t="s">
        <v>174</v>
      </c>
      <c r="L357" s="1" t="str">
        <f t="shared" si="2"/>
        <v>New York City</v>
      </c>
      <c r="M357" s="1" t="s">
        <v>175</v>
      </c>
      <c r="N357" s="1" t="str">
        <f t="shared" si="3"/>
        <v>New York</v>
      </c>
      <c r="O357" s="1">
        <v>10035.0</v>
      </c>
      <c r="P357" s="1" t="s">
        <v>100</v>
      </c>
      <c r="Q357" s="1" t="s">
        <v>38</v>
      </c>
      <c r="R357" s="3">
        <v>8.26</v>
      </c>
      <c r="S357" s="1">
        <v>1.0</v>
      </c>
      <c r="T357" s="4">
        <v>7.81</v>
      </c>
    </row>
    <row r="358">
      <c r="A358" s="1" t="s">
        <v>698</v>
      </c>
      <c r="B358" s="2">
        <v>42951.0</v>
      </c>
      <c r="C358" s="2" t="str">
        <f t="shared" si="1"/>
        <v>Aug</v>
      </c>
      <c r="D358" s="1" t="s">
        <v>699</v>
      </c>
      <c r="E358" s="1" t="s">
        <v>41</v>
      </c>
      <c r="F358" s="1" t="s">
        <v>700</v>
      </c>
      <c r="G358" s="1" t="s">
        <v>701</v>
      </c>
      <c r="H358" s="1" t="str">
        <f>IFERROR(__xludf.DUMMYFUNCTION("split(G358,"" "")"),"Jeremy")</f>
        <v>Jeremy</v>
      </c>
      <c r="I358" s="1" t="str">
        <f>IFERROR(__xludf.DUMMYFUNCTION("""COMPUTED_VALUE"""),"Lonsdale")</f>
        <v>Lonsdale</v>
      </c>
      <c r="J358" s="1" t="s">
        <v>23</v>
      </c>
      <c r="K358" s="1" t="s">
        <v>174</v>
      </c>
      <c r="L358" s="1" t="str">
        <f t="shared" si="2"/>
        <v>New York City</v>
      </c>
      <c r="M358" s="1" t="s">
        <v>175</v>
      </c>
      <c r="N358" s="1" t="str">
        <f t="shared" si="3"/>
        <v>New York</v>
      </c>
      <c r="O358" s="1">
        <v>10035.0</v>
      </c>
      <c r="P358" s="1" t="s">
        <v>100</v>
      </c>
      <c r="Q358" s="1" t="s">
        <v>38</v>
      </c>
      <c r="R358" s="3">
        <v>17.04</v>
      </c>
      <c r="S358" s="1">
        <v>1.0</v>
      </c>
      <c r="T358" s="4">
        <v>16.07</v>
      </c>
    </row>
    <row r="359">
      <c r="A359" s="1" t="s">
        <v>698</v>
      </c>
      <c r="B359" s="2">
        <v>42951.0</v>
      </c>
      <c r="C359" s="2" t="str">
        <f t="shared" si="1"/>
        <v>Aug</v>
      </c>
      <c r="D359" s="1" t="s">
        <v>699</v>
      </c>
      <c r="E359" s="1" t="s">
        <v>41</v>
      </c>
      <c r="F359" s="1" t="s">
        <v>700</v>
      </c>
      <c r="G359" s="1" t="s">
        <v>701</v>
      </c>
      <c r="H359" s="1" t="str">
        <f>IFERROR(__xludf.DUMMYFUNCTION("split(G359,"" "")"),"Jeremy")</f>
        <v>Jeremy</v>
      </c>
      <c r="I359" s="1" t="str">
        <f>IFERROR(__xludf.DUMMYFUNCTION("""COMPUTED_VALUE"""),"Lonsdale")</f>
        <v>Lonsdale</v>
      </c>
      <c r="J359" s="1" t="s">
        <v>23</v>
      </c>
      <c r="K359" s="1" t="s">
        <v>174</v>
      </c>
      <c r="L359" s="1" t="str">
        <f t="shared" si="2"/>
        <v>New York City</v>
      </c>
      <c r="M359" s="1" t="s">
        <v>175</v>
      </c>
      <c r="N359" s="1" t="str">
        <f t="shared" si="3"/>
        <v>New York</v>
      </c>
      <c r="O359" s="1">
        <v>10035.0</v>
      </c>
      <c r="P359" s="1" t="s">
        <v>100</v>
      </c>
      <c r="Q359" s="1" t="s">
        <v>38</v>
      </c>
      <c r="R359" s="3">
        <v>34.4</v>
      </c>
      <c r="S359" s="1">
        <v>1.0</v>
      </c>
      <c r="T359" s="4">
        <v>34.1</v>
      </c>
    </row>
    <row r="360">
      <c r="A360" s="1" t="s">
        <v>702</v>
      </c>
      <c r="B360" s="2">
        <v>42848.0</v>
      </c>
      <c r="C360" s="2" t="str">
        <f t="shared" si="1"/>
        <v>Apr</v>
      </c>
      <c r="D360" s="1" t="s">
        <v>703</v>
      </c>
      <c r="E360" s="1" t="s">
        <v>41</v>
      </c>
      <c r="F360" s="1" t="s">
        <v>482</v>
      </c>
      <c r="G360" s="1" t="s">
        <v>483</v>
      </c>
      <c r="H360" s="1" t="str">
        <f>IFERROR(__xludf.DUMMYFUNCTION("split(G360,"" "")"),"Heather")</f>
        <v>Heather</v>
      </c>
      <c r="I360" s="1" t="str">
        <f>IFERROR(__xludf.DUMMYFUNCTION("""COMPUTED_VALUE"""),"Kirkland")</f>
        <v>Kirkland</v>
      </c>
      <c r="J360" s="1" t="s">
        <v>34</v>
      </c>
      <c r="K360" s="1" t="s">
        <v>284</v>
      </c>
      <c r="L360" s="1" t="str">
        <f t="shared" si="2"/>
        <v>Charlotte</v>
      </c>
      <c r="M360" s="1" t="s">
        <v>58</v>
      </c>
      <c r="N360" s="1" t="str">
        <f t="shared" si="3"/>
        <v>North Carolina</v>
      </c>
      <c r="O360" s="1">
        <v>28205.0</v>
      </c>
      <c r="P360" s="1" t="s">
        <v>26</v>
      </c>
      <c r="Q360" s="1" t="s">
        <v>38</v>
      </c>
      <c r="R360" s="3">
        <v>36.24</v>
      </c>
      <c r="S360" s="1">
        <v>2.0</v>
      </c>
      <c r="T360" s="4">
        <v>35.9</v>
      </c>
    </row>
    <row r="361">
      <c r="A361" s="1" t="s">
        <v>704</v>
      </c>
      <c r="B361" s="2">
        <v>43315.0</v>
      </c>
      <c r="C361" s="2" t="str">
        <f t="shared" si="1"/>
        <v>Aug</v>
      </c>
      <c r="D361" s="6">
        <v>43407.0</v>
      </c>
      <c r="E361" s="1" t="s">
        <v>121</v>
      </c>
      <c r="F361" s="1" t="s">
        <v>705</v>
      </c>
      <c r="G361" s="1" t="s">
        <v>706</v>
      </c>
      <c r="H361" s="1" t="str">
        <f>IFERROR(__xludf.DUMMYFUNCTION("split(G361,"" "")"),"Victoria")</f>
        <v>Victoria</v>
      </c>
      <c r="I361" s="1" t="str">
        <f>IFERROR(__xludf.DUMMYFUNCTION("""COMPUTED_VALUE"""),"Brennan")</f>
        <v>Brennan</v>
      </c>
      <c r="J361" s="1" t="s">
        <v>34</v>
      </c>
      <c r="K361" s="1" t="s">
        <v>303</v>
      </c>
      <c r="L361" s="1" t="str">
        <f t="shared" si="2"/>
        <v>Columbus</v>
      </c>
      <c r="M361" s="1" t="s">
        <v>707</v>
      </c>
      <c r="N361" s="1" t="str">
        <f t="shared" si="3"/>
        <v>Georgia</v>
      </c>
      <c r="O361" s="1">
        <v>31907.0</v>
      </c>
      <c r="P361" s="1" t="s">
        <v>26</v>
      </c>
      <c r="Q361" s="1" t="s">
        <v>38</v>
      </c>
      <c r="R361" s="3">
        <v>647.84</v>
      </c>
      <c r="S361" s="1">
        <v>3.0</v>
      </c>
      <c r="T361" s="4">
        <v>647.21</v>
      </c>
    </row>
    <row r="362">
      <c r="A362" s="1" t="s">
        <v>704</v>
      </c>
      <c r="B362" s="2">
        <v>43315.0</v>
      </c>
      <c r="C362" s="2" t="str">
        <f t="shared" si="1"/>
        <v>Aug</v>
      </c>
      <c r="D362" s="6">
        <v>43407.0</v>
      </c>
      <c r="E362" s="1" t="s">
        <v>121</v>
      </c>
      <c r="F362" s="1" t="s">
        <v>705</v>
      </c>
      <c r="G362" s="1" t="s">
        <v>706</v>
      </c>
      <c r="H362" s="1" t="str">
        <f>IFERROR(__xludf.DUMMYFUNCTION("split(G362,"" "")"),"Victoria")</f>
        <v>Victoria</v>
      </c>
      <c r="I362" s="1" t="str">
        <f>IFERROR(__xludf.DUMMYFUNCTION("""COMPUTED_VALUE"""),"Brennan")</f>
        <v>Brennan</v>
      </c>
      <c r="J362" s="1" t="s">
        <v>34</v>
      </c>
      <c r="K362" s="1" t="s">
        <v>303</v>
      </c>
      <c r="L362" s="1" t="str">
        <f t="shared" si="2"/>
        <v>Columbus</v>
      </c>
      <c r="M362" s="1" t="s">
        <v>707</v>
      </c>
      <c r="N362" s="1" t="str">
        <f t="shared" si="3"/>
        <v>Georgia</v>
      </c>
      <c r="O362" s="1">
        <v>31907.0</v>
      </c>
      <c r="P362" s="1" t="s">
        <v>26</v>
      </c>
      <c r="Q362" s="1" t="s">
        <v>38</v>
      </c>
      <c r="R362" s="3">
        <v>20.7</v>
      </c>
      <c r="S362" s="1">
        <v>3.0</v>
      </c>
      <c r="T362" s="4">
        <v>20.01</v>
      </c>
    </row>
    <row r="363">
      <c r="A363" s="1" t="s">
        <v>708</v>
      </c>
      <c r="B363" s="2">
        <v>43368.0</v>
      </c>
      <c r="C363" s="2" t="str">
        <f t="shared" si="1"/>
        <v>Sep</v>
      </c>
      <c r="D363" s="6">
        <v>43110.0</v>
      </c>
      <c r="E363" s="1" t="s">
        <v>41</v>
      </c>
      <c r="F363" s="1" t="s">
        <v>709</v>
      </c>
      <c r="G363" s="1" t="s">
        <v>710</v>
      </c>
      <c r="H363" s="1" t="str">
        <f>IFERROR(__xludf.DUMMYFUNCTION("split(G363,"" "")"),"Katrina")</f>
        <v>Katrina</v>
      </c>
      <c r="I363" s="1" t="str">
        <f>IFERROR(__xludf.DUMMYFUNCTION("""COMPUTED_VALUE"""),"Willman")</f>
        <v>Willman</v>
      </c>
      <c r="J363" s="1" t="s">
        <v>23</v>
      </c>
      <c r="K363" s="1" t="s">
        <v>174</v>
      </c>
      <c r="L363" s="1" t="str">
        <f t="shared" si="2"/>
        <v>New York City</v>
      </c>
      <c r="M363" s="1" t="s">
        <v>175</v>
      </c>
      <c r="N363" s="1" t="str">
        <f t="shared" si="3"/>
        <v>New York</v>
      </c>
      <c r="O363" s="1">
        <v>10009.0</v>
      </c>
      <c r="P363" s="1" t="s">
        <v>100</v>
      </c>
      <c r="Q363" s="1" t="s">
        <v>38</v>
      </c>
      <c r="R363" s="3">
        <v>20.7</v>
      </c>
      <c r="S363" s="1">
        <v>1.0</v>
      </c>
      <c r="T363" s="4">
        <v>20.49</v>
      </c>
    </row>
    <row r="364">
      <c r="A364" s="1" t="s">
        <v>708</v>
      </c>
      <c r="B364" s="2">
        <v>43368.0</v>
      </c>
      <c r="C364" s="2" t="str">
        <f t="shared" si="1"/>
        <v>Sep</v>
      </c>
      <c r="D364" s="6">
        <v>43110.0</v>
      </c>
      <c r="E364" s="1" t="s">
        <v>41</v>
      </c>
      <c r="F364" s="1" t="s">
        <v>709</v>
      </c>
      <c r="G364" s="1" t="s">
        <v>710</v>
      </c>
      <c r="H364" s="1" t="str">
        <f>IFERROR(__xludf.DUMMYFUNCTION("split(G364,"" "")"),"Katrina")</f>
        <v>Katrina</v>
      </c>
      <c r="I364" s="1" t="str">
        <f>IFERROR(__xludf.DUMMYFUNCTION("""COMPUTED_VALUE"""),"Willman")</f>
        <v>Willman</v>
      </c>
      <c r="J364" s="1" t="s">
        <v>23</v>
      </c>
      <c r="K364" s="1" t="s">
        <v>174</v>
      </c>
      <c r="L364" s="1" t="str">
        <f t="shared" si="2"/>
        <v>New York City</v>
      </c>
      <c r="M364" s="1" t="s">
        <v>175</v>
      </c>
      <c r="N364" s="1" t="str">
        <f t="shared" si="3"/>
        <v>New York</v>
      </c>
      <c r="O364" s="1">
        <v>10009.0</v>
      </c>
      <c r="P364" s="1" t="s">
        <v>100</v>
      </c>
      <c r="Q364" s="1" t="s">
        <v>27</v>
      </c>
      <c r="R364" s="3">
        <v>488.646</v>
      </c>
      <c r="S364" s="1">
        <v>1.0</v>
      </c>
      <c r="T364" s="4">
        <v>488.09</v>
      </c>
    </row>
    <row r="365">
      <c r="A365" s="1" t="s">
        <v>708</v>
      </c>
      <c r="B365" s="2">
        <v>43368.0</v>
      </c>
      <c r="C365" s="2" t="str">
        <f t="shared" si="1"/>
        <v>Sep</v>
      </c>
      <c r="D365" s="6">
        <v>43110.0</v>
      </c>
      <c r="E365" s="1" t="s">
        <v>41</v>
      </c>
      <c r="F365" s="1" t="s">
        <v>709</v>
      </c>
      <c r="G365" s="1" t="s">
        <v>710</v>
      </c>
      <c r="H365" s="1" t="str">
        <f>IFERROR(__xludf.DUMMYFUNCTION("split(G365,"" "")"),"Katrina")</f>
        <v>Katrina</v>
      </c>
      <c r="I365" s="1" t="str">
        <f>IFERROR(__xludf.DUMMYFUNCTION("""COMPUTED_VALUE"""),"Willman")</f>
        <v>Willman</v>
      </c>
      <c r="J365" s="1" t="s">
        <v>23</v>
      </c>
      <c r="K365" s="1" t="s">
        <v>174</v>
      </c>
      <c r="L365" s="1" t="str">
        <f t="shared" si="2"/>
        <v>New York City</v>
      </c>
      <c r="M365" s="1" t="s">
        <v>175</v>
      </c>
      <c r="N365" s="1" t="str">
        <f t="shared" si="3"/>
        <v>New York</v>
      </c>
      <c r="O365" s="1">
        <v>10009.0</v>
      </c>
      <c r="P365" s="1" t="s">
        <v>100</v>
      </c>
      <c r="Q365" s="1" t="s">
        <v>38</v>
      </c>
      <c r="R365" s="3">
        <v>5.56</v>
      </c>
      <c r="S365" s="1">
        <v>1.0</v>
      </c>
      <c r="T365" s="4">
        <v>5.19</v>
      </c>
    </row>
    <row r="366">
      <c r="A366" s="1" t="s">
        <v>708</v>
      </c>
      <c r="B366" s="2">
        <v>43368.0</v>
      </c>
      <c r="C366" s="2" t="str">
        <f t="shared" si="1"/>
        <v>Sep</v>
      </c>
      <c r="D366" s="6">
        <v>43110.0</v>
      </c>
      <c r="E366" s="1" t="s">
        <v>41</v>
      </c>
      <c r="F366" s="1" t="s">
        <v>709</v>
      </c>
      <c r="G366" s="1" t="s">
        <v>710</v>
      </c>
      <c r="H366" s="1" t="str">
        <f>IFERROR(__xludf.DUMMYFUNCTION("split(G366,"" "")"),"Katrina")</f>
        <v>Katrina</v>
      </c>
      <c r="I366" s="1" t="str">
        <f>IFERROR(__xludf.DUMMYFUNCTION("""COMPUTED_VALUE"""),"Willman")</f>
        <v>Willman</v>
      </c>
      <c r="J366" s="1" t="s">
        <v>23</v>
      </c>
      <c r="K366" s="1" t="s">
        <v>174</v>
      </c>
      <c r="L366" s="1" t="str">
        <f t="shared" si="2"/>
        <v>New York City</v>
      </c>
      <c r="M366" s="1" t="s">
        <v>175</v>
      </c>
      <c r="N366" s="1" t="str">
        <f t="shared" si="3"/>
        <v>New York</v>
      </c>
      <c r="O366" s="1">
        <v>10009.0</v>
      </c>
      <c r="P366" s="1" t="s">
        <v>100</v>
      </c>
      <c r="Q366" s="1" t="s">
        <v>27</v>
      </c>
      <c r="R366" s="3">
        <v>47.12</v>
      </c>
      <c r="S366" s="1">
        <v>1.0</v>
      </c>
      <c r="T366" s="4">
        <v>46.53</v>
      </c>
    </row>
    <row r="367">
      <c r="A367" s="1" t="s">
        <v>711</v>
      </c>
      <c r="B367" s="2">
        <v>42271.0</v>
      </c>
      <c r="C367" s="2" t="str">
        <f t="shared" si="1"/>
        <v>Sep</v>
      </c>
      <c r="D367" s="1" t="s">
        <v>712</v>
      </c>
      <c r="E367" s="1" t="s">
        <v>41</v>
      </c>
      <c r="F367" s="1" t="s">
        <v>713</v>
      </c>
      <c r="G367" s="1" t="s">
        <v>714</v>
      </c>
      <c r="H367" s="1" t="str">
        <f>IFERROR(__xludf.DUMMYFUNCTION("split(G367,"" "")"),"Julia")</f>
        <v>Julia</v>
      </c>
      <c r="I367" s="1" t="str">
        <f>IFERROR(__xludf.DUMMYFUNCTION("""COMPUTED_VALUE"""),"Dunbar")</f>
        <v>Dunbar</v>
      </c>
      <c r="J367" s="1" t="s">
        <v>23</v>
      </c>
      <c r="K367" s="1" t="s">
        <v>87</v>
      </c>
      <c r="L367" s="1" t="str">
        <f t="shared" si="2"/>
        <v>San Francisco</v>
      </c>
      <c r="M367" s="1" t="s">
        <v>52</v>
      </c>
      <c r="N367" s="1" t="str">
        <f t="shared" si="3"/>
        <v>California</v>
      </c>
      <c r="O367" s="1">
        <v>94109.0</v>
      </c>
      <c r="P367" s="1" t="s">
        <v>37</v>
      </c>
      <c r="Q367" s="1" t="s">
        <v>38</v>
      </c>
      <c r="R367" s="3">
        <v>211.96</v>
      </c>
      <c r="S367" s="1">
        <v>9.0</v>
      </c>
      <c r="T367" s="4">
        <v>211.15</v>
      </c>
    </row>
    <row r="368">
      <c r="A368" s="1" t="s">
        <v>715</v>
      </c>
      <c r="B368" s="2">
        <v>43029.0</v>
      </c>
      <c r="C368" s="2" t="str">
        <f t="shared" si="1"/>
        <v>Oct</v>
      </c>
      <c r="D368" s="1" t="s">
        <v>716</v>
      </c>
      <c r="E368" s="1" t="s">
        <v>717</v>
      </c>
      <c r="F368" s="1" t="s">
        <v>718</v>
      </c>
      <c r="G368" s="1" t="s">
        <v>719</v>
      </c>
      <c r="H368" s="1" t="str">
        <f>IFERROR(__xludf.DUMMYFUNCTION("split(G368,"" "")"),"Michael")</f>
        <v>Michael</v>
      </c>
      <c r="I368" s="1" t="str">
        <f>IFERROR(__xludf.DUMMYFUNCTION("""COMPUTED_VALUE"""),"Kennedy")</f>
        <v>Kennedy</v>
      </c>
      <c r="J368" s="1" t="s">
        <v>34</v>
      </c>
      <c r="K368" s="1" t="s">
        <v>720</v>
      </c>
      <c r="L368" s="1" t="str">
        <f t="shared" si="2"/>
        <v>Manchester</v>
      </c>
      <c r="M368" s="1" t="s">
        <v>435</v>
      </c>
      <c r="N368" s="1" t="str">
        <f t="shared" si="3"/>
        <v>Connecticut</v>
      </c>
      <c r="O368" s="1">
        <v>6040.0</v>
      </c>
      <c r="P368" s="1" t="s">
        <v>100</v>
      </c>
      <c r="Q368" s="1" t="s">
        <v>38</v>
      </c>
      <c r="R368" s="3">
        <v>23.2</v>
      </c>
      <c r="S368" s="1">
        <v>6.0</v>
      </c>
      <c r="T368" s="4">
        <v>22.28</v>
      </c>
    </row>
    <row r="369">
      <c r="A369" s="1" t="s">
        <v>715</v>
      </c>
      <c r="B369" s="2">
        <v>43029.0</v>
      </c>
      <c r="C369" s="2" t="str">
        <f t="shared" si="1"/>
        <v>Oct</v>
      </c>
      <c r="D369" s="1" t="s">
        <v>716</v>
      </c>
      <c r="E369" s="1" t="s">
        <v>717</v>
      </c>
      <c r="F369" s="1" t="s">
        <v>718</v>
      </c>
      <c r="G369" s="1" t="s">
        <v>719</v>
      </c>
      <c r="H369" s="1" t="str">
        <f>IFERROR(__xludf.DUMMYFUNCTION("split(G369,"" "")"),"Michael")</f>
        <v>Michael</v>
      </c>
      <c r="I369" s="1" t="str">
        <f>IFERROR(__xludf.DUMMYFUNCTION("""COMPUTED_VALUE"""),"Kennedy")</f>
        <v>Kennedy</v>
      </c>
      <c r="J369" s="1" t="s">
        <v>34</v>
      </c>
      <c r="K369" s="1" t="s">
        <v>720</v>
      </c>
      <c r="L369" s="1" t="str">
        <f t="shared" si="2"/>
        <v>Manchester</v>
      </c>
      <c r="M369" s="1" t="s">
        <v>435</v>
      </c>
      <c r="N369" s="1" t="str">
        <f t="shared" si="3"/>
        <v>Connecticut</v>
      </c>
      <c r="O369" s="1">
        <v>6040.0</v>
      </c>
      <c r="P369" s="1" t="s">
        <v>100</v>
      </c>
      <c r="Q369" s="1" t="s">
        <v>38</v>
      </c>
      <c r="R369" s="3">
        <v>7.36</v>
      </c>
      <c r="S369" s="1">
        <v>6.0</v>
      </c>
      <c r="T369" s="4">
        <v>6.65</v>
      </c>
    </row>
    <row r="370">
      <c r="A370" s="1" t="s">
        <v>715</v>
      </c>
      <c r="B370" s="2">
        <v>43029.0</v>
      </c>
      <c r="C370" s="2" t="str">
        <f t="shared" si="1"/>
        <v>Oct</v>
      </c>
      <c r="D370" s="1" t="s">
        <v>716</v>
      </c>
      <c r="E370" s="1" t="s">
        <v>717</v>
      </c>
      <c r="F370" s="1" t="s">
        <v>718</v>
      </c>
      <c r="G370" s="1" t="s">
        <v>719</v>
      </c>
      <c r="H370" s="1" t="str">
        <f>IFERROR(__xludf.DUMMYFUNCTION("split(G370,"" "")"),"Michael")</f>
        <v>Michael</v>
      </c>
      <c r="I370" s="1" t="str">
        <f>IFERROR(__xludf.DUMMYFUNCTION("""COMPUTED_VALUE"""),"Kennedy")</f>
        <v>Kennedy</v>
      </c>
      <c r="J370" s="1" t="s">
        <v>34</v>
      </c>
      <c r="K370" s="1" t="s">
        <v>720</v>
      </c>
      <c r="L370" s="1" t="str">
        <f t="shared" si="2"/>
        <v>Manchester</v>
      </c>
      <c r="M370" s="1" t="s">
        <v>435</v>
      </c>
      <c r="N370" s="1" t="str">
        <f t="shared" si="3"/>
        <v>Connecticut</v>
      </c>
      <c r="O370" s="1">
        <v>6040.0</v>
      </c>
      <c r="P370" s="1" t="s">
        <v>100</v>
      </c>
      <c r="Q370" s="1" t="s">
        <v>38</v>
      </c>
      <c r="R370" s="3">
        <v>104.79</v>
      </c>
      <c r="S370" s="1">
        <v>6.0</v>
      </c>
      <c r="T370" s="4">
        <v>104.42</v>
      </c>
    </row>
    <row r="371">
      <c r="A371" s="1" t="s">
        <v>715</v>
      </c>
      <c r="B371" s="2">
        <v>43029.0</v>
      </c>
      <c r="C371" s="2" t="str">
        <f t="shared" si="1"/>
        <v>Oct</v>
      </c>
      <c r="D371" s="1" t="s">
        <v>716</v>
      </c>
      <c r="E371" s="1" t="s">
        <v>717</v>
      </c>
      <c r="F371" s="1" t="s">
        <v>718</v>
      </c>
      <c r="G371" s="1" t="s">
        <v>719</v>
      </c>
      <c r="H371" s="1" t="str">
        <f>IFERROR(__xludf.DUMMYFUNCTION("split(G371,"" "")"),"Michael")</f>
        <v>Michael</v>
      </c>
      <c r="I371" s="1" t="str">
        <f>IFERROR(__xludf.DUMMYFUNCTION("""COMPUTED_VALUE"""),"Kennedy")</f>
        <v>Kennedy</v>
      </c>
      <c r="J371" s="1" t="s">
        <v>34</v>
      </c>
      <c r="K371" s="1" t="s">
        <v>720</v>
      </c>
      <c r="L371" s="1" t="str">
        <f t="shared" si="2"/>
        <v>Manchester</v>
      </c>
      <c r="M371" s="1" t="s">
        <v>435</v>
      </c>
      <c r="N371" s="1" t="str">
        <f t="shared" si="3"/>
        <v>Connecticut</v>
      </c>
      <c r="O371" s="1">
        <v>6040.0</v>
      </c>
      <c r="P371" s="1" t="s">
        <v>100</v>
      </c>
      <c r="Q371" s="1" t="s">
        <v>27</v>
      </c>
      <c r="R371" s="3">
        <v>1043.92</v>
      </c>
      <c r="S371" s="1">
        <v>6.0</v>
      </c>
      <c r="T371" s="4">
        <v>1042.99</v>
      </c>
    </row>
    <row r="372">
      <c r="A372" s="1" t="s">
        <v>721</v>
      </c>
      <c r="B372" s="2">
        <v>43249.0</v>
      </c>
      <c r="C372" s="2" t="str">
        <f t="shared" si="1"/>
        <v>May</v>
      </c>
      <c r="D372" s="6">
        <v>43196.0</v>
      </c>
      <c r="E372" s="1" t="s">
        <v>41</v>
      </c>
      <c r="F372" s="1" t="s">
        <v>722</v>
      </c>
      <c r="G372" s="1" t="s">
        <v>723</v>
      </c>
      <c r="H372" s="1" t="str">
        <f>IFERROR(__xludf.DUMMYFUNCTION("split(G372,"" "")"),"Guy")</f>
        <v>Guy</v>
      </c>
      <c r="I372" s="1" t="str">
        <f>IFERROR(__xludf.DUMMYFUNCTION("""COMPUTED_VALUE"""),"Thornton")</f>
        <v>Thornton</v>
      </c>
      <c r="J372" s="1" t="s">
        <v>23</v>
      </c>
      <c r="K372" s="1" t="s">
        <v>724</v>
      </c>
      <c r="L372" s="1" t="str">
        <f t="shared" si="2"/>
        <v>Harlingen</v>
      </c>
      <c r="M372" s="1" t="s">
        <v>70</v>
      </c>
      <c r="N372" s="1" t="str">
        <f t="shared" si="3"/>
        <v>Texas</v>
      </c>
      <c r="O372" s="1">
        <v>78550.0</v>
      </c>
      <c r="P372" s="1" t="s">
        <v>71</v>
      </c>
      <c r="Q372" s="1" t="s">
        <v>38</v>
      </c>
      <c r="R372" s="3">
        <v>25.92</v>
      </c>
      <c r="S372" s="1">
        <v>7.0</v>
      </c>
      <c r="T372" s="4">
        <v>25.3</v>
      </c>
    </row>
    <row r="373">
      <c r="A373" s="1" t="s">
        <v>721</v>
      </c>
      <c r="B373" s="2">
        <v>43249.0</v>
      </c>
      <c r="C373" s="2" t="str">
        <f t="shared" si="1"/>
        <v>May</v>
      </c>
      <c r="D373" s="6">
        <v>43196.0</v>
      </c>
      <c r="E373" s="1" t="s">
        <v>41</v>
      </c>
      <c r="F373" s="1" t="s">
        <v>722</v>
      </c>
      <c r="G373" s="1" t="s">
        <v>723</v>
      </c>
      <c r="H373" s="1" t="str">
        <f>IFERROR(__xludf.DUMMYFUNCTION("split(G373,"" "")"),"Guy")</f>
        <v>Guy</v>
      </c>
      <c r="I373" s="1" t="str">
        <f>IFERROR(__xludf.DUMMYFUNCTION("""COMPUTED_VALUE"""),"Thornton")</f>
        <v>Thornton</v>
      </c>
      <c r="J373" s="1" t="s">
        <v>23</v>
      </c>
      <c r="K373" s="1" t="s">
        <v>724</v>
      </c>
      <c r="L373" s="1" t="str">
        <f t="shared" si="2"/>
        <v>Harlingen</v>
      </c>
      <c r="M373" s="1" t="s">
        <v>70</v>
      </c>
      <c r="N373" s="1" t="str">
        <f t="shared" si="3"/>
        <v>Texas</v>
      </c>
      <c r="O373" s="1">
        <v>78550.0</v>
      </c>
      <c r="P373" s="1" t="s">
        <v>71</v>
      </c>
      <c r="Q373" s="1" t="s">
        <v>38</v>
      </c>
      <c r="R373" s="3">
        <v>53.424</v>
      </c>
      <c r="S373" s="1">
        <v>7.0</v>
      </c>
      <c r="T373" s="4">
        <v>52.95</v>
      </c>
    </row>
    <row r="374">
      <c r="A374" s="1" t="s">
        <v>725</v>
      </c>
      <c r="B374" s="2">
        <v>42208.0</v>
      </c>
      <c r="C374" s="2" t="str">
        <f t="shared" si="1"/>
        <v>Jul</v>
      </c>
      <c r="D374" s="1" t="s">
        <v>726</v>
      </c>
      <c r="E374" s="1" t="s">
        <v>41</v>
      </c>
      <c r="F374" s="1" t="s">
        <v>727</v>
      </c>
      <c r="G374" s="1" t="s">
        <v>728</v>
      </c>
      <c r="H374" s="1" t="str">
        <f>IFERROR(__xludf.DUMMYFUNCTION("split(G374,"" "")"),"Arthur")</f>
        <v>Arthur</v>
      </c>
      <c r="I374" s="1" t="str">
        <f>IFERROR(__xludf.DUMMYFUNCTION("""COMPUTED_VALUE"""),"Gainer")</f>
        <v>Gainer</v>
      </c>
      <c r="J374" s="1" t="s">
        <v>23</v>
      </c>
      <c r="K374" s="1" t="s">
        <v>729</v>
      </c>
      <c r="L374" s="1" t="str">
        <f t="shared" si="2"/>
        <v>Tucson</v>
      </c>
      <c r="M374" s="1" t="s">
        <v>193</v>
      </c>
      <c r="N374" s="1" t="str">
        <f t="shared" si="3"/>
        <v>Arizona</v>
      </c>
      <c r="O374" s="1">
        <v>85705.0</v>
      </c>
      <c r="P374" s="1" t="s">
        <v>37</v>
      </c>
      <c r="Q374" s="1" t="s">
        <v>38</v>
      </c>
      <c r="R374" s="3">
        <v>8.16</v>
      </c>
      <c r="S374" s="1">
        <v>8.0</v>
      </c>
      <c r="T374" s="4">
        <v>7.87</v>
      </c>
    </row>
    <row r="375">
      <c r="A375" s="1" t="s">
        <v>725</v>
      </c>
      <c r="B375" s="2">
        <v>42208.0</v>
      </c>
      <c r="C375" s="2" t="str">
        <f t="shared" si="1"/>
        <v>Jul</v>
      </c>
      <c r="D375" s="1" t="s">
        <v>726</v>
      </c>
      <c r="E375" s="1" t="s">
        <v>41</v>
      </c>
      <c r="F375" s="1" t="s">
        <v>727</v>
      </c>
      <c r="G375" s="1" t="s">
        <v>728</v>
      </c>
      <c r="H375" s="1" t="str">
        <f>IFERROR(__xludf.DUMMYFUNCTION("split(G375,"" "")"),"Arthur")</f>
        <v>Arthur</v>
      </c>
      <c r="I375" s="1" t="str">
        <f>IFERROR(__xludf.DUMMYFUNCTION("""COMPUTED_VALUE"""),"Gainer")</f>
        <v>Gainer</v>
      </c>
      <c r="J375" s="1" t="s">
        <v>23</v>
      </c>
      <c r="K375" s="1" t="s">
        <v>729</v>
      </c>
      <c r="L375" s="1" t="str">
        <f t="shared" si="2"/>
        <v>Tucson</v>
      </c>
      <c r="M375" s="1" t="s">
        <v>193</v>
      </c>
      <c r="N375" s="1" t="str">
        <f t="shared" si="3"/>
        <v>Arizona</v>
      </c>
      <c r="O375" s="1">
        <v>85705.0</v>
      </c>
      <c r="P375" s="1" t="s">
        <v>37</v>
      </c>
      <c r="Q375" s="1" t="s">
        <v>51</v>
      </c>
      <c r="R375" s="3">
        <v>1023.936</v>
      </c>
      <c r="S375" s="1">
        <v>8.0</v>
      </c>
      <c r="T375" s="4">
        <v>1023.84</v>
      </c>
    </row>
    <row r="376">
      <c r="A376" s="1" t="s">
        <v>725</v>
      </c>
      <c r="B376" s="2">
        <v>42208.0</v>
      </c>
      <c r="C376" s="2" t="str">
        <f t="shared" si="1"/>
        <v>Jul</v>
      </c>
      <c r="D376" s="1" t="s">
        <v>726</v>
      </c>
      <c r="E376" s="1" t="s">
        <v>41</v>
      </c>
      <c r="F376" s="1" t="s">
        <v>727</v>
      </c>
      <c r="G376" s="1" t="s">
        <v>728</v>
      </c>
      <c r="H376" s="1" t="str">
        <f>IFERROR(__xludf.DUMMYFUNCTION("split(G376,"" "")"),"Arthur")</f>
        <v>Arthur</v>
      </c>
      <c r="I376" s="1" t="str">
        <f>IFERROR(__xludf.DUMMYFUNCTION("""COMPUTED_VALUE"""),"Gainer")</f>
        <v>Gainer</v>
      </c>
      <c r="J376" s="1" t="s">
        <v>23</v>
      </c>
      <c r="K376" s="1" t="s">
        <v>729</v>
      </c>
      <c r="L376" s="1" t="str">
        <f t="shared" si="2"/>
        <v>Tucson</v>
      </c>
      <c r="M376" s="1" t="s">
        <v>193</v>
      </c>
      <c r="N376" s="1" t="str">
        <f t="shared" si="3"/>
        <v>Arizona</v>
      </c>
      <c r="O376" s="1">
        <v>85705.0</v>
      </c>
      <c r="P376" s="1" t="s">
        <v>37</v>
      </c>
      <c r="Q376" s="1" t="s">
        <v>38</v>
      </c>
      <c r="R376" s="3">
        <v>9.24</v>
      </c>
      <c r="S376" s="1">
        <v>8.0</v>
      </c>
      <c r="T376" s="4">
        <v>8.58</v>
      </c>
    </row>
    <row r="377">
      <c r="A377" s="1" t="s">
        <v>725</v>
      </c>
      <c r="B377" s="2">
        <v>42208.0</v>
      </c>
      <c r="C377" s="2" t="str">
        <f t="shared" si="1"/>
        <v>Jul</v>
      </c>
      <c r="D377" s="1" t="s">
        <v>726</v>
      </c>
      <c r="E377" s="1" t="s">
        <v>41</v>
      </c>
      <c r="F377" s="1" t="s">
        <v>727</v>
      </c>
      <c r="G377" s="1" t="s">
        <v>728</v>
      </c>
      <c r="H377" s="1" t="str">
        <f>IFERROR(__xludf.DUMMYFUNCTION("split(G377,"" "")"),"Arthur")</f>
        <v>Arthur</v>
      </c>
      <c r="I377" s="1" t="str">
        <f>IFERROR(__xludf.DUMMYFUNCTION("""COMPUTED_VALUE"""),"Gainer")</f>
        <v>Gainer</v>
      </c>
      <c r="J377" s="1" t="s">
        <v>23</v>
      </c>
      <c r="K377" s="1" t="s">
        <v>729</v>
      </c>
      <c r="L377" s="1" t="str">
        <f t="shared" si="2"/>
        <v>Tucson</v>
      </c>
      <c r="M377" s="1" t="s">
        <v>193</v>
      </c>
      <c r="N377" s="1" t="str">
        <f t="shared" si="3"/>
        <v>Arizona</v>
      </c>
      <c r="O377" s="1">
        <v>85705.0</v>
      </c>
      <c r="P377" s="1" t="s">
        <v>37</v>
      </c>
      <c r="Q377" s="1" t="s">
        <v>51</v>
      </c>
      <c r="R377" s="3">
        <v>479.04</v>
      </c>
      <c r="S377" s="1">
        <v>8.0</v>
      </c>
      <c r="T377" s="4">
        <v>478.19</v>
      </c>
    </row>
    <row r="378">
      <c r="A378" s="1" t="s">
        <v>730</v>
      </c>
      <c r="B378" s="2">
        <v>43006.0</v>
      </c>
      <c r="C378" s="2" t="str">
        <f t="shared" si="1"/>
        <v>Sep</v>
      </c>
      <c r="D378" s="6">
        <v>42745.0</v>
      </c>
      <c r="E378" s="1" t="s">
        <v>121</v>
      </c>
      <c r="F378" s="1" t="s">
        <v>731</v>
      </c>
      <c r="G378" s="1" t="s">
        <v>732</v>
      </c>
      <c r="H378" s="1" t="str">
        <f>IFERROR(__xludf.DUMMYFUNCTION("split(G378,"" "")"),"Muhammed")</f>
        <v>Muhammed</v>
      </c>
      <c r="I378" s="1" t="str">
        <f>IFERROR(__xludf.DUMMYFUNCTION("""COMPUTED_VALUE"""),"MacIntyre")</f>
        <v>MacIntyre</v>
      </c>
      <c r="J378" s="1" t="s">
        <v>34</v>
      </c>
      <c r="K378" s="1" t="s">
        <v>733</v>
      </c>
      <c r="L378" s="1" t="str">
        <f t="shared" si="2"/>
        <v>Quincy</v>
      </c>
      <c r="M378" s="1" t="s">
        <v>135</v>
      </c>
      <c r="N378" s="1" t="str">
        <f t="shared" si="3"/>
        <v>Illinois</v>
      </c>
      <c r="O378" s="1">
        <v>62301.0</v>
      </c>
      <c r="P378" s="1" t="s">
        <v>71</v>
      </c>
      <c r="Q378" s="1" t="s">
        <v>38</v>
      </c>
      <c r="R378" s="3">
        <v>99.136</v>
      </c>
      <c r="S378" s="1">
        <v>6.0</v>
      </c>
      <c r="T378" s="4">
        <v>98.18</v>
      </c>
    </row>
    <row r="379">
      <c r="A379" s="1" t="s">
        <v>734</v>
      </c>
      <c r="B379" s="2">
        <v>43339.0</v>
      </c>
      <c r="C379" s="2" t="str">
        <f t="shared" si="1"/>
        <v>Aug</v>
      </c>
      <c r="D379" s="6">
        <v>43109.0</v>
      </c>
      <c r="E379" s="1" t="s">
        <v>41</v>
      </c>
      <c r="F379" s="1" t="s">
        <v>735</v>
      </c>
      <c r="G379" s="1" t="s">
        <v>736</v>
      </c>
      <c r="H379" s="1" t="str">
        <f>IFERROR(__xludf.DUMMYFUNCTION("split(G379,"" "")"),"Allen")</f>
        <v>Allen</v>
      </c>
      <c r="I379" s="1" t="str">
        <f>IFERROR(__xludf.DUMMYFUNCTION("""COMPUTED_VALUE"""),"Rosenblatt")</f>
        <v>Rosenblatt</v>
      </c>
      <c r="J379" s="1" t="s">
        <v>34</v>
      </c>
      <c r="K379" s="1" t="s">
        <v>364</v>
      </c>
      <c r="L379" s="1" t="str">
        <f t="shared" si="2"/>
        <v>Franklin</v>
      </c>
      <c r="M379" s="1" t="s">
        <v>694</v>
      </c>
      <c r="N379" s="1" t="str">
        <f t="shared" si="3"/>
        <v>Massachusetts</v>
      </c>
      <c r="O379" s="1">
        <v>2038.0</v>
      </c>
      <c r="P379" s="1" t="s">
        <v>100</v>
      </c>
      <c r="Q379" s="1" t="s">
        <v>27</v>
      </c>
      <c r="R379" s="3">
        <v>1488.424</v>
      </c>
      <c r="S379" s="1">
        <v>2.0</v>
      </c>
      <c r="T379" s="4">
        <v>1488.22</v>
      </c>
    </row>
    <row r="380">
      <c r="A380" s="1" t="s">
        <v>737</v>
      </c>
      <c r="B380" s="2">
        <v>42488.0</v>
      </c>
      <c r="C380" s="2" t="str">
        <f t="shared" si="1"/>
        <v>Apr</v>
      </c>
      <c r="D380" s="6">
        <v>42495.0</v>
      </c>
      <c r="E380" s="1" t="s">
        <v>41</v>
      </c>
      <c r="F380" s="1" t="s">
        <v>738</v>
      </c>
      <c r="G380" s="1" t="s">
        <v>739</v>
      </c>
      <c r="H380" s="1" t="str">
        <f>IFERROR(__xludf.DUMMYFUNCTION("split(G380,"" "")"),"Russell")</f>
        <v>Russell</v>
      </c>
      <c r="I380" s="1" t="str">
        <f>IFERROR(__xludf.DUMMYFUNCTION("""COMPUTED_VALUE"""),"Applegate")</f>
        <v>Applegate</v>
      </c>
      <c r="J380" s="1" t="s">
        <v>23</v>
      </c>
      <c r="K380" s="1" t="s">
        <v>129</v>
      </c>
      <c r="L380" s="1" t="str">
        <f t="shared" si="2"/>
        <v>Houston</v>
      </c>
      <c r="M380" s="1" t="s">
        <v>70</v>
      </c>
      <c r="N380" s="1" t="str">
        <f t="shared" si="3"/>
        <v>Texas</v>
      </c>
      <c r="O380" s="1">
        <v>77095.0</v>
      </c>
      <c r="P380" s="1" t="s">
        <v>71</v>
      </c>
      <c r="Q380" s="1" t="s">
        <v>38</v>
      </c>
      <c r="R380" s="3">
        <v>8.652</v>
      </c>
      <c r="S380" s="1">
        <v>7.0</v>
      </c>
      <c r="T380" s="4">
        <v>7.8</v>
      </c>
    </row>
    <row r="381">
      <c r="A381" s="1" t="s">
        <v>737</v>
      </c>
      <c r="B381" s="2">
        <v>42488.0</v>
      </c>
      <c r="C381" s="2" t="str">
        <f t="shared" si="1"/>
        <v>Apr</v>
      </c>
      <c r="D381" s="6">
        <v>42495.0</v>
      </c>
      <c r="E381" s="1" t="s">
        <v>41</v>
      </c>
      <c r="F381" s="1" t="s">
        <v>738</v>
      </c>
      <c r="G381" s="1" t="s">
        <v>739</v>
      </c>
      <c r="H381" s="1" t="str">
        <f>IFERROR(__xludf.DUMMYFUNCTION("split(G381,"" "")"),"Russell")</f>
        <v>Russell</v>
      </c>
      <c r="I381" s="1" t="str">
        <f>IFERROR(__xludf.DUMMYFUNCTION("""COMPUTED_VALUE"""),"Applegate")</f>
        <v>Applegate</v>
      </c>
      <c r="J381" s="1" t="s">
        <v>23</v>
      </c>
      <c r="K381" s="1" t="s">
        <v>129</v>
      </c>
      <c r="L381" s="1" t="str">
        <f t="shared" si="2"/>
        <v>Houston</v>
      </c>
      <c r="M381" s="1" t="s">
        <v>70</v>
      </c>
      <c r="N381" s="1" t="str">
        <f t="shared" si="3"/>
        <v>Texas</v>
      </c>
      <c r="O381" s="1">
        <v>77095.0</v>
      </c>
      <c r="P381" s="1" t="s">
        <v>71</v>
      </c>
      <c r="Q381" s="1" t="s">
        <v>38</v>
      </c>
      <c r="R381" s="3">
        <v>23.832</v>
      </c>
      <c r="S381" s="1">
        <v>7.0</v>
      </c>
      <c r="T381" s="4">
        <v>23.31</v>
      </c>
    </row>
    <row r="382">
      <c r="A382" s="1" t="s">
        <v>737</v>
      </c>
      <c r="B382" s="2">
        <v>42488.0</v>
      </c>
      <c r="C382" s="2" t="str">
        <f t="shared" si="1"/>
        <v>Apr</v>
      </c>
      <c r="D382" s="6">
        <v>42495.0</v>
      </c>
      <c r="E382" s="1" t="s">
        <v>41</v>
      </c>
      <c r="F382" s="1" t="s">
        <v>738</v>
      </c>
      <c r="G382" s="1" t="s">
        <v>739</v>
      </c>
      <c r="H382" s="1" t="str">
        <f>IFERROR(__xludf.DUMMYFUNCTION("split(G382,"" "")"),"Russell")</f>
        <v>Russell</v>
      </c>
      <c r="I382" s="1" t="str">
        <f>IFERROR(__xludf.DUMMYFUNCTION("""COMPUTED_VALUE"""),"Applegate")</f>
        <v>Applegate</v>
      </c>
      <c r="J382" s="1" t="s">
        <v>23</v>
      </c>
      <c r="K382" s="1" t="s">
        <v>129</v>
      </c>
      <c r="L382" s="1" t="str">
        <f t="shared" si="2"/>
        <v>Houston</v>
      </c>
      <c r="M382" s="1" t="s">
        <v>70</v>
      </c>
      <c r="N382" s="1" t="str">
        <f t="shared" si="3"/>
        <v>Texas</v>
      </c>
      <c r="O382" s="1">
        <v>77095.0</v>
      </c>
      <c r="P382" s="1" t="s">
        <v>71</v>
      </c>
      <c r="Q382" s="1" t="s">
        <v>38</v>
      </c>
      <c r="R382" s="3">
        <v>12.176</v>
      </c>
      <c r="S382" s="1">
        <v>7.0</v>
      </c>
      <c r="T382" s="4">
        <v>12.05</v>
      </c>
    </row>
    <row r="383">
      <c r="A383" s="1" t="s">
        <v>740</v>
      </c>
      <c r="B383" s="2">
        <v>43036.0</v>
      </c>
      <c r="C383" s="2" t="str">
        <f t="shared" si="1"/>
        <v>Oct</v>
      </c>
      <c r="D383" s="1" t="s">
        <v>741</v>
      </c>
      <c r="E383" s="1" t="s">
        <v>121</v>
      </c>
      <c r="F383" s="1" t="s">
        <v>742</v>
      </c>
      <c r="G383" s="1" t="s">
        <v>743</v>
      </c>
      <c r="H383" s="1" t="str">
        <f>IFERROR(__xludf.DUMMYFUNCTION("split(G383,"" "")"),"Alejandro")</f>
        <v>Alejandro</v>
      </c>
      <c r="I383" s="1" t="str">
        <f>IFERROR(__xludf.DUMMYFUNCTION("""COMPUTED_VALUE"""),"Savely")</f>
        <v>Savely</v>
      </c>
      <c r="J383" s="1" t="s">
        <v>34</v>
      </c>
      <c r="K383" s="1" t="s">
        <v>87</v>
      </c>
      <c r="L383" s="1" t="str">
        <f t="shared" si="2"/>
        <v>San Francisco</v>
      </c>
      <c r="M383" s="1" t="s">
        <v>52</v>
      </c>
      <c r="N383" s="1" t="str">
        <f t="shared" si="3"/>
        <v>California</v>
      </c>
      <c r="O383" s="1">
        <v>94109.0</v>
      </c>
      <c r="P383" s="1" t="s">
        <v>37</v>
      </c>
      <c r="Q383" s="1" t="s">
        <v>38</v>
      </c>
      <c r="R383" s="3">
        <v>50.96</v>
      </c>
      <c r="S383" s="1">
        <v>9.0</v>
      </c>
      <c r="T383" s="4">
        <v>50.41</v>
      </c>
    </row>
    <row r="384">
      <c r="A384" s="1" t="s">
        <v>740</v>
      </c>
      <c r="B384" s="2">
        <v>43036.0</v>
      </c>
      <c r="C384" s="2" t="str">
        <f t="shared" si="1"/>
        <v>Oct</v>
      </c>
      <c r="D384" s="1" t="s">
        <v>741</v>
      </c>
      <c r="E384" s="1" t="s">
        <v>121</v>
      </c>
      <c r="F384" s="1" t="s">
        <v>742</v>
      </c>
      <c r="G384" s="1" t="s">
        <v>743</v>
      </c>
      <c r="H384" s="1" t="str">
        <f>IFERROR(__xludf.DUMMYFUNCTION("split(G384,"" "")"),"Alejandro")</f>
        <v>Alejandro</v>
      </c>
      <c r="I384" s="1" t="str">
        <f>IFERROR(__xludf.DUMMYFUNCTION("""COMPUTED_VALUE"""),"Savely")</f>
        <v>Savely</v>
      </c>
      <c r="J384" s="1" t="s">
        <v>34</v>
      </c>
      <c r="K384" s="1" t="s">
        <v>87</v>
      </c>
      <c r="L384" s="1" t="str">
        <f t="shared" si="2"/>
        <v>San Francisco</v>
      </c>
      <c r="M384" s="1" t="s">
        <v>52</v>
      </c>
      <c r="N384" s="1" t="str">
        <f t="shared" si="3"/>
        <v>California</v>
      </c>
      <c r="O384" s="1">
        <v>94109.0</v>
      </c>
      <c r="P384" s="1" t="s">
        <v>37</v>
      </c>
      <c r="Q384" s="1" t="s">
        <v>38</v>
      </c>
      <c r="R384" s="3">
        <v>49.536</v>
      </c>
      <c r="S384" s="1">
        <v>9.0</v>
      </c>
      <c r="T384" s="4">
        <v>49.01</v>
      </c>
    </row>
    <row r="385">
      <c r="A385" s="1" t="s">
        <v>744</v>
      </c>
      <c r="B385" s="2">
        <v>42547.0</v>
      </c>
      <c r="C385" s="2" t="str">
        <f t="shared" si="1"/>
        <v>Jun</v>
      </c>
      <c r="D385" s="1" t="s">
        <v>745</v>
      </c>
      <c r="E385" s="1" t="s">
        <v>20</v>
      </c>
      <c r="F385" s="1" t="s">
        <v>746</v>
      </c>
      <c r="G385" s="1" t="s">
        <v>747</v>
      </c>
      <c r="H385" s="1" t="str">
        <f>IFERROR(__xludf.DUMMYFUNCTION("split(G385,"" "")"),"Laura")</f>
        <v>Laura</v>
      </c>
      <c r="I385" s="1" t="str">
        <f>IFERROR(__xludf.DUMMYFUNCTION("""COMPUTED_VALUE"""),"Armstrong")</f>
        <v>Armstrong</v>
      </c>
      <c r="J385" s="1" t="s">
        <v>34</v>
      </c>
      <c r="K385" s="1" t="s">
        <v>619</v>
      </c>
      <c r="L385" s="1" t="str">
        <f t="shared" si="2"/>
        <v>Taylor</v>
      </c>
      <c r="M385" s="1" t="s">
        <v>157</v>
      </c>
      <c r="N385" s="1" t="str">
        <f t="shared" si="3"/>
        <v>Michigan</v>
      </c>
      <c r="O385" s="1">
        <v>48180.0</v>
      </c>
      <c r="P385" s="1" t="s">
        <v>71</v>
      </c>
      <c r="Q385" s="1" t="s">
        <v>51</v>
      </c>
      <c r="R385" s="3">
        <v>41.9</v>
      </c>
      <c r="S385" s="1">
        <v>4.0</v>
      </c>
      <c r="T385" s="4">
        <v>41.31</v>
      </c>
    </row>
    <row r="386">
      <c r="A386" s="1" t="s">
        <v>748</v>
      </c>
      <c r="B386" s="2">
        <v>42701.0</v>
      </c>
      <c r="C386" s="2" t="str">
        <f t="shared" si="1"/>
        <v>Nov</v>
      </c>
      <c r="D386" s="6">
        <v>42412.0</v>
      </c>
      <c r="E386" s="1" t="s">
        <v>41</v>
      </c>
      <c r="F386" s="1" t="s">
        <v>749</v>
      </c>
      <c r="G386" s="1" t="s">
        <v>750</v>
      </c>
      <c r="H386" s="1" t="str">
        <f>IFERROR(__xludf.DUMMYFUNCTION("split(G386,"" "")"),"Denny")</f>
        <v>Denny</v>
      </c>
      <c r="I386" s="1" t="str">
        <f>IFERROR(__xludf.DUMMYFUNCTION("""COMPUTED_VALUE"""),"Ordway")</f>
        <v>Ordway</v>
      </c>
      <c r="J386" s="1" t="s">
        <v>23</v>
      </c>
      <c r="K386" s="1" t="s">
        <v>751</v>
      </c>
      <c r="L386" s="1" t="str">
        <f t="shared" si="2"/>
        <v>Pembroke Pines</v>
      </c>
      <c r="M386" s="1" t="s">
        <v>145</v>
      </c>
      <c r="N386" s="1" t="str">
        <f t="shared" si="3"/>
        <v>Florida</v>
      </c>
      <c r="O386" s="1">
        <v>33024.0</v>
      </c>
      <c r="P386" s="1" t="s">
        <v>26</v>
      </c>
      <c r="Q386" s="1" t="s">
        <v>27</v>
      </c>
      <c r="R386" s="3">
        <v>375.4575</v>
      </c>
      <c r="S386" s="1">
        <v>3.0</v>
      </c>
      <c r="T386" s="4">
        <v>374.84</v>
      </c>
    </row>
    <row r="387">
      <c r="A387" s="1" t="s">
        <v>748</v>
      </c>
      <c r="B387" s="2">
        <v>42701.0</v>
      </c>
      <c r="C387" s="2" t="str">
        <f t="shared" si="1"/>
        <v>Nov</v>
      </c>
      <c r="D387" s="6">
        <v>42412.0</v>
      </c>
      <c r="E387" s="1" t="s">
        <v>41</v>
      </c>
      <c r="F387" s="1" t="s">
        <v>749</v>
      </c>
      <c r="G387" s="1" t="s">
        <v>750</v>
      </c>
      <c r="H387" s="1" t="str">
        <f>IFERROR(__xludf.DUMMYFUNCTION("split(G387,"" "")"),"Denny")</f>
        <v>Denny</v>
      </c>
      <c r="I387" s="1" t="str">
        <f>IFERROR(__xludf.DUMMYFUNCTION("""COMPUTED_VALUE"""),"Ordway")</f>
        <v>Ordway</v>
      </c>
      <c r="J387" s="1" t="s">
        <v>23</v>
      </c>
      <c r="K387" s="1" t="s">
        <v>751</v>
      </c>
      <c r="L387" s="1" t="str">
        <f t="shared" si="2"/>
        <v>Pembroke Pines</v>
      </c>
      <c r="M387" s="1" t="s">
        <v>145</v>
      </c>
      <c r="N387" s="1" t="str">
        <f t="shared" si="3"/>
        <v>Florida</v>
      </c>
      <c r="O387" s="1">
        <v>33024.0</v>
      </c>
      <c r="P387" s="1" t="s">
        <v>26</v>
      </c>
      <c r="Q387" s="1" t="s">
        <v>51</v>
      </c>
      <c r="R387" s="3">
        <v>83.976</v>
      </c>
      <c r="S387" s="1">
        <v>3.0</v>
      </c>
      <c r="T387" s="4">
        <v>83.07</v>
      </c>
    </row>
    <row r="388">
      <c r="A388" s="1" t="s">
        <v>752</v>
      </c>
      <c r="B388" s="2">
        <v>42441.0</v>
      </c>
      <c r="C388" s="2" t="str">
        <f t="shared" si="1"/>
        <v>Mar</v>
      </c>
      <c r="D388" s="6">
        <v>42563.0</v>
      </c>
      <c r="E388" s="1" t="s">
        <v>41</v>
      </c>
      <c r="F388" s="1" t="s">
        <v>753</v>
      </c>
      <c r="G388" s="1" t="s">
        <v>754</v>
      </c>
      <c r="H388" s="1" t="str">
        <f>IFERROR(__xludf.DUMMYFUNCTION("split(G388,"" "")"),"Dean")</f>
        <v>Dean</v>
      </c>
      <c r="I388" s="1" t="str">
        <f>IFERROR(__xludf.DUMMYFUNCTION("""COMPUTED_VALUE"""),"Katz")</f>
        <v>Katz</v>
      </c>
      <c r="J388" s="1" t="s">
        <v>34</v>
      </c>
      <c r="K388" s="1" t="s">
        <v>98</v>
      </c>
      <c r="L388" s="1" t="str">
        <f t="shared" si="2"/>
        <v>Philadelphia</v>
      </c>
      <c r="M388" s="1" t="s">
        <v>99</v>
      </c>
      <c r="N388" s="1" t="str">
        <f t="shared" si="3"/>
        <v>Pennsylvania</v>
      </c>
      <c r="O388" s="1">
        <v>19140.0</v>
      </c>
      <c r="P388" s="1" t="s">
        <v>100</v>
      </c>
      <c r="Q388" s="1" t="s">
        <v>51</v>
      </c>
      <c r="R388" s="3">
        <v>482.34</v>
      </c>
      <c r="S388" s="1">
        <v>1.0</v>
      </c>
      <c r="T388" s="4">
        <v>481.81</v>
      </c>
    </row>
    <row r="389">
      <c r="A389" s="1" t="s">
        <v>752</v>
      </c>
      <c r="B389" s="2">
        <v>42441.0</v>
      </c>
      <c r="C389" s="2" t="str">
        <f t="shared" si="1"/>
        <v>Mar</v>
      </c>
      <c r="D389" s="6">
        <v>42563.0</v>
      </c>
      <c r="E389" s="1" t="s">
        <v>41</v>
      </c>
      <c r="F389" s="1" t="s">
        <v>753</v>
      </c>
      <c r="G389" s="1" t="s">
        <v>754</v>
      </c>
      <c r="H389" s="1" t="str">
        <f>IFERROR(__xludf.DUMMYFUNCTION("split(G389,"" "")"),"Dean")</f>
        <v>Dean</v>
      </c>
      <c r="I389" s="1" t="str">
        <f>IFERROR(__xludf.DUMMYFUNCTION("""COMPUTED_VALUE"""),"Katz")</f>
        <v>Katz</v>
      </c>
      <c r="J389" s="1" t="s">
        <v>34</v>
      </c>
      <c r="K389" s="1" t="s">
        <v>98</v>
      </c>
      <c r="L389" s="1" t="str">
        <f t="shared" si="2"/>
        <v>Philadelphia</v>
      </c>
      <c r="M389" s="1" t="s">
        <v>99</v>
      </c>
      <c r="N389" s="1" t="str">
        <f t="shared" si="3"/>
        <v>Pennsylvania</v>
      </c>
      <c r="O389" s="1">
        <v>19140.0</v>
      </c>
      <c r="P389" s="1" t="s">
        <v>100</v>
      </c>
      <c r="Q389" s="1" t="s">
        <v>27</v>
      </c>
      <c r="R389" s="3">
        <v>2.96</v>
      </c>
      <c r="S389" s="1">
        <v>1.0</v>
      </c>
      <c r="T389" s="4">
        <v>2.24</v>
      </c>
    </row>
    <row r="390">
      <c r="A390" s="1" t="s">
        <v>755</v>
      </c>
      <c r="B390" s="2">
        <v>42332.0</v>
      </c>
      <c r="C390" s="2" t="str">
        <f t="shared" si="1"/>
        <v>Nov</v>
      </c>
      <c r="D390" s="1" t="s">
        <v>756</v>
      </c>
      <c r="E390" s="1" t="s">
        <v>121</v>
      </c>
      <c r="F390" s="1" t="s">
        <v>757</v>
      </c>
      <c r="G390" s="1" t="s">
        <v>758</v>
      </c>
      <c r="H390" s="1" t="str">
        <f>IFERROR(__xludf.DUMMYFUNCTION("split(G390,"" "")"),"Nathan")</f>
        <v>Nathan</v>
      </c>
      <c r="I390" s="1" t="str">
        <f>IFERROR(__xludf.DUMMYFUNCTION("""COMPUTED_VALUE"""),"Gelder")</f>
        <v>Gelder</v>
      </c>
      <c r="J390" s="1" t="s">
        <v>23</v>
      </c>
      <c r="K390" s="1" t="s">
        <v>579</v>
      </c>
      <c r="L390" s="1" t="str">
        <f t="shared" si="2"/>
        <v>Cincinnati</v>
      </c>
      <c r="M390" s="1" t="s">
        <v>304</v>
      </c>
      <c r="N390" s="1" t="str">
        <f t="shared" si="3"/>
        <v>Ohio</v>
      </c>
      <c r="O390" s="1">
        <v>45231.0</v>
      </c>
      <c r="P390" s="1" t="s">
        <v>100</v>
      </c>
      <c r="Q390" s="1" t="s">
        <v>38</v>
      </c>
      <c r="R390" s="3">
        <v>2.624</v>
      </c>
      <c r="S390" s="1">
        <v>4.0</v>
      </c>
      <c r="T390" s="4">
        <v>2.11</v>
      </c>
    </row>
    <row r="391">
      <c r="A391" s="1" t="s">
        <v>759</v>
      </c>
      <c r="B391" s="2">
        <v>43416.0</v>
      </c>
      <c r="C391" s="2" t="str">
        <f t="shared" si="1"/>
        <v>Nov</v>
      </c>
      <c r="D391" s="1" t="s">
        <v>760</v>
      </c>
      <c r="E391" s="1" t="s">
        <v>41</v>
      </c>
      <c r="F391" s="1" t="s">
        <v>761</v>
      </c>
      <c r="G391" s="1" t="s">
        <v>762</v>
      </c>
      <c r="H391" s="1" t="str">
        <f>IFERROR(__xludf.DUMMYFUNCTION("split(G391,"" "")"),"Mike")</f>
        <v>Mike</v>
      </c>
      <c r="I391" s="1" t="str">
        <f>IFERROR(__xludf.DUMMYFUNCTION("""COMPUTED_VALUE"""),"Vittorini")</f>
        <v>Vittorini</v>
      </c>
      <c r="J391" s="1" t="s">
        <v>23</v>
      </c>
      <c r="K391" s="1" t="s">
        <v>174</v>
      </c>
      <c r="L391" s="1" t="str">
        <f t="shared" si="2"/>
        <v>New York City</v>
      </c>
      <c r="M391" s="1" t="s">
        <v>175</v>
      </c>
      <c r="N391" s="1" t="str">
        <f t="shared" si="3"/>
        <v>New York</v>
      </c>
      <c r="O391" s="1">
        <v>10009.0</v>
      </c>
      <c r="P391" s="1" t="s">
        <v>100</v>
      </c>
      <c r="Q391" s="1" t="s">
        <v>38</v>
      </c>
      <c r="R391" s="3">
        <v>23.36</v>
      </c>
      <c r="S391" s="1">
        <v>1.0</v>
      </c>
      <c r="T391" s="4">
        <v>22.76</v>
      </c>
    </row>
    <row r="392">
      <c r="A392" s="1" t="s">
        <v>759</v>
      </c>
      <c r="B392" s="2">
        <v>43416.0</v>
      </c>
      <c r="C392" s="2" t="str">
        <f t="shared" si="1"/>
        <v>Nov</v>
      </c>
      <c r="D392" s="1" t="s">
        <v>760</v>
      </c>
      <c r="E392" s="1" t="s">
        <v>41</v>
      </c>
      <c r="F392" s="1" t="s">
        <v>761</v>
      </c>
      <c r="G392" s="1" t="s">
        <v>762</v>
      </c>
      <c r="H392" s="1" t="str">
        <f>IFERROR(__xludf.DUMMYFUNCTION("split(G392,"" "")"),"Mike")</f>
        <v>Mike</v>
      </c>
      <c r="I392" s="1" t="str">
        <f>IFERROR(__xludf.DUMMYFUNCTION("""COMPUTED_VALUE"""),"Vittorini")</f>
        <v>Vittorini</v>
      </c>
      <c r="J392" s="1" t="s">
        <v>23</v>
      </c>
      <c r="K392" s="1" t="s">
        <v>174</v>
      </c>
      <c r="L392" s="1" t="str">
        <f t="shared" si="2"/>
        <v>New York City</v>
      </c>
      <c r="M392" s="1" t="s">
        <v>175</v>
      </c>
      <c r="N392" s="1" t="str">
        <f t="shared" si="3"/>
        <v>New York</v>
      </c>
      <c r="O392" s="1">
        <v>10009.0</v>
      </c>
      <c r="P392" s="1" t="s">
        <v>100</v>
      </c>
      <c r="Q392" s="1" t="s">
        <v>51</v>
      </c>
      <c r="R392" s="3">
        <v>39.98</v>
      </c>
      <c r="S392" s="1">
        <v>1.0</v>
      </c>
      <c r="T392" s="4">
        <v>39.12</v>
      </c>
    </row>
    <row r="393">
      <c r="A393" s="1" t="s">
        <v>763</v>
      </c>
      <c r="B393" s="2">
        <v>42268.0</v>
      </c>
      <c r="C393" s="2" t="str">
        <f t="shared" si="1"/>
        <v>Sep</v>
      </c>
      <c r="D393" s="1" t="s">
        <v>764</v>
      </c>
      <c r="E393" s="1" t="s">
        <v>20</v>
      </c>
      <c r="F393" s="1" t="s">
        <v>765</v>
      </c>
      <c r="G393" s="1" t="s">
        <v>766</v>
      </c>
      <c r="H393" s="1" t="str">
        <f>IFERROR(__xludf.DUMMYFUNCTION("split(G393,"" "")"),"Jack")</f>
        <v>Jack</v>
      </c>
      <c r="I393" s="1" t="str">
        <f>IFERROR(__xludf.DUMMYFUNCTION("""COMPUTED_VALUE"""),"Garza")</f>
        <v>Garza</v>
      </c>
      <c r="J393" s="1" t="s">
        <v>23</v>
      </c>
      <c r="K393" s="1" t="s">
        <v>767</v>
      </c>
      <c r="L393" s="1" t="str">
        <f t="shared" si="2"/>
        <v>Des Moines</v>
      </c>
      <c r="M393" s="1" t="s">
        <v>63</v>
      </c>
      <c r="N393" s="1" t="str">
        <f t="shared" si="3"/>
        <v>Washington</v>
      </c>
      <c r="O393" s="1">
        <v>98198.0</v>
      </c>
      <c r="P393" s="1" t="s">
        <v>37</v>
      </c>
      <c r="Q393" s="1" t="s">
        <v>51</v>
      </c>
      <c r="R393" s="3">
        <v>246.384</v>
      </c>
      <c r="S393" s="1">
        <v>9.0</v>
      </c>
      <c r="T393" s="4">
        <v>245.6</v>
      </c>
    </row>
    <row r="394">
      <c r="A394" s="1" t="s">
        <v>763</v>
      </c>
      <c r="B394" s="2">
        <v>42268.0</v>
      </c>
      <c r="C394" s="2" t="str">
        <f t="shared" si="1"/>
        <v>Sep</v>
      </c>
      <c r="D394" s="1" t="s">
        <v>764</v>
      </c>
      <c r="E394" s="1" t="s">
        <v>20</v>
      </c>
      <c r="F394" s="1" t="s">
        <v>765</v>
      </c>
      <c r="G394" s="1" t="s">
        <v>766</v>
      </c>
      <c r="H394" s="1" t="str">
        <f>IFERROR(__xludf.DUMMYFUNCTION("split(G394,"" "")"),"Jack")</f>
        <v>Jack</v>
      </c>
      <c r="I394" s="1" t="str">
        <f>IFERROR(__xludf.DUMMYFUNCTION("""COMPUTED_VALUE"""),"Garza")</f>
        <v>Garza</v>
      </c>
      <c r="J394" s="1" t="s">
        <v>23</v>
      </c>
      <c r="K394" s="1" t="s">
        <v>767</v>
      </c>
      <c r="L394" s="1" t="str">
        <f t="shared" si="2"/>
        <v>Des Moines</v>
      </c>
      <c r="M394" s="1" t="s">
        <v>63</v>
      </c>
      <c r="N394" s="1" t="str">
        <f t="shared" si="3"/>
        <v>Washington</v>
      </c>
      <c r="O394" s="1">
        <v>98198.0</v>
      </c>
      <c r="P394" s="1" t="s">
        <v>37</v>
      </c>
      <c r="Q394" s="1" t="s">
        <v>51</v>
      </c>
      <c r="R394" s="3">
        <v>1799.97</v>
      </c>
      <c r="S394" s="1">
        <v>9.0</v>
      </c>
      <c r="T394" s="4">
        <v>1799.44</v>
      </c>
    </row>
    <row r="395">
      <c r="A395" s="1" t="s">
        <v>768</v>
      </c>
      <c r="B395" s="2">
        <v>42191.0</v>
      </c>
      <c r="C395" s="2" t="str">
        <f t="shared" si="1"/>
        <v>Jul</v>
      </c>
      <c r="D395" s="6">
        <v>42283.0</v>
      </c>
      <c r="E395" s="1" t="s">
        <v>20</v>
      </c>
      <c r="F395" s="1" t="s">
        <v>769</v>
      </c>
      <c r="G395" s="1" t="s">
        <v>770</v>
      </c>
      <c r="H395" s="1" t="str">
        <f>IFERROR(__xludf.DUMMYFUNCTION("split(G395,"" "")"),"Bart")</f>
        <v>Bart</v>
      </c>
      <c r="I395" s="1" t="str">
        <f>IFERROR(__xludf.DUMMYFUNCTION("""COMPUTED_VALUE"""),"Pistole")</f>
        <v>Pistole</v>
      </c>
      <c r="J395" s="1" t="s">
        <v>34</v>
      </c>
      <c r="K395" s="1" t="s">
        <v>771</v>
      </c>
      <c r="L395" s="1" t="str">
        <f t="shared" si="2"/>
        <v>Peoria</v>
      </c>
      <c r="M395" s="1" t="s">
        <v>135</v>
      </c>
      <c r="N395" s="1" t="str">
        <f t="shared" si="3"/>
        <v>Illinois</v>
      </c>
      <c r="O395" s="1">
        <v>61604.0</v>
      </c>
      <c r="P395" s="1" t="s">
        <v>71</v>
      </c>
      <c r="Q395" s="1" t="s">
        <v>38</v>
      </c>
      <c r="R395" s="3">
        <v>12.462</v>
      </c>
      <c r="S395" s="1">
        <v>6.0</v>
      </c>
      <c r="T395" s="4">
        <v>11.68</v>
      </c>
    </row>
    <row r="396">
      <c r="A396" s="1" t="s">
        <v>772</v>
      </c>
      <c r="B396" s="2">
        <v>43281.0</v>
      </c>
      <c r="C396" s="2" t="str">
        <f t="shared" si="1"/>
        <v>Jun</v>
      </c>
      <c r="D396" s="6">
        <v>43227.0</v>
      </c>
      <c r="E396" s="1" t="s">
        <v>41</v>
      </c>
      <c r="F396" s="1" t="s">
        <v>773</v>
      </c>
      <c r="G396" s="1" t="s">
        <v>774</v>
      </c>
      <c r="H396" s="1" t="str">
        <f>IFERROR(__xludf.DUMMYFUNCTION("split(G396,"" "")"),"Victor")</f>
        <v>Victor</v>
      </c>
      <c r="I396" s="1" t="str">
        <f>IFERROR(__xludf.DUMMYFUNCTION("""COMPUTED_VALUE"""),"Preis")</f>
        <v>Preis</v>
      </c>
      <c r="J396" s="1" t="s">
        <v>68</v>
      </c>
      <c r="K396" s="1" t="s">
        <v>775</v>
      </c>
      <c r="L396" s="1" t="str">
        <f t="shared" si="2"/>
        <v>Las Vegas</v>
      </c>
      <c r="M396" s="1" t="s">
        <v>776</v>
      </c>
      <c r="N396" s="1" t="str">
        <f t="shared" si="3"/>
        <v>Nevada</v>
      </c>
      <c r="O396" s="1">
        <v>89115.0</v>
      </c>
      <c r="P396" s="1" t="s">
        <v>37</v>
      </c>
      <c r="Q396" s="1" t="s">
        <v>38</v>
      </c>
      <c r="R396" s="3">
        <v>75.792</v>
      </c>
      <c r="S396" s="1">
        <v>8.0</v>
      </c>
      <c r="T396" s="4">
        <v>75.2</v>
      </c>
    </row>
    <row r="397">
      <c r="A397" s="1" t="s">
        <v>777</v>
      </c>
      <c r="B397" s="2">
        <v>43390.0</v>
      </c>
      <c r="C397" s="2" t="str">
        <f t="shared" si="1"/>
        <v>Oct</v>
      </c>
      <c r="D397" s="1" t="s">
        <v>778</v>
      </c>
      <c r="E397" s="1" t="s">
        <v>20</v>
      </c>
      <c r="F397" s="1" t="s">
        <v>779</v>
      </c>
      <c r="G397" s="1" t="s">
        <v>780</v>
      </c>
      <c r="H397" s="1" t="str">
        <f>IFERROR(__xludf.DUMMYFUNCTION("split(G397,"" "")"),"Saphhira")</f>
        <v>Saphhira</v>
      </c>
      <c r="I397" s="1" t="str">
        <f>IFERROR(__xludf.DUMMYFUNCTION("""COMPUTED_VALUE"""),"Shifley")</f>
        <v>Shifley</v>
      </c>
      <c r="J397" s="1" t="s">
        <v>34</v>
      </c>
      <c r="K397" s="1" t="s">
        <v>781</v>
      </c>
      <c r="L397" s="1" t="str">
        <f t="shared" si="2"/>
        <v>Warwick</v>
      </c>
      <c r="M397" s="1" t="s">
        <v>782</v>
      </c>
      <c r="N397" s="1" t="str">
        <f t="shared" si="3"/>
        <v>Rhode Island</v>
      </c>
      <c r="O397" s="1">
        <v>2886.0</v>
      </c>
      <c r="P397" s="1" t="s">
        <v>100</v>
      </c>
      <c r="Q397" s="1" t="s">
        <v>38</v>
      </c>
      <c r="R397" s="3">
        <v>49.96</v>
      </c>
      <c r="S397" s="1">
        <v>2.0</v>
      </c>
      <c r="T397" s="4">
        <v>49.81</v>
      </c>
    </row>
    <row r="398">
      <c r="A398" s="1" t="s">
        <v>777</v>
      </c>
      <c r="B398" s="2">
        <v>43390.0</v>
      </c>
      <c r="C398" s="2" t="str">
        <f t="shared" si="1"/>
        <v>Oct</v>
      </c>
      <c r="D398" s="1" t="s">
        <v>778</v>
      </c>
      <c r="E398" s="1" t="s">
        <v>20</v>
      </c>
      <c r="F398" s="1" t="s">
        <v>779</v>
      </c>
      <c r="G398" s="1" t="s">
        <v>780</v>
      </c>
      <c r="H398" s="1" t="str">
        <f>IFERROR(__xludf.DUMMYFUNCTION("split(G398,"" "")"),"Saphhira")</f>
        <v>Saphhira</v>
      </c>
      <c r="I398" s="1" t="str">
        <f>IFERROR(__xludf.DUMMYFUNCTION("""COMPUTED_VALUE"""),"Shifley")</f>
        <v>Shifley</v>
      </c>
      <c r="J398" s="1" t="s">
        <v>34</v>
      </c>
      <c r="K398" s="1" t="s">
        <v>781</v>
      </c>
      <c r="L398" s="1" t="str">
        <f t="shared" si="2"/>
        <v>Warwick</v>
      </c>
      <c r="M398" s="1" t="s">
        <v>782</v>
      </c>
      <c r="N398" s="1" t="str">
        <f t="shared" si="3"/>
        <v>Rhode Island</v>
      </c>
      <c r="O398" s="1">
        <v>2886.0</v>
      </c>
      <c r="P398" s="1" t="s">
        <v>100</v>
      </c>
      <c r="Q398" s="1" t="s">
        <v>38</v>
      </c>
      <c r="R398" s="3">
        <v>12.96</v>
      </c>
      <c r="S398" s="1">
        <v>2.0</v>
      </c>
      <c r="T398" s="4">
        <v>12.37</v>
      </c>
    </row>
    <row r="399">
      <c r="A399" s="1" t="s">
        <v>783</v>
      </c>
      <c r="B399" s="2">
        <v>42674.0</v>
      </c>
      <c r="C399" s="2" t="str">
        <f t="shared" si="1"/>
        <v>Oct</v>
      </c>
      <c r="D399" s="6">
        <v>42471.0</v>
      </c>
      <c r="E399" s="1" t="s">
        <v>41</v>
      </c>
      <c r="F399" s="1" t="s">
        <v>66</v>
      </c>
      <c r="G399" s="1" t="s">
        <v>67</v>
      </c>
      <c r="H399" s="1" t="str">
        <f>IFERROR(__xludf.DUMMYFUNCTION("split(G399,"" "")"),"Harold")</f>
        <v>Harold</v>
      </c>
      <c r="I399" s="1" t="str">
        <f>IFERROR(__xludf.DUMMYFUNCTION("""COMPUTED_VALUE"""),"Pawlan")</f>
        <v>Pawlan</v>
      </c>
      <c r="J399" s="1" t="s">
        <v>68</v>
      </c>
      <c r="K399" s="1" t="s">
        <v>205</v>
      </c>
      <c r="L399" s="1" t="str">
        <f t="shared" si="2"/>
        <v>Jackson</v>
      </c>
      <c r="M399" s="1" t="s">
        <v>157</v>
      </c>
      <c r="N399" s="1" t="str">
        <f t="shared" si="3"/>
        <v>Michigan</v>
      </c>
      <c r="O399" s="1">
        <v>49201.0</v>
      </c>
      <c r="P399" s="1" t="s">
        <v>71</v>
      </c>
      <c r="Q399" s="1" t="s">
        <v>38</v>
      </c>
      <c r="R399" s="3">
        <v>70.12</v>
      </c>
      <c r="S399" s="1">
        <v>4.0</v>
      </c>
      <c r="T399" s="4">
        <v>69.33</v>
      </c>
    </row>
    <row r="400">
      <c r="A400" s="1" t="s">
        <v>784</v>
      </c>
      <c r="B400" s="2">
        <v>42956.0</v>
      </c>
      <c r="C400" s="2" t="str">
        <f t="shared" si="1"/>
        <v>Aug</v>
      </c>
      <c r="D400" s="6">
        <v>43017.0</v>
      </c>
      <c r="E400" s="1" t="s">
        <v>20</v>
      </c>
      <c r="F400" s="1" t="s">
        <v>785</v>
      </c>
      <c r="G400" s="1" t="s">
        <v>786</v>
      </c>
      <c r="H400" s="1" t="str">
        <f>IFERROR(__xludf.DUMMYFUNCTION("split(G400,"" "")"),"Anna")</f>
        <v>Anna</v>
      </c>
      <c r="I400" s="1" t="str">
        <f>IFERROR(__xludf.DUMMYFUNCTION("""COMPUTED_VALUE"""),"Gayman")</f>
        <v>Gayman</v>
      </c>
      <c r="J400" s="1" t="s">
        <v>23</v>
      </c>
      <c r="K400" s="1" t="s">
        <v>129</v>
      </c>
      <c r="L400" s="1" t="str">
        <f t="shared" si="2"/>
        <v>Houston</v>
      </c>
      <c r="M400" s="1" t="s">
        <v>70</v>
      </c>
      <c r="N400" s="1" t="str">
        <f t="shared" si="3"/>
        <v>Texas</v>
      </c>
      <c r="O400" s="1">
        <v>77036.0</v>
      </c>
      <c r="P400" s="1" t="s">
        <v>71</v>
      </c>
      <c r="Q400" s="1" t="s">
        <v>38</v>
      </c>
      <c r="R400" s="3">
        <v>35.952</v>
      </c>
      <c r="S400" s="1">
        <v>7.0</v>
      </c>
      <c r="T400" s="4">
        <v>35.91</v>
      </c>
    </row>
    <row r="401">
      <c r="A401" s="1" t="s">
        <v>784</v>
      </c>
      <c r="B401" s="2">
        <v>42956.0</v>
      </c>
      <c r="C401" s="2" t="str">
        <f t="shared" si="1"/>
        <v>Aug</v>
      </c>
      <c r="D401" s="6">
        <v>43017.0</v>
      </c>
      <c r="E401" s="1" t="s">
        <v>20</v>
      </c>
      <c r="F401" s="1" t="s">
        <v>785</v>
      </c>
      <c r="G401" s="1" t="s">
        <v>786</v>
      </c>
      <c r="H401" s="1" t="str">
        <f>IFERROR(__xludf.DUMMYFUNCTION("split(G401,"" "")"),"Anna")</f>
        <v>Anna</v>
      </c>
      <c r="I401" s="1" t="str">
        <f>IFERROR(__xludf.DUMMYFUNCTION("""COMPUTED_VALUE"""),"Gayman")</f>
        <v>Gayman</v>
      </c>
      <c r="J401" s="1" t="s">
        <v>23</v>
      </c>
      <c r="K401" s="1" t="s">
        <v>129</v>
      </c>
      <c r="L401" s="1" t="str">
        <f t="shared" si="2"/>
        <v>Houston</v>
      </c>
      <c r="M401" s="1" t="s">
        <v>70</v>
      </c>
      <c r="N401" s="1" t="str">
        <f t="shared" si="3"/>
        <v>Texas</v>
      </c>
      <c r="O401" s="1">
        <v>77036.0</v>
      </c>
      <c r="P401" s="1" t="s">
        <v>71</v>
      </c>
      <c r="Q401" s="1" t="s">
        <v>27</v>
      </c>
      <c r="R401" s="3">
        <v>2396.2656</v>
      </c>
      <c r="S401" s="1">
        <v>7.0</v>
      </c>
      <c r="T401" s="4">
        <v>2395.78</v>
      </c>
    </row>
    <row r="402">
      <c r="A402" s="1" t="s">
        <v>784</v>
      </c>
      <c r="B402" s="2">
        <v>42956.0</v>
      </c>
      <c r="C402" s="2" t="str">
        <f t="shared" si="1"/>
        <v>Aug</v>
      </c>
      <c r="D402" s="6">
        <v>43017.0</v>
      </c>
      <c r="E402" s="1" t="s">
        <v>20</v>
      </c>
      <c r="F402" s="1" t="s">
        <v>785</v>
      </c>
      <c r="G402" s="1" t="s">
        <v>786</v>
      </c>
      <c r="H402" s="1" t="str">
        <f>IFERROR(__xludf.DUMMYFUNCTION("split(G402,"" "")"),"Anna")</f>
        <v>Anna</v>
      </c>
      <c r="I402" s="1" t="str">
        <f>IFERROR(__xludf.DUMMYFUNCTION("""COMPUTED_VALUE"""),"Gayman")</f>
        <v>Gayman</v>
      </c>
      <c r="J402" s="1" t="s">
        <v>23</v>
      </c>
      <c r="K402" s="1" t="s">
        <v>129</v>
      </c>
      <c r="L402" s="1" t="str">
        <f t="shared" si="2"/>
        <v>Houston</v>
      </c>
      <c r="M402" s="1" t="s">
        <v>70</v>
      </c>
      <c r="N402" s="1" t="str">
        <f t="shared" si="3"/>
        <v>Texas</v>
      </c>
      <c r="O402" s="1">
        <v>77036.0</v>
      </c>
      <c r="P402" s="1" t="s">
        <v>71</v>
      </c>
      <c r="Q402" s="1" t="s">
        <v>38</v>
      </c>
      <c r="R402" s="3">
        <v>131.136</v>
      </c>
      <c r="S402" s="1">
        <v>7.0</v>
      </c>
      <c r="T402" s="4">
        <v>130.97</v>
      </c>
    </row>
    <row r="403">
      <c r="A403" s="1" t="s">
        <v>784</v>
      </c>
      <c r="B403" s="2">
        <v>42956.0</v>
      </c>
      <c r="C403" s="2" t="str">
        <f t="shared" si="1"/>
        <v>Aug</v>
      </c>
      <c r="D403" s="6">
        <v>43017.0</v>
      </c>
      <c r="E403" s="1" t="s">
        <v>20</v>
      </c>
      <c r="F403" s="1" t="s">
        <v>785</v>
      </c>
      <c r="G403" s="1" t="s">
        <v>786</v>
      </c>
      <c r="H403" s="1" t="str">
        <f>IFERROR(__xludf.DUMMYFUNCTION("split(G403,"" "")"),"Anna")</f>
        <v>Anna</v>
      </c>
      <c r="I403" s="1" t="str">
        <f>IFERROR(__xludf.DUMMYFUNCTION("""COMPUTED_VALUE"""),"Gayman")</f>
        <v>Gayman</v>
      </c>
      <c r="J403" s="1" t="s">
        <v>23</v>
      </c>
      <c r="K403" s="1" t="s">
        <v>129</v>
      </c>
      <c r="L403" s="1" t="str">
        <f t="shared" si="2"/>
        <v>Houston</v>
      </c>
      <c r="M403" s="1" t="s">
        <v>70</v>
      </c>
      <c r="N403" s="1" t="str">
        <f t="shared" si="3"/>
        <v>Texas</v>
      </c>
      <c r="O403" s="1">
        <v>77036.0</v>
      </c>
      <c r="P403" s="1" t="s">
        <v>71</v>
      </c>
      <c r="Q403" s="1" t="s">
        <v>51</v>
      </c>
      <c r="R403" s="3">
        <v>57.584</v>
      </c>
      <c r="S403" s="1">
        <v>7.0</v>
      </c>
      <c r="T403" s="4">
        <v>57.1</v>
      </c>
    </row>
    <row r="404">
      <c r="A404" s="1" t="s">
        <v>787</v>
      </c>
      <c r="B404" s="2">
        <v>42362.0</v>
      </c>
      <c r="C404" s="2" t="str">
        <f t="shared" si="1"/>
        <v>Dec</v>
      </c>
      <c r="D404" s="1" t="s">
        <v>788</v>
      </c>
      <c r="E404" s="1" t="s">
        <v>121</v>
      </c>
      <c r="F404" s="1" t="s">
        <v>789</v>
      </c>
      <c r="G404" s="1" t="s">
        <v>790</v>
      </c>
      <c r="H404" s="1" t="str">
        <f>IFERROR(__xludf.DUMMYFUNCTION("split(G404,"" "")"),"Luke")</f>
        <v>Luke</v>
      </c>
      <c r="I404" s="1" t="str">
        <f>IFERROR(__xludf.DUMMYFUNCTION("""COMPUTED_VALUE"""),"Foster")</f>
        <v>Foster</v>
      </c>
      <c r="J404" s="1" t="s">
        <v>23</v>
      </c>
      <c r="K404" s="1" t="s">
        <v>791</v>
      </c>
      <c r="L404" s="1" t="str">
        <f t="shared" si="2"/>
        <v>Miami</v>
      </c>
      <c r="M404" s="1" t="s">
        <v>145</v>
      </c>
      <c r="N404" s="1" t="str">
        <f t="shared" si="3"/>
        <v>Florida</v>
      </c>
      <c r="O404" s="1">
        <v>33180.0</v>
      </c>
      <c r="P404" s="1" t="s">
        <v>26</v>
      </c>
      <c r="Q404" s="1" t="s">
        <v>38</v>
      </c>
      <c r="R404" s="3">
        <v>9.568</v>
      </c>
      <c r="S404" s="1">
        <v>3.0</v>
      </c>
      <c r="T404" s="4">
        <v>8.71</v>
      </c>
    </row>
    <row r="405">
      <c r="A405" s="1" t="s">
        <v>792</v>
      </c>
      <c r="B405" s="2">
        <v>42110.0</v>
      </c>
      <c r="C405" s="2" t="str">
        <f t="shared" si="1"/>
        <v>Apr</v>
      </c>
      <c r="D405" s="1" t="s">
        <v>793</v>
      </c>
      <c r="E405" s="1" t="s">
        <v>41</v>
      </c>
      <c r="F405" s="1" t="s">
        <v>371</v>
      </c>
      <c r="G405" s="1" t="s">
        <v>372</v>
      </c>
      <c r="H405" s="1" t="str">
        <f>IFERROR(__xludf.DUMMYFUNCTION("split(G405,"" "")"),"Stephanie")</f>
        <v>Stephanie</v>
      </c>
      <c r="I405" s="1" t="str">
        <f>IFERROR(__xludf.DUMMYFUNCTION("""COMPUTED_VALUE"""),"Phelps")</f>
        <v>Phelps</v>
      </c>
      <c r="J405" s="1" t="s">
        <v>34</v>
      </c>
      <c r="K405" s="1" t="s">
        <v>315</v>
      </c>
      <c r="L405" s="1" t="str">
        <f t="shared" si="2"/>
        <v>Wilmington</v>
      </c>
      <c r="M405" s="1" t="s">
        <v>58</v>
      </c>
      <c r="N405" s="1" t="str">
        <f t="shared" si="3"/>
        <v>North Carolina</v>
      </c>
      <c r="O405" s="1">
        <v>28403.0</v>
      </c>
      <c r="P405" s="1" t="s">
        <v>26</v>
      </c>
      <c r="Q405" s="1" t="s">
        <v>38</v>
      </c>
      <c r="R405" s="3">
        <v>39.072</v>
      </c>
      <c r="S405" s="1">
        <v>2.0</v>
      </c>
      <c r="T405" s="4">
        <v>38.51</v>
      </c>
    </row>
    <row r="406">
      <c r="A406" s="1" t="s">
        <v>794</v>
      </c>
      <c r="B406" s="2">
        <v>43458.0</v>
      </c>
      <c r="C406" s="2" t="str">
        <f t="shared" si="1"/>
        <v>Dec</v>
      </c>
      <c r="D406" s="1" t="s">
        <v>795</v>
      </c>
      <c r="E406" s="1" t="s">
        <v>41</v>
      </c>
      <c r="F406" s="1" t="s">
        <v>796</v>
      </c>
      <c r="G406" s="1" t="s">
        <v>797</v>
      </c>
      <c r="H406" s="1" t="str">
        <f>IFERROR(__xludf.DUMMYFUNCTION("split(G406,"" "")"),"Roy")</f>
        <v>Roy</v>
      </c>
      <c r="I406" s="1" t="str">
        <f>IFERROR(__xludf.DUMMYFUNCTION("""COMPUTED_VALUE"""),"Französisch")</f>
        <v>Französisch</v>
      </c>
      <c r="J406" s="1" t="s">
        <v>23</v>
      </c>
      <c r="K406" s="1" t="s">
        <v>174</v>
      </c>
      <c r="L406" s="1" t="str">
        <f t="shared" si="2"/>
        <v>New York City</v>
      </c>
      <c r="M406" s="1" t="s">
        <v>175</v>
      </c>
      <c r="N406" s="1" t="str">
        <f t="shared" si="3"/>
        <v>New York</v>
      </c>
      <c r="O406" s="1">
        <v>10024.0</v>
      </c>
      <c r="P406" s="1" t="s">
        <v>100</v>
      </c>
      <c r="Q406" s="1" t="s">
        <v>38</v>
      </c>
      <c r="R406" s="3">
        <v>35.91</v>
      </c>
      <c r="S406" s="1">
        <v>1.0</v>
      </c>
      <c r="T406" s="4">
        <v>35.67</v>
      </c>
    </row>
    <row r="407">
      <c r="A407" s="1" t="s">
        <v>798</v>
      </c>
      <c r="B407" s="2">
        <v>43324.0</v>
      </c>
      <c r="C407" s="2" t="str">
        <f t="shared" si="1"/>
        <v>Aug</v>
      </c>
      <c r="D407" s="5">
        <v>43446.0</v>
      </c>
      <c r="E407" s="1" t="s">
        <v>41</v>
      </c>
      <c r="F407" s="1" t="s">
        <v>799</v>
      </c>
      <c r="G407" s="1" t="s">
        <v>800</v>
      </c>
      <c r="H407" s="1" t="str">
        <f>IFERROR(__xludf.DUMMYFUNCTION("split(G407,"" "")"),"Keith")</f>
        <v>Keith</v>
      </c>
      <c r="I407" s="1" t="str">
        <f>IFERROR(__xludf.DUMMYFUNCTION("""COMPUTED_VALUE"""),"Herrera")</f>
        <v>Herrera</v>
      </c>
      <c r="J407" s="1" t="s">
        <v>23</v>
      </c>
      <c r="K407" s="1" t="s">
        <v>87</v>
      </c>
      <c r="L407" s="1" t="str">
        <f t="shared" si="2"/>
        <v>San Francisco</v>
      </c>
      <c r="M407" s="1" t="s">
        <v>52</v>
      </c>
      <c r="N407" s="1" t="str">
        <f t="shared" si="3"/>
        <v>California</v>
      </c>
      <c r="O407" s="1">
        <v>94110.0</v>
      </c>
      <c r="P407" s="1" t="s">
        <v>37</v>
      </c>
      <c r="Q407" s="1" t="s">
        <v>51</v>
      </c>
      <c r="R407" s="3">
        <v>179.95</v>
      </c>
      <c r="S407" s="1">
        <v>9.0</v>
      </c>
      <c r="T407" s="4">
        <v>179.62</v>
      </c>
    </row>
    <row r="408">
      <c r="A408" s="1" t="s">
        <v>798</v>
      </c>
      <c r="B408" s="2">
        <v>43324.0</v>
      </c>
      <c r="C408" s="2" t="str">
        <f t="shared" si="1"/>
        <v>Aug</v>
      </c>
      <c r="D408" s="5">
        <v>43446.0</v>
      </c>
      <c r="E408" s="1" t="s">
        <v>41</v>
      </c>
      <c r="F408" s="1" t="s">
        <v>799</v>
      </c>
      <c r="G408" s="1" t="s">
        <v>800</v>
      </c>
      <c r="H408" s="1" t="str">
        <f>IFERROR(__xludf.DUMMYFUNCTION("split(G408,"" "")"),"Keith")</f>
        <v>Keith</v>
      </c>
      <c r="I408" s="1" t="str">
        <f>IFERROR(__xludf.DUMMYFUNCTION("""COMPUTED_VALUE"""),"Herrera")</f>
        <v>Herrera</v>
      </c>
      <c r="J408" s="1" t="s">
        <v>23</v>
      </c>
      <c r="K408" s="1" t="s">
        <v>87</v>
      </c>
      <c r="L408" s="1" t="str">
        <f t="shared" si="2"/>
        <v>San Francisco</v>
      </c>
      <c r="M408" s="1" t="s">
        <v>52</v>
      </c>
      <c r="N408" s="1" t="str">
        <f t="shared" si="3"/>
        <v>California</v>
      </c>
      <c r="O408" s="1">
        <v>94110.0</v>
      </c>
      <c r="P408" s="1" t="s">
        <v>37</v>
      </c>
      <c r="Q408" s="1" t="s">
        <v>51</v>
      </c>
      <c r="R408" s="3">
        <v>1199.976</v>
      </c>
      <c r="S408" s="1">
        <v>9.0</v>
      </c>
      <c r="T408" s="4">
        <v>1199.86</v>
      </c>
    </row>
    <row r="409">
      <c r="A409" s="1" t="s">
        <v>798</v>
      </c>
      <c r="B409" s="2">
        <v>43324.0</v>
      </c>
      <c r="C409" s="2" t="str">
        <f t="shared" si="1"/>
        <v>Aug</v>
      </c>
      <c r="D409" s="5">
        <v>43446.0</v>
      </c>
      <c r="E409" s="1" t="s">
        <v>41</v>
      </c>
      <c r="F409" s="1" t="s">
        <v>799</v>
      </c>
      <c r="G409" s="1" t="s">
        <v>800</v>
      </c>
      <c r="H409" s="1" t="str">
        <f>IFERROR(__xludf.DUMMYFUNCTION("split(G409,"" "")"),"Keith")</f>
        <v>Keith</v>
      </c>
      <c r="I409" s="1" t="str">
        <f>IFERROR(__xludf.DUMMYFUNCTION("""COMPUTED_VALUE"""),"Herrera")</f>
        <v>Herrera</v>
      </c>
      <c r="J409" s="1" t="s">
        <v>23</v>
      </c>
      <c r="K409" s="1" t="s">
        <v>87</v>
      </c>
      <c r="L409" s="1" t="str">
        <f t="shared" si="2"/>
        <v>San Francisco</v>
      </c>
      <c r="M409" s="1" t="s">
        <v>52</v>
      </c>
      <c r="N409" s="1" t="str">
        <f t="shared" si="3"/>
        <v>California</v>
      </c>
      <c r="O409" s="1">
        <v>94110.0</v>
      </c>
      <c r="P409" s="1" t="s">
        <v>37</v>
      </c>
      <c r="Q409" s="1" t="s">
        <v>38</v>
      </c>
      <c r="R409" s="3">
        <v>27.15</v>
      </c>
      <c r="S409" s="1">
        <v>9.0</v>
      </c>
      <c r="T409" s="4">
        <v>27.07</v>
      </c>
    </row>
    <row r="410">
      <c r="A410" s="1" t="s">
        <v>798</v>
      </c>
      <c r="B410" s="2">
        <v>43324.0</v>
      </c>
      <c r="C410" s="2" t="str">
        <f t="shared" si="1"/>
        <v>Aug</v>
      </c>
      <c r="D410" s="5">
        <v>43446.0</v>
      </c>
      <c r="E410" s="1" t="s">
        <v>41</v>
      </c>
      <c r="F410" s="1" t="s">
        <v>799</v>
      </c>
      <c r="G410" s="1" t="s">
        <v>800</v>
      </c>
      <c r="H410" s="1" t="str">
        <f>IFERROR(__xludf.DUMMYFUNCTION("split(G410,"" "")"),"Keith")</f>
        <v>Keith</v>
      </c>
      <c r="I410" s="1" t="str">
        <f>IFERROR(__xludf.DUMMYFUNCTION("""COMPUTED_VALUE"""),"Herrera")</f>
        <v>Herrera</v>
      </c>
      <c r="J410" s="1" t="s">
        <v>23</v>
      </c>
      <c r="K410" s="1" t="s">
        <v>87</v>
      </c>
      <c r="L410" s="1" t="str">
        <f t="shared" si="2"/>
        <v>San Francisco</v>
      </c>
      <c r="M410" s="1" t="s">
        <v>52</v>
      </c>
      <c r="N410" s="1" t="str">
        <f t="shared" si="3"/>
        <v>California</v>
      </c>
      <c r="O410" s="1">
        <v>94110.0</v>
      </c>
      <c r="P410" s="1" t="s">
        <v>37</v>
      </c>
      <c r="Q410" s="1" t="s">
        <v>27</v>
      </c>
      <c r="R410" s="3">
        <v>1004.024</v>
      </c>
      <c r="S410" s="1">
        <v>9.0</v>
      </c>
      <c r="T410" s="4">
        <v>1003.74</v>
      </c>
    </row>
    <row r="411">
      <c r="A411" s="1" t="s">
        <v>798</v>
      </c>
      <c r="B411" s="2">
        <v>43324.0</v>
      </c>
      <c r="C411" s="2" t="str">
        <f t="shared" si="1"/>
        <v>Aug</v>
      </c>
      <c r="D411" s="5">
        <v>43446.0</v>
      </c>
      <c r="E411" s="1" t="s">
        <v>41</v>
      </c>
      <c r="F411" s="1" t="s">
        <v>799</v>
      </c>
      <c r="G411" s="1" t="s">
        <v>800</v>
      </c>
      <c r="H411" s="1" t="str">
        <f>IFERROR(__xludf.DUMMYFUNCTION("split(G411,"" "")"),"Keith")</f>
        <v>Keith</v>
      </c>
      <c r="I411" s="1" t="str">
        <f>IFERROR(__xludf.DUMMYFUNCTION("""COMPUTED_VALUE"""),"Herrera")</f>
        <v>Herrera</v>
      </c>
      <c r="J411" s="1" t="s">
        <v>23</v>
      </c>
      <c r="K411" s="1" t="s">
        <v>87</v>
      </c>
      <c r="L411" s="1" t="str">
        <f t="shared" si="2"/>
        <v>San Francisco</v>
      </c>
      <c r="M411" s="1" t="s">
        <v>52</v>
      </c>
      <c r="N411" s="1" t="str">
        <f t="shared" si="3"/>
        <v>California</v>
      </c>
      <c r="O411" s="1">
        <v>94110.0</v>
      </c>
      <c r="P411" s="1" t="s">
        <v>37</v>
      </c>
      <c r="Q411" s="1" t="s">
        <v>38</v>
      </c>
      <c r="R411" s="3">
        <v>9.68</v>
      </c>
      <c r="S411" s="1">
        <v>9.0</v>
      </c>
      <c r="T411" s="4">
        <v>8.77</v>
      </c>
    </row>
    <row r="412">
      <c r="A412" s="1" t="s">
        <v>798</v>
      </c>
      <c r="B412" s="2">
        <v>43324.0</v>
      </c>
      <c r="C412" s="2" t="str">
        <f t="shared" si="1"/>
        <v>Aug</v>
      </c>
      <c r="D412" s="5">
        <v>43446.0</v>
      </c>
      <c r="E412" s="1" t="s">
        <v>41</v>
      </c>
      <c r="F412" s="1" t="s">
        <v>799</v>
      </c>
      <c r="G412" s="1" t="s">
        <v>800</v>
      </c>
      <c r="H412" s="1" t="str">
        <f>IFERROR(__xludf.DUMMYFUNCTION("split(G412,"" "")"),"Keith")</f>
        <v>Keith</v>
      </c>
      <c r="I412" s="1" t="str">
        <f>IFERROR(__xludf.DUMMYFUNCTION("""COMPUTED_VALUE"""),"Herrera")</f>
        <v>Herrera</v>
      </c>
      <c r="J412" s="1" t="s">
        <v>23</v>
      </c>
      <c r="K412" s="1" t="s">
        <v>87</v>
      </c>
      <c r="L412" s="1" t="str">
        <f t="shared" si="2"/>
        <v>San Francisco</v>
      </c>
      <c r="M412" s="1" t="s">
        <v>52</v>
      </c>
      <c r="N412" s="1" t="str">
        <f t="shared" si="3"/>
        <v>California</v>
      </c>
      <c r="O412" s="1">
        <v>94110.0</v>
      </c>
      <c r="P412" s="1" t="s">
        <v>37</v>
      </c>
      <c r="Q412" s="1" t="s">
        <v>38</v>
      </c>
      <c r="R412" s="3">
        <v>28.35</v>
      </c>
      <c r="S412" s="1">
        <v>9.0</v>
      </c>
      <c r="T412" s="4">
        <v>27.45</v>
      </c>
    </row>
    <row r="413">
      <c r="A413" s="1" t="s">
        <v>798</v>
      </c>
      <c r="B413" s="2">
        <v>43324.0</v>
      </c>
      <c r="C413" s="2" t="str">
        <f t="shared" si="1"/>
        <v>Aug</v>
      </c>
      <c r="D413" s="5">
        <v>43446.0</v>
      </c>
      <c r="E413" s="1" t="s">
        <v>41</v>
      </c>
      <c r="F413" s="1" t="s">
        <v>799</v>
      </c>
      <c r="G413" s="1" t="s">
        <v>800</v>
      </c>
      <c r="H413" s="1" t="str">
        <f>IFERROR(__xludf.DUMMYFUNCTION("split(G413,"" "")"),"Keith")</f>
        <v>Keith</v>
      </c>
      <c r="I413" s="1" t="str">
        <f>IFERROR(__xludf.DUMMYFUNCTION("""COMPUTED_VALUE"""),"Herrera")</f>
        <v>Herrera</v>
      </c>
      <c r="J413" s="1" t="s">
        <v>23</v>
      </c>
      <c r="K413" s="1" t="s">
        <v>87</v>
      </c>
      <c r="L413" s="1" t="str">
        <f t="shared" si="2"/>
        <v>San Francisco</v>
      </c>
      <c r="M413" s="1" t="s">
        <v>52</v>
      </c>
      <c r="N413" s="1" t="str">
        <f t="shared" si="3"/>
        <v>California</v>
      </c>
      <c r="O413" s="1">
        <v>94110.0</v>
      </c>
      <c r="P413" s="1" t="s">
        <v>37</v>
      </c>
      <c r="Q413" s="1" t="s">
        <v>38</v>
      </c>
      <c r="R413" s="3">
        <v>55.98</v>
      </c>
      <c r="S413" s="1">
        <v>9.0</v>
      </c>
      <c r="T413" s="4">
        <v>55.71</v>
      </c>
    </row>
    <row r="414">
      <c r="A414" s="1" t="s">
        <v>798</v>
      </c>
      <c r="B414" s="2">
        <v>43324.0</v>
      </c>
      <c r="C414" s="2" t="str">
        <f t="shared" si="1"/>
        <v>Aug</v>
      </c>
      <c r="D414" s="5">
        <v>43446.0</v>
      </c>
      <c r="E414" s="1" t="s">
        <v>41</v>
      </c>
      <c r="F414" s="1" t="s">
        <v>799</v>
      </c>
      <c r="G414" s="1" t="s">
        <v>800</v>
      </c>
      <c r="H414" s="1" t="str">
        <f>IFERROR(__xludf.DUMMYFUNCTION("split(G414,"" "")"),"Keith")</f>
        <v>Keith</v>
      </c>
      <c r="I414" s="1" t="str">
        <f>IFERROR(__xludf.DUMMYFUNCTION("""COMPUTED_VALUE"""),"Herrera")</f>
        <v>Herrera</v>
      </c>
      <c r="J414" s="1" t="s">
        <v>23</v>
      </c>
      <c r="K414" s="1" t="s">
        <v>87</v>
      </c>
      <c r="L414" s="1" t="str">
        <f t="shared" si="2"/>
        <v>San Francisco</v>
      </c>
      <c r="M414" s="1" t="s">
        <v>52</v>
      </c>
      <c r="N414" s="1" t="str">
        <f t="shared" si="3"/>
        <v>California</v>
      </c>
      <c r="O414" s="1">
        <v>94110.0</v>
      </c>
      <c r="P414" s="1" t="s">
        <v>37</v>
      </c>
      <c r="Q414" s="1" t="s">
        <v>27</v>
      </c>
      <c r="R414" s="3">
        <v>1336.829</v>
      </c>
      <c r="S414" s="1">
        <v>9.0</v>
      </c>
      <c r="T414" s="4">
        <v>1336.39</v>
      </c>
    </row>
    <row r="415">
      <c r="A415" s="1" t="s">
        <v>798</v>
      </c>
      <c r="B415" s="2">
        <v>43324.0</v>
      </c>
      <c r="C415" s="2" t="str">
        <f t="shared" si="1"/>
        <v>Aug</v>
      </c>
      <c r="D415" s="5">
        <v>43446.0</v>
      </c>
      <c r="E415" s="1" t="s">
        <v>41</v>
      </c>
      <c r="F415" s="1" t="s">
        <v>799</v>
      </c>
      <c r="G415" s="1" t="s">
        <v>800</v>
      </c>
      <c r="H415" s="1" t="str">
        <f>IFERROR(__xludf.DUMMYFUNCTION("split(G415,"" "")"),"Keith")</f>
        <v>Keith</v>
      </c>
      <c r="I415" s="1" t="str">
        <f>IFERROR(__xludf.DUMMYFUNCTION("""COMPUTED_VALUE"""),"Herrera")</f>
        <v>Herrera</v>
      </c>
      <c r="J415" s="1" t="s">
        <v>23</v>
      </c>
      <c r="K415" s="1" t="s">
        <v>87</v>
      </c>
      <c r="L415" s="1" t="str">
        <f t="shared" si="2"/>
        <v>San Francisco</v>
      </c>
      <c r="M415" s="1" t="s">
        <v>52</v>
      </c>
      <c r="N415" s="1" t="str">
        <f t="shared" si="3"/>
        <v>California</v>
      </c>
      <c r="O415" s="1">
        <v>94110.0</v>
      </c>
      <c r="P415" s="1" t="s">
        <v>37</v>
      </c>
      <c r="Q415" s="1" t="s">
        <v>27</v>
      </c>
      <c r="R415" s="3">
        <v>113.568</v>
      </c>
      <c r="S415" s="1">
        <v>9.0</v>
      </c>
      <c r="T415" s="4">
        <v>113.48</v>
      </c>
    </row>
    <row r="416">
      <c r="A416" s="1" t="s">
        <v>801</v>
      </c>
      <c r="B416" s="2">
        <v>43170.0</v>
      </c>
      <c r="C416" s="2" t="str">
        <f t="shared" si="1"/>
        <v>Mar</v>
      </c>
      <c r="D416" s="6">
        <v>43292.0</v>
      </c>
      <c r="E416" s="1" t="s">
        <v>41</v>
      </c>
      <c r="F416" s="1" t="s">
        <v>802</v>
      </c>
      <c r="G416" s="1" t="s">
        <v>803</v>
      </c>
      <c r="H416" s="1" t="str">
        <f>IFERROR(__xludf.DUMMYFUNCTION("split(G416,"" "")"),"Kimberly")</f>
        <v>Kimberly</v>
      </c>
      <c r="I416" s="1" t="str">
        <f>IFERROR(__xludf.DUMMYFUNCTION("""COMPUTED_VALUE"""),"Carter")</f>
        <v>Carter</v>
      </c>
      <c r="J416" s="1" t="s">
        <v>34</v>
      </c>
      <c r="K416" s="1" t="s">
        <v>62</v>
      </c>
      <c r="L416" s="1" t="str">
        <f t="shared" si="2"/>
        <v>Seattle</v>
      </c>
      <c r="M416" s="1" t="s">
        <v>63</v>
      </c>
      <c r="N416" s="1" t="str">
        <f t="shared" si="3"/>
        <v>Washington</v>
      </c>
      <c r="O416" s="1">
        <v>98105.0</v>
      </c>
      <c r="P416" s="1" t="s">
        <v>37</v>
      </c>
      <c r="Q416" s="1" t="s">
        <v>38</v>
      </c>
      <c r="R416" s="3">
        <v>139.86</v>
      </c>
      <c r="S416" s="1">
        <v>9.0</v>
      </c>
      <c r="T416" s="4">
        <v>138.94</v>
      </c>
    </row>
    <row r="417">
      <c r="A417" s="1" t="s">
        <v>801</v>
      </c>
      <c r="B417" s="2">
        <v>43170.0</v>
      </c>
      <c r="C417" s="2" t="str">
        <f t="shared" si="1"/>
        <v>Mar</v>
      </c>
      <c r="D417" s="6">
        <v>43292.0</v>
      </c>
      <c r="E417" s="1" t="s">
        <v>41</v>
      </c>
      <c r="F417" s="1" t="s">
        <v>802</v>
      </c>
      <c r="G417" s="1" t="s">
        <v>803</v>
      </c>
      <c r="H417" s="1" t="str">
        <f>IFERROR(__xludf.DUMMYFUNCTION("split(G417,"" "")"),"Kimberly")</f>
        <v>Kimberly</v>
      </c>
      <c r="I417" s="1" t="str">
        <f>IFERROR(__xludf.DUMMYFUNCTION("""COMPUTED_VALUE"""),"Carter")</f>
        <v>Carter</v>
      </c>
      <c r="J417" s="1" t="s">
        <v>34</v>
      </c>
      <c r="K417" s="1" t="s">
        <v>62</v>
      </c>
      <c r="L417" s="1" t="str">
        <f t="shared" si="2"/>
        <v>Seattle</v>
      </c>
      <c r="M417" s="1" t="s">
        <v>63</v>
      </c>
      <c r="N417" s="1" t="str">
        <f t="shared" si="3"/>
        <v>Washington</v>
      </c>
      <c r="O417" s="1">
        <v>98105.0</v>
      </c>
      <c r="P417" s="1" t="s">
        <v>37</v>
      </c>
      <c r="Q417" s="1" t="s">
        <v>27</v>
      </c>
      <c r="R417" s="3">
        <v>307.136</v>
      </c>
      <c r="S417" s="1">
        <v>9.0</v>
      </c>
      <c r="T417" s="4">
        <v>306.85</v>
      </c>
    </row>
    <row r="418">
      <c r="A418" s="1" t="s">
        <v>804</v>
      </c>
      <c r="B418" s="2">
        <v>43275.0</v>
      </c>
      <c r="C418" s="2" t="str">
        <f t="shared" si="1"/>
        <v>Jun</v>
      </c>
      <c r="D418" s="1" t="s">
        <v>805</v>
      </c>
      <c r="E418" s="1" t="s">
        <v>41</v>
      </c>
      <c r="F418" s="1" t="s">
        <v>806</v>
      </c>
      <c r="G418" s="1" t="s">
        <v>807</v>
      </c>
      <c r="H418" s="1" t="str">
        <f>IFERROR(__xludf.DUMMYFUNCTION("split(G418,"" "")"),"Caroline")</f>
        <v>Caroline</v>
      </c>
      <c r="I418" s="1" t="str">
        <f>IFERROR(__xludf.DUMMYFUNCTION("""COMPUTED_VALUE"""),"Jumper")</f>
        <v>Jumper</v>
      </c>
      <c r="J418" s="1" t="s">
        <v>23</v>
      </c>
      <c r="K418" s="1" t="s">
        <v>808</v>
      </c>
      <c r="L418" s="1" t="str">
        <f t="shared" si="2"/>
        <v>Huntington Beach</v>
      </c>
      <c r="M418" s="1" t="s">
        <v>52</v>
      </c>
      <c r="N418" s="1" t="str">
        <f t="shared" si="3"/>
        <v>California</v>
      </c>
      <c r="O418" s="1">
        <v>92646.0</v>
      </c>
      <c r="P418" s="1" t="s">
        <v>37</v>
      </c>
      <c r="Q418" s="1" t="s">
        <v>38</v>
      </c>
      <c r="R418" s="3">
        <v>95.92</v>
      </c>
      <c r="S418" s="1">
        <v>9.0</v>
      </c>
      <c r="T418" s="4">
        <v>95.2</v>
      </c>
    </row>
    <row r="419">
      <c r="A419" s="1" t="s">
        <v>809</v>
      </c>
      <c r="B419" s="2">
        <v>42839.0</v>
      </c>
      <c r="C419" s="2" t="str">
        <f t="shared" si="1"/>
        <v>Apr</v>
      </c>
      <c r="D419" s="1" t="s">
        <v>810</v>
      </c>
      <c r="E419" s="1" t="s">
        <v>41</v>
      </c>
      <c r="F419" s="1" t="s">
        <v>811</v>
      </c>
      <c r="G419" s="1" t="s">
        <v>812</v>
      </c>
      <c r="H419" s="1" t="str">
        <f>IFERROR(__xludf.DUMMYFUNCTION("split(G419,"" "")"),"Philip")</f>
        <v>Philip</v>
      </c>
      <c r="I419" s="1" t="str">
        <f>IFERROR(__xludf.DUMMYFUNCTION("""COMPUTED_VALUE"""),"Brown")</f>
        <v>Brown</v>
      </c>
      <c r="J419" s="1" t="s">
        <v>23</v>
      </c>
      <c r="K419" s="1" t="s">
        <v>35</v>
      </c>
      <c r="L419" s="1" t="str">
        <f t="shared" si="2"/>
        <v>Los Angeles</v>
      </c>
      <c r="M419" s="1" t="s">
        <v>52</v>
      </c>
      <c r="N419" s="1" t="str">
        <f t="shared" si="3"/>
        <v>California</v>
      </c>
      <c r="O419" s="1">
        <v>90004.0</v>
      </c>
      <c r="P419" s="1" t="s">
        <v>37</v>
      </c>
      <c r="Q419" s="1" t="s">
        <v>27</v>
      </c>
      <c r="R419" s="3">
        <v>383.8</v>
      </c>
      <c r="S419" s="1">
        <v>9.0</v>
      </c>
      <c r="T419" s="4">
        <v>383.39</v>
      </c>
    </row>
    <row r="420">
      <c r="A420" s="1" t="s">
        <v>813</v>
      </c>
      <c r="B420" s="2">
        <v>43262.0</v>
      </c>
      <c r="C420" s="2" t="str">
        <f t="shared" si="1"/>
        <v>Jun</v>
      </c>
      <c r="D420" s="5">
        <v>43384.0</v>
      </c>
      <c r="E420" s="1" t="s">
        <v>41</v>
      </c>
      <c r="F420" s="1" t="s">
        <v>705</v>
      </c>
      <c r="G420" s="1" t="s">
        <v>706</v>
      </c>
      <c r="H420" s="1" t="str">
        <f>IFERROR(__xludf.DUMMYFUNCTION("split(G420,"" "")"),"Victoria")</f>
        <v>Victoria</v>
      </c>
      <c r="I420" s="1" t="str">
        <f>IFERROR(__xludf.DUMMYFUNCTION("""COMPUTED_VALUE"""),"Brennan")</f>
        <v>Brennan</v>
      </c>
      <c r="J420" s="1" t="s">
        <v>34</v>
      </c>
      <c r="K420" s="1" t="s">
        <v>814</v>
      </c>
      <c r="L420" s="1" t="str">
        <f t="shared" si="2"/>
        <v>Richmond</v>
      </c>
      <c r="M420" s="1" t="s">
        <v>25</v>
      </c>
      <c r="N420" s="1" t="str">
        <f t="shared" si="3"/>
        <v>Kentucky</v>
      </c>
      <c r="O420" s="1">
        <v>40475.0</v>
      </c>
      <c r="P420" s="1" t="s">
        <v>26</v>
      </c>
      <c r="Q420" s="1" t="s">
        <v>38</v>
      </c>
      <c r="R420" s="3">
        <v>5.78</v>
      </c>
      <c r="S420" s="1">
        <v>4.0</v>
      </c>
      <c r="T420" s="4">
        <v>5.46</v>
      </c>
    </row>
    <row r="421">
      <c r="A421" s="1" t="s">
        <v>815</v>
      </c>
      <c r="B421" s="2">
        <v>43193.0</v>
      </c>
      <c r="C421" s="2" t="str">
        <f t="shared" si="1"/>
        <v>Apr</v>
      </c>
      <c r="D421" s="6">
        <v>43346.0</v>
      </c>
      <c r="E421" s="1" t="s">
        <v>41</v>
      </c>
      <c r="F421" s="1" t="s">
        <v>645</v>
      </c>
      <c r="G421" s="1" t="s">
        <v>646</v>
      </c>
      <c r="H421" s="1" t="str">
        <f>IFERROR(__xludf.DUMMYFUNCTION("split(G421,"" "")"),"Sung")</f>
        <v>Sung</v>
      </c>
      <c r="I421" s="1" t="str">
        <f>IFERROR(__xludf.DUMMYFUNCTION("""COMPUTED_VALUE"""),"Pak")</f>
        <v>Pak</v>
      </c>
      <c r="J421" s="1" t="s">
        <v>34</v>
      </c>
      <c r="K421" s="1" t="s">
        <v>35</v>
      </c>
      <c r="L421" s="1" t="str">
        <f t="shared" si="2"/>
        <v>Los Angeles</v>
      </c>
      <c r="M421" s="1" t="s">
        <v>52</v>
      </c>
      <c r="N421" s="1" t="str">
        <f t="shared" si="3"/>
        <v>California</v>
      </c>
      <c r="O421" s="1">
        <v>90045.0</v>
      </c>
      <c r="P421" s="1" t="s">
        <v>37</v>
      </c>
      <c r="Q421" s="1" t="s">
        <v>38</v>
      </c>
      <c r="R421" s="3">
        <v>9.32</v>
      </c>
      <c r="S421" s="1">
        <v>9.0</v>
      </c>
      <c r="T421" s="4">
        <v>8.95</v>
      </c>
    </row>
    <row r="422">
      <c r="A422" s="1" t="s">
        <v>815</v>
      </c>
      <c r="B422" s="2">
        <v>43193.0</v>
      </c>
      <c r="C422" s="2" t="str">
        <f t="shared" si="1"/>
        <v>Apr</v>
      </c>
      <c r="D422" s="6">
        <v>43346.0</v>
      </c>
      <c r="E422" s="1" t="s">
        <v>41</v>
      </c>
      <c r="F422" s="1" t="s">
        <v>645</v>
      </c>
      <c r="G422" s="1" t="s">
        <v>646</v>
      </c>
      <c r="H422" s="1" t="str">
        <f>IFERROR(__xludf.DUMMYFUNCTION("split(G422,"" "")"),"Sung")</f>
        <v>Sung</v>
      </c>
      <c r="I422" s="1" t="str">
        <f>IFERROR(__xludf.DUMMYFUNCTION("""COMPUTED_VALUE"""),"Pak")</f>
        <v>Pak</v>
      </c>
      <c r="J422" s="1" t="s">
        <v>34</v>
      </c>
      <c r="K422" s="1" t="s">
        <v>35</v>
      </c>
      <c r="L422" s="1" t="str">
        <f t="shared" si="2"/>
        <v>Los Angeles</v>
      </c>
      <c r="M422" s="1" t="s">
        <v>52</v>
      </c>
      <c r="N422" s="1" t="str">
        <f t="shared" si="3"/>
        <v>California</v>
      </c>
      <c r="O422" s="1">
        <v>90045.0</v>
      </c>
      <c r="P422" s="1" t="s">
        <v>37</v>
      </c>
      <c r="Q422" s="1" t="s">
        <v>38</v>
      </c>
      <c r="R422" s="3">
        <v>15.25</v>
      </c>
      <c r="S422" s="1">
        <v>9.0</v>
      </c>
      <c r="T422" s="4">
        <v>15.23</v>
      </c>
    </row>
    <row r="423">
      <c r="A423" s="1" t="s">
        <v>816</v>
      </c>
      <c r="B423" s="2">
        <v>42177.0</v>
      </c>
      <c r="C423" s="2" t="str">
        <f t="shared" si="1"/>
        <v>Jun</v>
      </c>
      <c r="D423" s="1" t="s">
        <v>817</v>
      </c>
      <c r="E423" s="1" t="s">
        <v>121</v>
      </c>
      <c r="F423" s="1" t="s">
        <v>207</v>
      </c>
      <c r="G423" s="1" t="s">
        <v>208</v>
      </c>
      <c r="H423" s="1" t="str">
        <f>IFERROR(__xludf.DUMMYFUNCTION("split(G423,"" "")"),"Joel")</f>
        <v>Joel</v>
      </c>
      <c r="I423" s="1" t="str">
        <f>IFERROR(__xludf.DUMMYFUNCTION("""COMPUTED_VALUE"""),"Eaton")</f>
        <v>Eaton</v>
      </c>
      <c r="J423" s="1" t="s">
        <v>23</v>
      </c>
      <c r="K423" s="1" t="s">
        <v>818</v>
      </c>
      <c r="L423" s="1" t="str">
        <f t="shared" si="2"/>
        <v>Louisville</v>
      </c>
      <c r="M423" s="1" t="s">
        <v>279</v>
      </c>
      <c r="N423" s="1" t="str">
        <f t="shared" si="3"/>
        <v>Colorado</v>
      </c>
      <c r="O423" s="1">
        <v>80027.0</v>
      </c>
      <c r="P423" s="1" t="s">
        <v>37</v>
      </c>
      <c r="Q423" s="1" t="s">
        <v>51</v>
      </c>
      <c r="R423" s="3">
        <v>196.752</v>
      </c>
      <c r="S423" s="1">
        <v>8.0</v>
      </c>
      <c r="T423" s="4">
        <v>196.71</v>
      </c>
    </row>
    <row r="424">
      <c r="A424" s="1" t="s">
        <v>819</v>
      </c>
      <c r="B424" s="2">
        <v>43392.0</v>
      </c>
      <c r="C424" s="2" t="str">
        <f t="shared" si="1"/>
        <v>Oct</v>
      </c>
      <c r="D424" s="1" t="s">
        <v>116</v>
      </c>
      <c r="E424" s="1" t="s">
        <v>41</v>
      </c>
      <c r="F424" s="1" t="s">
        <v>820</v>
      </c>
      <c r="G424" s="1" t="s">
        <v>821</v>
      </c>
      <c r="H424" s="1" t="str">
        <f>IFERROR(__xludf.DUMMYFUNCTION("split(G424,"" "")"),"Michael")</f>
        <v>Michael</v>
      </c>
      <c r="I424" s="1" t="str">
        <f>IFERROR(__xludf.DUMMYFUNCTION("""COMPUTED_VALUE"""),"Paige")</f>
        <v>Paige</v>
      </c>
      <c r="J424" s="1" t="s">
        <v>34</v>
      </c>
      <c r="K424" s="1" t="s">
        <v>822</v>
      </c>
      <c r="L424" s="1" t="str">
        <f t="shared" si="2"/>
        <v>Lawrence</v>
      </c>
      <c r="M424" s="1" t="s">
        <v>694</v>
      </c>
      <c r="N424" s="1" t="str">
        <f t="shared" si="3"/>
        <v>Massachusetts</v>
      </c>
      <c r="O424" s="1">
        <v>1841.0</v>
      </c>
      <c r="P424" s="1" t="s">
        <v>100</v>
      </c>
      <c r="Q424" s="1" t="s">
        <v>27</v>
      </c>
      <c r="R424" s="3">
        <v>56.56</v>
      </c>
      <c r="S424" s="1">
        <v>1.0</v>
      </c>
      <c r="T424" s="4">
        <v>56.43</v>
      </c>
    </row>
    <row r="425">
      <c r="A425" s="1" t="s">
        <v>819</v>
      </c>
      <c r="B425" s="2">
        <v>43392.0</v>
      </c>
      <c r="C425" s="2" t="str">
        <f t="shared" si="1"/>
        <v>Oct</v>
      </c>
      <c r="D425" s="1" t="s">
        <v>116</v>
      </c>
      <c r="E425" s="1" t="s">
        <v>41</v>
      </c>
      <c r="F425" s="1" t="s">
        <v>820</v>
      </c>
      <c r="G425" s="1" t="s">
        <v>821</v>
      </c>
      <c r="H425" s="1" t="str">
        <f>IFERROR(__xludf.DUMMYFUNCTION("split(G425,"" "")"),"Michael")</f>
        <v>Michael</v>
      </c>
      <c r="I425" s="1" t="str">
        <f>IFERROR(__xludf.DUMMYFUNCTION("""COMPUTED_VALUE"""),"Paige")</f>
        <v>Paige</v>
      </c>
      <c r="J425" s="1" t="s">
        <v>34</v>
      </c>
      <c r="K425" s="1" t="s">
        <v>822</v>
      </c>
      <c r="L425" s="1" t="str">
        <f t="shared" si="2"/>
        <v>Lawrence</v>
      </c>
      <c r="M425" s="1" t="s">
        <v>694</v>
      </c>
      <c r="N425" s="1" t="str">
        <f t="shared" si="3"/>
        <v>Massachusetts</v>
      </c>
      <c r="O425" s="1">
        <v>1841.0</v>
      </c>
      <c r="P425" s="1" t="s">
        <v>100</v>
      </c>
      <c r="Q425" s="1" t="s">
        <v>38</v>
      </c>
      <c r="R425" s="3">
        <v>32.7</v>
      </c>
      <c r="S425" s="1">
        <v>1.0</v>
      </c>
      <c r="T425" s="4">
        <v>31.8</v>
      </c>
    </row>
    <row r="426">
      <c r="A426" s="1" t="s">
        <v>823</v>
      </c>
      <c r="B426" s="2">
        <v>43333.0</v>
      </c>
      <c r="C426" s="2" t="str">
        <f t="shared" si="1"/>
        <v>Aug</v>
      </c>
      <c r="D426" s="1" t="s">
        <v>824</v>
      </c>
      <c r="E426" s="1" t="s">
        <v>20</v>
      </c>
      <c r="F426" s="1" t="s">
        <v>825</v>
      </c>
      <c r="G426" s="1" t="s">
        <v>826</v>
      </c>
      <c r="H426" s="1" t="str">
        <f>IFERROR(__xludf.DUMMYFUNCTION("split(G426,"" "")"),"Natalie")</f>
        <v>Natalie</v>
      </c>
      <c r="I426" s="1" t="str">
        <f>IFERROR(__xludf.DUMMYFUNCTION("""COMPUTED_VALUE"""),"Fritzler")</f>
        <v>Fritzler</v>
      </c>
      <c r="J426" s="1" t="s">
        <v>23</v>
      </c>
      <c r="K426" s="1" t="s">
        <v>205</v>
      </c>
      <c r="L426" s="1" t="str">
        <f t="shared" si="2"/>
        <v>Jackson</v>
      </c>
      <c r="M426" s="1" t="s">
        <v>827</v>
      </c>
      <c r="N426" s="1" t="str">
        <f t="shared" si="3"/>
        <v>Mississippi</v>
      </c>
      <c r="O426" s="1">
        <v>39212.0</v>
      </c>
      <c r="P426" s="1" t="s">
        <v>26</v>
      </c>
      <c r="Q426" s="1" t="s">
        <v>27</v>
      </c>
      <c r="R426" s="3">
        <v>866.4</v>
      </c>
      <c r="S426" s="1">
        <v>3.0</v>
      </c>
      <c r="T426" s="4">
        <v>865.96</v>
      </c>
    </row>
    <row r="427">
      <c r="A427" s="1" t="s">
        <v>828</v>
      </c>
      <c r="B427" s="2">
        <v>43427.0</v>
      </c>
      <c r="C427" s="2" t="str">
        <f t="shared" si="1"/>
        <v>Nov</v>
      </c>
      <c r="D427" s="1" t="s">
        <v>829</v>
      </c>
      <c r="E427" s="1" t="s">
        <v>20</v>
      </c>
      <c r="F427" s="1" t="s">
        <v>172</v>
      </c>
      <c r="G427" s="1" t="s">
        <v>173</v>
      </c>
      <c r="H427" s="1" t="str">
        <f>IFERROR(__xludf.DUMMYFUNCTION("split(G427,"" "")"),"Janet")</f>
        <v>Janet</v>
      </c>
      <c r="I427" s="1" t="str">
        <f>IFERROR(__xludf.DUMMYFUNCTION("""COMPUTED_VALUE"""),"Molinari")</f>
        <v>Molinari</v>
      </c>
      <c r="J427" s="1" t="s">
        <v>34</v>
      </c>
      <c r="K427" s="1" t="s">
        <v>830</v>
      </c>
      <c r="L427" s="1" t="str">
        <f t="shared" si="2"/>
        <v>Canton</v>
      </c>
      <c r="M427" s="1" t="s">
        <v>157</v>
      </c>
      <c r="N427" s="1" t="str">
        <f t="shared" si="3"/>
        <v>Michigan</v>
      </c>
      <c r="O427" s="1">
        <v>48187.0</v>
      </c>
      <c r="P427" s="1" t="s">
        <v>71</v>
      </c>
      <c r="Q427" s="1" t="s">
        <v>27</v>
      </c>
      <c r="R427" s="3">
        <v>28.4</v>
      </c>
      <c r="S427" s="1">
        <v>4.0</v>
      </c>
      <c r="T427" s="4">
        <v>27.46</v>
      </c>
    </row>
    <row r="428">
      <c r="A428" s="1" t="s">
        <v>828</v>
      </c>
      <c r="B428" s="2">
        <v>43427.0</v>
      </c>
      <c r="C428" s="2" t="str">
        <f t="shared" si="1"/>
        <v>Nov</v>
      </c>
      <c r="D428" s="1" t="s">
        <v>829</v>
      </c>
      <c r="E428" s="1" t="s">
        <v>20</v>
      </c>
      <c r="F428" s="1" t="s">
        <v>172</v>
      </c>
      <c r="G428" s="1" t="s">
        <v>173</v>
      </c>
      <c r="H428" s="1" t="str">
        <f>IFERROR(__xludf.DUMMYFUNCTION("split(G428,"" "")"),"Janet")</f>
        <v>Janet</v>
      </c>
      <c r="I428" s="1" t="str">
        <f>IFERROR(__xludf.DUMMYFUNCTION("""COMPUTED_VALUE"""),"Molinari")</f>
        <v>Molinari</v>
      </c>
      <c r="J428" s="1" t="s">
        <v>34</v>
      </c>
      <c r="K428" s="1" t="s">
        <v>830</v>
      </c>
      <c r="L428" s="1" t="str">
        <f t="shared" si="2"/>
        <v>Canton</v>
      </c>
      <c r="M428" s="1" t="s">
        <v>157</v>
      </c>
      <c r="N428" s="1" t="str">
        <f t="shared" si="3"/>
        <v>Michigan</v>
      </c>
      <c r="O428" s="1">
        <v>48187.0</v>
      </c>
      <c r="P428" s="1" t="s">
        <v>71</v>
      </c>
      <c r="Q428" s="1" t="s">
        <v>38</v>
      </c>
      <c r="R428" s="3">
        <v>287.92</v>
      </c>
      <c r="S428" s="1">
        <v>4.0</v>
      </c>
      <c r="T428" s="4">
        <v>287.29</v>
      </c>
    </row>
    <row r="429">
      <c r="A429" s="1" t="s">
        <v>831</v>
      </c>
      <c r="B429" s="2">
        <v>42347.0</v>
      </c>
      <c r="C429" s="2" t="str">
        <f t="shared" si="1"/>
        <v>Dec</v>
      </c>
      <c r="D429" s="1" t="s">
        <v>832</v>
      </c>
      <c r="E429" s="1" t="s">
        <v>121</v>
      </c>
      <c r="F429" s="1" t="s">
        <v>833</v>
      </c>
      <c r="G429" s="1" t="s">
        <v>834</v>
      </c>
      <c r="H429" s="1" t="str">
        <f>IFERROR(__xludf.DUMMYFUNCTION("split(G429,"" "")"),"Shirley")</f>
        <v>Shirley</v>
      </c>
      <c r="I429" s="1" t="str">
        <f>IFERROR(__xludf.DUMMYFUNCTION("""COMPUTED_VALUE"""),"Daniels")</f>
        <v>Daniels</v>
      </c>
      <c r="J429" s="1" t="s">
        <v>68</v>
      </c>
      <c r="K429" s="1" t="s">
        <v>835</v>
      </c>
      <c r="L429" s="1" t="str">
        <f t="shared" si="2"/>
        <v>New Rochelle</v>
      </c>
      <c r="M429" s="1" t="s">
        <v>175</v>
      </c>
      <c r="N429" s="1" t="str">
        <f t="shared" si="3"/>
        <v>New York</v>
      </c>
      <c r="O429" s="1">
        <v>10801.0</v>
      </c>
      <c r="P429" s="1" t="s">
        <v>100</v>
      </c>
      <c r="Q429" s="1" t="s">
        <v>51</v>
      </c>
      <c r="R429" s="3">
        <v>69.99</v>
      </c>
      <c r="S429" s="1">
        <v>1.0</v>
      </c>
      <c r="T429" s="4">
        <v>69.33</v>
      </c>
    </row>
    <row r="430">
      <c r="A430" s="1" t="s">
        <v>836</v>
      </c>
      <c r="B430" s="2">
        <v>43110.0</v>
      </c>
      <c r="C430" s="2" t="str">
        <f t="shared" si="1"/>
        <v>Jan</v>
      </c>
      <c r="D430" s="6">
        <v>43322.0</v>
      </c>
      <c r="E430" s="1" t="s">
        <v>41</v>
      </c>
      <c r="F430" s="1" t="s">
        <v>837</v>
      </c>
      <c r="G430" s="1" t="s">
        <v>838</v>
      </c>
      <c r="H430" s="1" t="str">
        <f>IFERROR(__xludf.DUMMYFUNCTION("split(G430,"" "")"),"Ken")</f>
        <v>Ken</v>
      </c>
      <c r="I430" s="1" t="str">
        <f>IFERROR(__xludf.DUMMYFUNCTION("""COMPUTED_VALUE"""),"Heidel")</f>
        <v>Heidel</v>
      </c>
      <c r="J430" s="1" t="s">
        <v>34</v>
      </c>
      <c r="K430" s="1" t="s">
        <v>404</v>
      </c>
      <c r="L430" s="1" t="str">
        <f t="shared" si="2"/>
        <v>San Antonio</v>
      </c>
      <c r="M430" s="1" t="s">
        <v>70</v>
      </c>
      <c r="N430" s="1" t="str">
        <f t="shared" si="3"/>
        <v>Texas</v>
      </c>
      <c r="O430" s="1">
        <v>78207.0</v>
      </c>
      <c r="P430" s="1" t="s">
        <v>71</v>
      </c>
      <c r="Q430" s="1" t="s">
        <v>38</v>
      </c>
      <c r="R430" s="3">
        <v>6.672</v>
      </c>
      <c r="S430" s="1">
        <v>7.0</v>
      </c>
      <c r="T430" s="4">
        <v>5.83</v>
      </c>
    </row>
    <row r="431">
      <c r="A431" s="1" t="s">
        <v>839</v>
      </c>
      <c r="B431" s="2">
        <v>42840.0</v>
      </c>
      <c r="C431" s="2" t="str">
        <f t="shared" si="1"/>
        <v>Apr</v>
      </c>
      <c r="D431" s="1" t="s">
        <v>840</v>
      </c>
      <c r="E431" s="1" t="s">
        <v>41</v>
      </c>
      <c r="F431" s="1" t="s">
        <v>841</v>
      </c>
      <c r="G431" s="1" t="s">
        <v>842</v>
      </c>
      <c r="H431" s="1" t="str">
        <f>IFERROR(__xludf.DUMMYFUNCTION("split(G431,"" "")"),"Ross")</f>
        <v>Ross</v>
      </c>
      <c r="I431" s="1" t="str">
        <f>IFERROR(__xludf.DUMMYFUNCTION("""COMPUTED_VALUE"""),"Baird")</f>
        <v>Baird</v>
      </c>
      <c r="J431" s="1" t="s">
        <v>68</v>
      </c>
      <c r="K431" s="1" t="s">
        <v>843</v>
      </c>
      <c r="L431" s="1" t="str">
        <f t="shared" si="2"/>
        <v>Gastonia</v>
      </c>
      <c r="M431" s="1" t="s">
        <v>58</v>
      </c>
      <c r="N431" s="1" t="str">
        <f t="shared" si="3"/>
        <v>North Carolina</v>
      </c>
      <c r="O431" s="1">
        <v>28052.0</v>
      </c>
      <c r="P431" s="1" t="s">
        <v>26</v>
      </c>
      <c r="Q431" s="1" t="s">
        <v>38</v>
      </c>
      <c r="R431" s="3">
        <v>189.588</v>
      </c>
      <c r="S431" s="1">
        <v>2.0</v>
      </c>
      <c r="T431" s="4">
        <v>189.27</v>
      </c>
    </row>
    <row r="432">
      <c r="A432" s="1" t="s">
        <v>839</v>
      </c>
      <c r="B432" s="2">
        <v>42840.0</v>
      </c>
      <c r="C432" s="2" t="str">
        <f t="shared" si="1"/>
        <v>Apr</v>
      </c>
      <c r="D432" s="1" t="s">
        <v>840</v>
      </c>
      <c r="E432" s="1" t="s">
        <v>41</v>
      </c>
      <c r="F432" s="1" t="s">
        <v>841</v>
      </c>
      <c r="G432" s="1" t="s">
        <v>842</v>
      </c>
      <c r="H432" s="1" t="str">
        <f>IFERROR(__xludf.DUMMYFUNCTION("split(G432,"" "")"),"Ross")</f>
        <v>Ross</v>
      </c>
      <c r="I432" s="1" t="str">
        <f>IFERROR(__xludf.DUMMYFUNCTION("""COMPUTED_VALUE"""),"Baird")</f>
        <v>Baird</v>
      </c>
      <c r="J432" s="1" t="s">
        <v>68</v>
      </c>
      <c r="K432" s="1" t="s">
        <v>843</v>
      </c>
      <c r="L432" s="1" t="str">
        <f t="shared" si="2"/>
        <v>Gastonia</v>
      </c>
      <c r="M432" s="1" t="s">
        <v>58</v>
      </c>
      <c r="N432" s="1" t="str">
        <f t="shared" si="3"/>
        <v>North Carolina</v>
      </c>
      <c r="O432" s="1">
        <v>28052.0</v>
      </c>
      <c r="P432" s="1" t="s">
        <v>26</v>
      </c>
      <c r="Q432" s="1" t="s">
        <v>51</v>
      </c>
      <c r="R432" s="3">
        <v>408.744</v>
      </c>
      <c r="S432" s="1">
        <v>2.0</v>
      </c>
      <c r="T432" s="4">
        <v>408.29</v>
      </c>
    </row>
    <row r="433">
      <c r="A433" s="1" t="s">
        <v>839</v>
      </c>
      <c r="B433" s="2">
        <v>42840.0</v>
      </c>
      <c r="C433" s="2" t="str">
        <f t="shared" si="1"/>
        <v>Apr</v>
      </c>
      <c r="D433" s="1" t="s">
        <v>840</v>
      </c>
      <c r="E433" s="1" t="s">
        <v>41</v>
      </c>
      <c r="F433" s="1" t="s">
        <v>841</v>
      </c>
      <c r="G433" s="1" t="s">
        <v>842</v>
      </c>
      <c r="H433" s="1" t="str">
        <f>IFERROR(__xludf.DUMMYFUNCTION("split(G433,"" "")"),"Ross")</f>
        <v>Ross</v>
      </c>
      <c r="I433" s="1" t="str">
        <f>IFERROR(__xludf.DUMMYFUNCTION("""COMPUTED_VALUE"""),"Baird")</f>
        <v>Baird</v>
      </c>
      <c r="J433" s="1" t="s">
        <v>68</v>
      </c>
      <c r="K433" s="1" t="s">
        <v>843</v>
      </c>
      <c r="L433" s="1" t="str">
        <f t="shared" si="2"/>
        <v>Gastonia</v>
      </c>
      <c r="M433" s="1" t="s">
        <v>58</v>
      </c>
      <c r="N433" s="1" t="str">
        <f t="shared" si="3"/>
        <v>North Carolina</v>
      </c>
      <c r="O433" s="1">
        <v>28052.0</v>
      </c>
      <c r="P433" s="1" t="s">
        <v>26</v>
      </c>
      <c r="Q433" s="1" t="s">
        <v>51</v>
      </c>
      <c r="R433" s="3">
        <v>291.96</v>
      </c>
      <c r="S433" s="1">
        <v>2.0</v>
      </c>
      <c r="T433" s="4">
        <v>291.27</v>
      </c>
    </row>
    <row r="434">
      <c r="A434" s="1" t="s">
        <v>839</v>
      </c>
      <c r="B434" s="2">
        <v>42840.0</v>
      </c>
      <c r="C434" s="2" t="str">
        <f t="shared" si="1"/>
        <v>Apr</v>
      </c>
      <c r="D434" s="1" t="s">
        <v>840</v>
      </c>
      <c r="E434" s="1" t="s">
        <v>41</v>
      </c>
      <c r="F434" s="1" t="s">
        <v>841</v>
      </c>
      <c r="G434" s="1" t="s">
        <v>842</v>
      </c>
      <c r="H434" s="1" t="str">
        <f>IFERROR(__xludf.DUMMYFUNCTION("split(G434,"" "")"),"Ross")</f>
        <v>Ross</v>
      </c>
      <c r="I434" s="1" t="str">
        <f>IFERROR(__xludf.DUMMYFUNCTION("""COMPUTED_VALUE"""),"Baird")</f>
        <v>Baird</v>
      </c>
      <c r="J434" s="1" t="s">
        <v>68</v>
      </c>
      <c r="K434" s="1" t="s">
        <v>843</v>
      </c>
      <c r="L434" s="1" t="str">
        <f t="shared" si="2"/>
        <v>Gastonia</v>
      </c>
      <c r="M434" s="1" t="s">
        <v>58</v>
      </c>
      <c r="N434" s="1" t="str">
        <f t="shared" si="3"/>
        <v>North Carolina</v>
      </c>
      <c r="O434" s="1">
        <v>28052.0</v>
      </c>
      <c r="P434" s="1" t="s">
        <v>26</v>
      </c>
      <c r="Q434" s="1" t="s">
        <v>38</v>
      </c>
      <c r="R434" s="3">
        <v>4.768</v>
      </c>
      <c r="S434" s="1">
        <v>2.0</v>
      </c>
      <c r="T434" s="4">
        <v>4.48</v>
      </c>
    </row>
    <row r="435">
      <c r="A435" s="1" t="s">
        <v>844</v>
      </c>
      <c r="B435" s="2">
        <v>42892.0</v>
      </c>
      <c r="C435" s="2" t="str">
        <f t="shared" si="1"/>
        <v>Jun</v>
      </c>
      <c r="D435" s="6">
        <v>42922.0</v>
      </c>
      <c r="E435" s="1" t="s">
        <v>121</v>
      </c>
      <c r="F435" s="1" t="s">
        <v>378</v>
      </c>
      <c r="G435" s="1" t="s">
        <v>379</v>
      </c>
      <c r="H435" s="1" t="str">
        <f>IFERROR(__xludf.DUMMYFUNCTION("split(G435,"" "")"),"Dave")</f>
        <v>Dave</v>
      </c>
      <c r="I435" s="1" t="str">
        <f>IFERROR(__xludf.DUMMYFUNCTION("""COMPUTED_VALUE"""),"Brooks")</f>
        <v>Brooks</v>
      </c>
      <c r="J435" s="1" t="s">
        <v>23</v>
      </c>
      <c r="K435" s="1" t="s">
        <v>693</v>
      </c>
      <c r="L435" s="1" t="str">
        <f t="shared" si="2"/>
        <v>Lowell</v>
      </c>
      <c r="M435" s="1" t="s">
        <v>694</v>
      </c>
      <c r="N435" s="1" t="str">
        <f t="shared" si="3"/>
        <v>Massachusetts</v>
      </c>
      <c r="O435" s="1">
        <v>1852.0</v>
      </c>
      <c r="P435" s="1" t="s">
        <v>100</v>
      </c>
      <c r="Q435" s="1" t="s">
        <v>38</v>
      </c>
      <c r="R435" s="3">
        <v>714.3</v>
      </c>
      <c r="S435" s="1">
        <v>1.0</v>
      </c>
      <c r="T435" s="4">
        <v>713.4</v>
      </c>
    </row>
    <row r="436">
      <c r="A436" s="1" t="s">
        <v>845</v>
      </c>
      <c r="B436" s="2">
        <v>42357.0</v>
      </c>
      <c r="C436" s="2" t="str">
        <f t="shared" si="1"/>
        <v>Dec</v>
      </c>
      <c r="D436" s="1" t="s">
        <v>846</v>
      </c>
      <c r="E436" s="1" t="s">
        <v>41</v>
      </c>
      <c r="F436" s="1" t="s">
        <v>847</v>
      </c>
      <c r="G436" s="1" t="s">
        <v>848</v>
      </c>
      <c r="H436" s="1" t="str">
        <f>IFERROR(__xludf.DUMMYFUNCTION("split(G436,"" "")"),"Mike")</f>
        <v>Mike</v>
      </c>
      <c r="I436" s="1" t="str">
        <f>IFERROR(__xludf.DUMMYFUNCTION("""COMPUTED_VALUE"""),"Kennedy")</f>
        <v>Kennedy</v>
      </c>
      <c r="J436" s="1" t="s">
        <v>23</v>
      </c>
      <c r="K436" s="1" t="s">
        <v>849</v>
      </c>
      <c r="L436" s="1" t="str">
        <f t="shared" si="2"/>
        <v>Jacksonville</v>
      </c>
      <c r="M436" s="1" t="s">
        <v>145</v>
      </c>
      <c r="N436" s="1" t="str">
        <f t="shared" si="3"/>
        <v>Florida</v>
      </c>
      <c r="O436" s="1">
        <v>32216.0</v>
      </c>
      <c r="P436" s="1" t="s">
        <v>26</v>
      </c>
      <c r="Q436" s="1" t="s">
        <v>38</v>
      </c>
      <c r="R436" s="3">
        <v>4.812</v>
      </c>
      <c r="S436" s="1">
        <v>3.0</v>
      </c>
      <c r="T436" s="4">
        <v>3.97</v>
      </c>
    </row>
    <row r="437">
      <c r="A437" s="1" t="s">
        <v>845</v>
      </c>
      <c r="B437" s="2">
        <v>42357.0</v>
      </c>
      <c r="C437" s="2" t="str">
        <f t="shared" si="1"/>
        <v>Dec</v>
      </c>
      <c r="D437" s="1" t="s">
        <v>846</v>
      </c>
      <c r="E437" s="1" t="s">
        <v>41</v>
      </c>
      <c r="F437" s="1" t="s">
        <v>847</v>
      </c>
      <c r="G437" s="1" t="s">
        <v>848</v>
      </c>
      <c r="H437" s="1" t="str">
        <f>IFERROR(__xludf.DUMMYFUNCTION("split(G437,"" "")"),"Mike")</f>
        <v>Mike</v>
      </c>
      <c r="I437" s="1" t="str">
        <f>IFERROR(__xludf.DUMMYFUNCTION("""COMPUTED_VALUE"""),"Kennedy")</f>
        <v>Kennedy</v>
      </c>
      <c r="J437" s="1" t="s">
        <v>23</v>
      </c>
      <c r="K437" s="1" t="s">
        <v>849</v>
      </c>
      <c r="L437" s="1" t="str">
        <f t="shared" si="2"/>
        <v>Jacksonville</v>
      </c>
      <c r="M437" s="1" t="s">
        <v>145</v>
      </c>
      <c r="N437" s="1" t="str">
        <f t="shared" si="3"/>
        <v>Florida</v>
      </c>
      <c r="O437" s="1">
        <v>32216.0</v>
      </c>
      <c r="P437" s="1" t="s">
        <v>26</v>
      </c>
      <c r="Q437" s="1" t="s">
        <v>51</v>
      </c>
      <c r="R437" s="3">
        <v>247.8</v>
      </c>
      <c r="S437" s="1">
        <v>3.0</v>
      </c>
      <c r="T437" s="4">
        <v>247.72</v>
      </c>
    </row>
    <row r="438">
      <c r="A438" s="1" t="s">
        <v>850</v>
      </c>
      <c r="B438" s="2">
        <v>43075.0</v>
      </c>
      <c r="C438" s="2" t="str">
        <f t="shared" si="1"/>
        <v>Dec</v>
      </c>
      <c r="D438" s="1" t="s">
        <v>851</v>
      </c>
      <c r="E438" s="1" t="s">
        <v>20</v>
      </c>
      <c r="F438" s="1" t="s">
        <v>852</v>
      </c>
      <c r="G438" s="1" t="s">
        <v>853</v>
      </c>
      <c r="H438" s="1" t="str">
        <f>IFERROR(__xludf.DUMMYFUNCTION("split(G438,"" "")"),"Philisse")</f>
        <v>Philisse</v>
      </c>
      <c r="I438" s="1" t="str">
        <f>IFERROR(__xludf.DUMMYFUNCTION("""COMPUTED_VALUE"""),"Overcash")</f>
        <v>Overcash</v>
      </c>
      <c r="J438" s="1" t="s">
        <v>68</v>
      </c>
      <c r="K438" s="1" t="s">
        <v>188</v>
      </c>
      <c r="L438" s="1" t="str">
        <f t="shared" si="2"/>
        <v>Chicago</v>
      </c>
      <c r="M438" s="1" t="s">
        <v>135</v>
      </c>
      <c r="N438" s="1" t="str">
        <f t="shared" si="3"/>
        <v>Illinois</v>
      </c>
      <c r="O438" s="1">
        <v>60623.0</v>
      </c>
      <c r="P438" s="1" t="s">
        <v>71</v>
      </c>
      <c r="Q438" s="1" t="s">
        <v>51</v>
      </c>
      <c r="R438" s="3">
        <v>1007.979</v>
      </c>
      <c r="S438" s="1">
        <v>6.0</v>
      </c>
      <c r="T438" s="4">
        <v>1007.35</v>
      </c>
    </row>
    <row r="439">
      <c r="A439" s="1" t="s">
        <v>850</v>
      </c>
      <c r="B439" s="2">
        <v>43075.0</v>
      </c>
      <c r="C439" s="2" t="str">
        <f t="shared" si="1"/>
        <v>Dec</v>
      </c>
      <c r="D439" s="1" t="s">
        <v>851</v>
      </c>
      <c r="E439" s="1" t="s">
        <v>20</v>
      </c>
      <c r="F439" s="1" t="s">
        <v>852</v>
      </c>
      <c r="G439" s="1" t="s">
        <v>853</v>
      </c>
      <c r="H439" s="1" t="str">
        <f>IFERROR(__xludf.DUMMYFUNCTION("split(G439,"" "")"),"Philisse")</f>
        <v>Philisse</v>
      </c>
      <c r="I439" s="1" t="str">
        <f>IFERROR(__xludf.DUMMYFUNCTION("""COMPUTED_VALUE"""),"Overcash")</f>
        <v>Overcash</v>
      </c>
      <c r="J439" s="1" t="s">
        <v>68</v>
      </c>
      <c r="K439" s="1" t="s">
        <v>188</v>
      </c>
      <c r="L439" s="1" t="str">
        <f t="shared" si="2"/>
        <v>Chicago</v>
      </c>
      <c r="M439" s="1" t="s">
        <v>135</v>
      </c>
      <c r="N439" s="1" t="str">
        <f t="shared" si="3"/>
        <v>Illinois</v>
      </c>
      <c r="O439" s="1">
        <v>60623.0</v>
      </c>
      <c r="P439" s="1" t="s">
        <v>71</v>
      </c>
      <c r="Q439" s="1" t="s">
        <v>38</v>
      </c>
      <c r="R439" s="3">
        <v>313.488</v>
      </c>
      <c r="S439" s="1">
        <v>6.0</v>
      </c>
      <c r="T439" s="4">
        <v>313.04</v>
      </c>
    </row>
    <row r="440">
      <c r="A440" s="1" t="s">
        <v>854</v>
      </c>
      <c r="B440" s="2">
        <v>43358.0</v>
      </c>
      <c r="C440" s="2" t="str">
        <f t="shared" si="1"/>
        <v>Sep</v>
      </c>
      <c r="D440" s="1" t="s">
        <v>855</v>
      </c>
      <c r="E440" s="1" t="s">
        <v>41</v>
      </c>
      <c r="F440" s="1" t="s">
        <v>856</v>
      </c>
      <c r="G440" s="1" t="s">
        <v>857</v>
      </c>
      <c r="H440" s="1" t="str">
        <f>IFERROR(__xludf.DUMMYFUNCTION("split(G440,"" "")"),"Brenda")</f>
        <v>Brenda</v>
      </c>
      <c r="I440" s="1" t="str">
        <f>IFERROR(__xludf.DUMMYFUNCTION("""COMPUTED_VALUE"""),"Bowman")</f>
        <v>Bowman</v>
      </c>
      <c r="J440" s="1" t="s">
        <v>34</v>
      </c>
      <c r="K440" s="1" t="s">
        <v>129</v>
      </c>
      <c r="L440" s="1" t="str">
        <f t="shared" si="2"/>
        <v>Houston</v>
      </c>
      <c r="M440" s="1" t="s">
        <v>70</v>
      </c>
      <c r="N440" s="1" t="str">
        <f t="shared" si="3"/>
        <v>Texas</v>
      </c>
      <c r="O440" s="1">
        <v>77070.0</v>
      </c>
      <c r="P440" s="1" t="s">
        <v>71</v>
      </c>
      <c r="Q440" s="1" t="s">
        <v>38</v>
      </c>
      <c r="R440" s="3">
        <v>31.872</v>
      </c>
      <c r="S440" s="1">
        <v>7.0</v>
      </c>
      <c r="T440" s="4">
        <v>31.68</v>
      </c>
    </row>
    <row r="441">
      <c r="A441" s="1" t="s">
        <v>858</v>
      </c>
      <c r="B441" s="2">
        <v>43120.0</v>
      </c>
      <c r="C441" s="2" t="str">
        <f t="shared" si="1"/>
        <v>Jan</v>
      </c>
      <c r="D441" s="1" t="s">
        <v>859</v>
      </c>
      <c r="E441" s="1" t="s">
        <v>20</v>
      </c>
      <c r="F441" s="1" t="s">
        <v>292</v>
      </c>
      <c r="G441" s="1" t="s">
        <v>293</v>
      </c>
      <c r="H441" s="1" t="str">
        <f>IFERROR(__xludf.DUMMYFUNCTION("split(G441,"" "")"),"Cynthia")</f>
        <v>Cynthia</v>
      </c>
      <c r="I441" s="1" t="str">
        <f>IFERROR(__xludf.DUMMYFUNCTION("""COMPUTED_VALUE"""),"Voltz")</f>
        <v>Voltz</v>
      </c>
      <c r="J441" s="1" t="s">
        <v>34</v>
      </c>
      <c r="K441" s="1" t="s">
        <v>174</v>
      </c>
      <c r="L441" s="1" t="str">
        <f t="shared" si="2"/>
        <v>New York City</v>
      </c>
      <c r="M441" s="1" t="s">
        <v>175</v>
      </c>
      <c r="N441" s="1" t="str">
        <f t="shared" si="3"/>
        <v>New York</v>
      </c>
      <c r="O441" s="1">
        <v>10024.0</v>
      </c>
      <c r="P441" s="1" t="s">
        <v>100</v>
      </c>
      <c r="Q441" s="1" t="s">
        <v>27</v>
      </c>
      <c r="R441" s="3">
        <v>207.846</v>
      </c>
      <c r="S441" s="1">
        <v>1.0</v>
      </c>
      <c r="T441" s="4">
        <v>207.58</v>
      </c>
    </row>
    <row r="442">
      <c r="A442" s="1" t="s">
        <v>860</v>
      </c>
      <c r="B442" s="2">
        <v>42864.0</v>
      </c>
      <c r="C442" s="2" t="str">
        <f t="shared" si="1"/>
        <v>May</v>
      </c>
      <c r="D442" s="6">
        <v>42925.0</v>
      </c>
      <c r="E442" s="1" t="s">
        <v>20</v>
      </c>
      <c r="F442" s="1" t="s">
        <v>74</v>
      </c>
      <c r="G442" s="1" t="s">
        <v>75</v>
      </c>
      <c r="H442" s="1" t="str">
        <f>IFERROR(__xludf.DUMMYFUNCTION("split(G442,"" "")"),"Pete")</f>
        <v>Pete</v>
      </c>
      <c r="I442" s="1" t="str">
        <f>IFERROR(__xludf.DUMMYFUNCTION("""COMPUTED_VALUE"""),"Kriz")</f>
        <v>Kriz</v>
      </c>
      <c r="J442" s="1" t="s">
        <v>23</v>
      </c>
      <c r="K442" s="1" t="s">
        <v>513</v>
      </c>
      <c r="L442" s="1" t="str">
        <f t="shared" si="2"/>
        <v>Detroit</v>
      </c>
      <c r="M442" s="1" t="s">
        <v>157</v>
      </c>
      <c r="N442" s="1" t="str">
        <f t="shared" si="3"/>
        <v>Michigan</v>
      </c>
      <c r="O442" s="1">
        <v>48227.0</v>
      </c>
      <c r="P442" s="1" t="s">
        <v>71</v>
      </c>
      <c r="Q442" s="1" t="s">
        <v>27</v>
      </c>
      <c r="R442" s="3">
        <v>12.22</v>
      </c>
      <c r="S442" s="1">
        <v>4.0</v>
      </c>
      <c r="T442" s="4">
        <v>11.56</v>
      </c>
    </row>
    <row r="443">
      <c r="A443" s="1" t="s">
        <v>860</v>
      </c>
      <c r="B443" s="2">
        <v>42864.0</v>
      </c>
      <c r="C443" s="2" t="str">
        <f t="shared" si="1"/>
        <v>May</v>
      </c>
      <c r="D443" s="6">
        <v>42925.0</v>
      </c>
      <c r="E443" s="1" t="s">
        <v>20</v>
      </c>
      <c r="F443" s="1" t="s">
        <v>74</v>
      </c>
      <c r="G443" s="1" t="s">
        <v>75</v>
      </c>
      <c r="H443" s="1" t="str">
        <f>IFERROR(__xludf.DUMMYFUNCTION("split(G443,"" "")"),"Pete")</f>
        <v>Pete</v>
      </c>
      <c r="I443" s="1" t="str">
        <f>IFERROR(__xludf.DUMMYFUNCTION("""COMPUTED_VALUE"""),"Kriz")</f>
        <v>Kriz</v>
      </c>
      <c r="J443" s="1" t="s">
        <v>23</v>
      </c>
      <c r="K443" s="1" t="s">
        <v>513</v>
      </c>
      <c r="L443" s="1" t="str">
        <f t="shared" si="2"/>
        <v>Detroit</v>
      </c>
      <c r="M443" s="1" t="s">
        <v>157</v>
      </c>
      <c r="N443" s="1" t="str">
        <f t="shared" si="3"/>
        <v>Michigan</v>
      </c>
      <c r="O443" s="1">
        <v>48227.0</v>
      </c>
      <c r="P443" s="1" t="s">
        <v>71</v>
      </c>
      <c r="Q443" s="1" t="s">
        <v>38</v>
      </c>
      <c r="R443" s="3">
        <v>194.94</v>
      </c>
      <c r="S443" s="1">
        <v>4.0</v>
      </c>
      <c r="T443" s="4">
        <v>194.44</v>
      </c>
    </row>
    <row r="444">
      <c r="A444" s="1" t="s">
        <v>860</v>
      </c>
      <c r="B444" s="2">
        <v>42864.0</v>
      </c>
      <c r="C444" s="2" t="str">
        <f t="shared" si="1"/>
        <v>May</v>
      </c>
      <c r="D444" s="6">
        <v>42925.0</v>
      </c>
      <c r="E444" s="1" t="s">
        <v>20</v>
      </c>
      <c r="F444" s="1" t="s">
        <v>74</v>
      </c>
      <c r="G444" s="1" t="s">
        <v>75</v>
      </c>
      <c r="H444" s="1" t="str">
        <f>IFERROR(__xludf.DUMMYFUNCTION("split(G444,"" "")"),"Pete")</f>
        <v>Pete</v>
      </c>
      <c r="I444" s="1" t="str">
        <f>IFERROR(__xludf.DUMMYFUNCTION("""COMPUTED_VALUE"""),"Kriz")</f>
        <v>Kriz</v>
      </c>
      <c r="J444" s="1" t="s">
        <v>23</v>
      </c>
      <c r="K444" s="1" t="s">
        <v>513</v>
      </c>
      <c r="L444" s="1" t="str">
        <f t="shared" si="2"/>
        <v>Detroit</v>
      </c>
      <c r="M444" s="1" t="s">
        <v>157</v>
      </c>
      <c r="N444" s="1" t="str">
        <f t="shared" si="3"/>
        <v>Michigan</v>
      </c>
      <c r="O444" s="1">
        <v>48227.0</v>
      </c>
      <c r="P444" s="1" t="s">
        <v>71</v>
      </c>
      <c r="Q444" s="1" t="s">
        <v>38</v>
      </c>
      <c r="R444" s="3">
        <v>70.95</v>
      </c>
      <c r="S444" s="1">
        <v>4.0</v>
      </c>
      <c r="T444" s="4">
        <v>70.42</v>
      </c>
    </row>
    <row r="445">
      <c r="A445" s="1" t="s">
        <v>860</v>
      </c>
      <c r="B445" s="2">
        <v>42864.0</v>
      </c>
      <c r="C445" s="2" t="str">
        <f t="shared" si="1"/>
        <v>May</v>
      </c>
      <c r="D445" s="6">
        <v>42925.0</v>
      </c>
      <c r="E445" s="1" t="s">
        <v>20</v>
      </c>
      <c r="F445" s="1" t="s">
        <v>74</v>
      </c>
      <c r="G445" s="1" t="s">
        <v>75</v>
      </c>
      <c r="H445" s="1" t="str">
        <f>IFERROR(__xludf.DUMMYFUNCTION("split(G445,"" "")"),"Pete")</f>
        <v>Pete</v>
      </c>
      <c r="I445" s="1" t="str">
        <f>IFERROR(__xludf.DUMMYFUNCTION("""COMPUTED_VALUE"""),"Kriz")</f>
        <v>Kriz</v>
      </c>
      <c r="J445" s="1" t="s">
        <v>23</v>
      </c>
      <c r="K445" s="1" t="s">
        <v>513</v>
      </c>
      <c r="L445" s="1" t="str">
        <f t="shared" si="2"/>
        <v>Detroit</v>
      </c>
      <c r="M445" s="1" t="s">
        <v>157</v>
      </c>
      <c r="N445" s="1" t="str">
        <f t="shared" si="3"/>
        <v>Michigan</v>
      </c>
      <c r="O445" s="1">
        <v>48227.0</v>
      </c>
      <c r="P445" s="1" t="s">
        <v>71</v>
      </c>
      <c r="Q445" s="1" t="s">
        <v>38</v>
      </c>
      <c r="R445" s="3">
        <v>91.36</v>
      </c>
      <c r="S445" s="1">
        <v>4.0</v>
      </c>
      <c r="T445" s="4">
        <v>90.47</v>
      </c>
    </row>
    <row r="446">
      <c r="A446" s="1" t="s">
        <v>860</v>
      </c>
      <c r="B446" s="2">
        <v>42864.0</v>
      </c>
      <c r="C446" s="2" t="str">
        <f t="shared" si="1"/>
        <v>May</v>
      </c>
      <c r="D446" s="6">
        <v>42925.0</v>
      </c>
      <c r="E446" s="1" t="s">
        <v>20</v>
      </c>
      <c r="F446" s="1" t="s">
        <v>74</v>
      </c>
      <c r="G446" s="1" t="s">
        <v>75</v>
      </c>
      <c r="H446" s="1" t="str">
        <f>IFERROR(__xludf.DUMMYFUNCTION("split(G446,"" "")"),"Pete")</f>
        <v>Pete</v>
      </c>
      <c r="I446" s="1" t="str">
        <f>IFERROR(__xludf.DUMMYFUNCTION("""COMPUTED_VALUE"""),"Kriz")</f>
        <v>Kriz</v>
      </c>
      <c r="J446" s="1" t="s">
        <v>23</v>
      </c>
      <c r="K446" s="1" t="s">
        <v>513</v>
      </c>
      <c r="L446" s="1" t="str">
        <f t="shared" si="2"/>
        <v>Detroit</v>
      </c>
      <c r="M446" s="1" t="s">
        <v>157</v>
      </c>
      <c r="N446" s="1" t="str">
        <f t="shared" si="3"/>
        <v>Michigan</v>
      </c>
      <c r="O446" s="1">
        <v>48227.0</v>
      </c>
      <c r="P446" s="1" t="s">
        <v>71</v>
      </c>
      <c r="Q446" s="1" t="s">
        <v>27</v>
      </c>
      <c r="R446" s="3">
        <v>242.94</v>
      </c>
      <c r="S446" s="1">
        <v>4.0</v>
      </c>
      <c r="T446" s="4">
        <v>242.17</v>
      </c>
    </row>
    <row r="447">
      <c r="A447" s="1" t="s">
        <v>860</v>
      </c>
      <c r="B447" s="2">
        <v>42864.0</v>
      </c>
      <c r="C447" s="2" t="str">
        <f t="shared" si="1"/>
        <v>May</v>
      </c>
      <c r="D447" s="6">
        <v>42925.0</v>
      </c>
      <c r="E447" s="1" t="s">
        <v>20</v>
      </c>
      <c r="F447" s="1" t="s">
        <v>74</v>
      </c>
      <c r="G447" s="1" t="s">
        <v>75</v>
      </c>
      <c r="H447" s="1" t="str">
        <f>IFERROR(__xludf.DUMMYFUNCTION("split(G447,"" "")"),"Pete")</f>
        <v>Pete</v>
      </c>
      <c r="I447" s="1" t="str">
        <f>IFERROR(__xludf.DUMMYFUNCTION("""COMPUTED_VALUE"""),"Kriz")</f>
        <v>Kriz</v>
      </c>
      <c r="J447" s="1" t="s">
        <v>23</v>
      </c>
      <c r="K447" s="1" t="s">
        <v>513</v>
      </c>
      <c r="L447" s="1" t="str">
        <f t="shared" si="2"/>
        <v>Detroit</v>
      </c>
      <c r="M447" s="1" t="s">
        <v>157</v>
      </c>
      <c r="N447" s="1" t="str">
        <f t="shared" si="3"/>
        <v>Michigan</v>
      </c>
      <c r="O447" s="1">
        <v>48227.0</v>
      </c>
      <c r="P447" s="1" t="s">
        <v>71</v>
      </c>
      <c r="Q447" s="1" t="s">
        <v>38</v>
      </c>
      <c r="R447" s="3">
        <v>22.05</v>
      </c>
      <c r="S447" s="1">
        <v>4.0</v>
      </c>
      <c r="T447" s="4">
        <v>21.14</v>
      </c>
    </row>
    <row r="448">
      <c r="A448" s="1" t="s">
        <v>861</v>
      </c>
      <c r="B448" s="2">
        <v>43179.0</v>
      </c>
      <c r="C448" s="2" t="str">
        <f t="shared" si="1"/>
        <v>Mar</v>
      </c>
      <c r="D448" s="1" t="s">
        <v>862</v>
      </c>
      <c r="E448" s="1" t="s">
        <v>20</v>
      </c>
      <c r="F448" s="1" t="s">
        <v>863</v>
      </c>
      <c r="G448" s="1" t="s">
        <v>864</v>
      </c>
      <c r="H448" s="1" t="str">
        <f>IFERROR(__xludf.DUMMYFUNCTION("split(G448,"" "")"),"Troy")</f>
        <v>Troy</v>
      </c>
      <c r="I448" s="1" t="str">
        <f>IFERROR(__xludf.DUMMYFUNCTION("""COMPUTED_VALUE"""),"Blackwell")</f>
        <v>Blackwell</v>
      </c>
      <c r="J448" s="1" t="s">
        <v>23</v>
      </c>
      <c r="K448" s="1" t="s">
        <v>303</v>
      </c>
      <c r="L448" s="1" t="str">
        <f t="shared" si="2"/>
        <v>Columbus</v>
      </c>
      <c r="M448" s="1" t="s">
        <v>169</v>
      </c>
      <c r="N448" s="1" t="str">
        <f t="shared" si="3"/>
        <v>Indiana</v>
      </c>
      <c r="O448" s="1">
        <v>47201.0</v>
      </c>
      <c r="P448" s="1" t="s">
        <v>71</v>
      </c>
      <c r="Q448" s="1" t="s">
        <v>27</v>
      </c>
      <c r="R448" s="3">
        <v>2.91</v>
      </c>
      <c r="S448" s="1">
        <v>4.0</v>
      </c>
      <c r="T448" s="4">
        <v>2.17</v>
      </c>
    </row>
    <row r="449">
      <c r="A449" s="1" t="s">
        <v>865</v>
      </c>
      <c r="B449" s="2">
        <v>42739.0</v>
      </c>
      <c r="C449" s="2" t="str">
        <f t="shared" si="1"/>
        <v>Jan</v>
      </c>
      <c r="D449" s="6">
        <v>42798.0</v>
      </c>
      <c r="E449" s="1" t="s">
        <v>20</v>
      </c>
      <c r="F449" s="1" t="s">
        <v>866</v>
      </c>
      <c r="G449" s="1" t="s">
        <v>867</v>
      </c>
      <c r="H449" s="1" t="str">
        <f>IFERROR(__xludf.DUMMYFUNCTION("split(G449,"" "")"),"Raymond")</f>
        <v>Raymond</v>
      </c>
      <c r="I449" s="1" t="str">
        <f>IFERROR(__xludf.DUMMYFUNCTION("""COMPUTED_VALUE"""),"Buch")</f>
        <v>Buch</v>
      </c>
      <c r="J449" s="1" t="s">
        <v>23</v>
      </c>
      <c r="K449" s="1" t="s">
        <v>868</v>
      </c>
      <c r="L449" s="1" t="str">
        <f t="shared" si="2"/>
        <v>Auburn</v>
      </c>
      <c r="M449" s="1" t="s">
        <v>175</v>
      </c>
      <c r="N449" s="1" t="str">
        <f t="shared" si="3"/>
        <v>New York</v>
      </c>
      <c r="O449" s="1">
        <v>13021.0</v>
      </c>
      <c r="P449" s="1" t="s">
        <v>100</v>
      </c>
      <c r="Q449" s="1" t="s">
        <v>38</v>
      </c>
      <c r="R449" s="3">
        <v>59.52</v>
      </c>
      <c r="S449" s="1">
        <v>1.0</v>
      </c>
      <c r="T449" s="4">
        <v>58.78</v>
      </c>
    </row>
    <row r="450">
      <c r="A450" s="1" t="s">
        <v>865</v>
      </c>
      <c r="B450" s="2">
        <v>42739.0</v>
      </c>
      <c r="C450" s="2" t="str">
        <f t="shared" si="1"/>
        <v>Jan</v>
      </c>
      <c r="D450" s="6">
        <v>42798.0</v>
      </c>
      <c r="E450" s="1" t="s">
        <v>20</v>
      </c>
      <c r="F450" s="1" t="s">
        <v>866</v>
      </c>
      <c r="G450" s="1" t="s">
        <v>867</v>
      </c>
      <c r="H450" s="1" t="str">
        <f>IFERROR(__xludf.DUMMYFUNCTION("split(G450,"" "")"),"Raymond")</f>
        <v>Raymond</v>
      </c>
      <c r="I450" s="1" t="str">
        <f>IFERROR(__xludf.DUMMYFUNCTION("""COMPUTED_VALUE"""),"Buch")</f>
        <v>Buch</v>
      </c>
      <c r="J450" s="1" t="s">
        <v>23</v>
      </c>
      <c r="K450" s="1" t="s">
        <v>868</v>
      </c>
      <c r="L450" s="1" t="str">
        <f t="shared" si="2"/>
        <v>Auburn</v>
      </c>
      <c r="M450" s="1" t="s">
        <v>175</v>
      </c>
      <c r="N450" s="1" t="str">
        <f t="shared" si="3"/>
        <v>New York</v>
      </c>
      <c r="O450" s="1">
        <v>13021.0</v>
      </c>
      <c r="P450" s="1" t="s">
        <v>100</v>
      </c>
      <c r="Q450" s="1" t="s">
        <v>38</v>
      </c>
      <c r="R450" s="3">
        <v>161.94</v>
      </c>
      <c r="S450" s="1">
        <v>1.0</v>
      </c>
      <c r="T450" s="4">
        <v>161.59</v>
      </c>
    </row>
    <row r="451">
      <c r="A451" s="1" t="s">
        <v>865</v>
      </c>
      <c r="B451" s="2">
        <v>42739.0</v>
      </c>
      <c r="C451" s="2" t="str">
        <f t="shared" si="1"/>
        <v>Jan</v>
      </c>
      <c r="D451" s="6">
        <v>42798.0</v>
      </c>
      <c r="E451" s="1" t="s">
        <v>20</v>
      </c>
      <c r="F451" s="1" t="s">
        <v>866</v>
      </c>
      <c r="G451" s="1" t="s">
        <v>867</v>
      </c>
      <c r="H451" s="1" t="str">
        <f>IFERROR(__xludf.DUMMYFUNCTION("split(G451,"" "")"),"Raymond")</f>
        <v>Raymond</v>
      </c>
      <c r="I451" s="1" t="str">
        <f>IFERROR(__xludf.DUMMYFUNCTION("""COMPUTED_VALUE"""),"Buch")</f>
        <v>Buch</v>
      </c>
      <c r="J451" s="1" t="s">
        <v>23</v>
      </c>
      <c r="K451" s="1" t="s">
        <v>868</v>
      </c>
      <c r="L451" s="1" t="str">
        <f t="shared" si="2"/>
        <v>Auburn</v>
      </c>
      <c r="M451" s="1" t="s">
        <v>175</v>
      </c>
      <c r="N451" s="1" t="str">
        <f t="shared" si="3"/>
        <v>New York</v>
      </c>
      <c r="O451" s="1">
        <v>13021.0</v>
      </c>
      <c r="P451" s="1" t="s">
        <v>100</v>
      </c>
      <c r="Q451" s="1" t="s">
        <v>38</v>
      </c>
      <c r="R451" s="3">
        <v>263.88</v>
      </c>
      <c r="S451" s="1">
        <v>1.0</v>
      </c>
      <c r="T451" s="4">
        <v>263.38</v>
      </c>
    </row>
    <row r="452">
      <c r="A452" s="1" t="s">
        <v>865</v>
      </c>
      <c r="B452" s="2">
        <v>42739.0</v>
      </c>
      <c r="C452" s="2" t="str">
        <f t="shared" si="1"/>
        <v>Jan</v>
      </c>
      <c r="D452" s="6">
        <v>42798.0</v>
      </c>
      <c r="E452" s="1" t="s">
        <v>20</v>
      </c>
      <c r="F452" s="1" t="s">
        <v>866</v>
      </c>
      <c r="G452" s="1" t="s">
        <v>867</v>
      </c>
      <c r="H452" s="1" t="str">
        <f>IFERROR(__xludf.DUMMYFUNCTION("split(G452,"" "")"),"Raymond")</f>
        <v>Raymond</v>
      </c>
      <c r="I452" s="1" t="str">
        <f>IFERROR(__xludf.DUMMYFUNCTION("""COMPUTED_VALUE"""),"Buch")</f>
        <v>Buch</v>
      </c>
      <c r="J452" s="1" t="s">
        <v>23</v>
      </c>
      <c r="K452" s="1" t="s">
        <v>868</v>
      </c>
      <c r="L452" s="1" t="str">
        <f t="shared" si="2"/>
        <v>Auburn</v>
      </c>
      <c r="M452" s="1" t="s">
        <v>175</v>
      </c>
      <c r="N452" s="1" t="str">
        <f t="shared" si="3"/>
        <v>New York</v>
      </c>
      <c r="O452" s="1">
        <v>13021.0</v>
      </c>
      <c r="P452" s="1" t="s">
        <v>100</v>
      </c>
      <c r="Q452" s="1" t="s">
        <v>38</v>
      </c>
      <c r="R452" s="3">
        <v>30.48</v>
      </c>
      <c r="S452" s="1">
        <v>1.0</v>
      </c>
      <c r="T452" s="4">
        <v>30.24</v>
      </c>
    </row>
    <row r="453">
      <c r="A453" s="1" t="s">
        <v>865</v>
      </c>
      <c r="B453" s="2">
        <v>42739.0</v>
      </c>
      <c r="C453" s="2" t="str">
        <f t="shared" si="1"/>
        <v>Jan</v>
      </c>
      <c r="D453" s="6">
        <v>42798.0</v>
      </c>
      <c r="E453" s="1" t="s">
        <v>20</v>
      </c>
      <c r="F453" s="1" t="s">
        <v>866</v>
      </c>
      <c r="G453" s="1" t="s">
        <v>867</v>
      </c>
      <c r="H453" s="1" t="str">
        <f>IFERROR(__xludf.DUMMYFUNCTION("split(G453,"" "")"),"Raymond")</f>
        <v>Raymond</v>
      </c>
      <c r="I453" s="1" t="str">
        <f>IFERROR(__xludf.DUMMYFUNCTION("""COMPUTED_VALUE"""),"Buch")</f>
        <v>Buch</v>
      </c>
      <c r="J453" s="1" t="s">
        <v>23</v>
      </c>
      <c r="K453" s="1" t="s">
        <v>868</v>
      </c>
      <c r="L453" s="1" t="str">
        <f t="shared" si="2"/>
        <v>Auburn</v>
      </c>
      <c r="M453" s="1" t="s">
        <v>175</v>
      </c>
      <c r="N453" s="1" t="str">
        <f t="shared" si="3"/>
        <v>New York</v>
      </c>
      <c r="O453" s="1">
        <v>13021.0</v>
      </c>
      <c r="P453" s="1" t="s">
        <v>100</v>
      </c>
      <c r="Q453" s="1" t="s">
        <v>38</v>
      </c>
      <c r="R453" s="3">
        <v>9.84</v>
      </c>
      <c r="S453" s="1">
        <v>1.0</v>
      </c>
      <c r="T453" s="4">
        <v>9.02</v>
      </c>
    </row>
    <row r="454">
      <c r="A454" s="1" t="s">
        <v>865</v>
      </c>
      <c r="B454" s="2">
        <v>42739.0</v>
      </c>
      <c r="C454" s="2" t="str">
        <f t="shared" si="1"/>
        <v>Jan</v>
      </c>
      <c r="D454" s="6">
        <v>42798.0</v>
      </c>
      <c r="E454" s="1" t="s">
        <v>20</v>
      </c>
      <c r="F454" s="1" t="s">
        <v>866</v>
      </c>
      <c r="G454" s="1" t="s">
        <v>867</v>
      </c>
      <c r="H454" s="1" t="str">
        <f>IFERROR(__xludf.DUMMYFUNCTION("split(G454,"" "")"),"Raymond")</f>
        <v>Raymond</v>
      </c>
      <c r="I454" s="1" t="str">
        <f>IFERROR(__xludf.DUMMYFUNCTION("""COMPUTED_VALUE"""),"Buch")</f>
        <v>Buch</v>
      </c>
      <c r="J454" s="1" t="s">
        <v>23</v>
      </c>
      <c r="K454" s="1" t="s">
        <v>868</v>
      </c>
      <c r="L454" s="1" t="str">
        <f t="shared" si="2"/>
        <v>Auburn</v>
      </c>
      <c r="M454" s="1" t="s">
        <v>175</v>
      </c>
      <c r="N454" s="1" t="str">
        <f t="shared" si="3"/>
        <v>New York</v>
      </c>
      <c r="O454" s="1">
        <v>13021.0</v>
      </c>
      <c r="P454" s="1" t="s">
        <v>100</v>
      </c>
      <c r="Q454" s="1" t="s">
        <v>51</v>
      </c>
      <c r="R454" s="3">
        <v>35.12</v>
      </c>
      <c r="S454" s="1">
        <v>1.0</v>
      </c>
      <c r="T454" s="4">
        <v>34.27</v>
      </c>
    </row>
    <row r="455">
      <c r="A455" s="1" t="s">
        <v>869</v>
      </c>
      <c r="B455" s="2">
        <v>43393.0</v>
      </c>
      <c r="C455" s="2" t="str">
        <f t="shared" si="1"/>
        <v>Oct</v>
      </c>
      <c r="D455" s="1" t="s">
        <v>870</v>
      </c>
      <c r="E455" s="1" t="s">
        <v>41</v>
      </c>
      <c r="F455" s="1" t="s">
        <v>871</v>
      </c>
      <c r="G455" s="1" t="s">
        <v>872</v>
      </c>
      <c r="H455" s="1" t="str">
        <f>IFERROR(__xludf.DUMMYFUNCTION("split(G455,"" "")"),"Ed")</f>
        <v>Ed</v>
      </c>
      <c r="I455" s="1" t="str">
        <f>IFERROR(__xludf.DUMMYFUNCTION("""COMPUTED_VALUE"""),"Braxton")</f>
        <v>Braxton</v>
      </c>
      <c r="J455" s="1" t="s">
        <v>34</v>
      </c>
      <c r="K455" s="1" t="s">
        <v>471</v>
      </c>
      <c r="L455" s="1" t="str">
        <f t="shared" si="2"/>
        <v>Akron</v>
      </c>
      <c r="M455" s="1" t="s">
        <v>304</v>
      </c>
      <c r="N455" s="1" t="str">
        <f t="shared" si="3"/>
        <v>Ohio</v>
      </c>
      <c r="O455" s="1">
        <v>44312.0</v>
      </c>
      <c r="P455" s="1" t="s">
        <v>100</v>
      </c>
      <c r="Q455" s="1" t="s">
        <v>27</v>
      </c>
      <c r="R455" s="3">
        <v>284.364</v>
      </c>
      <c r="S455" s="1">
        <v>4.0</v>
      </c>
      <c r="T455" s="4">
        <v>283.97</v>
      </c>
    </row>
    <row r="456">
      <c r="A456" s="1" t="s">
        <v>869</v>
      </c>
      <c r="B456" s="2">
        <v>43393.0</v>
      </c>
      <c r="C456" s="2" t="str">
        <f t="shared" si="1"/>
        <v>Oct</v>
      </c>
      <c r="D456" s="1" t="s">
        <v>870</v>
      </c>
      <c r="E456" s="1" t="s">
        <v>41</v>
      </c>
      <c r="F456" s="1" t="s">
        <v>871</v>
      </c>
      <c r="G456" s="1" t="s">
        <v>872</v>
      </c>
      <c r="H456" s="1" t="str">
        <f>IFERROR(__xludf.DUMMYFUNCTION("split(G456,"" "")"),"Ed")</f>
        <v>Ed</v>
      </c>
      <c r="I456" s="1" t="str">
        <f>IFERROR(__xludf.DUMMYFUNCTION("""COMPUTED_VALUE"""),"Braxton")</f>
        <v>Braxton</v>
      </c>
      <c r="J456" s="1" t="s">
        <v>34</v>
      </c>
      <c r="K456" s="1" t="s">
        <v>471</v>
      </c>
      <c r="L456" s="1" t="str">
        <f t="shared" si="2"/>
        <v>Akron</v>
      </c>
      <c r="M456" s="1" t="s">
        <v>304</v>
      </c>
      <c r="N456" s="1" t="str">
        <f t="shared" si="3"/>
        <v>Ohio</v>
      </c>
      <c r="O456" s="1">
        <v>44312.0</v>
      </c>
      <c r="P456" s="1" t="s">
        <v>100</v>
      </c>
      <c r="Q456" s="1" t="s">
        <v>38</v>
      </c>
      <c r="R456" s="3">
        <v>665.408</v>
      </c>
      <c r="S456" s="1">
        <v>4.0</v>
      </c>
      <c r="T456" s="4">
        <v>664.6</v>
      </c>
    </row>
    <row r="457">
      <c r="A457" s="1" t="s">
        <v>873</v>
      </c>
      <c r="B457" s="2">
        <v>43082.0</v>
      </c>
      <c r="C457" s="2" t="str">
        <f t="shared" si="1"/>
        <v>Dec</v>
      </c>
      <c r="D457" s="1" t="s">
        <v>171</v>
      </c>
      <c r="E457" s="1" t="s">
        <v>41</v>
      </c>
      <c r="F457" s="1" t="s">
        <v>837</v>
      </c>
      <c r="G457" s="1" t="s">
        <v>838</v>
      </c>
      <c r="H457" s="1" t="str">
        <f>IFERROR(__xludf.DUMMYFUNCTION("split(G457,"" "")"),"Ken")</f>
        <v>Ken</v>
      </c>
      <c r="I457" s="1" t="str">
        <f>IFERROR(__xludf.DUMMYFUNCTION("""COMPUTED_VALUE"""),"Heidel")</f>
        <v>Heidel</v>
      </c>
      <c r="J457" s="1" t="s">
        <v>34</v>
      </c>
      <c r="K457" s="1" t="s">
        <v>874</v>
      </c>
      <c r="L457" s="1" t="str">
        <f t="shared" si="2"/>
        <v>Norman</v>
      </c>
      <c r="M457" s="1" t="s">
        <v>385</v>
      </c>
      <c r="N457" s="1" t="str">
        <f t="shared" si="3"/>
        <v>Oklahoma</v>
      </c>
      <c r="O457" s="1">
        <v>73071.0</v>
      </c>
      <c r="P457" s="1" t="s">
        <v>71</v>
      </c>
      <c r="Q457" s="1" t="s">
        <v>51</v>
      </c>
      <c r="R457" s="3">
        <v>63.88</v>
      </c>
      <c r="S457" s="1">
        <v>7.0</v>
      </c>
      <c r="T457" s="4">
        <v>63.05</v>
      </c>
    </row>
    <row r="458">
      <c r="A458" s="1" t="s">
        <v>875</v>
      </c>
      <c r="B458" s="2">
        <v>42340.0</v>
      </c>
      <c r="C458" s="2" t="str">
        <f t="shared" si="1"/>
        <v>Dec</v>
      </c>
      <c r="D458" s="1" t="s">
        <v>876</v>
      </c>
      <c r="E458" s="1" t="s">
        <v>41</v>
      </c>
      <c r="F458" s="1" t="s">
        <v>877</v>
      </c>
      <c r="G458" s="1" t="s">
        <v>878</v>
      </c>
      <c r="H458" s="1" t="str">
        <f>IFERROR(__xludf.DUMMYFUNCTION("split(G458,"" "")"),"Sanjit")</f>
        <v>Sanjit</v>
      </c>
      <c r="I458" s="1" t="str">
        <f>IFERROR(__xludf.DUMMYFUNCTION("""COMPUTED_VALUE"""),"Chand")</f>
        <v>Chand</v>
      </c>
      <c r="J458" s="1" t="s">
        <v>23</v>
      </c>
      <c r="K458" s="1" t="s">
        <v>57</v>
      </c>
      <c r="L458" s="1" t="str">
        <f t="shared" si="2"/>
        <v>Concord</v>
      </c>
      <c r="M458" s="1" t="s">
        <v>52</v>
      </c>
      <c r="N458" s="1" t="str">
        <f t="shared" si="3"/>
        <v>California</v>
      </c>
      <c r="O458" s="1">
        <v>94521.0</v>
      </c>
      <c r="P458" s="1" t="s">
        <v>37</v>
      </c>
      <c r="Q458" s="1" t="s">
        <v>27</v>
      </c>
      <c r="R458" s="3">
        <v>129.568</v>
      </c>
      <c r="S458" s="1">
        <v>9.0</v>
      </c>
      <c r="T458" s="4">
        <v>129.15</v>
      </c>
    </row>
    <row r="459">
      <c r="A459" s="1" t="s">
        <v>879</v>
      </c>
      <c r="B459" s="2">
        <v>43004.0</v>
      </c>
      <c r="C459" s="2" t="str">
        <f t="shared" si="1"/>
        <v>Sep</v>
      </c>
      <c r="D459" s="6">
        <v>42745.0</v>
      </c>
      <c r="E459" s="1" t="s">
        <v>41</v>
      </c>
      <c r="F459" s="1" t="s">
        <v>825</v>
      </c>
      <c r="G459" s="1" t="s">
        <v>826</v>
      </c>
      <c r="H459" s="1" t="str">
        <f>IFERROR(__xludf.DUMMYFUNCTION("split(G459,"" "")"),"Natalie")</f>
        <v>Natalie</v>
      </c>
      <c r="I459" s="1" t="str">
        <f>IFERROR(__xludf.DUMMYFUNCTION("""COMPUTED_VALUE"""),"Fritzler")</f>
        <v>Fritzler</v>
      </c>
      <c r="J459" s="1" t="s">
        <v>23</v>
      </c>
      <c r="K459" s="1" t="s">
        <v>219</v>
      </c>
      <c r="L459" s="1" t="str">
        <f t="shared" si="2"/>
        <v>Decatur</v>
      </c>
      <c r="M459" s="1" t="s">
        <v>135</v>
      </c>
      <c r="N459" s="1" t="str">
        <f t="shared" si="3"/>
        <v>Illinois</v>
      </c>
      <c r="O459" s="1">
        <v>62521.0</v>
      </c>
      <c r="P459" s="1" t="s">
        <v>71</v>
      </c>
      <c r="Q459" s="1" t="s">
        <v>27</v>
      </c>
      <c r="R459" s="3">
        <v>747.558</v>
      </c>
      <c r="S459" s="1">
        <v>6.0</v>
      </c>
      <c r="T459" s="4">
        <v>746.84</v>
      </c>
    </row>
    <row r="460">
      <c r="A460" s="1" t="s">
        <v>879</v>
      </c>
      <c r="B460" s="2">
        <v>43004.0</v>
      </c>
      <c r="C460" s="2" t="str">
        <f t="shared" si="1"/>
        <v>Sep</v>
      </c>
      <c r="D460" s="6">
        <v>42745.0</v>
      </c>
      <c r="E460" s="1" t="s">
        <v>41</v>
      </c>
      <c r="F460" s="1" t="s">
        <v>825</v>
      </c>
      <c r="G460" s="1" t="s">
        <v>826</v>
      </c>
      <c r="H460" s="1" t="str">
        <f>IFERROR(__xludf.DUMMYFUNCTION("split(G460,"" "")"),"Natalie")</f>
        <v>Natalie</v>
      </c>
      <c r="I460" s="1" t="str">
        <f>IFERROR(__xludf.DUMMYFUNCTION("""COMPUTED_VALUE"""),"Fritzler")</f>
        <v>Fritzler</v>
      </c>
      <c r="J460" s="1" t="s">
        <v>23</v>
      </c>
      <c r="K460" s="1" t="s">
        <v>219</v>
      </c>
      <c r="L460" s="1" t="str">
        <f t="shared" si="2"/>
        <v>Decatur</v>
      </c>
      <c r="M460" s="1" t="s">
        <v>135</v>
      </c>
      <c r="N460" s="1" t="str">
        <f t="shared" si="3"/>
        <v>Illinois</v>
      </c>
      <c r="O460" s="1">
        <v>62521.0</v>
      </c>
      <c r="P460" s="1" t="s">
        <v>71</v>
      </c>
      <c r="Q460" s="1" t="s">
        <v>38</v>
      </c>
      <c r="R460" s="3">
        <v>8.928</v>
      </c>
      <c r="S460" s="1">
        <v>6.0</v>
      </c>
      <c r="T460" s="4">
        <v>8.28</v>
      </c>
    </row>
    <row r="461">
      <c r="A461" s="1" t="s">
        <v>880</v>
      </c>
      <c r="B461" s="2">
        <v>42719.0</v>
      </c>
      <c r="C461" s="2" t="str">
        <f t="shared" si="1"/>
        <v>Dec</v>
      </c>
      <c r="D461" s="1" t="s">
        <v>881</v>
      </c>
      <c r="E461" s="1" t="s">
        <v>41</v>
      </c>
      <c r="F461" s="1" t="s">
        <v>490</v>
      </c>
      <c r="G461" s="1" t="s">
        <v>491</v>
      </c>
      <c r="H461" s="1" t="str">
        <f>IFERROR(__xludf.DUMMYFUNCTION("split(G461,"" "")"),"Joseph")</f>
        <v>Joseph</v>
      </c>
      <c r="I461" s="1" t="str">
        <f>IFERROR(__xludf.DUMMYFUNCTION("""COMPUTED_VALUE"""),"Holt")</f>
        <v>Holt</v>
      </c>
      <c r="J461" s="1" t="s">
        <v>23</v>
      </c>
      <c r="K461" s="1" t="s">
        <v>62</v>
      </c>
      <c r="L461" s="1" t="str">
        <f t="shared" si="2"/>
        <v>Seattle</v>
      </c>
      <c r="M461" s="1" t="s">
        <v>63</v>
      </c>
      <c r="N461" s="1" t="str">
        <f t="shared" si="3"/>
        <v>Washington</v>
      </c>
      <c r="O461" s="1">
        <v>98115.0</v>
      </c>
      <c r="P461" s="1" t="s">
        <v>37</v>
      </c>
      <c r="Q461" s="1" t="s">
        <v>38</v>
      </c>
      <c r="R461" s="3">
        <v>103.92</v>
      </c>
      <c r="S461" s="1">
        <v>9.0</v>
      </c>
      <c r="T461" s="4">
        <v>103.73</v>
      </c>
    </row>
    <row r="462">
      <c r="A462" s="1" t="s">
        <v>880</v>
      </c>
      <c r="B462" s="2">
        <v>42719.0</v>
      </c>
      <c r="C462" s="2" t="str">
        <f t="shared" si="1"/>
        <v>Dec</v>
      </c>
      <c r="D462" s="1" t="s">
        <v>881</v>
      </c>
      <c r="E462" s="1" t="s">
        <v>41</v>
      </c>
      <c r="F462" s="1" t="s">
        <v>490</v>
      </c>
      <c r="G462" s="1" t="s">
        <v>491</v>
      </c>
      <c r="H462" s="1" t="str">
        <f>IFERROR(__xludf.DUMMYFUNCTION("split(G462,"" "")"),"Joseph")</f>
        <v>Joseph</v>
      </c>
      <c r="I462" s="1" t="str">
        <f>IFERROR(__xludf.DUMMYFUNCTION("""COMPUTED_VALUE"""),"Holt")</f>
        <v>Holt</v>
      </c>
      <c r="J462" s="1" t="s">
        <v>23</v>
      </c>
      <c r="K462" s="1" t="s">
        <v>62</v>
      </c>
      <c r="L462" s="1" t="str">
        <f t="shared" si="2"/>
        <v>Seattle</v>
      </c>
      <c r="M462" s="1" t="s">
        <v>63</v>
      </c>
      <c r="N462" s="1" t="str">
        <f t="shared" si="3"/>
        <v>Washington</v>
      </c>
      <c r="O462" s="1">
        <v>98115.0</v>
      </c>
      <c r="P462" s="1" t="s">
        <v>37</v>
      </c>
      <c r="Q462" s="1" t="s">
        <v>51</v>
      </c>
      <c r="R462" s="3">
        <v>899.91</v>
      </c>
      <c r="S462" s="1">
        <v>9.0</v>
      </c>
      <c r="T462" s="4">
        <v>899.67</v>
      </c>
    </row>
    <row r="463">
      <c r="A463" s="1" t="s">
        <v>880</v>
      </c>
      <c r="B463" s="2">
        <v>42719.0</v>
      </c>
      <c r="C463" s="2" t="str">
        <f t="shared" si="1"/>
        <v>Dec</v>
      </c>
      <c r="D463" s="1" t="s">
        <v>881</v>
      </c>
      <c r="E463" s="1" t="s">
        <v>41</v>
      </c>
      <c r="F463" s="1" t="s">
        <v>490</v>
      </c>
      <c r="G463" s="1" t="s">
        <v>491</v>
      </c>
      <c r="H463" s="1" t="str">
        <f>IFERROR(__xludf.DUMMYFUNCTION("split(G463,"" "")"),"Joseph")</f>
        <v>Joseph</v>
      </c>
      <c r="I463" s="1" t="str">
        <f>IFERROR(__xludf.DUMMYFUNCTION("""COMPUTED_VALUE"""),"Holt")</f>
        <v>Holt</v>
      </c>
      <c r="J463" s="1" t="s">
        <v>23</v>
      </c>
      <c r="K463" s="1" t="s">
        <v>62</v>
      </c>
      <c r="L463" s="1" t="str">
        <f t="shared" si="2"/>
        <v>Seattle</v>
      </c>
      <c r="M463" s="1" t="s">
        <v>63</v>
      </c>
      <c r="N463" s="1" t="str">
        <f t="shared" si="3"/>
        <v>Washington</v>
      </c>
      <c r="O463" s="1">
        <v>98115.0</v>
      </c>
      <c r="P463" s="1" t="s">
        <v>37</v>
      </c>
      <c r="Q463" s="1" t="s">
        <v>38</v>
      </c>
      <c r="R463" s="3">
        <v>51.312</v>
      </c>
      <c r="S463" s="1">
        <v>9.0</v>
      </c>
      <c r="T463" s="4">
        <v>50.41</v>
      </c>
    </row>
    <row r="464">
      <c r="A464" s="1" t="s">
        <v>882</v>
      </c>
      <c r="B464" s="2">
        <v>42847.0</v>
      </c>
      <c r="C464" s="2" t="str">
        <f t="shared" si="1"/>
        <v>Apr</v>
      </c>
      <c r="D464" s="1" t="s">
        <v>668</v>
      </c>
      <c r="E464" s="1" t="s">
        <v>41</v>
      </c>
      <c r="F464" s="1" t="s">
        <v>883</v>
      </c>
      <c r="G464" s="1" t="s">
        <v>884</v>
      </c>
      <c r="H464" s="1" t="str">
        <f>IFERROR(__xludf.DUMMYFUNCTION("split(G464,"" "")"),"Tanja")</f>
        <v>Tanja</v>
      </c>
      <c r="I464" s="1" t="str">
        <f>IFERROR(__xludf.DUMMYFUNCTION("""COMPUTED_VALUE"""),"Norvell")</f>
        <v>Norvell</v>
      </c>
      <c r="J464" s="1" t="s">
        <v>68</v>
      </c>
      <c r="K464" s="1" t="s">
        <v>328</v>
      </c>
      <c r="L464" s="1" t="str">
        <f t="shared" si="2"/>
        <v>Phoenix</v>
      </c>
      <c r="M464" s="1" t="s">
        <v>193</v>
      </c>
      <c r="N464" s="1" t="str">
        <f t="shared" si="3"/>
        <v>Arizona</v>
      </c>
      <c r="O464" s="1">
        <v>85023.0</v>
      </c>
      <c r="P464" s="1" t="s">
        <v>37</v>
      </c>
      <c r="Q464" s="1" t="s">
        <v>27</v>
      </c>
      <c r="R464" s="3">
        <v>23.56</v>
      </c>
      <c r="S464" s="1">
        <v>8.0</v>
      </c>
      <c r="T464" s="4">
        <v>23.16</v>
      </c>
    </row>
    <row r="465">
      <c r="A465" s="1" t="s">
        <v>882</v>
      </c>
      <c r="B465" s="2">
        <v>42847.0</v>
      </c>
      <c r="C465" s="2" t="str">
        <f t="shared" si="1"/>
        <v>Apr</v>
      </c>
      <c r="D465" s="1" t="s">
        <v>668</v>
      </c>
      <c r="E465" s="1" t="s">
        <v>41</v>
      </c>
      <c r="F465" s="1" t="s">
        <v>883</v>
      </c>
      <c r="G465" s="1" t="s">
        <v>884</v>
      </c>
      <c r="H465" s="1" t="str">
        <f>IFERROR(__xludf.DUMMYFUNCTION("split(G465,"" "")"),"Tanja")</f>
        <v>Tanja</v>
      </c>
      <c r="I465" s="1" t="str">
        <f>IFERROR(__xludf.DUMMYFUNCTION("""COMPUTED_VALUE"""),"Norvell")</f>
        <v>Norvell</v>
      </c>
      <c r="J465" s="1" t="s">
        <v>68</v>
      </c>
      <c r="K465" s="1" t="s">
        <v>328</v>
      </c>
      <c r="L465" s="1" t="str">
        <f t="shared" si="2"/>
        <v>Phoenix</v>
      </c>
      <c r="M465" s="1" t="s">
        <v>193</v>
      </c>
      <c r="N465" s="1" t="str">
        <f t="shared" si="3"/>
        <v>Arizona</v>
      </c>
      <c r="O465" s="1">
        <v>85023.0</v>
      </c>
      <c r="P465" s="1" t="s">
        <v>37</v>
      </c>
      <c r="Q465" s="1" t="s">
        <v>27</v>
      </c>
      <c r="R465" s="3">
        <v>1272.63</v>
      </c>
      <c r="S465" s="1">
        <v>8.0</v>
      </c>
      <c r="T465" s="4">
        <v>1272.51</v>
      </c>
    </row>
    <row r="466">
      <c r="A466" s="1" t="s">
        <v>882</v>
      </c>
      <c r="B466" s="2">
        <v>42847.0</v>
      </c>
      <c r="C466" s="2" t="str">
        <f t="shared" si="1"/>
        <v>Apr</v>
      </c>
      <c r="D466" s="1" t="s">
        <v>668</v>
      </c>
      <c r="E466" s="1" t="s">
        <v>41</v>
      </c>
      <c r="F466" s="1" t="s">
        <v>883</v>
      </c>
      <c r="G466" s="1" t="s">
        <v>884</v>
      </c>
      <c r="H466" s="1" t="str">
        <f>IFERROR(__xludf.DUMMYFUNCTION("split(G466,"" "")"),"Tanja")</f>
        <v>Tanja</v>
      </c>
      <c r="I466" s="1" t="str">
        <f>IFERROR(__xludf.DUMMYFUNCTION("""COMPUTED_VALUE"""),"Norvell")</f>
        <v>Norvell</v>
      </c>
      <c r="J466" s="1" t="s">
        <v>68</v>
      </c>
      <c r="K466" s="1" t="s">
        <v>328</v>
      </c>
      <c r="L466" s="1" t="str">
        <f t="shared" si="2"/>
        <v>Phoenix</v>
      </c>
      <c r="M466" s="1" t="s">
        <v>193</v>
      </c>
      <c r="N466" s="1" t="str">
        <f t="shared" si="3"/>
        <v>Arizona</v>
      </c>
      <c r="O466" s="1">
        <v>85023.0</v>
      </c>
      <c r="P466" s="1" t="s">
        <v>37</v>
      </c>
      <c r="Q466" s="1" t="s">
        <v>38</v>
      </c>
      <c r="R466" s="3">
        <v>28.485</v>
      </c>
      <c r="S466" s="1">
        <v>8.0</v>
      </c>
      <c r="T466" s="4">
        <v>28.44</v>
      </c>
    </row>
    <row r="467">
      <c r="A467" s="1" t="s">
        <v>882</v>
      </c>
      <c r="B467" s="2">
        <v>42847.0</v>
      </c>
      <c r="C467" s="2" t="str">
        <f t="shared" si="1"/>
        <v>Apr</v>
      </c>
      <c r="D467" s="1" t="s">
        <v>668</v>
      </c>
      <c r="E467" s="1" t="s">
        <v>41</v>
      </c>
      <c r="F467" s="1" t="s">
        <v>883</v>
      </c>
      <c r="G467" s="1" t="s">
        <v>884</v>
      </c>
      <c r="H467" s="1" t="str">
        <f>IFERROR(__xludf.DUMMYFUNCTION("split(G467,"" "")"),"Tanja")</f>
        <v>Tanja</v>
      </c>
      <c r="I467" s="1" t="str">
        <f>IFERROR(__xludf.DUMMYFUNCTION("""COMPUTED_VALUE"""),"Norvell")</f>
        <v>Norvell</v>
      </c>
      <c r="J467" s="1" t="s">
        <v>68</v>
      </c>
      <c r="K467" s="1" t="s">
        <v>328</v>
      </c>
      <c r="L467" s="1" t="str">
        <f t="shared" si="2"/>
        <v>Phoenix</v>
      </c>
      <c r="M467" s="1" t="s">
        <v>193</v>
      </c>
      <c r="N467" s="1" t="str">
        <f t="shared" si="3"/>
        <v>Arizona</v>
      </c>
      <c r="O467" s="1">
        <v>85023.0</v>
      </c>
      <c r="P467" s="1" t="s">
        <v>37</v>
      </c>
      <c r="Q467" s="1" t="s">
        <v>38</v>
      </c>
      <c r="R467" s="3">
        <v>185.376</v>
      </c>
      <c r="S467" s="1">
        <v>8.0</v>
      </c>
      <c r="T467" s="4">
        <v>184.43</v>
      </c>
    </row>
    <row r="468">
      <c r="A468" s="1" t="s">
        <v>882</v>
      </c>
      <c r="B468" s="2">
        <v>42847.0</v>
      </c>
      <c r="C468" s="2" t="str">
        <f t="shared" si="1"/>
        <v>Apr</v>
      </c>
      <c r="D468" s="1" t="s">
        <v>668</v>
      </c>
      <c r="E468" s="1" t="s">
        <v>41</v>
      </c>
      <c r="F468" s="1" t="s">
        <v>883</v>
      </c>
      <c r="G468" s="1" t="s">
        <v>884</v>
      </c>
      <c r="H468" s="1" t="str">
        <f>IFERROR(__xludf.DUMMYFUNCTION("split(G468,"" "")"),"Tanja")</f>
        <v>Tanja</v>
      </c>
      <c r="I468" s="1" t="str">
        <f>IFERROR(__xludf.DUMMYFUNCTION("""COMPUTED_VALUE"""),"Norvell")</f>
        <v>Norvell</v>
      </c>
      <c r="J468" s="1" t="s">
        <v>68</v>
      </c>
      <c r="K468" s="1" t="s">
        <v>328</v>
      </c>
      <c r="L468" s="1" t="str">
        <f t="shared" si="2"/>
        <v>Phoenix</v>
      </c>
      <c r="M468" s="1" t="s">
        <v>193</v>
      </c>
      <c r="N468" s="1" t="str">
        <f t="shared" si="3"/>
        <v>Arizona</v>
      </c>
      <c r="O468" s="1">
        <v>85023.0</v>
      </c>
      <c r="P468" s="1" t="s">
        <v>37</v>
      </c>
      <c r="Q468" s="1" t="s">
        <v>38</v>
      </c>
      <c r="R468" s="3">
        <v>78.272</v>
      </c>
      <c r="S468" s="1">
        <v>8.0</v>
      </c>
      <c r="T468" s="4">
        <v>77.64</v>
      </c>
    </row>
    <row r="469">
      <c r="A469" s="1" t="s">
        <v>885</v>
      </c>
      <c r="B469" s="2">
        <v>42386.0</v>
      </c>
      <c r="C469" s="2" t="str">
        <f t="shared" si="1"/>
        <v>Jan</v>
      </c>
      <c r="D469" s="1" t="s">
        <v>886</v>
      </c>
      <c r="E469" s="1" t="s">
        <v>41</v>
      </c>
      <c r="F469" s="1" t="s">
        <v>887</v>
      </c>
      <c r="G469" s="1" t="s">
        <v>888</v>
      </c>
      <c r="H469" s="1" t="str">
        <f>IFERROR(__xludf.DUMMYFUNCTION("split(G469,"" "")"),"Joni")</f>
        <v>Joni</v>
      </c>
      <c r="I469" s="1" t="str">
        <f>IFERROR(__xludf.DUMMYFUNCTION("""COMPUTED_VALUE"""),"Sundaresam")</f>
        <v>Sundaresam</v>
      </c>
      <c r="J469" s="1" t="s">
        <v>68</v>
      </c>
      <c r="K469" s="1" t="s">
        <v>889</v>
      </c>
      <c r="L469" s="1" t="str">
        <f t="shared" si="2"/>
        <v>Park Ridge</v>
      </c>
      <c r="M469" s="1" t="s">
        <v>135</v>
      </c>
      <c r="N469" s="1" t="str">
        <f t="shared" si="3"/>
        <v>Illinois</v>
      </c>
      <c r="O469" s="1">
        <v>60068.0</v>
      </c>
      <c r="P469" s="1" t="s">
        <v>71</v>
      </c>
      <c r="Q469" s="1" t="s">
        <v>27</v>
      </c>
      <c r="R469" s="3">
        <v>254.744</v>
      </c>
      <c r="S469" s="1">
        <v>6.0</v>
      </c>
      <c r="T469" s="4">
        <v>254.06</v>
      </c>
    </row>
    <row r="470">
      <c r="A470" s="1" t="s">
        <v>890</v>
      </c>
      <c r="B470" s="2">
        <v>43190.0</v>
      </c>
      <c r="C470" s="2" t="str">
        <f t="shared" si="1"/>
        <v>Mar</v>
      </c>
      <c r="D470" s="6">
        <v>43194.0</v>
      </c>
      <c r="E470" s="1" t="s">
        <v>41</v>
      </c>
      <c r="F470" s="1" t="s">
        <v>511</v>
      </c>
      <c r="G470" s="1" t="s">
        <v>512</v>
      </c>
      <c r="H470" s="1" t="str">
        <f>IFERROR(__xludf.DUMMYFUNCTION("split(G470,"" "")"),"David")</f>
        <v>David</v>
      </c>
      <c r="I470" s="1" t="str">
        <f>IFERROR(__xludf.DUMMYFUNCTION("""COMPUTED_VALUE"""),"Smith")</f>
        <v>Smith</v>
      </c>
      <c r="J470" s="1" t="s">
        <v>34</v>
      </c>
      <c r="K470" s="1" t="s">
        <v>891</v>
      </c>
      <c r="L470" s="1" t="str">
        <f t="shared" si="2"/>
        <v>Amarillo</v>
      </c>
      <c r="M470" s="1" t="s">
        <v>70</v>
      </c>
      <c r="N470" s="1" t="str">
        <f t="shared" si="3"/>
        <v>Texas</v>
      </c>
      <c r="O470" s="1">
        <v>79109.0</v>
      </c>
      <c r="P470" s="1" t="s">
        <v>71</v>
      </c>
      <c r="Q470" s="1" t="s">
        <v>27</v>
      </c>
      <c r="R470" s="3">
        <v>205.3328</v>
      </c>
      <c r="S470" s="1">
        <v>7.0</v>
      </c>
      <c r="T470" s="4">
        <v>205.18</v>
      </c>
    </row>
    <row r="471">
      <c r="A471" s="1" t="s">
        <v>892</v>
      </c>
      <c r="B471" s="2">
        <v>43085.0</v>
      </c>
      <c r="C471" s="2" t="str">
        <f t="shared" si="1"/>
        <v>Dec</v>
      </c>
      <c r="D471" s="1" t="s">
        <v>600</v>
      </c>
      <c r="E471" s="1" t="s">
        <v>20</v>
      </c>
      <c r="F471" s="1" t="s">
        <v>550</v>
      </c>
      <c r="G471" s="1" t="s">
        <v>551</v>
      </c>
      <c r="H471" s="1" t="str">
        <f>IFERROR(__xludf.DUMMYFUNCTION("split(G471,"" "")"),"Craig")</f>
        <v>Craig</v>
      </c>
      <c r="I471" s="1" t="str">
        <f>IFERROR(__xludf.DUMMYFUNCTION("""COMPUTED_VALUE"""),"Carreira")</f>
        <v>Carreira</v>
      </c>
      <c r="J471" s="1" t="s">
        <v>23</v>
      </c>
      <c r="K471" s="1" t="s">
        <v>188</v>
      </c>
      <c r="L471" s="1" t="str">
        <f t="shared" si="2"/>
        <v>Chicago</v>
      </c>
      <c r="M471" s="1" t="s">
        <v>135</v>
      </c>
      <c r="N471" s="1" t="str">
        <f t="shared" si="3"/>
        <v>Illinois</v>
      </c>
      <c r="O471" s="1">
        <v>60610.0</v>
      </c>
      <c r="P471" s="1" t="s">
        <v>71</v>
      </c>
      <c r="Q471" s="1" t="s">
        <v>38</v>
      </c>
      <c r="R471" s="3">
        <v>4.788</v>
      </c>
      <c r="S471" s="1">
        <v>6.0</v>
      </c>
      <c r="T471" s="4">
        <v>4.67</v>
      </c>
    </row>
    <row r="472">
      <c r="A472" s="1" t="s">
        <v>893</v>
      </c>
      <c r="B472" s="2">
        <v>42724.0</v>
      </c>
      <c r="C472" s="2" t="str">
        <f t="shared" si="1"/>
        <v>Dec</v>
      </c>
      <c r="D472" s="1" t="s">
        <v>684</v>
      </c>
      <c r="E472" s="1" t="s">
        <v>41</v>
      </c>
      <c r="F472" s="1" t="s">
        <v>894</v>
      </c>
      <c r="G472" s="1" t="s">
        <v>895</v>
      </c>
      <c r="H472" s="1" t="str">
        <f>IFERROR(__xludf.DUMMYFUNCTION("split(G472,"" "")"),"Maya")</f>
        <v>Maya</v>
      </c>
      <c r="I472" s="1" t="str">
        <f>IFERROR(__xludf.DUMMYFUNCTION("""COMPUTED_VALUE"""),"Herman")</f>
        <v>Herman</v>
      </c>
      <c r="J472" s="1" t="s">
        <v>34</v>
      </c>
      <c r="K472" s="1" t="s">
        <v>896</v>
      </c>
      <c r="L472" s="1" t="str">
        <f t="shared" si="2"/>
        <v>Lindenhurst</v>
      </c>
      <c r="M472" s="1" t="s">
        <v>175</v>
      </c>
      <c r="N472" s="1" t="str">
        <f t="shared" si="3"/>
        <v>New York</v>
      </c>
      <c r="O472" s="1">
        <v>11757.0</v>
      </c>
      <c r="P472" s="1" t="s">
        <v>100</v>
      </c>
      <c r="Q472" s="1" t="s">
        <v>38</v>
      </c>
      <c r="R472" s="3">
        <v>55.48</v>
      </c>
      <c r="S472" s="1">
        <v>1.0</v>
      </c>
      <c r="T472" s="4">
        <v>55.37</v>
      </c>
    </row>
    <row r="473">
      <c r="A473" s="1" t="s">
        <v>897</v>
      </c>
      <c r="B473" s="2">
        <v>42258.0</v>
      </c>
      <c r="C473" s="2" t="str">
        <f t="shared" si="1"/>
        <v>Sep</v>
      </c>
      <c r="D473" s="5">
        <v>42319.0</v>
      </c>
      <c r="E473" s="1" t="s">
        <v>20</v>
      </c>
      <c r="F473" s="1" t="s">
        <v>898</v>
      </c>
      <c r="G473" s="1" t="s">
        <v>899</v>
      </c>
      <c r="H473" s="1" t="str">
        <f>IFERROR(__xludf.DUMMYFUNCTION("split(G473,"" "")"),"Jeremy")</f>
        <v>Jeremy</v>
      </c>
      <c r="I473" s="1" t="str">
        <f>IFERROR(__xludf.DUMMYFUNCTION("""COMPUTED_VALUE"""),"Pistek")</f>
        <v>Pistek</v>
      </c>
      <c r="J473" s="1" t="s">
        <v>23</v>
      </c>
      <c r="K473" s="1" t="s">
        <v>87</v>
      </c>
      <c r="L473" s="1" t="str">
        <f t="shared" si="2"/>
        <v>San Francisco</v>
      </c>
      <c r="M473" s="1" t="s">
        <v>52</v>
      </c>
      <c r="N473" s="1" t="str">
        <f t="shared" si="3"/>
        <v>California</v>
      </c>
      <c r="O473" s="1">
        <v>94110.0</v>
      </c>
      <c r="P473" s="1" t="s">
        <v>37</v>
      </c>
      <c r="Q473" s="1" t="s">
        <v>38</v>
      </c>
      <c r="R473" s="3">
        <v>340.92</v>
      </c>
      <c r="S473" s="1">
        <v>9.0</v>
      </c>
      <c r="T473" s="4">
        <v>340.43</v>
      </c>
    </row>
    <row r="474">
      <c r="A474" s="1" t="s">
        <v>897</v>
      </c>
      <c r="B474" s="2">
        <v>42258.0</v>
      </c>
      <c r="C474" s="2" t="str">
        <f t="shared" si="1"/>
        <v>Sep</v>
      </c>
      <c r="D474" s="5">
        <v>42319.0</v>
      </c>
      <c r="E474" s="1" t="s">
        <v>20</v>
      </c>
      <c r="F474" s="1" t="s">
        <v>898</v>
      </c>
      <c r="G474" s="1" t="s">
        <v>899</v>
      </c>
      <c r="H474" s="1" t="str">
        <f>IFERROR(__xludf.DUMMYFUNCTION("split(G474,"" "")"),"Jeremy")</f>
        <v>Jeremy</v>
      </c>
      <c r="I474" s="1" t="str">
        <f>IFERROR(__xludf.DUMMYFUNCTION("""COMPUTED_VALUE"""),"Pistek")</f>
        <v>Pistek</v>
      </c>
      <c r="J474" s="1" t="s">
        <v>23</v>
      </c>
      <c r="K474" s="1" t="s">
        <v>87</v>
      </c>
      <c r="L474" s="1" t="str">
        <f t="shared" si="2"/>
        <v>San Francisco</v>
      </c>
      <c r="M474" s="1" t="s">
        <v>52</v>
      </c>
      <c r="N474" s="1" t="str">
        <f t="shared" si="3"/>
        <v>California</v>
      </c>
      <c r="O474" s="1">
        <v>94110.0</v>
      </c>
      <c r="P474" s="1" t="s">
        <v>37</v>
      </c>
      <c r="Q474" s="1" t="s">
        <v>27</v>
      </c>
      <c r="R474" s="3">
        <v>222.666</v>
      </c>
      <c r="S474" s="1">
        <v>9.0</v>
      </c>
      <c r="T474" s="4">
        <v>221.73</v>
      </c>
    </row>
    <row r="475">
      <c r="A475" s="1" t="s">
        <v>897</v>
      </c>
      <c r="B475" s="2">
        <v>42258.0</v>
      </c>
      <c r="C475" s="2" t="str">
        <f t="shared" si="1"/>
        <v>Sep</v>
      </c>
      <c r="D475" s="5">
        <v>42319.0</v>
      </c>
      <c r="E475" s="1" t="s">
        <v>20</v>
      </c>
      <c r="F475" s="1" t="s">
        <v>898</v>
      </c>
      <c r="G475" s="1" t="s">
        <v>899</v>
      </c>
      <c r="H475" s="1" t="str">
        <f>IFERROR(__xludf.DUMMYFUNCTION("split(G475,"" "")"),"Jeremy")</f>
        <v>Jeremy</v>
      </c>
      <c r="I475" s="1" t="str">
        <f>IFERROR(__xludf.DUMMYFUNCTION("""COMPUTED_VALUE"""),"Pistek")</f>
        <v>Pistek</v>
      </c>
      <c r="J475" s="1" t="s">
        <v>23</v>
      </c>
      <c r="K475" s="1" t="s">
        <v>87</v>
      </c>
      <c r="L475" s="1" t="str">
        <f t="shared" si="2"/>
        <v>San Francisco</v>
      </c>
      <c r="M475" s="1" t="s">
        <v>52</v>
      </c>
      <c r="N475" s="1" t="str">
        <f t="shared" si="3"/>
        <v>California</v>
      </c>
      <c r="O475" s="1">
        <v>94110.0</v>
      </c>
      <c r="P475" s="1" t="s">
        <v>37</v>
      </c>
      <c r="Q475" s="1" t="s">
        <v>51</v>
      </c>
      <c r="R475" s="3">
        <v>703.968</v>
      </c>
      <c r="S475" s="1">
        <v>9.0</v>
      </c>
      <c r="T475" s="4">
        <v>703.77</v>
      </c>
    </row>
    <row r="476">
      <c r="A476" s="1" t="s">
        <v>897</v>
      </c>
      <c r="B476" s="2">
        <v>42258.0</v>
      </c>
      <c r="C476" s="2" t="str">
        <f t="shared" si="1"/>
        <v>Sep</v>
      </c>
      <c r="D476" s="5">
        <v>42319.0</v>
      </c>
      <c r="E476" s="1" t="s">
        <v>20</v>
      </c>
      <c r="F476" s="1" t="s">
        <v>898</v>
      </c>
      <c r="G476" s="1" t="s">
        <v>899</v>
      </c>
      <c r="H476" s="1" t="str">
        <f>IFERROR(__xludf.DUMMYFUNCTION("split(G476,"" "")"),"Jeremy")</f>
        <v>Jeremy</v>
      </c>
      <c r="I476" s="1" t="str">
        <f>IFERROR(__xludf.DUMMYFUNCTION("""COMPUTED_VALUE"""),"Pistek")</f>
        <v>Pistek</v>
      </c>
      <c r="J476" s="1" t="s">
        <v>23</v>
      </c>
      <c r="K476" s="1" t="s">
        <v>87</v>
      </c>
      <c r="L476" s="1" t="str">
        <f t="shared" si="2"/>
        <v>San Francisco</v>
      </c>
      <c r="M476" s="1" t="s">
        <v>52</v>
      </c>
      <c r="N476" s="1" t="str">
        <f t="shared" si="3"/>
        <v>California</v>
      </c>
      <c r="O476" s="1">
        <v>94110.0</v>
      </c>
      <c r="P476" s="1" t="s">
        <v>37</v>
      </c>
      <c r="Q476" s="1" t="s">
        <v>38</v>
      </c>
      <c r="R476" s="3">
        <v>92.52</v>
      </c>
      <c r="S476" s="1">
        <v>9.0</v>
      </c>
      <c r="T476" s="4">
        <v>91.76</v>
      </c>
    </row>
    <row r="477">
      <c r="A477" s="1" t="s">
        <v>897</v>
      </c>
      <c r="B477" s="2">
        <v>42258.0</v>
      </c>
      <c r="C477" s="2" t="str">
        <f t="shared" si="1"/>
        <v>Sep</v>
      </c>
      <c r="D477" s="5">
        <v>42319.0</v>
      </c>
      <c r="E477" s="1" t="s">
        <v>20</v>
      </c>
      <c r="F477" s="1" t="s">
        <v>898</v>
      </c>
      <c r="G477" s="1" t="s">
        <v>899</v>
      </c>
      <c r="H477" s="1" t="str">
        <f>IFERROR(__xludf.DUMMYFUNCTION("split(G477,"" "")"),"Jeremy")</f>
        <v>Jeremy</v>
      </c>
      <c r="I477" s="1" t="str">
        <f>IFERROR(__xludf.DUMMYFUNCTION("""COMPUTED_VALUE"""),"Pistek")</f>
        <v>Pistek</v>
      </c>
      <c r="J477" s="1" t="s">
        <v>23</v>
      </c>
      <c r="K477" s="1" t="s">
        <v>87</v>
      </c>
      <c r="L477" s="1" t="str">
        <f t="shared" si="2"/>
        <v>San Francisco</v>
      </c>
      <c r="M477" s="1" t="s">
        <v>52</v>
      </c>
      <c r="N477" s="1" t="str">
        <f t="shared" si="3"/>
        <v>California</v>
      </c>
      <c r="O477" s="1">
        <v>94110.0</v>
      </c>
      <c r="P477" s="1" t="s">
        <v>37</v>
      </c>
      <c r="Q477" s="1" t="s">
        <v>38</v>
      </c>
      <c r="R477" s="3">
        <v>62.65</v>
      </c>
      <c r="S477" s="1">
        <v>9.0</v>
      </c>
      <c r="T477" s="4">
        <v>61.71</v>
      </c>
    </row>
    <row r="478">
      <c r="A478" s="1" t="s">
        <v>897</v>
      </c>
      <c r="B478" s="2">
        <v>42258.0</v>
      </c>
      <c r="C478" s="2" t="str">
        <f t="shared" si="1"/>
        <v>Sep</v>
      </c>
      <c r="D478" s="5">
        <v>42319.0</v>
      </c>
      <c r="E478" s="1" t="s">
        <v>20</v>
      </c>
      <c r="F478" s="1" t="s">
        <v>898</v>
      </c>
      <c r="G478" s="1" t="s">
        <v>899</v>
      </c>
      <c r="H478" s="1" t="str">
        <f>IFERROR(__xludf.DUMMYFUNCTION("split(G478,"" "")"),"Jeremy")</f>
        <v>Jeremy</v>
      </c>
      <c r="I478" s="1" t="str">
        <f>IFERROR(__xludf.DUMMYFUNCTION("""COMPUTED_VALUE"""),"Pistek")</f>
        <v>Pistek</v>
      </c>
      <c r="J478" s="1" t="s">
        <v>23</v>
      </c>
      <c r="K478" s="1" t="s">
        <v>87</v>
      </c>
      <c r="L478" s="1" t="str">
        <f t="shared" si="2"/>
        <v>San Francisco</v>
      </c>
      <c r="M478" s="1" t="s">
        <v>52</v>
      </c>
      <c r="N478" s="1" t="str">
        <f t="shared" si="3"/>
        <v>California</v>
      </c>
      <c r="O478" s="1">
        <v>94110.0</v>
      </c>
      <c r="P478" s="1" t="s">
        <v>37</v>
      </c>
      <c r="Q478" s="1" t="s">
        <v>38</v>
      </c>
      <c r="R478" s="3">
        <v>94.85</v>
      </c>
      <c r="S478" s="1">
        <v>9.0</v>
      </c>
      <c r="T478" s="4">
        <v>94.19</v>
      </c>
    </row>
    <row r="479">
      <c r="A479" s="1" t="s">
        <v>900</v>
      </c>
      <c r="B479" s="2">
        <v>43076.0</v>
      </c>
      <c r="C479" s="2" t="str">
        <f t="shared" si="1"/>
        <v>Dec</v>
      </c>
      <c r="D479" s="1" t="s">
        <v>901</v>
      </c>
      <c r="E479" s="1" t="s">
        <v>41</v>
      </c>
      <c r="F479" s="1" t="s">
        <v>581</v>
      </c>
      <c r="G479" s="1" t="s">
        <v>582</v>
      </c>
      <c r="H479" s="1" t="str">
        <f>IFERROR(__xludf.DUMMYFUNCTION("split(G479,"" "")"),"Kristen")</f>
        <v>Kristen</v>
      </c>
      <c r="I479" s="1" t="str">
        <f>IFERROR(__xludf.DUMMYFUNCTION("""COMPUTED_VALUE"""),"Hastings")</f>
        <v>Hastings</v>
      </c>
      <c r="J479" s="1" t="s">
        <v>34</v>
      </c>
      <c r="K479" s="1" t="s">
        <v>35</v>
      </c>
      <c r="L479" s="1" t="str">
        <f t="shared" si="2"/>
        <v>Los Angeles</v>
      </c>
      <c r="M479" s="1" t="s">
        <v>52</v>
      </c>
      <c r="N479" s="1" t="str">
        <f t="shared" si="3"/>
        <v>California</v>
      </c>
      <c r="O479" s="1">
        <v>90008.0</v>
      </c>
      <c r="P479" s="1" t="s">
        <v>37</v>
      </c>
      <c r="Q479" s="1" t="s">
        <v>51</v>
      </c>
      <c r="R479" s="3">
        <v>95.76</v>
      </c>
      <c r="S479" s="1">
        <v>9.0</v>
      </c>
      <c r="T479" s="4">
        <v>95.18</v>
      </c>
    </row>
    <row r="480">
      <c r="A480" s="1" t="s">
        <v>902</v>
      </c>
      <c r="B480" s="2">
        <v>43035.0</v>
      </c>
      <c r="C480" s="2" t="str">
        <f t="shared" si="1"/>
        <v>Oct</v>
      </c>
      <c r="D480" s="6">
        <v>42777.0</v>
      </c>
      <c r="E480" s="1" t="s">
        <v>41</v>
      </c>
      <c r="F480" s="1" t="s">
        <v>903</v>
      </c>
      <c r="G480" s="1" t="s">
        <v>904</v>
      </c>
      <c r="H480" s="1" t="str">
        <f>IFERROR(__xludf.DUMMYFUNCTION("split(G480,"" "")"),"Jeremy")</f>
        <v>Jeremy</v>
      </c>
      <c r="I480" s="1" t="str">
        <f>IFERROR(__xludf.DUMMYFUNCTION("""COMPUTED_VALUE"""),"Ellison")</f>
        <v>Ellison</v>
      </c>
      <c r="J480" s="1" t="s">
        <v>23</v>
      </c>
      <c r="K480" s="1" t="s">
        <v>180</v>
      </c>
      <c r="L480" s="1" t="str">
        <f t="shared" si="2"/>
        <v>Troy</v>
      </c>
      <c r="M480" s="1" t="s">
        <v>175</v>
      </c>
      <c r="N480" s="1" t="str">
        <f t="shared" si="3"/>
        <v>New York</v>
      </c>
      <c r="O480" s="1">
        <v>12180.0</v>
      </c>
      <c r="P480" s="1" t="s">
        <v>100</v>
      </c>
      <c r="Q480" s="1" t="s">
        <v>27</v>
      </c>
      <c r="R480" s="3">
        <v>40.2</v>
      </c>
      <c r="S480" s="1">
        <v>1.0</v>
      </c>
      <c r="T480" s="4">
        <v>39.61</v>
      </c>
    </row>
    <row r="481">
      <c r="A481" s="1" t="s">
        <v>905</v>
      </c>
      <c r="B481" s="2">
        <v>42912.0</v>
      </c>
      <c r="C481" s="2" t="str">
        <f t="shared" si="1"/>
        <v>Jun</v>
      </c>
      <c r="D481" s="6">
        <v>42773.0</v>
      </c>
      <c r="E481" s="1" t="s">
        <v>41</v>
      </c>
      <c r="F481" s="1" t="s">
        <v>906</v>
      </c>
      <c r="G481" s="1" t="s">
        <v>907</v>
      </c>
      <c r="H481" s="1" t="str">
        <f>IFERROR(__xludf.DUMMYFUNCTION("split(G481,"" "")"),"John")</f>
        <v>John</v>
      </c>
      <c r="I481" s="1" t="str">
        <f>IFERROR(__xludf.DUMMYFUNCTION("""COMPUTED_VALUE"""),"Grady")</f>
        <v>Grady</v>
      </c>
      <c r="J481" s="1" t="s">
        <v>34</v>
      </c>
      <c r="K481" s="1" t="s">
        <v>174</v>
      </c>
      <c r="L481" s="1" t="str">
        <f t="shared" si="2"/>
        <v>New York City</v>
      </c>
      <c r="M481" s="1" t="s">
        <v>175</v>
      </c>
      <c r="N481" s="1" t="str">
        <f t="shared" si="3"/>
        <v>New York</v>
      </c>
      <c r="O481" s="1">
        <v>10024.0</v>
      </c>
      <c r="P481" s="1" t="s">
        <v>100</v>
      </c>
      <c r="Q481" s="1" t="s">
        <v>38</v>
      </c>
      <c r="R481" s="3">
        <v>14.7</v>
      </c>
      <c r="S481" s="1">
        <v>1.0</v>
      </c>
      <c r="T481" s="4">
        <v>13.71</v>
      </c>
    </row>
    <row r="482">
      <c r="A482" s="1" t="s">
        <v>905</v>
      </c>
      <c r="B482" s="2">
        <v>42912.0</v>
      </c>
      <c r="C482" s="2" t="str">
        <f t="shared" si="1"/>
        <v>Jun</v>
      </c>
      <c r="D482" s="6">
        <v>42773.0</v>
      </c>
      <c r="E482" s="1" t="s">
        <v>41</v>
      </c>
      <c r="F482" s="1" t="s">
        <v>906</v>
      </c>
      <c r="G482" s="1" t="s">
        <v>907</v>
      </c>
      <c r="H482" s="1" t="str">
        <f>IFERROR(__xludf.DUMMYFUNCTION("split(G482,"" "")"),"John")</f>
        <v>John</v>
      </c>
      <c r="I482" s="1" t="str">
        <f>IFERROR(__xludf.DUMMYFUNCTION("""COMPUTED_VALUE"""),"Grady")</f>
        <v>Grady</v>
      </c>
      <c r="J482" s="1" t="s">
        <v>34</v>
      </c>
      <c r="K482" s="1" t="s">
        <v>174</v>
      </c>
      <c r="L482" s="1" t="str">
        <f t="shared" si="2"/>
        <v>New York City</v>
      </c>
      <c r="M482" s="1" t="s">
        <v>175</v>
      </c>
      <c r="N482" s="1" t="str">
        <f t="shared" si="3"/>
        <v>New York</v>
      </c>
      <c r="O482" s="1">
        <v>10024.0</v>
      </c>
      <c r="P482" s="1" t="s">
        <v>100</v>
      </c>
      <c r="Q482" s="1" t="s">
        <v>38</v>
      </c>
      <c r="R482" s="3">
        <v>704.25</v>
      </c>
      <c r="S482" s="1">
        <v>1.0</v>
      </c>
      <c r="T482" s="4">
        <v>703.79</v>
      </c>
    </row>
    <row r="483">
      <c r="A483" s="1" t="s">
        <v>908</v>
      </c>
      <c r="B483" s="2">
        <v>42165.0</v>
      </c>
      <c r="C483" s="2" t="str">
        <f t="shared" si="1"/>
        <v>Jun</v>
      </c>
      <c r="D483" s="5">
        <v>42287.0</v>
      </c>
      <c r="E483" s="1" t="s">
        <v>41</v>
      </c>
      <c r="F483" s="1" t="s">
        <v>909</v>
      </c>
      <c r="G483" s="1" t="s">
        <v>910</v>
      </c>
      <c r="H483" s="1" t="str">
        <f>IFERROR(__xludf.DUMMYFUNCTION("split(G483,"" "")"),"Xylona")</f>
        <v>Xylona</v>
      </c>
      <c r="I483" s="1" t="str">
        <f>IFERROR(__xludf.DUMMYFUNCTION("""COMPUTED_VALUE"""),"Preis")</f>
        <v>Preis</v>
      </c>
      <c r="J483" s="1" t="s">
        <v>23</v>
      </c>
      <c r="K483" s="1" t="s">
        <v>542</v>
      </c>
      <c r="L483" s="1" t="str">
        <f t="shared" si="2"/>
        <v>San Diego</v>
      </c>
      <c r="M483" s="1" t="s">
        <v>52</v>
      </c>
      <c r="N483" s="1" t="str">
        <f t="shared" si="3"/>
        <v>California</v>
      </c>
      <c r="O483" s="1">
        <v>92024.0</v>
      </c>
      <c r="P483" s="1" t="s">
        <v>37</v>
      </c>
      <c r="Q483" s="1" t="s">
        <v>51</v>
      </c>
      <c r="R483" s="3">
        <v>9.09</v>
      </c>
      <c r="S483" s="1">
        <v>9.0</v>
      </c>
      <c r="T483" s="4">
        <v>8.9</v>
      </c>
    </row>
    <row r="484">
      <c r="A484" s="1" t="s">
        <v>911</v>
      </c>
      <c r="B484" s="2">
        <v>42207.0</v>
      </c>
      <c r="C484" s="2" t="str">
        <f t="shared" si="1"/>
        <v>Jul</v>
      </c>
      <c r="D484" s="1" t="s">
        <v>726</v>
      </c>
      <c r="E484" s="1" t="s">
        <v>41</v>
      </c>
      <c r="F484" s="1" t="s">
        <v>912</v>
      </c>
      <c r="G484" s="1" t="s">
        <v>913</v>
      </c>
      <c r="H484" s="1" t="str">
        <f>IFERROR(__xludf.DUMMYFUNCTION("split(G484,"" "")"),"Erin")</f>
        <v>Erin</v>
      </c>
      <c r="I484" s="1" t="str">
        <f>IFERROR(__xludf.DUMMYFUNCTION("""COMPUTED_VALUE"""),"Mull")</f>
        <v>Mull</v>
      </c>
      <c r="J484" s="1" t="s">
        <v>23</v>
      </c>
      <c r="K484" s="1" t="s">
        <v>174</v>
      </c>
      <c r="L484" s="1" t="str">
        <f t="shared" si="2"/>
        <v>New York City</v>
      </c>
      <c r="M484" s="1" t="s">
        <v>175</v>
      </c>
      <c r="N484" s="1" t="str">
        <f t="shared" si="3"/>
        <v>New York</v>
      </c>
      <c r="O484" s="1">
        <v>10024.0</v>
      </c>
      <c r="P484" s="1" t="s">
        <v>100</v>
      </c>
      <c r="Q484" s="1" t="s">
        <v>38</v>
      </c>
      <c r="R484" s="3">
        <v>5.96</v>
      </c>
      <c r="S484" s="1">
        <v>1.0</v>
      </c>
      <c r="T484" s="4">
        <v>4.97</v>
      </c>
    </row>
    <row r="485">
      <c r="A485" s="1" t="s">
        <v>911</v>
      </c>
      <c r="B485" s="2">
        <v>42207.0</v>
      </c>
      <c r="C485" s="2" t="str">
        <f t="shared" si="1"/>
        <v>Jul</v>
      </c>
      <c r="D485" s="1" t="s">
        <v>726</v>
      </c>
      <c r="E485" s="1" t="s">
        <v>41</v>
      </c>
      <c r="F485" s="1" t="s">
        <v>912</v>
      </c>
      <c r="G485" s="1" t="s">
        <v>913</v>
      </c>
      <c r="H485" s="1" t="str">
        <f>IFERROR(__xludf.DUMMYFUNCTION("split(G485,"" "")"),"Erin")</f>
        <v>Erin</v>
      </c>
      <c r="I485" s="1" t="str">
        <f>IFERROR(__xludf.DUMMYFUNCTION("""COMPUTED_VALUE"""),"Mull")</f>
        <v>Mull</v>
      </c>
      <c r="J485" s="1" t="s">
        <v>23</v>
      </c>
      <c r="K485" s="1" t="s">
        <v>174</v>
      </c>
      <c r="L485" s="1" t="str">
        <f t="shared" si="2"/>
        <v>New York City</v>
      </c>
      <c r="M485" s="1" t="s">
        <v>175</v>
      </c>
      <c r="N485" s="1" t="str">
        <f t="shared" si="3"/>
        <v>New York</v>
      </c>
      <c r="O485" s="1">
        <v>10024.0</v>
      </c>
      <c r="P485" s="1" t="s">
        <v>100</v>
      </c>
      <c r="Q485" s="1" t="s">
        <v>51</v>
      </c>
      <c r="R485" s="3">
        <v>159.98</v>
      </c>
      <c r="S485" s="1">
        <v>1.0</v>
      </c>
      <c r="T485" s="4">
        <v>159.24</v>
      </c>
    </row>
    <row r="486">
      <c r="A486" s="1" t="s">
        <v>914</v>
      </c>
      <c r="B486" s="2">
        <v>43379.0</v>
      </c>
      <c r="C486" s="2" t="str">
        <f t="shared" si="1"/>
        <v>Oct</v>
      </c>
      <c r="D486" s="1" t="s">
        <v>915</v>
      </c>
      <c r="E486" s="1" t="s">
        <v>121</v>
      </c>
      <c r="F486" s="1" t="s">
        <v>916</v>
      </c>
      <c r="G486" s="1" t="s">
        <v>917</v>
      </c>
      <c r="H486" s="1" t="str">
        <f>IFERROR(__xludf.DUMMYFUNCTION("split(G486,"" "")"),"Michelle")</f>
        <v>Michelle</v>
      </c>
      <c r="I486" s="1" t="str">
        <f>IFERROR(__xludf.DUMMYFUNCTION("""COMPUTED_VALUE"""),"Tran")</f>
        <v>Tran</v>
      </c>
      <c r="J486" s="1" t="s">
        <v>68</v>
      </c>
      <c r="K486" s="1" t="s">
        <v>35</v>
      </c>
      <c r="L486" s="1" t="str">
        <f t="shared" si="2"/>
        <v>Los Angeles</v>
      </c>
      <c r="M486" s="1" t="s">
        <v>52</v>
      </c>
      <c r="N486" s="1" t="str">
        <f t="shared" si="3"/>
        <v>California</v>
      </c>
      <c r="O486" s="1">
        <v>90045.0</v>
      </c>
      <c r="P486" s="1" t="s">
        <v>37</v>
      </c>
      <c r="Q486" s="1" t="s">
        <v>38</v>
      </c>
      <c r="R486" s="3">
        <v>29.6</v>
      </c>
      <c r="S486" s="1">
        <v>9.0</v>
      </c>
      <c r="T486" s="4">
        <v>29.14</v>
      </c>
    </row>
    <row r="487">
      <c r="A487" s="1" t="s">
        <v>914</v>
      </c>
      <c r="B487" s="2">
        <v>43379.0</v>
      </c>
      <c r="C487" s="2" t="str">
        <f t="shared" si="1"/>
        <v>Oct</v>
      </c>
      <c r="D487" s="1" t="s">
        <v>915</v>
      </c>
      <c r="E487" s="1" t="s">
        <v>121</v>
      </c>
      <c r="F487" s="1" t="s">
        <v>916</v>
      </c>
      <c r="G487" s="1" t="s">
        <v>917</v>
      </c>
      <c r="H487" s="1" t="str">
        <f>IFERROR(__xludf.DUMMYFUNCTION("split(G487,"" "")"),"Michelle")</f>
        <v>Michelle</v>
      </c>
      <c r="I487" s="1" t="str">
        <f>IFERROR(__xludf.DUMMYFUNCTION("""COMPUTED_VALUE"""),"Tran")</f>
        <v>Tran</v>
      </c>
      <c r="J487" s="1" t="s">
        <v>68</v>
      </c>
      <c r="K487" s="1" t="s">
        <v>35</v>
      </c>
      <c r="L487" s="1" t="str">
        <f t="shared" si="2"/>
        <v>Los Angeles</v>
      </c>
      <c r="M487" s="1" t="s">
        <v>52</v>
      </c>
      <c r="N487" s="1" t="str">
        <f t="shared" si="3"/>
        <v>California</v>
      </c>
      <c r="O487" s="1">
        <v>90045.0</v>
      </c>
      <c r="P487" s="1" t="s">
        <v>37</v>
      </c>
      <c r="Q487" s="1" t="s">
        <v>27</v>
      </c>
      <c r="R487" s="3">
        <v>514.165</v>
      </c>
      <c r="S487" s="1">
        <v>9.0</v>
      </c>
      <c r="T487" s="4">
        <v>513.37</v>
      </c>
    </row>
    <row r="488">
      <c r="A488" s="1" t="s">
        <v>914</v>
      </c>
      <c r="B488" s="2">
        <v>43379.0</v>
      </c>
      <c r="C488" s="2" t="str">
        <f t="shared" si="1"/>
        <v>Oct</v>
      </c>
      <c r="D488" s="1" t="s">
        <v>915</v>
      </c>
      <c r="E488" s="1" t="s">
        <v>121</v>
      </c>
      <c r="F488" s="1" t="s">
        <v>916</v>
      </c>
      <c r="G488" s="1" t="s">
        <v>917</v>
      </c>
      <c r="H488" s="1" t="str">
        <f>IFERROR(__xludf.DUMMYFUNCTION("split(G488,"" "")"),"Michelle")</f>
        <v>Michelle</v>
      </c>
      <c r="I488" s="1" t="str">
        <f>IFERROR(__xludf.DUMMYFUNCTION("""COMPUTED_VALUE"""),"Tran")</f>
        <v>Tran</v>
      </c>
      <c r="J488" s="1" t="s">
        <v>68</v>
      </c>
      <c r="K488" s="1" t="s">
        <v>35</v>
      </c>
      <c r="L488" s="1" t="str">
        <f t="shared" si="2"/>
        <v>Los Angeles</v>
      </c>
      <c r="M488" s="1" t="s">
        <v>52</v>
      </c>
      <c r="N488" s="1" t="str">
        <f t="shared" si="3"/>
        <v>California</v>
      </c>
      <c r="O488" s="1">
        <v>90045.0</v>
      </c>
      <c r="P488" s="1" t="s">
        <v>37</v>
      </c>
      <c r="Q488" s="1" t="s">
        <v>51</v>
      </c>
      <c r="R488" s="3">
        <v>279.96</v>
      </c>
      <c r="S488" s="1">
        <v>9.0</v>
      </c>
      <c r="T488" s="4">
        <v>279.24</v>
      </c>
    </row>
    <row r="489">
      <c r="A489" s="1" t="s">
        <v>918</v>
      </c>
      <c r="B489" s="2">
        <v>42306.0</v>
      </c>
      <c r="C489" s="2" t="str">
        <f t="shared" si="1"/>
        <v>Oct</v>
      </c>
      <c r="D489" s="1" t="s">
        <v>919</v>
      </c>
      <c r="E489" s="1" t="s">
        <v>121</v>
      </c>
      <c r="F489" s="1" t="s">
        <v>920</v>
      </c>
      <c r="G489" s="1" t="s">
        <v>921</v>
      </c>
      <c r="H489" s="1" t="s">
        <v>922</v>
      </c>
      <c r="I489" s="1" t="s">
        <v>923</v>
      </c>
      <c r="J489" s="1" t="s">
        <v>23</v>
      </c>
      <c r="K489" s="1" t="s">
        <v>188</v>
      </c>
      <c r="L489" s="1" t="str">
        <f t="shared" si="2"/>
        <v>Chicago</v>
      </c>
      <c r="M489" s="1" t="s">
        <v>135</v>
      </c>
      <c r="N489" s="1" t="str">
        <f t="shared" si="3"/>
        <v>Illinois</v>
      </c>
      <c r="O489" s="1">
        <v>60610.0</v>
      </c>
      <c r="P489" s="1" t="s">
        <v>71</v>
      </c>
      <c r="Q489" s="1" t="s">
        <v>51</v>
      </c>
      <c r="R489" s="3">
        <v>2735.952</v>
      </c>
      <c r="S489" s="1">
        <v>6.0</v>
      </c>
      <c r="T489" s="4">
        <v>2735.58</v>
      </c>
    </row>
    <row r="490">
      <c r="A490" s="1" t="s">
        <v>924</v>
      </c>
      <c r="B490" s="2">
        <v>42253.0</v>
      </c>
      <c r="C490" s="2" t="str">
        <f t="shared" si="1"/>
        <v>Sep</v>
      </c>
      <c r="D490" s="1" t="s">
        <v>925</v>
      </c>
      <c r="E490" s="1" t="s">
        <v>20</v>
      </c>
      <c r="F490" s="1" t="s">
        <v>926</v>
      </c>
      <c r="G490" s="1" t="s">
        <v>927</v>
      </c>
      <c r="H490" s="1" t="str">
        <f>IFERROR(__xludf.DUMMYFUNCTION("split(G490,"" "")"),"Carl")</f>
        <v>Carl</v>
      </c>
      <c r="I490" s="1" t="str">
        <f>IFERROR(__xludf.DUMMYFUNCTION("""COMPUTED_VALUE"""),"Weiss")</f>
        <v>Weiss</v>
      </c>
      <c r="J490" s="1" t="s">
        <v>68</v>
      </c>
      <c r="K490" s="1" t="s">
        <v>928</v>
      </c>
      <c r="L490" s="1" t="str">
        <f t="shared" si="2"/>
        <v>Huntsville</v>
      </c>
      <c r="M490" s="1" t="s">
        <v>70</v>
      </c>
      <c r="N490" s="1" t="str">
        <f t="shared" si="3"/>
        <v>Texas</v>
      </c>
      <c r="O490" s="1">
        <v>77340.0</v>
      </c>
      <c r="P490" s="1" t="s">
        <v>71</v>
      </c>
      <c r="Q490" s="1" t="s">
        <v>51</v>
      </c>
      <c r="R490" s="3">
        <v>7.992</v>
      </c>
      <c r="S490" s="1">
        <v>7.0</v>
      </c>
      <c r="T490" s="4">
        <v>7.29</v>
      </c>
    </row>
    <row r="491">
      <c r="A491" s="1" t="s">
        <v>924</v>
      </c>
      <c r="B491" s="2">
        <v>42253.0</v>
      </c>
      <c r="C491" s="2" t="str">
        <f t="shared" si="1"/>
        <v>Sep</v>
      </c>
      <c r="D491" s="1" t="s">
        <v>925</v>
      </c>
      <c r="E491" s="1" t="s">
        <v>20</v>
      </c>
      <c r="F491" s="1" t="s">
        <v>926</v>
      </c>
      <c r="G491" s="1" t="s">
        <v>927</v>
      </c>
      <c r="H491" s="1" t="str">
        <f>IFERROR(__xludf.DUMMYFUNCTION("split(G491,"" "")"),"Carl")</f>
        <v>Carl</v>
      </c>
      <c r="I491" s="1" t="str">
        <f>IFERROR(__xludf.DUMMYFUNCTION("""COMPUTED_VALUE"""),"Weiss")</f>
        <v>Weiss</v>
      </c>
      <c r="J491" s="1" t="s">
        <v>68</v>
      </c>
      <c r="K491" s="1" t="s">
        <v>928</v>
      </c>
      <c r="L491" s="1" t="str">
        <f t="shared" si="2"/>
        <v>Huntsville</v>
      </c>
      <c r="M491" s="1" t="s">
        <v>70</v>
      </c>
      <c r="N491" s="1" t="str">
        <f t="shared" si="3"/>
        <v>Texas</v>
      </c>
      <c r="O491" s="1">
        <v>77340.0</v>
      </c>
      <c r="P491" s="1" t="s">
        <v>71</v>
      </c>
      <c r="Q491" s="1" t="s">
        <v>51</v>
      </c>
      <c r="R491" s="3">
        <v>63.984</v>
      </c>
      <c r="S491" s="1">
        <v>7.0</v>
      </c>
      <c r="T491" s="4">
        <v>63.56</v>
      </c>
    </row>
    <row r="492">
      <c r="A492" s="1" t="s">
        <v>924</v>
      </c>
      <c r="B492" s="2">
        <v>42253.0</v>
      </c>
      <c r="C492" s="2" t="str">
        <f t="shared" si="1"/>
        <v>Sep</v>
      </c>
      <c r="D492" s="1" t="s">
        <v>925</v>
      </c>
      <c r="E492" s="1" t="s">
        <v>20</v>
      </c>
      <c r="F492" s="1" t="s">
        <v>926</v>
      </c>
      <c r="G492" s="1" t="s">
        <v>927</v>
      </c>
      <c r="H492" s="1" t="str">
        <f>IFERROR(__xludf.DUMMYFUNCTION("split(G492,"" "")"),"Carl")</f>
        <v>Carl</v>
      </c>
      <c r="I492" s="1" t="str">
        <f>IFERROR(__xludf.DUMMYFUNCTION("""COMPUTED_VALUE"""),"Weiss")</f>
        <v>Weiss</v>
      </c>
      <c r="J492" s="1" t="s">
        <v>68</v>
      </c>
      <c r="K492" s="1" t="s">
        <v>928</v>
      </c>
      <c r="L492" s="1" t="str">
        <f t="shared" si="2"/>
        <v>Huntsville</v>
      </c>
      <c r="M492" s="1" t="s">
        <v>70</v>
      </c>
      <c r="N492" s="1" t="str">
        <f t="shared" si="3"/>
        <v>Texas</v>
      </c>
      <c r="O492" s="1">
        <v>77340.0</v>
      </c>
      <c r="P492" s="1" t="s">
        <v>71</v>
      </c>
      <c r="Q492" s="1" t="s">
        <v>38</v>
      </c>
      <c r="R492" s="3">
        <v>70.368</v>
      </c>
      <c r="S492" s="1">
        <v>7.0</v>
      </c>
      <c r="T492" s="4">
        <v>69.68</v>
      </c>
    </row>
    <row r="493">
      <c r="A493" s="1" t="s">
        <v>929</v>
      </c>
      <c r="B493" s="2">
        <v>42261.0</v>
      </c>
      <c r="C493" s="2" t="str">
        <f t="shared" si="1"/>
        <v>Sep</v>
      </c>
      <c r="D493" s="1" t="s">
        <v>409</v>
      </c>
      <c r="E493" s="1" t="s">
        <v>41</v>
      </c>
      <c r="F493" s="1" t="s">
        <v>930</v>
      </c>
      <c r="G493" s="1" t="s">
        <v>931</v>
      </c>
      <c r="H493" s="1" t="str">
        <f>IFERROR(__xludf.DUMMYFUNCTION("split(G493,"" "")"),"Astrea")</f>
        <v>Astrea</v>
      </c>
      <c r="I493" s="1" t="str">
        <f>IFERROR(__xludf.DUMMYFUNCTION("""COMPUTED_VALUE"""),"Jones")</f>
        <v>Jones</v>
      </c>
      <c r="J493" s="1" t="s">
        <v>23</v>
      </c>
      <c r="K493" s="1" t="s">
        <v>240</v>
      </c>
      <c r="L493" s="1" t="str">
        <f t="shared" si="2"/>
        <v>Rochester</v>
      </c>
      <c r="M493" s="1" t="s">
        <v>175</v>
      </c>
      <c r="N493" s="1" t="str">
        <f t="shared" si="3"/>
        <v>New York</v>
      </c>
      <c r="O493" s="1">
        <v>14609.0</v>
      </c>
      <c r="P493" s="1" t="s">
        <v>100</v>
      </c>
      <c r="Q493" s="1" t="s">
        <v>38</v>
      </c>
      <c r="R493" s="3">
        <v>449.15</v>
      </c>
      <c r="S493" s="1">
        <v>1.0</v>
      </c>
      <c r="T493" s="4">
        <v>448.88</v>
      </c>
    </row>
    <row r="494">
      <c r="A494" s="1" t="s">
        <v>929</v>
      </c>
      <c r="B494" s="2">
        <v>42261.0</v>
      </c>
      <c r="C494" s="2" t="str">
        <f t="shared" si="1"/>
        <v>Sep</v>
      </c>
      <c r="D494" s="1" t="s">
        <v>409</v>
      </c>
      <c r="E494" s="1" t="s">
        <v>41</v>
      </c>
      <c r="F494" s="1" t="s">
        <v>930</v>
      </c>
      <c r="G494" s="1" t="s">
        <v>931</v>
      </c>
      <c r="H494" s="1" t="str">
        <f>IFERROR(__xludf.DUMMYFUNCTION("split(G494,"" "")"),"Astrea")</f>
        <v>Astrea</v>
      </c>
      <c r="I494" s="1" t="str">
        <f>IFERROR(__xludf.DUMMYFUNCTION("""COMPUTED_VALUE"""),"Jones")</f>
        <v>Jones</v>
      </c>
      <c r="J494" s="1" t="s">
        <v>23</v>
      </c>
      <c r="K494" s="1" t="s">
        <v>240</v>
      </c>
      <c r="L494" s="1" t="str">
        <f t="shared" si="2"/>
        <v>Rochester</v>
      </c>
      <c r="M494" s="1" t="s">
        <v>175</v>
      </c>
      <c r="N494" s="1" t="str">
        <f t="shared" si="3"/>
        <v>New York</v>
      </c>
      <c r="O494" s="1">
        <v>14609.0</v>
      </c>
      <c r="P494" s="1" t="s">
        <v>100</v>
      </c>
      <c r="Q494" s="1" t="s">
        <v>38</v>
      </c>
      <c r="R494" s="3">
        <v>11.07</v>
      </c>
      <c r="S494" s="1">
        <v>1.0</v>
      </c>
      <c r="T494" s="4">
        <v>10.58</v>
      </c>
    </row>
    <row r="495">
      <c r="A495" s="1" t="s">
        <v>932</v>
      </c>
      <c r="B495" s="2">
        <v>42983.0</v>
      </c>
      <c r="C495" s="2" t="str">
        <f t="shared" si="1"/>
        <v>Sep</v>
      </c>
      <c r="D495" s="1" t="s">
        <v>933</v>
      </c>
      <c r="E495" s="1" t="s">
        <v>41</v>
      </c>
      <c r="F495" s="1" t="s">
        <v>934</v>
      </c>
      <c r="G495" s="1" t="s">
        <v>935</v>
      </c>
      <c r="H495" s="1" t="str">
        <f>IFERROR(__xludf.DUMMYFUNCTION("split(G495,"" "")"),"Sonia")</f>
        <v>Sonia</v>
      </c>
      <c r="I495" s="1" t="str">
        <f>IFERROR(__xludf.DUMMYFUNCTION("""COMPUTED_VALUE"""),"Sunley")</f>
        <v>Sunley</v>
      </c>
      <c r="J495" s="1" t="s">
        <v>23</v>
      </c>
      <c r="K495" s="1" t="s">
        <v>62</v>
      </c>
      <c r="L495" s="1" t="str">
        <f t="shared" si="2"/>
        <v>Seattle</v>
      </c>
      <c r="M495" s="1" t="s">
        <v>63</v>
      </c>
      <c r="N495" s="1" t="str">
        <f t="shared" si="3"/>
        <v>Washington</v>
      </c>
      <c r="O495" s="1">
        <v>98115.0</v>
      </c>
      <c r="P495" s="1" t="s">
        <v>37</v>
      </c>
      <c r="Q495" s="1" t="s">
        <v>51</v>
      </c>
      <c r="R495" s="3">
        <v>93.98</v>
      </c>
      <c r="S495" s="1">
        <v>9.0</v>
      </c>
      <c r="T495" s="4">
        <v>93.2</v>
      </c>
    </row>
    <row r="496">
      <c r="A496" s="1" t="s">
        <v>936</v>
      </c>
      <c r="B496" s="2">
        <v>42812.0</v>
      </c>
      <c r="C496" s="2" t="str">
        <f t="shared" si="1"/>
        <v>Mar</v>
      </c>
      <c r="D496" s="1" t="s">
        <v>937</v>
      </c>
      <c r="E496" s="1" t="s">
        <v>20</v>
      </c>
      <c r="F496" s="1" t="s">
        <v>938</v>
      </c>
      <c r="G496" s="1" t="s">
        <v>939</v>
      </c>
      <c r="H496" s="1" t="str">
        <f>IFERROR(__xludf.DUMMYFUNCTION("split(G496,"" "")"),"Rose")</f>
        <v>Rose</v>
      </c>
      <c r="I496" s="1" t="str">
        <f>IFERROR(__xludf.DUMMYFUNCTION("""COMPUTED_VALUE"""),"O'Brian")</f>
        <v>O'Brian</v>
      </c>
      <c r="J496" s="1" t="s">
        <v>23</v>
      </c>
      <c r="K496" s="1" t="s">
        <v>209</v>
      </c>
      <c r="L496" s="1" t="str">
        <f t="shared" si="2"/>
        <v>Memphis</v>
      </c>
      <c r="M496" s="1" t="s">
        <v>210</v>
      </c>
      <c r="N496" s="1" t="str">
        <f t="shared" si="3"/>
        <v>Tennessee</v>
      </c>
      <c r="O496" s="1">
        <v>38109.0</v>
      </c>
      <c r="P496" s="1" t="s">
        <v>26</v>
      </c>
      <c r="Q496" s="1" t="s">
        <v>27</v>
      </c>
      <c r="R496" s="3">
        <v>189.882</v>
      </c>
      <c r="S496" s="1">
        <v>3.0</v>
      </c>
      <c r="T496" s="4">
        <v>189.64</v>
      </c>
    </row>
    <row r="497">
      <c r="A497" s="1" t="s">
        <v>940</v>
      </c>
      <c r="B497" s="2">
        <v>42731.0</v>
      </c>
      <c r="C497" s="2" t="str">
        <f t="shared" si="1"/>
        <v>Dec</v>
      </c>
      <c r="D497" s="1" t="s">
        <v>126</v>
      </c>
      <c r="E497" s="1" t="s">
        <v>41</v>
      </c>
      <c r="F497" s="1" t="s">
        <v>941</v>
      </c>
      <c r="G497" s="1" t="s">
        <v>942</v>
      </c>
      <c r="H497" s="1" t="str">
        <f>IFERROR(__xludf.DUMMYFUNCTION("split(G497,"" "")"),"Maribeth")</f>
        <v>Maribeth</v>
      </c>
      <c r="I497" s="1" t="str">
        <f>IFERROR(__xludf.DUMMYFUNCTION("""COMPUTED_VALUE"""),"Dona")</f>
        <v>Dona</v>
      </c>
      <c r="J497" s="1" t="s">
        <v>23</v>
      </c>
      <c r="K497" s="1" t="s">
        <v>943</v>
      </c>
      <c r="L497" s="1" t="str">
        <f t="shared" si="2"/>
        <v>Fayetteville</v>
      </c>
      <c r="M497" s="1" t="s">
        <v>944</v>
      </c>
      <c r="N497" s="1" t="str">
        <f t="shared" si="3"/>
        <v>Arkansas</v>
      </c>
      <c r="O497" s="1">
        <v>72701.0</v>
      </c>
      <c r="P497" s="1" t="s">
        <v>26</v>
      </c>
      <c r="Q497" s="1" t="s">
        <v>38</v>
      </c>
      <c r="R497" s="3">
        <v>105.42</v>
      </c>
      <c r="S497" s="1">
        <v>7.0</v>
      </c>
      <c r="T497" s="4">
        <v>105.38</v>
      </c>
    </row>
    <row r="498">
      <c r="A498" s="1" t="s">
        <v>945</v>
      </c>
      <c r="B498" s="2">
        <v>42941.0</v>
      </c>
      <c r="C498" s="2" t="str">
        <f t="shared" si="1"/>
        <v>Jul</v>
      </c>
      <c r="D498" s="1" t="s">
        <v>946</v>
      </c>
      <c r="E498" s="1" t="s">
        <v>41</v>
      </c>
      <c r="F498" s="1" t="s">
        <v>877</v>
      </c>
      <c r="G498" s="1" t="s">
        <v>878</v>
      </c>
      <c r="H498" s="1" t="str">
        <f>IFERROR(__xludf.DUMMYFUNCTION("split(G498,"" "")"),"Sanjit")</f>
        <v>Sanjit</v>
      </c>
      <c r="I498" s="1" t="str">
        <f>IFERROR(__xludf.DUMMYFUNCTION("""COMPUTED_VALUE"""),"Chand")</f>
        <v>Chand</v>
      </c>
      <c r="J498" s="1" t="s">
        <v>23</v>
      </c>
      <c r="K498" s="1" t="s">
        <v>947</v>
      </c>
      <c r="L498" s="1" t="str">
        <f t="shared" si="2"/>
        <v>Costa Mesa</v>
      </c>
      <c r="M498" s="1" t="s">
        <v>52</v>
      </c>
      <c r="N498" s="1" t="str">
        <f t="shared" si="3"/>
        <v>California</v>
      </c>
      <c r="O498" s="1">
        <v>92627.0</v>
      </c>
      <c r="P498" s="1" t="s">
        <v>37</v>
      </c>
      <c r="Q498" s="1" t="s">
        <v>38</v>
      </c>
      <c r="R498" s="3">
        <v>119.616</v>
      </c>
      <c r="S498" s="1">
        <v>9.0</v>
      </c>
      <c r="T498" s="4">
        <v>119.1</v>
      </c>
    </row>
    <row r="499">
      <c r="A499" s="1" t="s">
        <v>945</v>
      </c>
      <c r="B499" s="2">
        <v>42941.0</v>
      </c>
      <c r="C499" s="2" t="str">
        <f t="shared" si="1"/>
        <v>Jul</v>
      </c>
      <c r="D499" s="1" t="s">
        <v>946</v>
      </c>
      <c r="E499" s="1" t="s">
        <v>41</v>
      </c>
      <c r="F499" s="1" t="s">
        <v>877</v>
      </c>
      <c r="G499" s="1" t="s">
        <v>878</v>
      </c>
      <c r="H499" s="1" t="str">
        <f>IFERROR(__xludf.DUMMYFUNCTION("split(G499,"" "")"),"Sanjit")</f>
        <v>Sanjit</v>
      </c>
      <c r="I499" s="1" t="str">
        <f>IFERROR(__xludf.DUMMYFUNCTION("""COMPUTED_VALUE"""),"Chand")</f>
        <v>Chand</v>
      </c>
      <c r="J499" s="1" t="s">
        <v>23</v>
      </c>
      <c r="K499" s="1" t="s">
        <v>947</v>
      </c>
      <c r="L499" s="1" t="str">
        <f t="shared" si="2"/>
        <v>Costa Mesa</v>
      </c>
      <c r="M499" s="1" t="s">
        <v>52</v>
      </c>
      <c r="N499" s="1" t="str">
        <f t="shared" si="3"/>
        <v>California</v>
      </c>
      <c r="O499" s="1">
        <v>92627.0</v>
      </c>
      <c r="P499" s="1" t="s">
        <v>37</v>
      </c>
      <c r="Q499" s="1" t="s">
        <v>27</v>
      </c>
      <c r="R499" s="3">
        <v>255.76</v>
      </c>
      <c r="S499" s="1">
        <v>9.0</v>
      </c>
      <c r="T499" s="4">
        <v>254.81</v>
      </c>
    </row>
    <row r="500">
      <c r="A500" s="1" t="s">
        <v>945</v>
      </c>
      <c r="B500" s="2">
        <v>42941.0</v>
      </c>
      <c r="C500" s="2" t="str">
        <f t="shared" si="1"/>
        <v>Jul</v>
      </c>
      <c r="D500" s="1" t="s">
        <v>946</v>
      </c>
      <c r="E500" s="1" t="s">
        <v>41</v>
      </c>
      <c r="F500" s="1" t="s">
        <v>877</v>
      </c>
      <c r="G500" s="1" t="s">
        <v>878</v>
      </c>
      <c r="H500" s="1" t="str">
        <f>IFERROR(__xludf.DUMMYFUNCTION("split(G500,"" "")"),"Sanjit")</f>
        <v>Sanjit</v>
      </c>
      <c r="I500" s="1" t="str">
        <f>IFERROR(__xludf.DUMMYFUNCTION("""COMPUTED_VALUE"""),"Chand")</f>
        <v>Chand</v>
      </c>
      <c r="J500" s="1" t="s">
        <v>23</v>
      </c>
      <c r="K500" s="1" t="s">
        <v>947</v>
      </c>
      <c r="L500" s="1" t="str">
        <f t="shared" si="2"/>
        <v>Costa Mesa</v>
      </c>
      <c r="M500" s="1" t="s">
        <v>52</v>
      </c>
      <c r="N500" s="1" t="str">
        <f t="shared" si="3"/>
        <v>California</v>
      </c>
      <c r="O500" s="1">
        <v>92627.0</v>
      </c>
      <c r="P500" s="1" t="s">
        <v>37</v>
      </c>
      <c r="Q500" s="1" t="s">
        <v>27</v>
      </c>
      <c r="R500" s="3">
        <v>241.568</v>
      </c>
      <c r="S500" s="1">
        <v>9.0</v>
      </c>
      <c r="T500" s="4">
        <v>240.79</v>
      </c>
    </row>
    <row r="501">
      <c r="A501" s="1" t="s">
        <v>945</v>
      </c>
      <c r="B501" s="2">
        <v>42941.0</v>
      </c>
      <c r="C501" s="2" t="str">
        <f t="shared" si="1"/>
        <v>Jul</v>
      </c>
      <c r="D501" s="1" t="s">
        <v>946</v>
      </c>
      <c r="E501" s="1" t="s">
        <v>41</v>
      </c>
      <c r="F501" s="1" t="s">
        <v>877</v>
      </c>
      <c r="G501" s="1" t="s">
        <v>878</v>
      </c>
      <c r="H501" s="1" t="str">
        <f>IFERROR(__xludf.DUMMYFUNCTION("split(G501,"" "")"),"Sanjit")</f>
        <v>Sanjit</v>
      </c>
      <c r="I501" s="1" t="str">
        <f>IFERROR(__xludf.DUMMYFUNCTION("""COMPUTED_VALUE"""),"Chand")</f>
        <v>Chand</v>
      </c>
      <c r="J501" s="1" t="s">
        <v>23</v>
      </c>
      <c r="K501" s="1" t="s">
        <v>947</v>
      </c>
      <c r="L501" s="1" t="str">
        <f t="shared" si="2"/>
        <v>Costa Mesa</v>
      </c>
      <c r="M501" s="1" t="s">
        <v>52</v>
      </c>
      <c r="N501" s="1" t="str">
        <f t="shared" si="3"/>
        <v>California</v>
      </c>
      <c r="O501" s="1">
        <v>92627.0</v>
      </c>
      <c r="P501" s="1" t="s">
        <v>37</v>
      </c>
      <c r="Q501" s="1" t="s">
        <v>27</v>
      </c>
      <c r="R501" s="3">
        <v>69.3</v>
      </c>
      <c r="S501" s="1">
        <v>9.0</v>
      </c>
      <c r="T501" s="4">
        <v>68.37</v>
      </c>
    </row>
    <row r="502">
      <c r="A502" s="1" t="s">
        <v>948</v>
      </c>
      <c r="B502" s="2">
        <v>42885.0</v>
      </c>
      <c r="C502" s="2" t="str">
        <f t="shared" si="1"/>
        <v>May</v>
      </c>
      <c r="D502" s="6">
        <v>42831.0</v>
      </c>
      <c r="E502" s="1" t="s">
        <v>41</v>
      </c>
      <c r="F502" s="1" t="s">
        <v>949</v>
      </c>
      <c r="G502" s="1" t="s">
        <v>950</v>
      </c>
      <c r="H502" s="1" t="str">
        <f>IFERROR(__xludf.DUMMYFUNCTION("split(G502,"" "")"),"Maribeth")</f>
        <v>Maribeth</v>
      </c>
      <c r="I502" s="1" t="str">
        <f>IFERROR(__xludf.DUMMYFUNCTION("""COMPUTED_VALUE"""),"Yedwab")</f>
        <v>Yedwab</v>
      </c>
      <c r="J502" s="1" t="s">
        <v>34</v>
      </c>
      <c r="K502" s="1" t="s">
        <v>951</v>
      </c>
      <c r="L502" s="1" t="str">
        <f t="shared" si="2"/>
        <v>Parker</v>
      </c>
      <c r="M502" s="1" t="s">
        <v>279</v>
      </c>
      <c r="N502" s="1" t="str">
        <f t="shared" si="3"/>
        <v>Colorado</v>
      </c>
      <c r="O502" s="1">
        <v>80134.0</v>
      </c>
      <c r="P502" s="1" t="s">
        <v>37</v>
      </c>
      <c r="Q502" s="1" t="s">
        <v>38</v>
      </c>
      <c r="R502" s="3">
        <v>22.62</v>
      </c>
      <c r="S502" s="1">
        <v>8.0</v>
      </c>
      <c r="T502" s="4">
        <v>22.21</v>
      </c>
    </row>
    <row r="503">
      <c r="A503" s="1" t="s">
        <v>948</v>
      </c>
      <c r="B503" s="2">
        <v>42885.0</v>
      </c>
      <c r="C503" s="2" t="str">
        <f t="shared" si="1"/>
        <v>May</v>
      </c>
      <c r="D503" s="6">
        <v>42831.0</v>
      </c>
      <c r="E503" s="1" t="s">
        <v>41</v>
      </c>
      <c r="F503" s="1" t="s">
        <v>949</v>
      </c>
      <c r="G503" s="1" t="s">
        <v>950</v>
      </c>
      <c r="H503" s="1" t="str">
        <f>IFERROR(__xludf.DUMMYFUNCTION("split(G503,"" "")"),"Maribeth")</f>
        <v>Maribeth</v>
      </c>
      <c r="I503" s="1" t="str">
        <f>IFERROR(__xludf.DUMMYFUNCTION("""COMPUTED_VALUE"""),"Yedwab")</f>
        <v>Yedwab</v>
      </c>
      <c r="J503" s="1" t="s">
        <v>34</v>
      </c>
      <c r="K503" s="1" t="s">
        <v>951</v>
      </c>
      <c r="L503" s="1" t="str">
        <f t="shared" si="2"/>
        <v>Parker</v>
      </c>
      <c r="M503" s="1" t="s">
        <v>279</v>
      </c>
      <c r="N503" s="1" t="str">
        <f t="shared" si="3"/>
        <v>Colorado</v>
      </c>
      <c r="O503" s="1">
        <v>80134.0</v>
      </c>
      <c r="P503" s="1" t="s">
        <v>37</v>
      </c>
      <c r="Q503" s="1" t="s">
        <v>38</v>
      </c>
      <c r="R503" s="3">
        <v>14.952</v>
      </c>
      <c r="S503" s="1">
        <v>8.0</v>
      </c>
      <c r="T503" s="4">
        <v>14.93</v>
      </c>
    </row>
    <row r="504">
      <c r="A504" s="1" t="s">
        <v>948</v>
      </c>
      <c r="B504" s="2">
        <v>42885.0</v>
      </c>
      <c r="C504" s="2" t="str">
        <f t="shared" si="1"/>
        <v>May</v>
      </c>
      <c r="D504" s="6">
        <v>42831.0</v>
      </c>
      <c r="E504" s="1" t="s">
        <v>41</v>
      </c>
      <c r="F504" s="1" t="s">
        <v>949</v>
      </c>
      <c r="G504" s="1" t="s">
        <v>950</v>
      </c>
      <c r="H504" s="1" t="str">
        <f>IFERROR(__xludf.DUMMYFUNCTION("split(G504,"" "")"),"Maribeth")</f>
        <v>Maribeth</v>
      </c>
      <c r="I504" s="1" t="str">
        <f>IFERROR(__xludf.DUMMYFUNCTION("""COMPUTED_VALUE"""),"Yedwab")</f>
        <v>Yedwab</v>
      </c>
      <c r="J504" s="1" t="s">
        <v>34</v>
      </c>
      <c r="K504" s="1" t="s">
        <v>951</v>
      </c>
      <c r="L504" s="1" t="str">
        <f t="shared" si="2"/>
        <v>Parker</v>
      </c>
      <c r="M504" s="1" t="s">
        <v>279</v>
      </c>
      <c r="N504" s="1" t="str">
        <f t="shared" si="3"/>
        <v>Colorado</v>
      </c>
      <c r="O504" s="1">
        <v>80134.0</v>
      </c>
      <c r="P504" s="1" t="s">
        <v>37</v>
      </c>
      <c r="Q504" s="1" t="s">
        <v>27</v>
      </c>
      <c r="R504" s="3">
        <v>801.568</v>
      </c>
      <c r="S504" s="1">
        <v>8.0</v>
      </c>
      <c r="T504" s="4">
        <v>801.23</v>
      </c>
    </row>
    <row r="505">
      <c r="A505" s="1" t="s">
        <v>948</v>
      </c>
      <c r="B505" s="2">
        <v>42885.0</v>
      </c>
      <c r="C505" s="2" t="str">
        <f t="shared" si="1"/>
        <v>May</v>
      </c>
      <c r="D505" s="6">
        <v>42831.0</v>
      </c>
      <c r="E505" s="1" t="s">
        <v>41</v>
      </c>
      <c r="F505" s="1" t="s">
        <v>949</v>
      </c>
      <c r="G505" s="1" t="s">
        <v>950</v>
      </c>
      <c r="H505" s="1" t="str">
        <f>IFERROR(__xludf.DUMMYFUNCTION("split(G505,"" "")"),"Maribeth")</f>
        <v>Maribeth</v>
      </c>
      <c r="I505" s="1" t="str">
        <f>IFERROR(__xludf.DUMMYFUNCTION("""COMPUTED_VALUE"""),"Yedwab")</f>
        <v>Yedwab</v>
      </c>
      <c r="J505" s="1" t="s">
        <v>34</v>
      </c>
      <c r="K505" s="1" t="s">
        <v>951</v>
      </c>
      <c r="L505" s="1" t="str">
        <f t="shared" si="2"/>
        <v>Parker</v>
      </c>
      <c r="M505" s="1" t="s">
        <v>279</v>
      </c>
      <c r="N505" s="1" t="str">
        <f t="shared" si="3"/>
        <v>Colorado</v>
      </c>
      <c r="O505" s="1">
        <v>80134.0</v>
      </c>
      <c r="P505" s="1" t="s">
        <v>37</v>
      </c>
      <c r="Q505" s="1" t="s">
        <v>38</v>
      </c>
      <c r="R505" s="3">
        <v>2.376</v>
      </c>
      <c r="S505" s="1">
        <v>8.0</v>
      </c>
      <c r="T505" s="4">
        <v>1.55</v>
      </c>
    </row>
    <row r="506">
      <c r="A506" s="1" t="s">
        <v>948</v>
      </c>
      <c r="B506" s="2">
        <v>42885.0</v>
      </c>
      <c r="C506" s="2" t="str">
        <f t="shared" si="1"/>
        <v>May</v>
      </c>
      <c r="D506" s="6">
        <v>42831.0</v>
      </c>
      <c r="E506" s="1" t="s">
        <v>41</v>
      </c>
      <c r="F506" s="1" t="s">
        <v>949</v>
      </c>
      <c r="G506" s="1" t="s">
        <v>950</v>
      </c>
      <c r="H506" s="1" t="str">
        <f>IFERROR(__xludf.DUMMYFUNCTION("split(G506,"" "")"),"Maribeth")</f>
        <v>Maribeth</v>
      </c>
      <c r="I506" s="1" t="str">
        <f>IFERROR(__xludf.DUMMYFUNCTION("""COMPUTED_VALUE"""),"Yedwab")</f>
        <v>Yedwab</v>
      </c>
      <c r="J506" s="1" t="s">
        <v>34</v>
      </c>
      <c r="K506" s="1" t="s">
        <v>951</v>
      </c>
      <c r="L506" s="1" t="str">
        <f t="shared" si="2"/>
        <v>Parker</v>
      </c>
      <c r="M506" s="1" t="s">
        <v>279</v>
      </c>
      <c r="N506" s="1" t="str">
        <f t="shared" si="3"/>
        <v>Colorado</v>
      </c>
      <c r="O506" s="1">
        <v>80134.0</v>
      </c>
      <c r="P506" s="1" t="s">
        <v>37</v>
      </c>
      <c r="Q506" s="1" t="s">
        <v>38</v>
      </c>
      <c r="R506" s="3">
        <v>32.792</v>
      </c>
      <c r="S506" s="1">
        <v>8.0</v>
      </c>
      <c r="T506" s="4">
        <v>32.25</v>
      </c>
    </row>
    <row r="507">
      <c r="A507" s="1" t="s">
        <v>952</v>
      </c>
      <c r="B507" s="2">
        <v>43445.0</v>
      </c>
      <c r="C507" s="2" t="str">
        <f t="shared" si="1"/>
        <v>Dec</v>
      </c>
      <c r="D507" s="1" t="s">
        <v>953</v>
      </c>
      <c r="E507" s="1" t="s">
        <v>20</v>
      </c>
      <c r="F507" s="1" t="s">
        <v>871</v>
      </c>
      <c r="G507" s="1" t="s">
        <v>872</v>
      </c>
      <c r="H507" s="1" t="str">
        <f>IFERROR(__xludf.DUMMYFUNCTION("split(G507,"" "")"),"Ed")</f>
        <v>Ed</v>
      </c>
      <c r="I507" s="1" t="str">
        <f>IFERROR(__xludf.DUMMYFUNCTION("""COMPUTED_VALUE"""),"Braxton")</f>
        <v>Braxton</v>
      </c>
      <c r="J507" s="1" t="s">
        <v>34</v>
      </c>
      <c r="K507" s="1" t="s">
        <v>174</v>
      </c>
      <c r="L507" s="1" t="str">
        <f t="shared" si="2"/>
        <v>New York City</v>
      </c>
      <c r="M507" s="1" t="s">
        <v>175</v>
      </c>
      <c r="N507" s="1" t="str">
        <f t="shared" si="3"/>
        <v>New York</v>
      </c>
      <c r="O507" s="1">
        <v>10024.0</v>
      </c>
      <c r="P507" s="1" t="s">
        <v>100</v>
      </c>
      <c r="Q507" s="1" t="s">
        <v>38</v>
      </c>
      <c r="R507" s="3">
        <v>15.92</v>
      </c>
      <c r="S507" s="1">
        <v>1.0</v>
      </c>
      <c r="T507" s="4">
        <v>15.15</v>
      </c>
    </row>
    <row r="508">
      <c r="A508" s="1" t="s">
        <v>954</v>
      </c>
      <c r="B508" s="2">
        <v>42445.0</v>
      </c>
      <c r="C508" s="2" t="str">
        <f t="shared" si="1"/>
        <v>Mar</v>
      </c>
      <c r="D508" s="1" t="s">
        <v>955</v>
      </c>
      <c r="E508" s="1" t="s">
        <v>41</v>
      </c>
      <c r="F508" s="1" t="s">
        <v>956</v>
      </c>
      <c r="G508" s="1" t="s">
        <v>957</v>
      </c>
      <c r="H508" s="1" t="str">
        <f>IFERROR(__xludf.DUMMYFUNCTION("split(G508,"" "")"),"Christopher")</f>
        <v>Christopher</v>
      </c>
      <c r="I508" s="1" t="str">
        <f>IFERROR(__xludf.DUMMYFUNCTION("""COMPUTED_VALUE"""),"Martinez")</f>
        <v>Martinez</v>
      </c>
      <c r="J508" s="1" t="s">
        <v>23</v>
      </c>
      <c r="K508" s="1" t="s">
        <v>958</v>
      </c>
      <c r="L508" s="1" t="str">
        <f t="shared" si="2"/>
        <v>Atlanta</v>
      </c>
      <c r="M508" s="1" t="s">
        <v>707</v>
      </c>
      <c r="N508" s="1" t="str">
        <f t="shared" si="3"/>
        <v>Georgia</v>
      </c>
      <c r="O508" s="1">
        <v>30318.0</v>
      </c>
      <c r="P508" s="1" t="s">
        <v>26</v>
      </c>
      <c r="Q508" s="1" t="s">
        <v>38</v>
      </c>
      <c r="R508" s="3">
        <v>2.74</v>
      </c>
      <c r="S508" s="1">
        <v>3.0</v>
      </c>
      <c r="T508" s="4">
        <v>1.79</v>
      </c>
    </row>
    <row r="509">
      <c r="A509" s="1" t="s">
        <v>954</v>
      </c>
      <c r="B509" s="2">
        <v>42445.0</v>
      </c>
      <c r="C509" s="2" t="str">
        <f t="shared" si="1"/>
        <v>Mar</v>
      </c>
      <c r="D509" s="1" t="s">
        <v>955</v>
      </c>
      <c r="E509" s="1" t="s">
        <v>41</v>
      </c>
      <c r="F509" s="1" t="s">
        <v>956</v>
      </c>
      <c r="G509" s="1" t="s">
        <v>957</v>
      </c>
      <c r="H509" s="1" t="str">
        <f>IFERROR(__xludf.DUMMYFUNCTION("split(G509,"" "")"),"Christopher")</f>
        <v>Christopher</v>
      </c>
      <c r="I509" s="1" t="str">
        <f>IFERROR(__xludf.DUMMYFUNCTION("""COMPUTED_VALUE"""),"Martinez")</f>
        <v>Martinez</v>
      </c>
      <c r="J509" s="1" t="s">
        <v>23</v>
      </c>
      <c r="K509" s="1" t="s">
        <v>958</v>
      </c>
      <c r="L509" s="1" t="str">
        <f t="shared" si="2"/>
        <v>Atlanta</v>
      </c>
      <c r="M509" s="1" t="s">
        <v>707</v>
      </c>
      <c r="N509" s="1" t="str">
        <f t="shared" si="3"/>
        <v>Georgia</v>
      </c>
      <c r="O509" s="1">
        <v>30318.0</v>
      </c>
      <c r="P509" s="1" t="s">
        <v>26</v>
      </c>
      <c r="Q509" s="1" t="s">
        <v>38</v>
      </c>
      <c r="R509" s="3">
        <v>8.34</v>
      </c>
      <c r="S509" s="1">
        <v>3.0</v>
      </c>
      <c r="T509" s="4">
        <v>8.07</v>
      </c>
    </row>
    <row r="510">
      <c r="A510" s="1" t="s">
        <v>954</v>
      </c>
      <c r="B510" s="2">
        <v>42445.0</v>
      </c>
      <c r="C510" s="2" t="str">
        <f t="shared" si="1"/>
        <v>Mar</v>
      </c>
      <c r="D510" s="1" t="s">
        <v>955</v>
      </c>
      <c r="E510" s="1" t="s">
        <v>41</v>
      </c>
      <c r="F510" s="1" t="s">
        <v>956</v>
      </c>
      <c r="G510" s="1" t="s">
        <v>957</v>
      </c>
      <c r="H510" s="1" t="str">
        <f>IFERROR(__xludf.DUMMYFUNCTION("split(G510,"" "")"),"Christopher")</f>
        <v>Christopher</v>
      </c>
      <c r="I510" s="1" t="str">
        <f>IFERROR(__xludf.DUMMYFUNCTION("""COMPUTED_VALUE"""),"Martinez")</f>
        <v>Martinez</v>
      </c>
      <c r="J510" s="1" t="s">
        <v>23</v>
      </c>
      <c r="K510" s="1" t="s">
        <v>958</v>
      </c>
      <c r="L510" s="1" t="str">
        <f t="shared" si="2"/>
        <v>Atlanta</v>
      </c>
      <c r="M510" s="1" t="s">
        <v>707</v>
      </c>
      <c r="N510" s="1" t="str">
        <f t="shared" si="3"/>
        <v>Georgia</v>
      </c>
      <c r="O510" s="1">
        <v>30318.0</v>
      </c>
      <c r="P510" s="1" t="s">
        <v>26</v>
      </c>
      <c r="Q510" s="1" t="s">
        <v>38</v>
      </c>
      <c r="R510" s="3">
        <v>46.74</v>
      </c>
      <c r="S510" s="1">
        <v>3.0</v>
      </c>
      <c r="T510" s="4">
        <v>45.81</v>
      </c>
    </row>
    <row r="511">
      <c r="A511" s="1" t="s">
        <v>954</v>
      </c>
      <c r="B511" s="2">
        <v>42445.0</v>
      </c>
      <c r="C511" s="2" t="str">
        <f t="shared" si="1"/>
        <v>Mar</v>
      </c>
      <c r="D511" s="1" t="s">
        <v>955</v>
      </c>
      <c r="E511" s="1" t="s">
        <v>41</v>
      </c>
      <c r="F511" s="1" t="s">
        <v>956</v>
      </c>
      <c r="G511" s="1" t="s">
        <v>957</v>
      </c>
      <c r="H511" s="1" t="str">
        <f>IFERROR(__xludf.DUMMYFUNCTION("split(G511,"" "")"),"Christopher")</f>
        <v>Christopher</v>
      </c>
      <c r="I511" s="1" t="str">
        <f>IFERROR(__xludf.DUMMYFUNCTION("""COMPUTED_VALUE"""),"Martinez")</f>
        <v>Martinez</v>
      </c>
      <c r="J511" s="1" t="s">
        <v>23</v>
      </c>
      <c r="K511" s="1" t="s">
        <v>958</v>
      </c>
      <c r="L511" s="1" t="str">
        <f t="shared" si="2"/>
        <v>Atlanta</v>
      </c>
      <c r="M511" s="1" t="s">
        <v>707</v>
      </c>
      <c r="N511" s="1" t="str">
        <f t="shared" si="3"/>
        <v>Georgia</v>
      </c>
      <c r="O511" s="1">
        <v>30318.0</v>
      </c>
      <c r="P511" s="1" t="s">
        <v>26</v>
      </c>
      <c r="Q511" s="1" t="s">
        <v>38</v>
      </c>
      <c r="R511" s="3">
        <v>6354.95</v>
      </c>
      <c r="S511" s="1">
        <v>3.0</v>
      </c>
      <c r="T511" s="4">
        <v>6353.97</v>
      </c>
    </row>
    <row r="512">
      <c r="A512" s="1" t="s">
        <v>959</v>
      </c>
      <c r="B512" s="2">
        <v>43430.0</v>
      </c>
      <c r="C512" s="2" t="str">
        <f t="shared" si="1"/>
        <v>Nov</v>
      </c>
      <c r="D512" s="1" t="s">
        <v>960</v>
      </c>
      <c r="E512" s="1" t="s">
        <v>121</v>
      </c>
      <c r="F512" s="1" t="s">
        <v>961</v>
      </c>
      <c r="G512" s="1" t="s">
        <v>962</v>
      </c>
      <c r="H512" s="1" t="str">
        <f>IFERROR(__xludf.DUMMYFUNCTION("split(G512,"" "")"),"Lynn")</f>
        <v>Lynn</v>
      </c>
      <c r="I512" s="1" t="str">
        <f>IFERROR(__xludf.DUMMYFUNCTION("""COMPUTED_VALUE"""),"Smith")</f>
        <v>Smith</v>
      </c>
      <c r="J512" s="1" t="s">
        <v>23</v>
      </c>
      <c r="K512" s="1" t="s">
        <v>963</v>
      </c>
      <c r="L512" s="1" t="str">
        <f t="shared" si="2"/>
        <v>Gladstone</v>
      </c>
      <c r="M512" s="1" t="s">
        <v>351</v>
      </c>
      <c r="N512" s="1" t="str">
        <f t="shared" si="3"/>
        <v>Missouri</v>
      </c>
      <c r="O512" s="1">
        <v>64118.0</v>
      </c>
      <c r="P512" s="1" t="s">
        <v>71</v>
      </c>
      <c r="Q512" s="1" t="s">
        <v>27</v>
      </c>
      <c r="R512" s="3">
        <v>126.3</v>
      </c>
      <c r="S512" s="1">
        <v>6.0</v>
      </c>
      <c r="T512" s="4">
        <v>125.39</v>
      </c>
    </row>
    <row r="513">
      <c r="A513" s="1" t="s">
        <v>959</v>
      </c>
      <c r="B513" s="2">
        <v>43430.0</v>
      </c>
      <c r="C513" s="2" t="str">
        <f t="shared" si="1"/>
        <v>Nov</v>
      </c>
      <c r="D513" s="1" t="s">
        <v>960</v>
      </c>
      <c r="E513" s="1" t="s">
        <v>121</v>
      </c>
      <c r="F513" s="1" t="s">
        <v>961</v>
      </c>
      <c r="G513" s="1" t="s">
        <v>962</v>
      </c>
      <c r="H513" s="1" t="str">
        <f>IFERROR(__xludf.DUMMYFUNCTION("split(G513,"" "")"),"Lynn")</f>
        <v>Lynn</v>
      </c>
      <c r="I513" s="1" t="str">
        <f>IFERROR(__xludf.DUMMYFUNCTION("""COMPUTED_VALUE"""),"Smith")</f>
        <v>Smith</v>
      </c>
      <c r="J513" s="1" t="s">
        <v>23</v>
      </c>
      <c r="K513" s="1" t="s">
        <v>963</v>
      </c>
      <c r="L513" s="1" t="str">
        <f t="shared" si="2"/>
        <v>Gladstone</v>
      </c>
      <c r="M513" s="1" t="s">
        <v>351</v>
      </c>
      <c r="N513" s="1" t="str">
        <f t="shared" si="3"/>
        <v>Missouri</v>
      </c>
      <c r="O513" s="1">
        <v>64118.0</v>
      </c>
      <c r="P513" s="1" t="s">
        <v>71</v>
      </c>
      <c r="Q513" s="1" t="s">
        <v>51</v>
      </c>
      <c r="R513" s="3">
        <v>38.04</v>
      </c>
      <c r="S513" s="1">
        <v>6.0</v>
      </c>
      <c r="T513" s="4">
        <v>37.09</v>
      </c>
    </row>
    <row r="514">
      <c r="A514" s="1" t="s">
        <v>964</v>
      </c>
      <c r="B514" s="2">
        <v>43028.0</v>
      </c>
      <c r="C514" s="2" t="str">
        <f t="shared" si="1"/>
        <v>Oct</v>
      </c>
      <c r="D514" s="1" t="s">
        <v>965</v>
      </c>
      <c r="E514" s="1" t="s">
        <v>121</v>
      </c>
      <c r="F514" s="1" t="s">
        <v>789</v>
      </c>
      <c r="G514" s="1" t="s">
        <v>790</v>
      </c>
      <c r="H514" s="1" t="str">
        <f>IFERROR(__xludf.DUMMYFUNCTION("split(G514,"" "")"),"Luke")</f>
        <v>Luke</v>
      </c>
      <c r="I514" s="1" t="str">
        <f>IFERROR(__xludf.DUMMYFUNCTION("""COMPUTED_VALUE"""),"Foster")</f>
        <v>Foster</v>
      </c>
      <c r="J514" s="1" t="s">
        <v>23</v>
      </c>
      <c r="K514" s="1" t="s">
        <v>360</v>
      </c>
      <c r="L514" s="1" t="str">
        <f t="shared" si="2"/>
        <v>Newark</v>
      </c>
      <c r="M514" s="1" t="s">
        <v>304</v>
      </c>
      <c r="N514" s="1" t="str">
        <f t="shared" si="3"/>
        <v>Ohio</v>
      </c>
      <c r="O514" s="1">
        <v>43055.0</v>
      </c>
      <c r="P514" s="1" t="s">
        <v>100</v>
      </c>
      <c r="Q514" s="1" t="s">
        <v>38</v>
      </c>
      <c r="R514" s="3">
        <v>7.152</v>
      </c>
      <c r="S514" s="1">
        <v>4.0</v>
      </c>
      <c r="T514" s="4">
        <v>7.15</v>
      </c>
    </row>
    <row r="515">
      <c r="A515" s="1" t="s">
        <v>966</v>
      </c>
      <c r="B515" s="2">
        <v>43455.0</v>
      </c>
      <c r="C515" s="2" t="str">
        <f t="shared" si="1"/>
        <v>Dec</v>
      </c>
      <c r="D515" s="1" t="s">
        <v>967</v>
      </c>
      <c r="E515" s="1" t="s">
        <v>41</v>
      </c>
      <c r="F515" s="1" t="s">
        <v>968</v>
      </c>
      <c r="G515" s="1" t="s">
        <v>969</v>
      </c>
      <c r="H515" s="1" t="str">
        <f>IFERROR(__xludf.DUMMYFUNCTION("split(G515,"" "")"),"Bradley")</f>
        <v>Bradley</v>
      </c>
      <c r="I515" s="1" t="str">
        <f>IFERROR(__xludf.DUMMYFUNCTION("""COMPUTED_VALUE"""),"Nguyen")</f>
        <v>Nguyen</v>
      </c>
      <c r="J515" s="1" t="s">
        <v>23</v>
      </c>
      <c r="K515" s="1" t="s">
        <v>35</v>
      </c>
      <c r="L515" s="1" t="str">
        <f t="shared" si="2"/>
        <v>Los Angeles</v>
      </c>
      <c r="M515" s="1" t="s">
        <v>52</v>
      </c>
      <c r="N515" s="1" t="str">
        <f t="shared" si="3"/>
        <v>California</v>
      </c>
      <c r="O515" s="1">
        <v>90049.0</v>
      </c>
      <c r="P515" s="1" t="s">
        <v>37</v>
      </c>
      <c r="Q515" s="1" t="s">
        <v>38</v>
      </c>
      <c r="R515" s="3">
        <v>6.63</v>
      </c>
      <c r="S515" s="1">
        <v>9.0</v>
      </c>
      <c r="T515" s="4">
        <v>6.52</v>
      </c>
    </row>
    <row r="516">
      <c r="A516" s="1" t="s">
        <v>966</v>
      </c>
      <c r="B516" s="2">
        <v>43455.0</v>
      </c>
      <c r="C516" s="2" t="str">
        <f t="shared" si="1"/>
        <v>Dec</v>
      </c>
      <c r="D516" s="1" t="s">
        <v>967</v>
      </c>
      <c r="E516" s="1" t="s">
        <v>41</v>
      </c>
      <c r="F516" s="1" t="s">
        <v>968</v>
      </c>
      <c r="G516" s="1" t="s">
        <v>969</v>
      </c>
      <c r="H516" s="1" t="str">
        <f>IFERROR(__xludf.DUMMYFUNCTION("split(G516,"" "")"),"Bradley")</f>
        <v>Bradley</v>
      </c>
      <c r="I516" s="1" t="str">
        <f>IFERROR(__xludf.DUMMYFUNCTION("""COMPUTED_VALUE"""),"Nguyen")</f>
        <v>Nguyen</v>
      </c>
      <c r="J516" s="1" t="s">
        <v>23</v>
      </c>
      <c r="K516" s="1" t="s">
        <v>35</v>
      </c>
      <c r="L516" s="1" t="str">
        <f t="shared" si="2"/>
        <v>Los Angeles</v>
      </c>
      <c r="M516" s="1" t="s">
        <v>52</v>
      </c>
      <c r="N516" s="1" t="str">
        <f t="shared" si="3"/>
        <v>California</v>
      </c>
      <c r="O516" s="1">
        <v>90049.0</v>
      </c>
      <c r="P516" s="1" t="s">
        <v>37</v>
      </c>
      <c r="Q516" s="1" t="s">
        <v>38</v>
      </c>
      <c r="R516" s="3">
        <v>5.88</v>
      </c>
      <c r="S516" s="1">
        <v>9.0</v>
      </c>
      <c r="T516" s="4">
        <v>5.42</v>
      </c>
    </row>
    <row r="517">
      <c r="A517" s="1" t="s">
        <v>970</v>
      </c>
      <c r="B517" s="2">
        <v>43122.0</v>
      </c>
      <c r="C517" s="2" t="str">
        <f t="shared" si="1"/>
        <v>Jan</v>
      </c>
      <c r="D517" s="1" t="s">
        <v>971</v>
      </c>
      <c r="E517" s="1" t="s">
        <v>41</v>
      </c>
      <c r="F517" s="1" t="s">
        <v>318</v>
      </c>
      <c r="G517" s="1" t="s">
        <v>319</v>
      </c>
      <c r="H517" s="1" t="str">
        <f>IFERROR(__xludf.DUMMYFUNCTION("split(G517,"" "")"),"Alan")</f>
        <v>Alan</v>
      </c>
      <c r="I517" s="1" t="str">
        <f>IFERROR(__xludf.DUMMYFUNCTION("""COMPUTED_VALUE"""),"Dominguez")</f>
        <v>Dominguez</v>
      </c>
      <c r="J517" s="1" t="s">
        <v>68</v>
      </c>
      <c r="K517" s="1" t="s">
        <v>972</v>
      </c>
      <c r="L517" s="1" t="str">
        <f t="shared" si="2"/>
        <v>Great Falls</v>
      </c>
      <c r="M517" s="1" t="s">
        <v>973</v>
      </c>
      <c r="N517" s="1" t="str">
        <f t="shared" si="3"/>
        <v>Montana</v>
      </c>
      <c r="O517" s="1">
        <v>59405.0</v>
      </c>
      <c r="P517" s="1" t="s">
        <v>37</v>
      </c>
      <c r="Q517" s="1" t="s">
        <v>51</v>
      </c>
      <c r="R517" s="3">
        <v>2999.95</v>
      </c>
      <c r="S517" s="1">
        <v>5.0</v>
      </c>
      <c r="T517" s="4">
        <v>2998.96</v>
      </c>
    </row>
    <row r="518">
      <c r="A518" s="1" t="s">
        <v>970</v>
      </c>
      <c r="B518" s="2">
        <v>43122.0</v>
      </c>
      <c r="C518" s="2" t="str">
        <f t="shared" si="1"/>
        <v>Jan</v>
      </c>
      <c r="D518" s="1" t="s">
        <v>971</v>
      </c>
      <c r="E518" s="1" t="s">
        <v>41</v>
      </c>
      <c r="F518" s="1" t="s">
        <v>318</v>
      </c>
      <c r="G518" s="1" t="s">
        <v>319</v>
      </c>
      <c r="H518" s="1" t="str">
        <f>IFERROR(__xludf.DUMMYFUNCTION("split(G518,"" "")"),"Alan")</f>
        <v>Alan</v>
      </c>
      <c r="I518" s="1" t="str">
        <f>IFERROR(__xludf.DUMMYFUNCTION("""COMPUTED_VALUE"""),"Dominguez")</f>
        <v>Dominguez</v>
      </c>
      <c r="J518" s="1" t="s">
        <v>68</v>
      </c>
      <c r="K518" s="1" t="s">
        <v>972</v>
      </c>
      <c r="L518" s="1" t="str">
        <f t="shared" si="2"/>
        <v>Great Falls</v>
      </c>
      <c r="M518" s="1" t="s">
        <v>973</v>
      </c>
      <c r="N518" s="1" t="str">
        <f t="shared" si="3"/>
        <v>Montana</v>
      </c>
      <c r="O518" s="1">
        <v>59405.0</v>
      </c>
      <c r="P518" s="1" t="s">
        <v>37</v>
      </c>
      <c r="Q518" s="1" t="s">
        <v>38</v>
      </c>
      <c r="R518" s="3">
        <v>51.45</v>
      </c>
      <c r="S518" s="1">
        <v>5.0</v>
      </c>
      <c r="T518" s="4">
        <v>50.93</v>
      </c>
    </row>
    <row r="519">
      <c r="A519" s="1" t="s">
        <v>970</v>
      </c>
      <c r="B519" s="2">
        <v>43122.0</v>
      </c>
      <c r="C519" s="2" t="str">
        <f t="shared" si="1"/>
        <v>Jan</v>
      </c>
      <c r="D519" s="1" t="s">
        <v>971</v>
      </c>
      <c r="E519" s="1" t="s">
        <v>41</v>
      </c>
      <c r="F519" s="1" t="s">
        <v>318</v>
      </c>
      <c r="G519" s="1" t="s">
        <v>319</v>
      </c>
      <c r="H519" s="1" t="str">
        <f>IFERROR(__xludf.DUMMYFUNCTION("split(G519,"" "")"),"Alan")</f>
        <v>Alan</v>
      </c>
      <c r="I519" s="1" t="str">
        <f>IFERROR(__xludf.DUMMYFUNCTION("""COMPUTED_VALUE"""),"Dominguez")</f>
        <v>Dominguez</v>
      </c>
      <c r="J519" s="1" t="s">
        <v>68</v>
      </c>
      <c r="K519" s="1" t="s">
        <v>972</v>
      </c>
      <c r="L519" s="1" t="str">
        <f t="shared" si="2"/>
        <v>Great Falls</v>
      </c>
      <c r="M519" s="1" t="s">
        <v>973</v>
      </c>
      <c r="N519" s="1" t="str">
        <f t="shared" si="3"/>
        <v>Montana</v>
      </c>
      <c r="O519" s="1">
        <v>59405.0</v>
      </c>
      <c r="P519" s="1" t="s">
        <v>37</v>
      </c>
      <c r="Q519" s="1" t="s">
        <v>38</v>
      </c>
      <c r="R519" s="3">
        <v>11.96</v>
      </c>
      <c r="S519" s="1">
        <v>5.0</v>
      </c>
      <c r="T519" s="4">
        <v>11.16</v>
      </c>
    </row>
    <row r="520">
      <c r="A520" s="1" t="s">
        <v>970</v>
      </c>
      <c r="B520" s="2">
        <v>43122.0</v>
      </c>
      <c r="C520" s="2" t="str">
        <f t="shared" si="1"/>
        <v>Jan</v>
      </c>
      <c r="D520" s="1" t="s">
        <v>971</v>
      </c>
      <c r="E520" s="1" t="s">
        <v>41</v>
      </c>
      <c r="F520" s="1" t="s">
        <v>318</v>
      </c>
      <c r="G520" s="1" t="s">
        <v>319</v>
      </c>
      <c r="H520" s="1" t="str">
        <f>IFERROR(__xludf.DUMMYFUNCTION("split(G520,"" "")"),"Alan")</f>
        <v>Alan</v>
      </c>
      <c r="I520" s="1" t="str">
        <f>IFERROR(__xludf.DUMMYFUNCTION("""COMPUTED_VALUE"""),"Dominguez")</f>
        <v>Dominguez</v>
      </c>
      <c r="J520" s="1" t="s">
        <v>68</v>
      </c>
      <c r="K520" s="1" t="s">
        <v>972</v>
      </c>
      <c r="L520" s="1" t="str">
        <f t="shared" si="2"/>
        <v>Great Falls</v>
      </c>
      <c r="M520" s="1" t="s">
        <v>973</v>
      </c>
      <c r="N520" s="1" t="str">
        <f t="shared" si="3"/>
        <v>Montana</v>
      </c>
      <c r="O520" s="1">
        <v>59405.0</v>
      </c>
      <c r="P520" s="1" t="s">
        <v>37</v>
      </c>
      <c r="Q520" s="1" t="s">
        <v>38</v>
      </c>
      <c r="R520" s="3">
        <v>1126.02</v>
      </c>
      <c r="S520" s="1">
        <v>5.0</v>
      </c>
      <c r="T520" s="4">
        <v>1125.59</v>
      </c>
    </row>
    <row r="521">
      <c r="A521" s="1" t="s">
        <v>974</v>
      </c>
      <c r="B521" s="2">
        <v>42451.0</v>
      </c>
      <c r="C521" s="2" t="str">
        <f t="shared" si="1"/>
        <v>Mar</v>
      </c>
      <c r="D521" s="1" t="s">
        <v>975</v>
      </c>
      <c r="E521" s="1" t="s">
        <v>41</v>
      </c>
      <c r="F521" s="1" t="s">
        <v>976</v>
      </c>
      <c r="G521" s="1" t="s">
        <v>977</v>
      </c>
      <c r="H521" s="1" t="str">
        <f>IFERROR(__xludf.DUMMYFUNCTION("split(G521,"" "")"),"Dean")</f>
        <v>Dean</v>
      </c>
      <c r="I521" s="1" t="str">
        <f>IFERROR(__xludf.DUMMYFUNCTION("""COMPUTED_VALUE"""),"Braden")</f>
        <v>Braden</v>
      </c>
      <c r="J521" s="1" t="s">
        <v>23</v>
      </c>
      <c r="K521" s="1" t="s">
        <v>129</v>
      </c>
      <c r="L521" s="1" t="str">
        <f t="shared" si="2"/>
        <v>Houston</v>
      </c>
      <c r="M521" s="1" t="s">
        <v>70</v>
      </c>
      <c r="N521" s="1" t="str">
        <f t="shared" si="3"/>
        <v>Texas</v>
      </c>
      <c r="O521" s="1">
        <v>77041.0</v>
      </c>
      <c r="P521" s="1" t="s">
        <v>71</v>
      </c>
      <c r="Q521" s="1" t="s">
        <v>51</v>
      </c>
      <c r="R521" s="3">
        <v>18.392</v>
      </c>
      <c r="S521" s="1">
        <v>7.0</v>
      </c>
      <c r="T521" s="4">
        <v>18.12</v>
      </c>
    </row>
    <row r="522">
      <c r="A522" s="1" t="s">
        <v>974</v>
      </c>
      <c r="B522" s="2">
        <v>42451.0</v>
      </c>
      <c r="C522" s="2" t="str">
        <f t="shared" si="1"/>
        <v>Mar</v>
      </c>
      <c r="D522" s="1" t="s">
        <v>975</v>
      </c>
      <c r="E522" s="1" t="s">
        <v>41</v>
      </c>
      <c r="F522" s="1" t="s">
        <v>976</v>
      </c>
      <c r="G522" s="1" t="s">
        <v>977</v>
      </c>
      <c r="H522" s="1" t="str">
        <f>IFERROR(__xludf.DUMMYFUNCTION("split(G522,"" "")"),"Dean")</f>
        <v>Dean</v>
      </c>
      <c r="I522" s="1" t="str">
        <f>IFERROR(__xludf.DUMMYFUNCTION("""COMPUTED_VALUE"""),"Braden")</f>
        <v>Braden</v>
      </c>
      <c r="J522" s="1" t="s">
        <v>23</v>
      </c>
      <c r="K522" s="1" t="s">
        <v>129</v>
      </c>
      <c r="L522" s="1" t="str">
        <f t="shared" si="2"/>
        <v>Houston</v>
      </c>
      <c r="M522" s="1" t="s">
        <v>70</v>
      </c>
      <c r="N522" s="1" t="str">
        <f t="shared" si="3"/>
        <v>Texas</v>
      </c>
      <c r="O522" s="1">
        <v>77041.0</v>
      </c>
      <c r="P522" s="1" t="s">
        <v>71</v>
      </c>
      <c r="Q522" s="1" t="s">
        <v>38</v>
      </c>
      <c r="R522" s="3">
        <v>129.568</v>
      </c>
      <c r="S522" s="1">
        <v>7.0</v>
      </c>
      <c r="T522" s="4">
        <v>129.1</v>
      </c>
    </row>
    <row r="523">
      <c r="A523" s="1" t="s">
        <v>974</v>
      </c>
      <c r="B523" s="2">
        <v>42451.0</v>
      </c>
      <c r="C523" s="2" t="str">
        <f t="shared" si="1"/>
        <v>Mar</v>
      </c>
      <c r="D523" s="1" t="s">
        <v>975</v>
      </c>
      <c r="E523" s="1" t="s">
        <v>41</v>
      </c>
      <c r="F523" s="1" t="s">
        <v>976</v>
      </c>
      <c r="G523" s="1" t="s">
        <v>977</v>
      </c>
      <c r="H523" s="1" t="str">
        <f>IFERROR(__xludf.DUMMYFUNCTION("split(G523,"" "")"),"Dean")</f>
        <v>Dean</v>
      </c>
      <c r="I523" s="1" t="str">
        <f>IFERROR(__xludf.DUMMYFUNCTION("""COMPUTED_VALUE"""),"Braden")</f>
        <v>Braden</v>
      </c>
      <c r="J523" s="1" t="s">
        <v>23</v>
      </c>
      <c r="K523" s="1" t="s">
        <v>129</v>
      </c>
      <c r="L523" s="1" t="str">
        <f t="shared" si="2"/>
        <v>Houston</v>
      </c>
      <c r="M523" s="1" t="s">
        <v>70</v>
      </c>
      <c r="N523" s="1" t="str">
        <f t="shared" si="3"/>
        <v>Texas</v>
      </c>
      <c r="O523" s="1">
        <v>77041.0</v>
      </c>
      <c r="P523" s="1" t="s">
        <v>71</v>
      </c>
      <c r="Q523" s="1" t="s">
        <v>38</v>
      </c>
      <c r="R523" s="3">
        <v>14.112</v>
      </c>
      <c r="S523" s="1">
        <v>7.0</v>
      </c>
      <c r="T523" s="4">
        <v>13.35</v>
      </c>
    </row>
    <row r="524">
      <c r="A524" s="1" t="s">
        <v>978</v>
      </c>
      <c r="B524" s="2">
        <v>43123.0</v>
      </c>
      <c r="C524" s="2" t="str">
        <f t="shared" si="1"/>
        <v>Jan</v>
      </c>
      <c r="D524" s="1" t="s">
        <v>979</v>
      </c>
      <c r="E524" s="1" t="s">
        <v>121</v>
      </c>
      <c r="F524" s="1" t="s">
        <v>980</v>
      </c>
      <c r="G524" s="1" t="s">
        <v>981</v>
      </c>
      <c r="H524" s="1" t="str">
        <f>IFERROR(__xludf.DUMMYFUNCTION("split(G524,"" "")"),"Matt")</f>
        <v>Matt</v>
      </c>
      <c r="I524" s="1" t="str">
        <f>IFERROR(__xludf.DUMMYFUNCTION("""COMPUTED_VALUE"""),"Connell")</f>
        <v>Connell</v>
      </c>
      <c r="J524" s="1" t="s">
        <v>34</v>
      </c>
      <c r="K524" s="1" t="s">
        <v>513</v>
      </c>
      <c r="L524" s="1" t="str">
        <f t="shared" si="2"/>
        <v>Detroit</v>
      </c>
      <c r="M524" s="1" t="s">
        <v>157</v>
      </c>
      <c r="N524" s="1" t="str">
        <f t="shared" si="3"/>
        <v>Michigan</v>
      </c>
      <c r="O524" s="1">
        <v>48234.0</v>
      </c>
      <c r="P524" s="1" t="s">
        <v>71</v>
      </c>
      <c r="Q524" s="1" t="s">
        <v>27</v>
      </c>
      <c r="R524" s="3">
        <v>210.98</v>
      </c>
      <c r="S524" s="1">
        <v>4.0</v>
      </c>
      <c r="T524" s="4">
        <v>210.23</v>
      </c>
    </row>
    <row r="525">
      <c r="A525" s="1" t="s">
        <v>982</v>
      </c>
      <c r="B525" s="2">
        <v>42876.0</v>
      </c>
      <c r="C525" s="2" t="str">
        <f t="shared" si="1"/>
        <v>May</v>
      </c>
      <c r="D525" s="1" t="s">
        <v>983</v>
      </c>
      <c r="E525" s="1" t="s">
        <v>121</v>
      </c>
      <c r="F525" s="1" t="s">
        <v>536</v>
      </c>
      <c r="G525" s="1" t="s">
        <v>537</v>
      </c>
      <c r="H525" s="1" t="str">
        <f>IFERROR(__xludf.DUMMYFUNCTION("split(G525,"" "")"),"Logan")</f>
        <v>Logan</v>
      </c>
      <c r="I525" s="1" t="str">
        <f>IFERROR(__xludf.DUMMYFUNCTION("""COMPUTED_VALUE"""),"Haushalter")</f>
        <v>Haushalter</v>
      </c>
      <c r="J525" s="1" t="s">
        <v>23</v>
      </c>
      <c r="K525" s="1" t="s">
        <v>35</v>
      </c>
      <c r="L525" s="1" t="str">
        <f t="shared" si="2"/>
        <v>Los Angeles</v>
      </c>
      <c r="M525" s="1" t="s">
        <v>52</v>
      </c>
      <c r="N525" s="1" t="str">
        <f t="shared" si="3"/>
        <v>California</v>
      </c>
      <c r="O525" s="1">
        <v>90032.0</v>
      </c>
      <c r="P525" s="1" t="s">
        <v>37</v>
      </c>
      <c r="Q525" s="1" t="s">
        <v>51</v>
      </c>
      <c r="R525" s="3">
        <v>55.176</v>
      </c>
      <c r="S525" s="1">
        <v>9.0</v>
      </c>
      <c r="T525" s="4">
        <v>54.96</v>
      </c>
    </row>
    <row r="526">
      <c r="A526" s="1" t="s">
        <v>982</v>
      </c>
      <c r="B526" s="2">
        <v>42876.0</v>
      </c>
      <c r="C526" s="2" t="str">
        <f t="shared" si="1"/>
        <v>May</v>
      </c>
      <c r="D526" s="1" t="s">
        <v>983</v>
      </c>
      <c r="E526" s="1" t="s">
        <v>121</v>
      </c>
      <c r="F526" s="1" t="s">
        <v>536</v>
      </c>
      <c r="G526" s="1" t="s">
        <v>537</v>
      </c>
      <c r="H526" s="1" t="str">
        <f>IFERROR(__xludf.DUMMYFUNCTION("split(G526,"" "")"),"Logan")</f>
        <v>Logan</v>
      </c>
      <c r="I526" s="1" t="str">
        <f>IFERROR(__xludf.DUMMYFUNCTION("""COMPUTED_VALUE"""),"Haushalter")</f>
        <v>Haushalter</v>
      </c>
      <c r="J526" s="1" t="s">
        <v>23</v>
      </c>
      <c r="K526" s="1" t="s">
        <v>35</v>
      </c>
      <c r="L526" s="1" t="str">
        <f t="shared" si="2"/>
        <v>Los Angeles</v>
      </c>
      <c r="M526" s="1" t="s">
        <v>52</v>
      </c>
      <c r="N526" s="1" t="str">
        <f t="shared" si="3"/>
        <v>California</v>
      </c>
      <c r="O526" s="1">
        <v>90032.0</v>
      </c>
      <c r="P526" s="1" t="s">
        <v>37</v>
      </c>
      <c r="Q526" s="1" t="s">
        <v>51</v>
      </c>
      <c r="R526" s="3">
        <v>66.26</v>
      </c>
      <c r="S526" s="1">
        <v>9.0</v>
      </c>
      <c r="T526" s="4">
        <v>66.07</v>
      </c>
    </row>
    <row r="527">
      <c r="A527" s="1" t="s">
        <v>984</v>
      </c>
      <c r="B527" s="2">
        <v>42730.0</v>
      </c>
      <c r="C527" s="2" t="str">
        <f t="shared" si="1"/>
        <v>Dec</v>
      </c>
      <c r="D527" s="6">
        <v>42767.0</v>
      </c>
      <c r="E527" s="1" t="s">
        <v>41</v>
      </c>
      <c r="F527" s="1" t="s">
        <v>985</v>
      </c>
      <c r="G527" s="1" t="s">
        <v>986</v>
      </c>
      <c r="H527" s="1" t="str">
        <f>IFERROR(__xludf.DUMMYFUNCTION("split(G527,"" "")"),"Brian")</f>
        <v>Brian</v>
      </c>
      <c r="I527" s="1" t="str">
        <f>IFERROR(__xludf.DUMMYFUNCTION("""COMPUTED_VALUE"""),"Dahlen")</f>
        <v>Dahlen</v>
      </c>
      <c r="J527" s="1" t="s">
        <v>23</v>
      </c>
      <c r="K527" s="1" t="s">
        <v>822</v>
      </c>
      <c r="L527" s="1" t="str">
        <f t="shared" si="2"/>
        <v>Lawrence</v>
      </c>
      <c r="M527" s="1" t="s">
        <v>694</v>
      </c>
      <c r="N527" s="1" t="str">
        <f t="shared" si="3"/>
        <v>Massachusetts</v>
      </c>
      <c r="O527" s="1">
        <v>1841.0</v>
      </c>
      <c r="P527" s="1" t="s">
        <v>100</v>
      </c>
      <c r="Q527" s="1" t="s">
        <v>38</v>
      </c>
      <c r="R527" s="3">
        <v>22.2</v>
      </c>
      <c r="S527" s="1">
        <v>1.0</v>
      </c>
      <c r="T527" s="4">
        <v>22.09</v>
      </c>
    </row>
    <row r="528">
      <c r="A528" s="1" t="s">
        <v>987</v>
      </c>
      <c r="B528" s="2">
        <v>43394.0</v>
      </c>
      <c r="C528" s="2" t="str">
        <f t="shared" si="1"/>
        <v>Oct</v>
      </c>
      <c r="D528" s="1" t="s">
        <v>988</v>
      </c>
      <c r="E528" s="1" t="s">
        <v>41</v>
      </c>
      <c r="F528" s="1" t="s">
        <v>989</v>
      </c>
      <c r="G528" s="1" t="s">
        <v>990</v>
      </c>
      <c r="H528" s="1" t="str">
        <f>IFERROR(__xludf.DUMMYFUNCTION("split(G528,"" "")"),"Patricia")</f>
        <v>Patricia</v>
      </c>
      <c r="I528" s="1" t="str">
        <f>IFERROR(__xludf.DUMMYFUNCTION("""COMPUTED_VALUE"""),"Hirasaki")</f>
        <v>Hirasaki</v>
      </c>
      <c r="J528" s="1" t="s">
        <v>68</v>
      </c>
      <c r="K528" s="1" t="s">
        <v>991</v>
      </c>
      <c r="L528" s="1" t="str">
        <f t="shared" si="2"/>
        <v>Lakeland</v>
      </c>
      <c r="M528" s="1" t="s">
        <v>145</v>
      </c>
      <c r="N528" s="1" t="str">
        <f t="shared" si="3"/>
        <v>Florida</v>
      </c>
      <c r="O528" s="1">
        <v>33801.0</v>
      </c>
      <c r="P528" s="1" t="s">
        <v>26</v>
      </c>
      <c r="Q528" s="1" t="s">
        <v>27</v>
      </c>
      <c r="R528" s="3">
        <v>683.952</v>
      </c>
      <c r="S528" s="1">
        <v>3.0</v>
      </c>
      <c r="T528" s="4">
        <v>683.38</v>
      </c>
    </row>
    <row r="529">
      <c r="A529" s="1" t="s">
        <v>987</v>
      </c>
      <c r="B529" s="2">
        <v>43394.0</v>
      </c>
      <c r="C529" s="2" t="str">
        <f t="shared" si="1"/>
        <v>Oct</v>
      </c>
      <c r="D529" s="1" t="s">
        <v>988</v>
      </c>
      <c r="E529" s="1" t="s">
        <v>41</v>
      </c>
      <c r="F529" s="1" t="s">
        <v>989</v>
      </c>
      <c r="G529" s="1" t="s">
        <v>990</v>
      </c>
      <c r="H529" s="1" t="str">
        <f>IFERROR(__xludf.DUMMYFUNCTION("split(G529,"" "")"),"Patricia")</f>
        <v>Patricia</v>
      </c>
      <c r="I529" s="1" t="str">
        <f>IFERROR(__xludf.DUMMYFUNCTION("""COMPUTED_VALUE"""),"Hirasaki")</f>
        <v>Hirasaki</v>
      </c>
      <c r="J529" s="1" t="s">
        <v>68</v>
      </c>
      <c r="K529" s="1" t="s">
        <v>991</v>
      </c>
      <c r="L529" s="1" t="str">
        <f t="shared" si="2"/>
        <v>Lakeland</v>
      </c>
      <c r="M529" s="1" t="s">
        <v>145</v>
      </c>
      <c r="N529" s="1" t="str">
        <f t="shared" si="3"/>
        <v>Florida</v>
      </c>
      <c r="O529" s="1">
        <v>33801.0</v>
      </c>
      <c r="P529" s="1" t="s">
        <v>26</v>
      </c>
      <c r="Q529" s="1" t="s">
        <v>27</v>
      </c>
      <c r="R529" s="3">
        <v>45.696</v>
      </c>
      <c r="S529" s="1">
        <v>3.0</v>
      </c>
      <c r="T529" s="4">
        <v>44.75</v>
      </c>
    </row>
    <row r="530">
      <c r="A530" s="1" t="s">
        <v>992</v>
      </c>
      <c r="B530" s="2">
        <v>42438.0</v>
      </c>
      <c r="C530" s="2" t="str">
        <f t="shared" si="1"/>
        <v>Mar</v>
      </c>
      <c r="D530" s="6">
        <v>42560.0</v>
      </c>
      <c r="E530" s="1" t="s">
        <v>41</v>
      </c>
      <c r="F530" s="1" t="s">
        <v>993</v>
      </c>
      <c r="G530" s="1" t="s">
        <v>994</v>
      </c>
      <c r="H530" s="1" t="str">
        <f>IFERROR(__xludf.DUMMYFUNCTION("split(G530,"" "")"),"Mike")</f>
        <v>Mike</v>
      </c>
      <c r="I530" s="1" t="str">
        <f>IFERROR(__xludf.DUMMYFUNCTION("""COMPUTED_VALUE"""),"Gockenbach")</f>
        <v>Gockenbach</v>
      </c>
      <c r="J530" s="1" t="s">
        <v>23</v>
      </c>
      <c r="K530" s="1" t="s">
        <v>98</v>
      </c>
      <c r="L530" s="1" t="str">
        <f t="shared" si="2"/>
        <v>Philadelphia</v>
      </c>
      <c r="M530" s="1" t="s">
        <v>99</v>
      </c>
      <c r="N530" s="1" t="str">
        <f t="shared" si="3"/>
        <v>Pennsylvania</v>
      </c>
      <c r="O530" s="1">
        <v>19134.0</v>
      </c>
      <c r="P530" s="1" t="s">
        <v>100</v>
      </c>
      <c r="Q530" s="1" t="s">
        <v>38</v>
      </c>
      <c r="R530" s="3">
        <v>36.336</v>
      </c>
      <c r="S530" s="1">
        <v>1.0</v>
      </c>
      <c r="T530" s="4">
        <v>35.79</v>
      </c>
    </row>
    <row r="531">
      <c r="A531" s="1" t="s">
        <v>992</v>
      </c>
      <c r="B531" s="2">
        <v>42438.0</v>
      </c>
      <c r="C531" s="2" t="str">
        <f t="shared" si="1"/>
        <v>Mar</v>
      </c>
      <c r="D531" s="6">
        <v>42560.0</v>
      </c>
      <c r="E531" s="1" t="s">
        <v>41</v>
      </c>
      <c r="F531" s="1" t="s">
        <v>993</v>
      </c>
      <c r="G531" s="1" t="s">
        <v>994</v>
      </c>
      <c r="H531" s="1" t="str">
        <f>IFERROR(__xludf.DUMMYFUNCTION("split(G531,"" "")"),"Mike")</f>
        <v>Mike</v>
      </c>
      <c r="I531" s="1" t="str">
        <f>IFERROR(__xludf.DUMMYFUNCTION("""COMPUTED_VALUE"""),"Gockenbach")</f>
        <v>Gockenbach</v>
      </c>
      <c r="J531" s="1" t="s">
        <v>23</v>
      </c>
      <c r="K531" s="1" t="s">
        <v>98</v>
      </c>
      <c r="L531" s="1" t="str">
        <f t="shared" si="2"/>
        <v>Philadelphia</v>
      </c>
      <c r="M531" s="1" t="s">
        <v>99</v>
      </c>
      <c r="N531" s="1" t="str">
        <f t="shared" si="3"/>
        <v>Pennsylvania</v>
      </c>
      <c r="O531" s="1">
        <v>19134.0</v>
      </c>
      <c r="P531" s="1" t="s">
        <v>100</v>
      </c>
      <c r="Q531" s="1" t="s">
        <v>38</v>
      </c>
      <c r="R531" s="3">
        <v>666.248</v>
      </c>
      <c r="S531" s="1">
        <v>1.0</v>
      </c>
      <c r="T531" s="4">
        <v>665.42</v>
      </c>
    </row>
    <row r="532">
      <c r="A532" s="1" t="s">
        <v>992</v>
      </c>
      <c r="B532" s="2">
        <v>42438.0</v>
      </c>
      <c r="C532" s="2" t="str">
        <f t="shared" si="1"/>
        <v>Mar</v>
      </c>
      <c r="D532" s="6">
        <v>42560.0</v>
      </c>
      <c r="E532" s="1" t="s">
        <v>41</v>
      </c>
      <c r="F532" s="1" t="s">
        <v>993</v>
      </c>
      <c r="G532" s="1" t="s">
        <v>994</v>
      </c>
      <c r="H532" s="1" t="str">
        <f>IFERROR(__xludf.DUMMYFUNCTION("split(G532,"" "")"),"Mike")</f>
        <v>Mike</v>
      </c>
      <c r="I532" s="1" t="str">
        <f>IFERROR(__xludf.DUMMYFUNCTION("""COMPUTED_VALUE"""),"Gockenbach")</f>
        <v>Gockenbach</v>
      </c>
      <c r="J532" s="1" t="s">
        <v>23</v>
      </c>
      <c r="K532" s="1" t="s">
        <v>98</v>
      </c>
      <c r="L532" s="1" t="str">
        <f t="shared" si="2"/>
        <v>Philadelphia</v>
      </c>
      <c r="M532" s="1" t="s">
        <v>99</v>
      </c>
      <c r="N532" s="1" t="str">
        <f t="shared" si="3"/>
        <v>Pennsylvania</v>
      </c>
      <c r="O532" s="1">
        <v>19134.0</v>
      </c>
      <c r="P532" s="1" t="s">
        <v>100</v>
      </c>
      <c r="Q532" s="1" t="s">
        <v>38</v>
      </c>
      <c r="R532" s="3">
        <v>52.512</v>
      </c>
      <c r="S532" s="1">
        <v>1.0</v>
      </c>
      <c r="T532" s="4">
        <v>51.96</v>
      </c>
    </row>
    <row r="533">
      <c r="A533" s="1" t="s">
        <v>995</v>
      </c>
      <c r="B533" s="2">
        <v>42562.0</v>
      </c>
      <c r="C533" s="2" t="str">
        <f t="shared" si="1"/>
        <v>Jul</v>
      </c>
      <c r="D533" s="6">
        <v>42624.0</v>
      </c>
      <c r="E533" s="1" t="s">
        <v>20</v>
      </c>
      <c r="F533" s="1" t="s">
        <v>996</v>
      </c>
      <c r="G533" s="1" t="s">
        <v>997</v>
      </c>
      <c r="H533" s="1" t="str">
        <f>IFERROR(__xludf.DUMMYFUNCTION("split(G533,"" "")"),"Karen")</f>
        <v>Karen</v>
      </c>
      <c r="I533" s="1" t="str">
        <f>IFERROR(__xludf.DUMMYFUNCTION("""COMPUTED_VALUE"""),"Bern")</f>
        <v>Bern</v>
      </c>
      <c r="J533" s="1" t="s">
        <v>34</v>
      </c>
      <c r="K533" s="1" t="s">
        <v>35</v>
      </c>
      <c r="L533" s="1" t="str">
        <f t="shared" si="2"/>
        <v>Los Angeles</v>
      </c>
      <c r="M533" s="1" t="s">
        <v>52</v>
      </c>
      <c r="N533" s="1" t="str">
        <f t="shared" si="3"/>
        <v>California</v>
      </c>
      <c r="O533" s="1">
        <v>90036.0</v>
      </c>
      <c r="P533" s="1" t="s">
        <v>37</v>
      </c>
      <c r="Q533" s="1" t="s">
        <v>27</v>
      </c>
      <c r="R533" s="3">
        <v>190.72</v>
      </c>
      <c r="S533" s="1">
        <v>9.0</v>
      </c>
      <c r="T533" s="4">
        <v>190.15</v>
      </c>
    </row>
    <row r="534">
      <c r="A534" s="1" t="s">
        <v>998</v>
      </c>
      <c r="B534" s="2">
        <v>43290.0</v>
      </c>
      <c r="C534" s="2" t="str">
        <f t="shared" si="1"/>
        <v>Jul</v>
      </c>
      <c r="D534" s="6">
        <v>43413.0</v>
      </c>
      <c r="E534" s="1" t="s">
        <v>41</v>
      </c>
      <c r="F534" s="1" t="s">
        <v>999</v>
      </c>
      <c r="G534" s="1" t="s">
        <v>1000</v>
      </c>
      <c r="H534" s="1" t="str">
        <f>IFERROR(__xludf.DUMMYFUNCTION("split(G534,"" "")"),"Jasper")</f>
        <v>Jasper</v>
      </c>
      <c r="I534" s="1" t="str">
        <f>IFERROR(__xludf.DUMMYFUNCTION("""COMPUTED_VALUE"""),"Cacioppo")</f>
        <v>Cacioppo</v>
      </c>
      <c r="J534" s="1" t="s">
        <v>23</v>
      </c>
      <c r="K534" s="1" t="s">
        <v>35</v>
      </c>
      <c r="L534" s="1" t="str">
        <f t="shared" si="2"/>
        <v>Los Angeles</v>
      </c>
      <c r="M534" s="1" t="s">
        <v>52</v>
      </c>
      <c r="N534" s="1" t="str">
        <f t="shared" si="3"/>
        <v>California</v>
      </c>
      <c r="O534" s="1">
        <v>90032.0</v>
      </c>
      <c r="P534" s="1" t="s">
        <v>37</v>
      </c>
      <c r="Q534" s="1" t="s">
        <v>27</v>
      </c>
      <c r="R534" s="3">
        <v>47.94</v>
      </c>
      <c r="S534" s="1">
        <v>9.0</v>
      </c>
      <c r="T534" s="4">
        <v>47.47</v>
      </c>
    </row>
    <row r="535">
      <c r="A535" s="1" t="s">
        <v>1001</v>
      </c>
      <c r="B535" s="2">
        <v>42884.0</v>
      </c>
      <c r="C535" s="2" t="str">
        <f t="shared" si="1"/>
        <v>May</v>
      </c>
      <c r="D535" s="6">
        <v>42741.0</v>
      </c>
      <c r="E535" s="1" t="s">
        <v>20</v>
      </c>
      <c r="F535" s="1" t="s">
        <v>1002</v>
      </c>
      <c r="G535" s="1" t="s">
        <v>1003</v>
      </c>
      <c r="H535" s="1" t="str">
        <f>IFERROR(__xludf.DUMMYFUNCTION("split(G535,"" "")"),"Rob")</f>
        <v>Rob</v>
      </c>
      <c r="I535" s="1" t="str">
        <f>IFERROR(__xludf.DUMMYFUNCTION("""COMPUTED_VALUE"""),"Lucas")</f>
        <v>Lucas</v>
      </c>
      <c r="J535" s="1" t="s">
        <v>23</v>
      </c>
      <c r="K535" s="1" t="s">
        <v>1004</v>
      </c>
      <c r="L535" s="1" t="str">
        <f t="shared" si="2"/>
        <v>Montgomery</v>
      </c>
      <c r="M535" s="1" t="s">
        <v>220</v>
      </c>
      <c r="N535" s="1" t="str">
        <f t="shared" si="3"/>
        <v>Alabama</v>
      </c>
      <c r="O535" s="1">
        <v>36116.0</v>
      </c>
      <c r="P535" s="1" t="s">
        <v>26</v>
      </c>
      <c r="Q535" s="1" t="s">
        <v>51</v>
      </c>
      <c r="R535" s="3">
        <v>979.95</v>
      </c>
      <c r="S535" s="1">
        <v>3.0</v>
      </c>
      <c r="T535" s="4">
        <v>979.35</v>
      </c>
    </row>
    <row r="536">
      <c r="A536" s="1" t="s">
        <v>1001</v>
      </c>
      <c r="B536" s="2">
        <v>42884.0</v>
      </c>
      <c r="C536" s="2" t="str">
        <f t="shared" si="1"/>
        <v>May</v>
      </c>
      <c r="D536" s="6">
        <v>42741.0</v>
      </c>
      <c r="E536" s="1" t="s">
        <v>20</v>
      </c>
      <c r="F536" s="1" t="s">
        <v>1002</v>
      </c>
      <c r="G536" s="1" t="s">
        <v>1003</v>
      </c>
      <c r="H536" s="1" t="str">
        <f>IFERROR(__xludf.DUMMYFUNCTION("split(G536,"" "")"),"Rob")</f>
        <v>Rob</v>
      </c>
      <c r="I536" s="1" t="str">
        <f>IFERROR(__xludf.DUMMYFUNCTION("""COMPUTED_VALUE"""),"Lucas")</f>
        <v>Lucas</v>
      </c>
      <c r="J536" s="1" t="s">
        <v>23</v>
      </c>
      <c r="K536" s="1" t="s">
        <v>1004</v>
      </c>
      <c r="L536" s="1" t="str">
        <f t="shared" si="2"/>
        <v>Montgomery</v>
      </c>
      <c r="M536" s="1" t="s">
        <v>220</v>
      </c>
      <c r="N536" s="1" t="str">
        <f t="shared" si="3"/>
        <v>Alabama</v>
      </c>
      <c r="O536" s="1">
        <v>36116.0</v>
      </c>
      <c r="P536" s="1" t="s">
        <v>26</v>
      </c>
      <c r="Q536" s="1" t="s">
        <v>38</v>
      </c>
      <c r="R536" s="3">
        <v>22.75</v>
      </c>
      <c r="S536" s="1">
        <v>3.0</v>
      </c>
      <c r="T536" s="4">
        <v>22.51</v>
      </c>
    </row>
    <row r="537">
      <c r="A537" s="1" t="s">
        <v>1005</v>
      </c>
      <c r="B537" s="2">
        <v>43015.0</v>
      </c>
      <c r="C537" s="2" t="str">
        <f t="shared" si="1"/>
        <v>Oct</v>
      </c>
      <c r="D537" s="1" t="s">
        <v>1006</v>
      </c>
      <c r="E537" s="1" t="s">
        <v>41</v>
      </c>
      <c r="F537" s="1" t="s">
        <v>1007</v>
      </c>
      <c r="G537" s="1" t="s">
        <v>1008</v>
      </c>
      <c r="H537" s="1" t="str">
        <f>IFERROR(__xludf.DUMMYFUNCTION("split(G537,"" "")"),"Allen")</f>
        <v>Allen</v>
      </c>
      <c r="I537" s="1" t="str">
        <f>IFERROR(__xludf.DUMMYFUNCTION("""COMPUTED_VALUE"""),"Armold")</f>
        <v>Armold</v>
      </c>
      <c r="J537" s="1" t="s">
        <v>23</v>
      </c>
      <c r="K537" s="1" t="s">
        <v>1009</v>
      </c>
      <c r="L537" s="1" t="str">
        <f t="shared" si="2"/>
        <v>Mesa</v>
      </c>
      <c r="M537" s="1" t="s">
        <v>193</v>
      </c>
      <c r="N537" s="1" t="str">
        <f t="shared" si="3"/>
        <v>Arizona</v>
      </c>
      <c r="O537" s="1">
        <v>85204.0</v>
      </c>
      <c r="P537" s="1" t="s">
        <v>37</v>
      </c>
      <c r="Q537" s="1" t="s">
        <v>38</v>
      </c>
      <c r="R537" s="3">
        <v>16.768</v>
      </c>
      <c r="S537" s="1">
        <v>8.0</v>
      </c>
      <c r="T537" s="4">
        <v>16.1</v>
      </c>
    </row>
    <row r="538">
      <c r="A538" s="1" t="s">
        <v>1010</v>
      </c>
      <c r="B538" s="2">
        <v>43168.0</v>
      </c>
      <c r="C538" s="2" t="str">
        <f t="shared" si="1"/>
        <v>Mar</v>
      </c>
      <c r="D538" s="6">
        <v>43321.0</v>
      </c>
      <c r="E538" s="1" t="s">
        <v>20</v>
      </c>
      <c r="F538" s="1" t="s">
        <v>1011</v>
      </c>
      <c r="G538" s="1" t="s">
        <v>1012</v>
      </c>
      <c r="H538" s="1" t="str">
        <f>IFERROR(__xludf.DUMMYFUNCTION("split(G538,"" "")"),"Emily")</f>
        <v>Emily</v>
      </c>
      <c r="I538" s="1" t="str">
        <f>IFERROR(__xludf.DUMMYFUNCTION("""COMPUTED_VALUE"""),"Phan")</f>
        <v>Phan</v>
      </c>
      <c r="J538" s="1" t="s">
        <v>23</v>
      </c>
      <c r="K538" s="1" t="s">
        <v>188</v>
      </c>
      <c r="L538" s="1" t="str">
        <f t="shared" si="2"/>
        <v>Chicago</v>
      </c>
      <c r="M538" s="1" t="s">
        <v>135</v>
      </c>
      <c r="N538" s="1" t="str">
        <f t="shared" si="3"/>
        <v>Illinois</v>
      </c>
      <c r="O538" s="1">
        <v>60653.0</v>
      </c>
      <c r="P538" s="1" t="s">
        <v>71</v>
      </c>
      <c r="Q538" s="1" t="s">
        <v>38</v>
      </c>
      <c r="R538" s="3">
        <v>42.616</v>
      </c>
      <c r="S538" s="1">
        <v>6.0</v>
      </c>
      <c r="T538" s="4">
        <v>41.78</v>
      </c>
    </row>
    <row r="539">
      <c r="A539" s="1" t="s">
        <v>1013</v>
      </c>
      <c r="B539" s="2">
        <v>42441.0</v>
      </c>
      <c r="C539" s="2" t="str">
        <f t="shared" si="1"/>
        <v>Mar</v>
      </c>
      <c r="D539" s="6">
        <v>42594.0</v>
      </c>
      <c r="E539" s="1" t="s">
        <v>41</v>
      </c>
      <c r="F539" s="1" t="s">
        <v>446</v>
      </c>
      <c r="G539" s="1" t="s">
        <v>447</v>
      </c>
      <c r="H539" s="1" t="str">
        <f>IFERROR(__xludf.DUMMYFUNCTION("split(G539,"" "")"),"Mark")</f>
        <v>Mark</v>
      </c>
      <c r="I539" s="1" t="str">
        <f>IFERROR(__xludf.DUMMYFUNCTION("""COMPUTED_VALUE"""),"Packer")</f>
        <v>Packer</v>
      </c>
      <c r="J539" s="1" t="s">
        <v>68</v>
      </c>
      <c r="K539" s="1" t="s">
        <v>174</v>
      </c>
      <c r="L539" s="1" t="str">
        <f t="shared" si="2"/>
        <v>New York City</v>
      </c>
      <c r="M539" s="1" t="s">
        <v>175</v>
      </c>
      <c r="N539" s="1" t="str">
        <f t="shared" si="3"/>
        <v>New York</v>
      </c>
      <c r="O539" s="1">
        <v>10009.0</v>
      </c>
      <c r="P539" s="1" t="s">
        <v>100</v>
      </c>
      <c r="Q539" s="1" t="s">
        <v>38</v>
      </c>
      <c r="R539" s="3">
        <v>10.752</v>
      </c>
      <c r="S539" s="1">
        <v>1.0</v>
      </c>
      <c r="T539" s="4">
        <v>10.57</v>
      </c>
    </row>
    <row r="540">
      <c r="A540" s="1" t="s">
        <v>1014</v>
      </c>
      <c r="B540" s="2">
        <v>42563.0</v>
      </c>
      <c r="C540" s="2" t="str">
        <f t="shared" si="1"/>
        <v>Jul</v>
      </c>
      <c r="D540" s="5">
        <v>42686.0</v>
      </c>
      <c r="E540" s="1" t="s">
        <v>41</v>
      </c>
      <c r="F540" s="1" t="s">
        <v>1015</v>
      </c>
      <c r="G540" s="1" t="s">
        <v>1016</v>
      </c>
      <c r="H540" s="1" t="str">
        <f>IFERROR(__xludf.DUMMYFUNCTION("split(G540,"" "")"),"Darren")</f>
        <v>Darren</v>
      </c>
      <c r="I540" s="1" t="str">
        <f>IFERROR(__xludf.DUMMYFUNCTION("""COMPUTED_VALUE"""),"Koutras")</f>
        <v>Koutras</v>
      </c>
      <c r="J540" s="1" t="s">
        <v>23</v>
      </c>
      <c r="K540" s="1" t="s">
        <v>24</v>
      </c>
      <c r="L540" s="1" t="str">
        <f t="shared" si="2"/>
        <v>Henderson</v>
      </c>
      <c r="M540" s="1" t="s">
        <v>25</v>
      </c>
      <c r="N540" s="1" t="str">
        <f t="shared" si="3"/>
        <v>Kentucky</v>
      </c>
      <c r="O540" s="1">
        <v>42420.0</v>
      </c>
      <c r="P540" s="1" t="s">
        <v>26</v>
      </c>
      <c r="Q540" s="1" t="s">
        <v>38</v>
      </c>
      <c r="R540" s="3">
        <v>152.94</v>
      </c>
      <c r="S540" s="1">
        <v>4.0</v>
      </c>
      <c r="T540" s="4">
        <v>152.58</v>
      </c>
    </row>
    <row r="541">
      <c r="A541" s="1" t="s">
        <v>1014</v>
      </c>
      <c r="B541" s="2">
        <v>42563.0</v>
      </c>
      <c r="C541" s="2" t="str">
        <f t="shared" si="1"/>
        <v>Jul</v>
      </c>
      <c r="D541" s="5">
        <v>42686.0</v>
      </c>
      <c r="E541" s="1" t="s">
        <v>41</v>
      </c>
      <c r="F541" s="1" t="s">
        <v>1015</v>
      </c>
      <c r="G541" s="1" t="s">
        <v>1016</v>
      </c>
      <c r="H541" s="1" t="str">
        <f>IFERROR(__xludf.DUMMYFUNCTION("split(G541,"" "")"),"Darren")</f>
        <v>Darren</v>
      </c>
      <c r="I541" s="1" t="str">
        <f>IFERROR(__xludf.DUMMYFUNCTION("""COMPUTED_VALUE"""),"Koutras")</f>
        <v>Koutras</v>
      </c>
      <c r="J541" s="1" t="s">
        <v>23</v>
      </c>
      <c r="K541" s="1" t="s">
        <v>24</v>
      </c>
      <c r="L541" s="1" t="str">
        <f t="shared" si="2"/>
        <v>Henderson</v>
      </c>
      <c r="M541" s="1" t="s">
        <v>25</v>
      </c>
      <c r="N541" s="1" t="str">
        <f t="shared" si="3"/>
        <v>Kentucky</v>
      </c>
      <c r="O541" s="1">
        <v>42420.0</v>
      </c>
      <c r="P541" s="1" t="s">
        <v>26</v>
      </c>
      <c r="Q541" s="1" t="s">
        <v>27</v>
      </c>
      <c r="R541" s="3">
        <v>283.92</v>
      </c>
      <c r="S541" s="1">
        <v>4.0</v>
      </c>
      <c r="T541" s="4">
        <v>282.95</v>
      </c>
    </row>
    <row r="542">
      <c r="A542" s="1" t="s">
        <v>1017</v>
      </c>
      <c r="B542" s="2">
        <v>42006.0</v>
      </c>
      <c r="C542" s="2" t="str">
        <f t="shared" si="1"/>
        <v>Jan</v>
      </c>
      <c r="D542" s="6">
        <v>42065.0</v>
      </c>
      <c r="E542" s="1" t="s">
        <v>121</v>
      </c>
      <c r="F542" s="1" t="s">
        <v>1018</v>
      </c>
      <c r="G542" s="1" t="s">
        <v>1019</v>
      </c>
      <c r="H542" s="1" t="str">
        <f>IFERROR(__xludf.DUMMYFUNCTION("split(G542,"" "")"),"Bradley")</f>
        <v>Bradley</v>
      </c>
      <c r="I542" s="1" t="str">
        <f>IFERROR(__xludf.DUMMYFUNCTION("""COMPUTED_VALUE"""),"Drucker")</f>
        <v>Drucker</v>
      </c>
      <c r="J542" s="1" t="s">
        <v>23</v>
      </c>
      <c r="K542" s="1" t="s">
        <v>1020</v>
      </c>
      <c r="L542" s="1" t="str">
        <f t="shared" si="2"/>
        <v>Green Bay</v>
      </c>
      <c r="M542" s="1" t="s">
        <v>77</v>
      </c>
      <c r="N542" s="1" t="str">
        <f t="shared" si="3"/>
        <v>Wisconsin</v>
      </c>
      <c r="O542" s="1">
        <v>54302.0</v>
      </c>
      <c r="P542" s="1" t="s">
        <v>71</v>
      </c>
      <c r="Q542" s="1" t="s">
        <v>51</v>
      </c>
      <c r="R542" s="3">
        <v>468.9</v>
      </c>
      <c r="S542" s="1">
        <v>5.0</v>
      </c>
      <c r="T542" s="4">
        <v>467.96</v>
      </c>
    </row>
    <row r="543">
      <c r="A543" s="1" t="s">
        <v>1021</v>
      </c>
      <c r="B543" s="2">
        <v>42930.0</v>
      </c>
      <c r="C543" s="2" t="str">
        <f t="shared" si="1"/>
        <v>Jul</v>
      </c>
      <c r="D543" s="1" t="s">
        <v>1022</v>
      </c>
      <c r="E543" s="1" t="s">
        <v>121</v>
      </c>
      <c r="F543" s="1" t="s">
        <v>142</v>
      </c>
      <c r="G543" s="1" t="s">
        <v>143</v>
      </c>
      <c r="H543" s="1" t="str">
        <f>IFERROR(__xludf.DUMMYFUNCTION("split(G543,"" "")"),"Erin")</f>
        <v>Erin</v>
      </c>
      <c r="I543" s="1" t="str">
        <f>IFERROR(__xludf.DUMMYFUNCTION("""COMPUTED_VALUE"""),"Smith")</f>
        <v>Smith</v>
      </c>
      <c r="J543" s="1" t="s">
        <v>34</v>
      </c>
      <c r="K543" s="1" t="s">
        <v>729</v>
      </c>
      <c r="L543" s="1" t="str">
        <f t="shared" si="2"/>
        <v>Tucson</v>
      </c>
      <c r="M543" s="1" t="s">
        <v>193</v>
      </c>
      <c r="N543" s="1" t="str">
        <f t="shared" si="3"/>
        <v>Arizona</v>
      </c>
      <c r="O543" s="1">
        <v>85705.0</v>
      </c>
      <c r="P543" s="1" t="s">
        <v>37</v>
      </c>
      <c r="Q543" s="1" t="s">
        <v>51</v>
      </c>
      <c r="R543" s="3">
        <v>380.864</v>
      </c>
      <c r="S543" s="1">
        <v>8.0</v>
      </c>
      <c r="T543" s="4">
        <v>380.6</v>
      </c>
    </row>
    <row r="544">
      <c r="A544" s="1" t="s">
        <v>1023</v>
      </c>
      <c r="B544" s="2">
        <v>42722.0</v>
      </c>
      <c r="C544" s="2" t="str">
        <f t="shared" si="1"/>
        <v>Dec</v>
      </c>
      <c r="D544" s="1" t="s">
        <v>1024</v>
      </c>
      <c r="E544" s="1" t="s">
        <v>41</v>
      </c>
      <c r="F544" s="1" t="s">
        <v>1025</v>
      </c>
      <c r="G544" s="1" t="s">
        <v>1026</v>
      </c>
      <c r="H544" s="1" t="str">
        <f>IFERROR(__xludf.DUMMYFUNCTION("split(G544,"" "")"),"Liz")</f>
        <v>Liz</v>
      </c>
      <c r="I544" s="1" t="str">
        <f>IFERROR(__xludf.DUMMYFUNCTION("""COMPUTED_VALUE"""),"MacKendrick")</f>
        <v>MacKendrick</v>
      </c>
      <c r="J544" s="1" t="s">
        <v>23</v>
      </c>
      <c r="K544" s="1" t="s">
        <v>197</v>
      </c>
      <c r="L544" s="1" t="str">
        <f t="shared" si="2"/>
        <v>Springfield</v>
      </c>
      <c r="M544" s="1" t="s">
        <v>304</v>
      </c>
      <c r="N544" s="1" t="str">
        <f t="shared" si="3"/>
        <v>Ohio</v>
      </c>
      <c r="O544" s="1">
        <v>45503.0</v>
      </c>
      <c r="P544" s="1" t="s">
        <v>100</v>
      </c>
      <c r="Q544" s="1" t="s">
        <v>38</v>
      </c>
      <c r="R544" s="3">
        <v>646.776</v>
      </c>
      <c r="S544" s="1">
        <v>4.0</v>
      </c>
      <c r="T544" s="4">
        <v>646.66</v>
      </c>
    </row>
    <row r="545">
      <c r="A545" s="1" t="s">
        <v>1027</v>
      </c>
      <c r="B545" s="2">
        <v>42313.0</v>
      </c>
      <c r="C545" s="2" t="str">
        <f t="shared" si="1"/>
        <v>Nov</v>
      </c>
      <c r="D545" s="1" t="s">
        <v>1028</v>
      </c>
      <c r="E545" s="1" t="s">
        <v>41</v>
      </c>
      <c r="F545" s="1" t="s">
        <v>238</v>
      </c>
      <c r="G545" s="1" t="s">
        <v>239</v>
      </c>
      <c r="H545" s="1" t="str">
        <f>IFERROR(__xludf.DUMMYFUNCTION("split(G545,"" "")"),"Paul")</f>
        <v>Paul</v>
      </c>
      <c r="I545" s="1" t="str">
        <f>IFERROR(__xludf.DUMMYFUNCTION("""COMPUTED_VALUE"""),"Gonzalez")</f>
        <v>Gonzalez</v>
      </c>
      <c r="J545" s="1" t="s">
        <v>23</v>
      </c>
      <c r="K545" s="1" t="s">
        <v>69</v>
      </c>
      <c r="L545" s="1" t="str">
        <f t="shared" si="2"/>
        <v>Fort Worth</v>
      </c>
      <c r="M545" s="1" t="s">
        <v>70</v>
      </c>
      <c r="N545" s="1" t="str">
        <f t="shared" si="3"/>
        <v>Texas</v>
      </c>
      <c r="O545" s="1">
        <v>76106.0</v>
      </c>
      <c r="P545" s="1" t="s">
        <v>71</v>
      </c>
      <c r="Q545" s="1" t="s">
        <v>51</v>
      </c>
      <c r="R545" s="3">
        <v>58.112</v>
      </c>
      <c r="S545" s="1">
        <v>7.0</v>
      </c>
      <c r="T545" s="4">
        <v>57.94</v>
      </c>
    </row>
    <row r="546">
      <c r="A546" s="1" t="s">
        <v>1027</v>
      </c>
      <c r="B546" s="2">
        <v>42313.0</v>
      </c>
      <c r="C546" s="2" t="str">
        <f t="shared" si="1"/>
        <v>Nov</v>
      </c>
      <c r="D546" s="1" t="s">
        <v>1028</v>
      </c>
      <c r="E546" s="1" t="s">
        <v>41</v>
      </c>
      <c r="F546" s="1" t="s">
        <v>238</v>
      </c>
      <c r="G546" s="1" t="s">
        <v>239</v>
      </c>
      <c r="H546" s="1" t="str">
        <f>IFERROR(__xludf.DUMMYFUNCTION("split(G546,"" "")"),"Paul")</f>
        <v>Paul</v>
      </c>
      <c r="I546" s="1" t="str">
        <f>IFERROR(__xludf.DUMMYFUNCTION("""COMPUTED_VALUE"""),"Gonzalez")</f>
        <v>Gonzalez</v>
      </c>
      <c r="J546" s="1" t="s">
        <v>23</v>
      </c>
      <c r="K546" s="1" t="s">
        <v>69</v>
      </c>
      <c r="L546" s="1" t="str">
        <f t="shared" si="2"/>
        <v>Fort Worth</v>
      </c>
      <c r="M546" s="1" t="s">
        <v>70</v>
      </c>
      <c r="N546" s="1" t="str">
        <f t="shared" si="3"/>
        <v>Texas</v>
      </c>
      <c r="O546" s="1">
        <v>76106.0</v>
      </c>
      <c r="P546" s="1" t="s">
        <v>71</v>
      </c>
      <c r="Q546" s="1" t="s">
        <v>51</v>
      </c>
      <c r="R546" s="3">
        <v>100.792</v>
      </c>
      <c r="S546" s="1">
        <v>7.0</v>
      </c>
      <c r="T546" s="4">
        <v>100.58</v>
      </c>
    </row>
    <row r="547">
      <c r="A547" s="1" t="s">
        <v>1027</v>
      </c>
      <c r="B547" s="2">
        <v>42313.0</v>
      </c>
      <c r="C547" s="2" t="str">
        <f t="shared" si="1"/>
        <v>Nov</v>
      </c>
      <c r="D547" s="1" t="s">
        <v>1028</v>
      </c>
      <c r="E547" s="1" t="s">
        <v>41</v>
      </c>
      <c r="F547" s="1" t="s">
        <v>238</v>
      </c>
      <c r="G547" s="1" t="s">
        <v>239</v>
      </c>
      <c r="H547" s="1" t="str">
        <f>IFERROR(__xludf.DUMMYFUNCTION("split(G547,"" "")"),"Paul")</f>
        <v>Paul</v>
      </c>
      <c r="I547" s="1" t="str">
        <f>IFERROR(__xludf.DUMMYFUNCTION("""COMPUTED_VALUE"""),"Gonzalez")</f>
        <v>Gonzalez</v>
      </c>
      <c r="J547" s="1" t="s">
        <v>23</v>
      </c>
      <c r="K547" s="1" t="s">
        <v>69</v>
      </c>
      <c r="L547" s="1" t="str">
        <f t="shared" si="2"/>
        <v>Fort Worth</v>
      </c>
      <c r="M547" s="1" t="s">
        <v>70</v>
      </c>
      <c r="N547" s="1" t="str">
        <f t="shared" si="3"/>
        <v>Texas</v>
      </c>
      <c r="O547" s="1">
        <v>76106.0</v>
      </c>
      <c r="P547" s="1" t="s">
        <v>71</v>
      </c>
      <c r="Q547" s="1" t="s">
        <v>27</v>
      </c>
      <c r="R547" s="3">
        <v>66.112</v>
      </c>
      <c r="S547" s="1">
        <v>7.0</v>
      </c>
      <c r="T547" s="4">
        <v>65.65</v>
      </c>
    </row>
    <row r="548">
      <c r="A548" s="1" t="s">
        <v>1029</v>
      </c>
      <c r="B548" s="2">
        <v>43423.0</v>
      </c>
      <c r="C548" s="2" t="str">
        <f t="shared" si="1"/>
        <v>Nov</v>
      </c>
      <c r="D548" s="1" t="s">
        <v>1030</v>
      </c>
      <c r="E548" s="1" t="s">
        <v>121</v>
      </c>
      <c r="F548" s="1" t="s">
        <v>1031</v>
      </c>
      <c r="G548" s="1" t="s">
        <v>1032</v>
      </c>
      <c r="H548" s="1" t="str">
        <f>IFERROR(__xludf.DUMMYFUNCTION("split(G548,"" "")"),"Adrian")</f>
        <v>Adrian</v>
      </c>
      <c r="I548" s="1" t="str">
        <f>IFERROR(__xludf.DUMMYFUNCTION("""COMPUTED_VALUE"""),"Shami")</f>
        <v>Shami</v>
      </c>
      <c r="J548" s="1" t="s">
        <v>68</v>
      </c>
      <c r="K548" s="1" t="s">
        <v>174</v>
      </c>
      <c r="L548" s="1" t="str">
        <f t="shared" si="2"/>
        <v>New York City</v>
      </c>
      <c r="M548" s="1" t="s">
        <v>175</v>
      </c>
      <c r="N548" s="1" t="str">
        <f t="shared" si="3"/>
        <v>New York</v>
      </c>
      <c r="O548" s="1">
        <v>10035.0</v>
      </c>
      <c r="P548" s="1" t="s">
        <v>100</v>
      </c>
      <c r="Q548" s="1" t="s">
        <v>38</v>
      </c>
      <c r="R548" s="3">
        <v>41.28</v>
      </c>
      <c r="S548" s="1">
        <v>1.0</v>
      </c>
      <c r="T548" s="4">
        <v>40.59</v>
      </c>
    </row>
    <row r="549">
      <c r="A549" s="1" t="s">
        <v>1029</v>
      </c>
      <c r="B549" s="2">
        <v>43423.0</v>
      </c>
      <c r="C549" s="2" t="str">
        <f t="shared" si="1"/>
        <v>Nov</v>
      </c>
      <c r="D549" s="1" t="s">
        <v>1030</v>
      </c>
      <c r="E549" s="1" t="s">
        <v>121</v>
      </c>
      <c r="F549" s="1" t="s">
        <v>1031</v>
      </c>
      <c r="G549" s="1" t="s">
        <v>1032</v>
      </c>
      <c r="H549" s="1" t="str">
        <f>IFERROR(__xludf.DUMMYFUNCTION("split(G549,"" "")"),"Adrian")</f>
        <v>Adrian</v>
      </c>
      <c r="I549" s="1" t="str">
        <f>IFERROR(__xludf.DUMMYFUNCTION("""COMPUTED_VALUE"""),"Shami")</f>
        <v>Shami</v>
      </c>
      <c r="J549" s="1" t="s">
        <v>68</v>
      </c>
      <c r="K549" s="1" t="s">
        <v>174</v>
      </c>
      <c r="L549" s="1" t="str">
        <f t="shared" si="2"/>
        <v>New York City</v>
      </c>
      <c r="M549" s="1" t="s">
        <v>175</v>
      </c>
      <c r="N549" s="1" t="str">
        <f t="shared" si="3"/>
        <v>New York</v>
      </c>
      <c r="O549" s="1">
        <v>10035.0</v>
      </c>
      <c r="P549" s="1" t="s">
        <v>100</v>
      </c>
      <c r="Q549" s="1" t="s">
        <v>38</v>
      </c>
      <c r="R549" s="3">
        <v>13.36</v>
      </c>
      <c r="S549" s="1">
        <v>1.0</v>
      </c>
      <c r="T549" s="4">
        <v>12.82</v>
      </c>
    </row>
    <row r="550">
      <c r="A550" s="1" t="s">
        <v>1033</v>
      </c>
      <c r="B550" s="2">
        <v>42689.0</v>
      </c>
      <c r="C550" s="2" t="str">
        <f t="shared" si="1"/>
        <v>Nov</v>
      </c>
      <c r="D550" s="1" t="s">
        <v>275</v>
      </c>
      <c r="E550" s="1" t="s">
        <v>20</v>
      </c>
      <c r="F550" s="1" t="s">
        <v>753</v>
      </c>
      <c r="G550" s="1" t="s">
        <v>754</v>
      </c>
      <c r="H550" s="1" t="str">
        <f>IFERROR(__xludf.DUMMYFUNCTION("split(G550,"" "")"),"Dean")</f>
        <v>Dean</v>
      </c>
      <c r="I550" s="1" t="str">
        <f>IFERROR(__xludf.DUMMYFUNCTION("""COMPUTED_VALUE"""),"Katz")</f>
        <v>Katz</v>
      </c>
      <c r="J550" s="1" t="s">
        <v>34</v>
      </c>
      <c r="K550" s="1" t="s">
        <v>188</v>
      </c>
      <c r="L550" s="1" t="str">
        <f t="shared" si="2"/>
        <v>Chicago</v>
      </c>
      <c r="M550" s="1" t="s">
        <v>135</v>
      </c>
      <c r="N550" s="1" t="str">
        <f t="shared" si="3"/>
        <v>Illinois</v>
      </c>
      <c r="O550" s="1">
        <v>60653.0</v>
      </c>
      <c r="P550" s="1" t="s">
        <v>71</v>
      </c>
      <c r="Q550" s="1" t="s">
        <v>38</v>
      </c>
      <c r="R550" s="3">
        <v>250.272</v>
      </c>
      <c r="S550" s="1">
        <v>6.0</v>
      </c>
      <c r="T550" s="4">
        <v>249.83</v>
      </c>
    </row>
    <row r="551">
      <c r="A551" s="1" t="s">
        <v>1033</v>
      </c>
      <c r="B551" s="2">
        <v>42689.0</v>
      </c>
      <c r="C551" s="2" t="str">
        <f t="shared" si="1"/>
        <v>Nov</v>
      </c>
      <c r="D551" s="1" t="s">
        <v>275</v>
      </c>
      <c r="E551" s="1" t="s">
        <v>20</v>
      </c>
      <c r="F551" s="1" t="s">
        <v>753</v>
      </c>
      <c r="G551" s="1" t="s">
        <v>754</v>
      </c>
      <c r="H551" s="1" t="str">
        <f>IFERROR(__xludf.DUMMYFUNCTION("split(G551,"" "")"),"Dean")</f>
        <v>Dean</v>
      </c>
      <c r="I551" s="1" t="str">
        <f>IFERROR(__xludf.DUMMYFUNCTION("""COMPUTED_VALUE"""),"Katz")</f>
        <v>Katz</v>
      </c>
      <c r="J551" s="1" t="s">
        <v>34</v>
      </c>
      <c r="K551" s="1" t="s">
        <v>188</v>
      </c>
      <c r="L551" s="1" t="str">
        <f t="shared" si="2"/>
        <v>Chicago</v>
      </c>
      <c r="M551" s="1" t="s">
        <v>135</v>
      </c>
      <c r="N551" s="1" t="str">
        <f t="shared" si="3"/>
        <v>Illinois</v>
      </c>
      <c r="O551" s="1">
        <v>60653.0</v>
      </c>
      <c r="P551" s="1" t="s">
        <v>71</v>
      </c>
      <c r="Q551" s="1" t="s">
        <v>38</v>
      </c>
      <c r="R551" s="3">
        <v>11.364</v>
      </c>
      <c r="S551" s="1">
        <v>6.0</v>
      </c>
      <c r="T551" s="4">
        <v>10.83</v>
      </c>
    </row>
    <row r="552">
      <c r="A552" s="1" t="s">
        <v>1033</v>
      </c>
      <c r="B552" s="2">
        <v>42689.0</v>
      </c>
      <c r="C552" s="2" t="str">
        <f t="shared" si="1"/>
        <v>Nov</v>
      </c>
      <c r="D552" s="1" t="s">
        <v>275</v>
      </c>
      <c r="E552" s="1" t="s">
        <v>20</v>
      </c>
      <c r="F552" s="1" t="s">
        <v>753</v>
      </c>
      <c r="G552" s="1" t="s">
        <v>754</v>
      </c>
      <c r="H552" s="1" t="str">
        <f>IFERROR(__xludf.DUMMYFUNCTION("split(G552,"" "")"),"Dean")</f>
        <v>Dean</v>
      </c>
      <c r="I552" s="1" t="str">
        <f>IFERROR(__xludf.DUMMYFUNCTION("""COMPUTED_VALUE"""),"Katz")</f>
        <v>Katz</v>
      </c>
      <c r="J552" s="1" t="s">
        <v>34</v>
      </c>
      <c r="K552" s="1" t="s">
        <v>188</v>
      </c>
      <c r="L552" s="1" t="str">
        <f t="shared" si="2"/>
        <v>Chicago</v>
      </c>
      <c r="M552" s="1" t="s">
        <v>135</v>
      </c>
      <c r="N552" s="1" t="str">
        <f t="shared" si="3"/>
        <v>Illinois</v>
      </c>
      <c r="O552" s="1">
        <v>60653.0</v>
      </c>
      <c r="P552" s="1" t="s">
        <v>71</v>
      </c>
      <c r="Q552" s="1" t="s">
        <v>38</v>
      </c>
      <c r="R552" s="3">
        <v>8.72</v>
      </c>
      <c r="S552" s="1">
        <v>6.0</v>
      </c>
      <c r="T552" s="4">
        <v>7.76</v>
      </c>
    </row>
    <row r="553">
      <c r="A553" s="1" t="s">
        <v>1034</v>
      </c>
      <c r="B553" s="2">
        <v>42840.0</v>
      </c>
      <c r="C553" s="2" t="str">
        <f t="shared" si="1"/>
        <v>Apr</v>
      </c>
      <c r="D553" s="1" t="s">
        <v>1035</v>
      </c>
      <c r="E553" s="1" t="s">
        <v>20</v>
      </c>
      <c r="F553" s="1" t="s">
        <v>1036</v>
      </c>
      <c r="G553" s="1" t="s">
        <v>1037</v>
      </c>
      <c r="H553" s="1" t="str">
        <f>IFERROR(__xludf.DUMMYFUNCTION("split(G553,"" "")"),"Bill")</f>
        <v>Bill</v>
      </c>
      <c r="I553" s="1" t="str">
        <f>IFERROR(__xludf.DUMMYFUNCTION("""COMPUTED_VALUE"""),"Donatelli")</f>
        <v>Donatelli</v>
      </c>
      <c r="J553" s="1" t="s">
        <v>23</v>
      </c>
      <c r="K553" s="1" t="s">
        <v>87</v>
      </c>
      <c r="L553" s="1" t="str">
        <f t="shared" si="2"/>
        <v>San Francisco</v>
      </c>
      <c r="M553" s="1" t="s">
        <v>52</v>
      </c>
      <c r="N553" s="1" t="str">
        <f t="shared" si="3"/>
        <v>California</v>
      </c>
      <c r="O553" s="1">
        <v>94110.0</v>
      </c>
      <c r="P553" s="1" t="s">
        <v>37</v>
      </c>
      <c r="Q553" s="1" t="s">
        <v>27</v>
      </c>
      <c r="R553" s="3">
        <v>1121.568</v>
      </c>
      <c r="S553" s="1">
        <v>9.0</v>
      </c>
      <c r="T553" s="4">
        <v>1120.83</v>
      </c>
    </row>
    <row r="554">
      <c r="A554" s="1" t="s">
        <v>1038</v>
      </c>
      <c r="B554" s="2">
        <v>43413.0</v>
      </c>
      <c r="C554" s="2" t="str">
        <f t="shared" si="1"/>
        <v>Nov</v>
      </c>
      <c r="D554" s="6">
        <v>43443.0</v>
      </c>
      <c r="E554" s="1" t="s">
        <v>121</v>
      </c>
      <c r="F554" s="1" t="s">
        <v>301</v>
      </c>
      <c r="G554" s="1" t="s">
        <v>302</v>
      </c>
      <c r="H554" s="1" t="str">
        <f>IFERROR(__xludf.DUMMYFUNCTION("split(G554,"" "")"),"Ryan")</f>
        <v>Ryan</v>
      </c>
      <c r="I554" s="1" t="str">
        <f>IFERROR(__xludf.DUMMYFUNCTION("""COMPUTED_VALUE"""),"Crowe")</f>
        <v>Crowe</v>
      </c>
      <c r="J554" s="1" t="s">
        <v>23</v>
      </c>
      <c r="K554" s="1" t="s">
        <v>849</v>
      </c>
      <c r="L554" s="1" t="str">
        <f t="shared" si="2"/>
        <v>Jacksonville</v>
      </c>
      <c r="M554" s="1" t="s">
        <v>145</v>
      </c>
      <c r="N554" s="1" t="str">
        <f t="shared" si="3"/>
        <v>Florida</v>
      </c>
      <c r="O554" s="1">
        <v>32216.0</v>
      </c>
      <c r="P554" s="1" t="s">
        <v>26</v>
      </c>
      <c r="Q554" s="1" t="s">
        <v>27</v>
      </c>
      <c r="R554" s="3">
        <v>34.504</v>
      </c>
      <c r="S554" s="1">
        <v>3.0</v>
      </c>
      <c r="T554" s="4">
        <v>33.8</v>
      </c>
    </row>
    <row r="555">
      <c r="A555" s="1" t="s">
        <v>1039</v>
      </c>
      <c r="B555" s="2">
        <v>43428.0</v>
      </c>
      <c r="C555" s="2" t="str">
        <f t="shared" si="1"/>
        <v>Nov</v>
      </c>
      <c r="D555" s="1" t="s">
        <v>281</v>
      </c>
      <c r="E555" s="1" t="s">
        <v>41</v>
      </c>
      <c r="F555" s="1" t="s">
        <v>1040</v>
      </c>
      <c r="G555" s="1" t="s">
        <v>1041</v>
      </c>
      <c r="H555" s="1" t="str">
        <f>IFERROR(__xludf.DUMMYFUNCTION("split(G555,"" "")"),"Greg")</f>
        <v>Greg</v>
      </c>
      <c r="I555" s="1" t="str">
        <f>IFERROR(__xludf.DUMMYFUNCTION("""COMPUTED_VALUE"""),"Tran")</f>
        <v>Tran</v>
      </c>
      <c r="J555" s="1" t="s">
        <v>23</v>
      </c>
      <c r="K555" s="1" t="s">
        <v>129</v>
      </c>
      <c r="L555" s="1" t="str">
        <f t="shared" si="2"/>
        <v>Houston</v>
      </c>
      <c r="M555" s="1" t="s">
        <v>70</v>
      </c>
      <c r="N555" s="1" t="str">
        <f t="shared" si="3"/>
        <v>Texas</v>
      </c>
      <c r="O555" s="1">
        <v>77070.0</v>
      </c>
      <c r="P555" s="1" t="s">
        <v>71</v>
      </c>
      <c r="Q555" s="1" t="s">
        <v>38</v>
      </c>
      <c r="R555" s="3">
        <v>10.824</v>
      </c>
      <c r="S555" s="1">
        <v>7.0</v>
      </c>
      <c r="T555" s="4">
        <v>10.04</v>
      </c>
    </row>
    <row r="556">
      <c r="A556" s="1" t="s">
        <v>1042</v>
      </c>
      <c r="B556" s="2">
        <v>43280.0</v>
      </c>
      <c r="C556" s="2" t="str">
        <f t="shared" si="1"/>
        <v>Jun</v>
      </c>
      <c r="D556" s="6">
        <v>43166.0</v>
      </c>
      <c r="E556" s="1" t="s">
        <v>20</v>
      </c>
      <c r="F556" s="1" t="s">
        <v>753</v>
      </c>
      <c r="G556" s="1" t="s">
        <v>754</v>
      </c>
      <c r="H556" s="1" t="str">
        <f>IFERROR(__xludf.DUMMYFUNCTION("split(G556,"" "")"),"Dean")</f>
        <v>Dean</v>
      </c>
      <c r="I556" s="1" t="str">
        <f>IFERROR(__xludf.DUMMYFUNCTION("""COMPUTED_VALUE"""),"Katz")</f>
        <v>Katz</v>
      </c>
      <c r="J556" s="1" t="s">
        <v>34</v>
      </c>
      <c r="K556" s="1" t="s">
        <v>1043</v>
      </c>
      <c r="L556" s="1" t="str">
        <f t="shared" si="2"/>
        <v>Anaheim</v>
      </c>
      <c r="M556" s="1" t="s">
        <v>52</v>
      </c>
      <c r="N556" s="1" t="str">
        <f t="shared" si="3"/>
        <v>California</v>
      </c>
      <c r="O556" s="1">
        <v>92804.0</v>
      </c>
      <c r="P556" s="1" t="s">
        <v>37</v>
      </c>
      <c r="Q556" s="1" t="s">
        <v>38</v>
      </c>
      <c r="R556" s="3">
        <v>1295.78</v>
      </c>
      <c r="S556" s="1">
        <v>9.0</v>
      </c>
      <c r="T556" s="4">
        <v>1295.24</v>
      </c>
    </row>
    <row r="557">
      <c r="A557" s="1" t="s">
        <v>1044</v>
      </c>
      <c r="B557" s="2">
        <v>42066.0</v>
      </c>
      <c r="C557" s="2" t="str">
        <f t="shared" si="1"/>
        <v>Mar</v>
      </c>
      <c r="D557" s="6">
        <v>42188.0</v>
      </c>
      <c r="E557" s="1" t="s">
        <v>20</v>
      </c>
      <c r="F557" s="1" t="s">
        <v>1045</v>
      </c>
      <c r="G557" s="1" t="s">
        <v>1046</v>
      </c>
      <c r="H557" s="1" t="str">
        <f>IFERROR(__xludf.DUMMYFUNCTION("split(G557,"" "")"),"Ashley")</f>
        <v>Ashley</v>
      </c>
      <c r="I557" s="1" t="str">
        <f>IFERROR(__xludf.DUMMYFUNCTION("""COMPUTED_VALUE"""),"Jarboe")</f>
        <v>Jarboe</v>
      </c>
      <c r="J557" s="1" t="s">
        <v>23</v>
      </c>
      <c r="K557" s="1" t="s">
        <v>315</v>
      </c>
      <c r="L557" s="1" t="str">
        <f t="shared" si="2"/>
        <v>Wilmington</v>
      </c>
      <c r="M557" s="1" t="s">
        <v>58</v>
      </c>
      <c r="N557" s="1" t="str">
        <f t="shared" si="3"/>
        <v>North Carolina</v>
      </c>
      <c r="O557" s="1">
        <v>28403.0</v>
      </c>
      <c r="P557" s="1" t="s">
        <v>26</v>
      </c>
      <c r="Q557" s="1" t="s">
        <v>38</v>
      </c>
      <c r="R557" s="3">
        <v>19.456</v>
      </c>
      <c r="S557" s="1">
        <v>2.0</v>
      </c>
      <c r="T557" s="4">
        <v>18.87</v>
      </c>
    </row>
    <row r="558">
      <c r="A558" s="1" t="s">
        <v>1047</v>
      </c>
      <c r="B558" s="2">
        <v>43014.0</v>
      </c>
      <c r="C558" s="2" t="str">
        <f t="shared" si="1"/>
        <v>Oct</v>
      </c>
      <c r="D558" s="1" t="s">
        <v>216</v>
      </c>
      <c r="E558" s="1" t="s">
        <v>41</v>
      </c>
      <c r="F558" s="1" t="s">
        <v>1048</v>
      </c>
      <c r="G558" s="1" t="s">
        <v>1049</v>
      </c>
      <c r="H558" s="1" t="str">
        <f>IFERROR(__xludf.DUMMYFUNCTION("split(G558,"" "")"),"Olvera")</f>
        <v>Olvera</v>
      </c>
      <c r="I558" s="1" t="str">
        <f>IFERROR(__xludf.DUMMYFUNCTION("""COMPUTED_VALUE"""),"Toch")</f>
        <v>Toch</v>
      </c>
      <c r="J558" s="1" t="s">
        <v>23</v>
      </c>
      <c r="K558" s="1" t="s">
        <v>35</v>
      </c>
      <c r="L558" s="1" t="str">
        <f t="shared" si="2"/>
        <v>Los Angeles</v>
      </c>
      <c r="M558" s="1" t="s">
        <v>52</v>
      </c>
      <c r="N558" s="1" t="str">
        <f t="shared" si="3"/>
        <v>California</v>
      </c>
      <c r="O558" s="1">
        <v>90045.0</v>
      </c>
      <c r="P558" s="1" t="s">
        <v>37</v>
      </c>
      <c r="Q558" s="1" t="s">
        <v>38</v>
      </c>
      <c r="R558" s="3">
        <v>20.7</v>
      </c>
      <c r="S558" s="1">
        <v>9.0</v>
      </c>
      <c r="T558" s="4">
        <v>20.46</v>
      </c>
    </row>
    <row r="559">
      <c r="A559" s="1" t="s">
        <v>1047</v>
      </c>
      <c r="B559" s="2">
        <v>43014.0</v>
      </c>
      <c r="C559" s="2" t="str">
        <f t="shared" si="1"/>
        <v>Oct</v>
      </c>
      <c r="D559" s="1" t="s">
        <v>216</v>
      </c>
      <c r="E559" s="1" t="s">
        <v>41</v>
      </c>
      <c r="F559" s="1" t="s">
        <v>1048</v>
      </c>
      <c r="G559" s="1" t="s">
        <v>1049</v>
      </c>
      <c r="H559" s="1" t="str">
        <f>IFERROR(__xludf.DUMMYFUNCTION("split(G559,"" "")"),"Olvera")</f>
        <v>Olvera</v>
      </c>
      <c r="I559" s="1" t="str">
        <f>IFERROR(__xludf.DUMMYFUNCTION("""COMPUTED_VALUE"""),"Toch")</f>
        <v>Toch</v>
      </c>
      <c r="J559" s="1" t="s">
        <v>23</v>
      </c>
      <c r="K559" s="1" t="s">
        <v>35</v>
      </c>
      <c r="L559" s="1" t="str">
        <f t="shared" si="2"/>
        <v>Los Angeles</v>
      </c>
      <c r="M559" s="1" t="s">
        <v>52</v>
      </c>
      <c r="N559" s="1" t="str">
        <f t="shared" si="3"/>
        <v>California</v>
      </c>
      <c r="O559" s="1">
        <v>90045.0</v>
      </c>
      <c r="P559" s="1" t="s">
        <v>37</v>
      </c>
      <c r="Q559" s="1" t="s">
        <v>27</v>
      </c>
      <c r="R559" s="3">
        <v>1335.68</v>
      </c>
      <c r="S559" s="1">
        <v>9.0</v>
      </c>
      <c r="T559" s="4">
        <v>1335.12</v>
      </c>
    </row>
    <row r="560">
      <c r="A560" s="1" t="s">
        <v>1047</v>
      </c>
      <c r="B560" s="2">
        <v>43014.0</v>
      </c>
      <c r="C560" s="2" t="str">
        <f t="shared" si="1"/>
        <v>Oct</v>
      </c>
      <c r="D560" s="1" t="s">
        <v>216</v>
      </c>
      <c r="E560" s="1" t="s">
        <v>41</v>
      </c>
      <c r="F560" s="1" t="s">
        <v>1048</v>
      </c>
      <c r="G560" s="1" t="s">
        <v>1049</v>
      </c>
      <c r="H560" s="1" t="str">
        <f>IFERROR(__xludf.DUMMYFUNCTION("split(G560,"" "")"),"Olvera")</f>
        <v>Olvera</v>
      </c>
      <c r="I560" s="1" t="str">
        <f>IFERROR(__xludf.DUMMYFUNCTION("""COMPUTED_VALUE"""),"Toch")</f>
        <v>Toch</v>
      </c>
      <c r="J560" s="1" t="s">
        <v>23</v>
      </c>
      <c r="K560" s="1" t="s">
        <v>35</v>
      </c>
      <c r="L560" s="1" t="str">
        <f t="shared" si="2"/>
        <v>Los Angeles</v>
      </c>
      <c r="M560" s="1" t="s">
        <v>52</v>
      </c>
      <c r="N560" s="1" t="str">
        <f t="shared" si="3"/>
        <v>California</v>
      </c>
      <c r="O560" s="1">
        <v>90045.0</v>
      </c>
      <c r="P560" s="1" t="s">
        <v>37</v>
      </c>
      <c r="Q560" s="1" t="s">
        <v>38</v>
      </c>
      <c r="R560" s="3">
        <v>32.4</v>
      </c>
      <c r="S560" s="1">
        <v>9.0</v>
      </c>
      <c r="T560" s="4">
        <v>31.82</v>
      </c>
    </row>
    <row r="561">
      <c r="A561" s="1" t="s">
        <v>1050</v>
      </c>
      <c r="B561" s="2">
        <v>43424.0</v>
      </c>
      <c r="C561" s="2" t="str">
        <f t="shared" si="1"/>
        <v>Nov</v>
      </c>
      <c r="D561" s="1" t="s">
        <v>1030</v>
      </c>
      <c r="E561" s="1" t="s">
        <v>20</v>
      </c>
      <c r="F561" s="1" t="s">
        <v>1051</v>
      </c>
      <c r="G561" s="1" t="s">
        <v>1052</v>
      </c>
      <c r="H561" s="1" t="str">
        <f>IFERROR(__xludf.DUMMYFUNCTION("split(G561,"" "")"),"Liz")</f>
        <v>Liz</v>
      </c>
      <c r="I561" s="1" t="str">
        <f>IFERROR(__xludf.DUMMYFUNCTION("""COMPUTED_VALUE"""),"Pelletier")</f>
        <v>Pelletier</v>
      </c>
      <c r="J561" s="1" t="s">
        <v>23</v>
      </c>
      <c r="K561" s="1" t="s">
        <v>87</v>
      </c>
      <c r="L561" s="1" t="str">
        <f t="shared" si="2"/>
        <v>San Francisco</v>
      </c>
      <c r="M561" s="1" t="s">
        <v>52</v>
      </c>
      <c r="N561" s="1" t="str">
        <f t="shared" si="3"/>
        <v>California</v>
      </c>
      <c r="O561" s="1">
        <v>94110.0</v>
      </c>
      <c r="P561" s="1" t="s">
        <v>37</v>
      </c>
      <c r="Q561" s="1" t="s">
        <v>27</v>
      </c>
      <c r="R561" s="3">
        <v>42.6</v>
      </c>
      <c r="S561" s="1">
        <v>9.0</v>
      </c>
      <c r="T561" s="4">
        <v>41.71</v>
      </c>
    </row>
    <row r="562">
      <c r="A562" s="1" t="s">
        <v>1050</v>
      </c>
      <c r="B562" s="2">
        <v>43424.0</v>
      </c>
      <c r="C562" s="2" t="str">
        <f t="shared" si="1"/>
        <v>Nov</v>
      </c>
      <c r="D562" s="1" t="s">
        <v>1030</v>
      </c>
      <c r="E562" s="1" t="s">
        <v>20</v>
      </c>
      <c r="F562" s="1" t="s">
        <v>1051</v>
      </c>
      <c r="G562" s="1" t="s">
        <v>1052</v>
      </c>
      <c r="H562" s="1" t="str">
        <f>IFERROR(__xludf.DUMMYFUNCTION("split(G562,"" "")"),"Liz")</f>
        <v>Liz</v>
      </c>
      <c r="I562" s="1" t="str">
        <f>IFERROR(__xludf.DUMMYFUNCTION("""COMPUTED_VALUE"""),"Pelletier")</f>
        <v>Pelletier</v>
      </c>
      <c r="J562" s="1" t="s">
        <v>23</v>
      </c>
      <c r="K562" s="1" t="s">
        <v>87</v>
      </c>
      <c r="L562" s="1" t="str">
        <f t="shared" si="2"/>
        <v>San Francisco</v>
      </c>
      <c r="M562" s="1" t="s">
        <v>52</v>
      </c>
      <c r="N562" s="1" t="str">
        <f t="shared" si="3"/>
        <v>California</v>
      </c>
      <c r="O562" s="1">
        <v>94110.0</v>
      </c>
      <c r="P562" s="1" t="s">
        <v>37</v>
      </c>
      <c r="Q562" s="1" t="s">
        <v>38</v>
      </c>
      <c r="R562" s="3">
        <v>84.056</v>
      </c>
      <c r="S562" s="1">
        <v>9.0</v>
      </c>
      <c r="T562" s="4">
        <v>83.54</v>
      </c>
    </row>
    <row r="563">
      <c r="A563" s="1" t="s">
        <v>1053</v>
      </c>
      <c r="B563" s="2">
        <v>42261.0</v>
      </c>
      <c r="C563" s="2" t="str">
        <f t="shared" si="1"/>
        <v>Sep</v>
      </c>
      <c r="D563" s="1" t="s">
        <v>1054</v>
      </c>
      <c r="E563" s="1" t="s">
        <v>20</v>
      </c>
      <c r="F563" s="1" t="s">
        <v>1055</v>
      </c>
      <c r="G563" s="1" t="s">
        <v>1056</v>
      </c>
      <c r="H563" s="1" t="str">
        <f>IFERROR(__xludf.DUMMYFUNCTION("split(G563,"" "")"),"Cynthia")</f>
        <v>Cynthia</v>
      </c>
      <c r="I563" s="1" t="str">
        <f>IFERROR(__xludf.DUMMYFUNCTION("""COMPUTED_VALUE"""),"Arntzen")</f>
        <v>Arntzen</v>
      </c>
      <c r="J563" s="1" t="s">
        <v>23</v>
      </c>
      <c r="K563" s="1" t="s">
        <v>522</v>
      </c>
      <c r="L563" s="1" t="str">
        <f t="shared" si="2"/>
        <v>Tampa</v>
      </c>
      <c r="M563" s="1" t="s">
        <v>145</v>
      </c>
      <c r="N563" s="1" t="str">
        <f t="shared" si="3"/>
        <v>Florida</v>
      </c>
      <c r="O563" s="1">
        <v>33614.0</v>
      </c>
      <c r="P563" s="1" t="s">
        <v>26</v>
      </c>
      <c r="Q563" s="1" t="s">
        <v>38</v>
      </c>
      <c r="R563" s="3">
        <v>13.0</v>
      </c>
      <c r="S563" s="1">
        <v>3.0</v>
      </c>
      <c r="T563" s="4">
        <v>12.2</v>
      </c>
    </row>
    <row r="564">
      <c r="A564" s="1" t="s">
        <v>1053</v>
      </c>
      <c r="B564" s="2">
        <v>42261.0</v>
      </c>
      <c r="C564" s="2" t="str">
        <f t="shared" si="1"/>
        <v>Sep</v>
      </c>
      <c r="D564" s="1" t="s">
        <v>1054</v>
      </c>
      <c r="E564" s="1" t="s">
        <v>20</v>
      </c>
      <c r="F564" s="1" t="s">
        <v>1055</v>
      </c>
      <c r="G564" s="1" t="s">
        <v>1056</v>
      </c>
      <c r="H564" s="1" t="str">
        <f>IFERROR(__xludf.DUMMYFUNCTION("split(G564,"" "")"),"Cynthia")</f>
        <v>Cynthia</v>
      </c>
      <c r="I564" s="1" t="str">
        <f>IFERROR(__xludf.DUMMYFUNCTION("""COMPUTED_VALUE"""),"Arntzen")</f>
        <v>Arntzen</v>
      </c>
      <c r="J564" s="1" t="s">
        <v>23</v>
      </c>
      <c r="K564" s="1" t="s">
        <v>522</v>
      </c>
      <c r="L564" s="1" t="str">
        <f t="shared" si="2"/>
        <v>Tampa</v>
      </c>
      <c r="M564" s="1" t="s">
        <v>145</v>
      </c>
      <c r="N564" s="1" t="str">
        <f t="shared" si="3"/>
        <v>Florida</v>
      </c>
      <c r="O564" s="1">
        <v>33614.0</v>
      </c>
      <c r="P564" s="1" t="s">
        <v>26</v>
      </c>
      <c r="Q564" s="1" t="s">
        <v>27</v>
      </c>
      <c r="R564" s="3">
        <v>13.128</v>
      </c>
      <c r="S564" s="1">
        <v>3.0</v>
      </c>
      <c r="T564" s="4">
        <v>13.05</v>
      </c>
    </row>
    <row r="565">
      <c r="A565" s="1" t="s">
        <v>1057</v>
      </c>
      <c r="B565" s="2">
        <v>42563.0</v>
      </c>
      <c r="C565" s="2" t="str">
        <f t="shared" si="1"/>
        <v>Jul</v>
      </c>
      <c r="D565" s="6">
        <v>42625.0</v>
      </c>
      <c r="E565" s="1" t="s">
        <v>121</v>
      </c>
      <c r="F565" s="1" t="s">
        <v>1058</v>
      </c>
      <c r="G565" s="1" t="s">
        <v>1059</v>
      </c>
      <c r="H565" s="1" t="str">
        <f>IFERROR(__xludf.DUMMYFUNCTION("split(G565,"" "")"),"Jeremy")</f>
        <v>Jeremy</v>
      </c>
      <c r="I565" s="1" t="str">
        <f>IFERROR(__xludf.DUMMYFUNCTION("""COMPUTED_VALUE"""),"Farry")</f>
        <v>Farry</v>
      </c>
      <c r="J565" s="1" t="s">
        <v>23</v>
      </c>
      <c r="K565" s="1" t="s">
        <v>62</v>
      </c>
      <c r="L565" s="1" t="str">
        <f t="shared" si="2"/>
        <v>Seattle</v>
      </c>
      <c r="M565" s="1" t="s">
        <v>63</v>
      </c>
      <c r="N565" s="1" t="str">
        <f t="shared" si="3"/>
        <v>Washington</v>
      </c>
      <c r="O565" s="1">
        <v>98105.0</v>
      </c>
      <c r="P565" s="1" t="s">
        <v>37</v>
      </c>
      <c r="Q565" s="1" t="s">
        <v>38</v>
      </c>
      <c r="R565" s="3">
        <v>3.96</v>
      </c>
      <c r="S565" s="1">
        <v>9.0</v>
      </c>
      <c r="T565" s="4">
        <v>3.3</v>
      </c>
    </row>
    <row r="566">
      <c r="A566" s="1" t="s">
        <v>1057</v>
      </c>
      <c r="B566" s="2">
        <v>42563.0</v>
      </c>
      <c r="C566" s="2" t="str">
        <f t="shared" si="1"/>
        <v>Jul</v>
      </c>
      <c r="D566" s="6">
        <v>42625.0</v>
      </c>
      <c r="E566" s="1" t="s">
        <v>121</v>
      </c>
      <c r="F566" s="1" t="s">
        <v>1058</v>
      </c>
      <c r="G566" s="1" t="s">
        <v>1059</v>
      </c>
      <c r="H566" s="1" t="str">
        <f>IFERROR(__xludf.DUMMYFUNCTION("split(G566,"" "")"),"Jeremy")</f>
        <v>Jeremy</v>
      </c>
      <c r="I566" s="1" t="str">
        <f>IFERROR(__xludf.DUMMYFUNCTION("""COMPUTED_VALUE"""),"Farry")</f>
        <v>Farry</v>
      </c>
      <c r="J566" s="1" t="s">
        <v>23</v>
      </c>
      <c r="K566" s="1" t="s">
        <v>62</v>
      </c>
      <c r="L566" s="1" t="str">
        <f t="shared" si="2"/>
        <v>Seattle</v>
      </c>
      <c r="M566" s="1" t="s">
        <v>63</v>
      </c>
      <c r="N566" s="1" t="str">
        <f t="shared" si="3"/>
        <v>Washington</v>
      </c>
      <c r="O566" s="1">
        <v>98105.0</v>
      </c>
      <c r="P566" s="1" t="s">
        <v>37</v>
      </c>
      <c r="Q566" s="1" t="s">
        <v>38</v>
      </c>
      <c r="R566" s="3">
        <v>2.61</v>
      </c>
      <c r="S566" s="1">
        <v>9.0</v>
      </c>
      <c r="T566" s="4">
        <v>2.36</v>
      </c>
    </row>
    <row r="567">
      <c r="A567" s="1" t="s">
        <v>1060</v>
      </c>
      <c r="B567" s="2">
        <v>43293.0</v>
      </c>
      <c r="C567" s="2" t="str">
        <f t="shared" si="1"/>
        <v>Jul</v>
      </c>
      <c r="D567" s="5">
        <v>43385.0</v>
      </c>
      <c r="E567" s="1" t="s">
        <v>121</v>
      </c>
      <c r="F567" s="1" t="s">
        <v>1061</v>
      </c>
      <c r="G567" s="1" t="s">
        <v>1062</v>
      </c>
      <c r="H567" s="1" t="str">
        <f>IFERROR(__xludf.DUMMYFUNCTION("split(G567,"" "")"),"Frank")</f>
        <v>Frank</v>
      </c>
      <c r="I567" s="1" t="str">
        <f>IFERROR(__xludf.DUMMYFUNCTION("""COMPUTED_VALUE"""),"Preis")</f>
        <v>Preis</v>
      </c>
      <c r="J567" s="1" t="s">
        <v>23</v>
      </c>
      <c r="K567" s="1" t="s">
        <v>35</v>
      </c>
      <c r="L567" s="1" t="str">
        <f t="shared" si="2"/>
        <v>Los Angeles</v>
      </c>
      <c r="M567" s="1" t="s">
        <v>52</v>
      </c>
      <c r="N567" s="1" t="str">
        <f t="shared" si="3"/>
        <v>California</v>
      </c>
      <c r="O567" s="1">
        <v>90008.0</v>
      </c>
      <c r="P567" s="1" t="s">
        <v>37</v>
      </c>
      <c r="Q567" s="1" t="s">
        <v>51</v>
      </c>
      <c r="R567" s="3">
        <v>374.376</v>
      </c>
      <c r="S567" s="1">
        <v>9.0</v>
      </c>
      <c r="T567" s="4">
        <v>373.52</v>
      </c>
    </row>
    <row r="568">
      <c r="A568" s="1" t="s">
        <v>1063</v>
      </c>
      <c r="B568" s="2">
        <v>43110.0</v>
      </c>
      <c r="C568" s="2" t="str">
        <f t="shared" si="1"/>
        <v>Jan</v>
      </c>
      <c r="D568" s="6">
        <v>43322.0</v>
      </c>
      <c r="E568" s="1" t="s">
        <v>41</v>
      </c>
      <c r="F568" s="1" t="s">
        <v>1064</v>
      </c>
      <c r="G568" s="1" t="s">
        <v>1065</v>
      </c>
      <c r="H568" s="1" t="str">
        <f>IFERROR(__xludf.DUMMYFUNCTION("split(G568,"" "")"),"Ellis")</f>
        <v>Ellis</v>
      </c>
      <c r="I568" s="1" t="str">
        <f>IFERROR(__xludf.DUMMYFUNCTION("""COMPUTED_VALUE"""),"Ballard")</f>
        <v>Ballard</v>
      </c>
      <c r="J568" s="1" t="s">
        <v>34</v>
      </c>
      <c r="K568" s="1" t="s">
        <v>62</v>
      </c>
      <c r="L568" s="1" t="str">
        <f t="shared" si="2"/>
        <v>Seattle</v>
      </c>
      <c r="M568" s="1" t="s">
        <v>63</v>
      </c>
      <c r="N568" s="1" t="str">
        <f t="shared" si="3"/>
        <v>Washington</v>
      </c>
      <c r="O568" s="1">
        <v>98105.0</v>
      </c>
      <c r="P568" s="1" t="s">
        <v>37</v>
      </c>
      <c r="Q568" s="1" t="s">
        <v>38</v>
      </c>
      <c r="R568" s="3">
        <v>91.84</v>
      </c>
      <c r="S568" s="1">
        <v>9.0</v>
      </c>
      <c r="T568" s="4">
        <v>91.28</v>
      </c>
    </row>
    <row r="569">
      <c r="A569" s="1" t="s">
        <v>1063</v>
      </c>
      <c r="B569" s="2">
        <v>43110.0</v>
      </c>
      <c r="C569" s="2" t="str">
        <f t="shared" si="1"/>
        <v>Jan</v>
      </c>
      <c r="D569" s="6">
        <v>43322.0</v>
      </c>
      <c r="E569" s="1" t="s">
        <v>41</v>
      </c>
      <c r="F569" s="1" t="s">
        <v>1064</v>
      </c>
      <c r="G569" s="1" t="s">
        <v>1065</v>
      </c>
      <c r="H569" s="1" t="str">
        <f>IFERROR(__xludf.DUMMYFUNCTION("split(G569,"" "")"),"Ellis")</f>
        <v>Ellis</v>
      </c>
      <c r="I569" s="1" t="str">
        <f>IFERROR(__xludf.DUMMYFUNCTION("""COMPUTED_VALUE"""),"Ballard")</f>
        <v>Ballard</v>
      </c>
      <c r="J569" s="1" t="s">
        <v>34</v>
      </c>
      <c r="K569" s="1" t="s">
        <v>62</v>
      </c>
      <c r="L569" s="1" t="str">
        <f t="shared" si="2"/>
        <v>Seattle</v>
      </c>
      <c r="M569" s="1" t="s">
        <v>63</v>
      </c>
      <c r="N569" s="1" t="str">
        <f t="shared" si="3"/>
        <v>Washington</v>
      </c>
      <c r="O569" s="1">
        <v>98105.0</v>
      </c>
      <c r="P569" s="1" t="s">
        <v>37</v>
      </c>
      <c r="Q569" s="1" t="s">
        <v>38</v>
      </c>
      <c r="R569" s="3">
        <v>81.088</v>
      </c>
      <c r="S569" s="1">
        <v>9.0</v>
      </c>
      <c r="T569" s="4">
        <v>80.34</v>
      </c>
    </row>
    <row r="570">
      <c r="A570" s="1" t="s">
        <v>1063</v>
      </c>
      <c r="B570" s="2">
        <v>43110.0</v>
      </c>
      <c r="C570" s="2" t="str">
        <f t="shared" si="1"/>
        <v>Jan</v>
      </c>
      <c r="D570" s="6">
        <v>43322.0</v>
      </c>
      <c r="E570" s="1" t="s">
        <v>41</v>
      </c>
      <c r="F570" s="1" t="s">
        <v>1064</v>
      </c>
      <c r="G570" s="1" t="s">
        <v>1065</v>
      </c>
      <c r="H570" s="1" t="str">
        <f>IFERROR(__xludf.DUMMYFUNCTION("split(G570,"" "")"),"Ellis")</f>
        <v>Ellis</v>
      </c>
      <c r="I570" s="1" t="str">
        <f>IFERROR(__xludf.DUMMYFUNCTION("""COMPUTED_VALUE"""),"Ballard")</f>
        <v>Ballard</v>
      </c>
      <c r="J570" s="1" t="s">
        <v>34</v>
      </c>
      <c r="K570" s="1" t="s">
        <v>62</v>
      </c>
      <c r="L570" s="1" t="str">
        <f t="shared" si="2"/>
        <v>Seattle</v>
      </c>
      <c r="M570" s="1" t="s">
        <v>63</v>
      </c>
      <c r="N570" s="1" t="str">
        <f t="shared" si="3"/>
        <v>Washington</v>
      </c>
      <c r="O570" s="1">
        <v>98105.0</v>
      </c>
      <c r="P570" s="1" t="s">
        <v>37</v>
      </c>
      <c r="Q570" s="1" t="s">
        <v>38</v>
      </c>
      <c r="R570" s="3">
        <v>19.44</v>
      </c>
      <c r="S570" s="1">
        <v>9.0</v>
      </c>
      <c r="T570" s="4">
        <v>19.24</v>
      </c>
    </row>
    <row r="571">
      <c r="A571" s="1" t="s">
        <v>1063</v>
      </c>
      <c r="B571" s="2">
        <v>43110.0</v>
      </c>
      <c r="C571" s="2" t="str">
        <f t="shared" si="1"/>
        <v>Jan</v>
      </c>
      <c r="D571" s="6">
        <v>43322.0</v>
      </c>
      <c r="E571" s="1" t="s">
        <v>41</v>
      </c>
      <c r="F571" s="1" t="s">
        <v>1064</v>
      </c>
      <c r="G571" s="1" t="s">
        <v>1065</v>
      </c>
      <c r="H571" s="1" t="str">
        <f>IFERROR(__xludf.DUMMYFUNCTION("split(G571,"" "")"),"Ellis")</f>
        <v>Ellis</v>
      </c>
      <c r="I571" s="1" t="str">
        <f>IFERROR(__xludf.DUMMYFUNCTION("""COMPUTED_VALUE"""),"Ballard")</f>
        <v>Ballard</v>
      </c>
      <c r="J571" s="1" t="s">
        <v>34</v>
      </c>
      <c r="K571" s="1" t="s">
        <v>62</v>
      </c>
      <c r="L571" s="1" t="str">
        <f t="shared" si="2"/>
        <v>Seattle</v>
      </c>
      <c r="M571" s="1" t="s">
        <v>63</v>
      </c>
      <c r="N571" s="1" t="str">
        <f t="shared" si="3"/>
        <v>Washington</v>
      </c>
      <c r="O571" s="1">
        <v>98105.0</v>
      </c>
      <c r="P571" s="1" t="s">
        <v>37</v>
      </c>
      <c r="Q571" s="1" t="s">
        <v>27</v>
      </c>
      <c r="R571" s="3">
        <v>451.152</v>
      </c>
      <c r="S571" s="1">
        <v>9.0</v>
      </c>
      <c r="T571" s="4">
        <v>450.79</v>
      </c>
    </row>
    <row r="572">
      <c r="A572" s="1" t="s">
        <v>1066</v>
      </c>
      <c r="B572" s="2">
        <v>43462.0</v>
      </c>
      <c r="C572" s="2" t="str">
        <f t="shared" si="1"/>
        <v>Dec</v>
      </c>
      <c r="D572" s="6">
        <v>43556.0</v>
      </c>
      <c r="E572" s="1" t="s">
        <v>41</v>
      </c>
      <c r="F572" s="1" t="s">
        <v>1067</v>
      </c>
      <c r="G572" s="1" t="s">
        <v>1068</v>
      </c>
      <c r="H572" s="1" t="str">
        <f>IFERROR(__xludf.DUMMYFUNCTION("split(G572,"" "")"),"Jennifer")</f>
        <v>Jennifer</v>
      </c>
      <c r="I572" s="1" t="str">
        <f>IFERROR(__xludf.DUMMYFUNCTION("""COMPUTED_VALUE"""),"Ferguson")</f>
        <v>Ferguson</v>
      </c>
      <c r="J572" s="1" t="s">
        <v>23</v>
      </c>
      <c r="K572" s="1" t="s">
        <v>174</v>
      </c>
      <c r="L572" s="1" t="str">
        <f t="shared" si="2"/>
        <v>New York City</v>
      </c>
      <c r="M572" s="1" t="s">
        <v>175</v>
      </c>
      <c r="N572" s="1" t="str">
        <f t="shared" si="3"/>
        <v>New York</v>
      </c>
      <c r="O572" s="1">
        <v>10024.0</v>
      </c>
      <c r="P572" s="1" t="s">
        <v>100</v>
      </c>
      <c r="Q572" s="1" t="s">
        <v>38</v>
      </c>
      <c r="R572" s="3">
        <v>72.45</v>
      </c>
      <c r="S572" s="1">
        <v>1.0</v>
      </c>
      <c r="T572" s="4">
        <v>71.96</v>
      </c>
    </row>
    <row r="573">
      <c r="A573" s="1" t="s">
        <v>1066</v>
      </c>
      <c r="B573" s="2">
        <v>43462.0</v>
      </c>
      <c r="C573" s="2" t="str">
        <f t="shared" si="1"/>
        <v>Dec</v>
      </c>
      <c r="D573" s="6">
        <v>43556.0</v>
      </c>
      <c r="E573" s="1" t="s">
        <v>41</v>
      </c>
      <c r="F573" s="1" t="s">
        <v>1067</v>
      </c>
      <c r="G573" s="1" t="s">
        <v>1068</v>
      </c>
      <c r="H573" s="1" t="str">
        <f>IFERROR(__xludf.DUMMYFUNCTION("split(G573,"" "")"),"Jennifer")</f>
        <v>Jennifer</v>
      </c>
      <c r="I573" s="1" t="str">
        <f>IFERROR(__xludf.DUMMYFUNCTION("""COMPUTED_VALUE"""),"Ferguson")</f>
        <v>Ferguson</v>
      </c>
      <c r="J573" s="1" t="s">
        <v>23</v>
      </c>
      <c r="K573" s="1" t="s">
        <v>174</v>
      </c>
      <c r="L573" s="1" t="str">
        <f t="shared" si="2"/>
        <v>New York City</v>
      </c>
      <c r="M573" s="1" t="s">
        <v>175</v>
      </c>
      <c r="N573" s="1" t="str">
        <f t="shared" si="3"/>
        <v>New York</v>
      </c>
      <c r="O573" s="1">
        <v>10024.0</v>
      </c>
      <c r="P573" s="1" t="s">
        <v>100</v>
      </c>
      <c r="Q573" s="1" t="s">
        <v>38</v>
      </c>
      <c r="R573" s="3">
        <v>13.96</v>
      </c>
      <c r="S573" s="1">
        <v>1.0</v>
      </c>
      <c r="T573" s="4">
        <v>13.67</v>
      </c>
    </row>
    <row r="574">
      <c r="A574" s="1" t="s">
        <v>1066</v>
      </c>
      <c r="B574" s="2">
        <v>43462.0</v>
      </c>
      <c r="C574" s="2" t="str">
        <f t="shared" si="1"/>
        <v>Dec</v>
      </c>
      <c r="D574" s="6">
        <v>43556.0</v>
      </c>
      <c r="E574" s="1" t="s">
        <v>41</v>
      </c>
      <c r="F574" s="1" t="s">
        <v>1067</v>
      </c>
      <c r="G574" s="1" t="s">
        <v>1068</v>
      </c>
      <c r="H574" s="1" t="str">
        <f>IFERROR(__xludf.DUMMYFUNCTION("split(G574,"" "")"),"Jennifer")</f>
        <v>Jennifer</v>
      </c>
      <c r="I574" s="1" t="str">
        <f>IFERROR(__xludf.DUMMYFUNCTION("""COMPUTED_VALUE"""),"Ferguson")</f>
        <v>Ferguson</v>
      </c>
      <c r="J574" s="1" t="s">
        <v>23</v>
      </c>
      <c r="K574" s="1" t="s">
        <v>174</v>
      </c>
      <c r="L574" s="1" t="str">
        <f t="shared" si="2"/>
        <v>New York City</v>
      </c>
      <c r="M574" s="1" t="s">
        <v>175</v>
      </c>
      <c r="N574" s="1" t="str">
        <f t="shared" si="3"/>
        <v>New York</v>
      </c>
      <c r="O574" s="1">
        <v>10024.0</v>
      </c>
      <c r="P574" s="1" t="s">
        <v>100</v>
      </c>
      <c r="Q574" s="1" t="s">
        <v>38</v>
      </c>
      <c r="R574" s="3">
        <v>33.264</v>
      </c>
      <c r="S574" s="1">
        <v>1.0</v>
      </c>
      <c r="T574" s="4">
        <v>32.56</v>
      </c>
    </row>
    <row r="575">
      <c r="A575" s="1" t="s">
        <v>1066</v>
      </c>
      <c r="B575" s="2">
        <v>43462.0</v>
      </c>
      <c r="C575" s="2" t="str">
        <f t="shared" si="1"/>
        <v>Dec</v>
      </c>
      <c r="D575" s="6">
        <v>43556.0</v>
      </c>
      <c r="E575" s="1" t="s">
        <v>41</v>
      </c>
      <c r="F575" s="1" t="s">
        <v>1067</v>
      </c>
      <c r="G575" s="1" t="s">
        <v>1068</v>
      </c>
      <c r="H575" s="1" t="str">
        <f>IFERROR(__xludf.DUMMYFUNCTION("split(G575,"" "")"),"Jennifer")</f>
        <v>Jennifer</v>
      </c>
      <c r="I575" s="1" t="str">
        <f>IFERROR(__xludf.DUMMYFUNCTION("""COMPUTED_VALUE"""),"Ferguson")</f>
        <v>Ferguson</v>
      </c>
      <c r="J575" s="1" t="s">
        <v>23</v>
      </c>
      <c r="K575" s="1" t="s">
        <v>174</v>
      </c>
      <c r="L575" s="1" t="str">
        <f t="shared" si="2"/>
        <v>New York City</v>
      </c>
      <c r="M575" s="1" t="s">
        <v>175</v>
      </c>
      <c r="N575" s="1" t="str">
        <f t="shared" si="3"/>
        <v>New York</v>
      </c>
      <c r="O575" s="1">
        <v>10024.0</v>
      </c>
      <c r="P575" s="1" t="s">
        <v>100</v>
      </c>
      <c r="Q575" s="1" t="s">
        <v>51</v>
      </c>
      <c r="R575" s="3">
        <v>14.85</v>
      </c>
      <c r="S575" s="1">
        <v>1.0</v>
      </c>
      <c r="T575" s="4">
        <v>14.03</v>
      </c>
    </row>
    <row r="576">
      <c r="A576" s="1" t="s">
        <v>1069</v>
      </c>
      <c r="B576" s="2">
        <v>42805.0</v>
      </c>
      <c r="C576" s="2" t="str">
        <f t="shared" si="1"/>
        <v>Mar</v>
      </c>
      <c r="D576" s="6">
        <v>42927.0</v>
      </c>
      <c r="E576" s="1" t="s">
        <v>41</v>
      </c>
      <c r="F576" s="1" t="s">
        <v>1070</v>
      </c>
      <c r="G576" s="1" t="s">
        <v>1071</v>
      </c>
      <c r="H576" s="1" t="str">
        <f>IFERROR(__xludf.DUMMYFUNCTION("split(G576,"" "")"),"Sarah")</f>
        <v>Sarah</v>
      </c>
      <c r="I576" s="1" t="str">
        <f>IFERROR(__xludf.DUMMYFUNCTION("""COMPUTED_VALUE"""),"Foster")</f>
        <v>Foster</v>
      </c>
      <c r="J576" s="1" t="s">
        <v>23</v>
      </c>
      <c r="K576" s="1" t="s">
        <v>1072</v>
      </c>
      <c r="L576" s="1" t="str">
        <f t="shared" si="2"/>
        <v>Marysville</v>
      </c>
      <c r="M576" s="1" t="s">
        <v>63</v>
      </c>
      <c r="N576" s="1" t="str">
        <f t="shared" si="3"/>
        <v>Washington</v>
      </c>
      <c r="O576" s="1">
        <v>98270.0</v>
      </c>
      <c r="P576" s="1" t="s">
        <v>37</v>
      </c>
      <c r="Q576" s="1" t="s">
        <v>38</v>
      </c>
      <c r="R576" s="3">
        <v>8.82</v>
      </c>
      <c r="S576" s="1">
        <v>9.0</v>
      </c>
      <c r="T576" s="4">
        <v>7.93</v>
      </c>
    </row>
    <row r="577">
      <c r="A577" s="1" t="s">
        <v>1073</v>
      </c>
      <c r="B577" s="2">
        <v>42631.0</v>
      </c>
      <c r="C577" s="2" t="str">
        <f t="shared" si="1"/>
        <v>Sep</v>
      </c>
      <c r="D577" s="1" t="s">
        <v>1074</v>
      </c>
      <c r="E577" s="1" t="s">
        <v>20</v>
      </c>
      <c r="F577" s="1" t="s">
        <v>1075</v>
      </c>
      <c r="G577" s="1" t="s">
        <v>1076</v>
      </c>
      <c r="H577" s="1" t="str">
        <f>IFERROR(__xludf.DUMMYFUNCTION("split(G577,"" "")"),"Trudy")</f>
        <v>Trudy</v>
      </c>
      <c r="I577" s="1" t="str">
        <f>IFERROR(__xludf.DUMMYFUNCTION("""COMPUTED_VALUE"""),"Glocke")</f>
        <v>Glocke</v>
      </c>
      <c r="J577" s="1" t="s">
        <v>23</v>
      </c>
      <c r="K577" s="1" t="s">
        <v>654</v>
      </c>
      <c r="L577" s="1" t="str">
        <f t="shared" si="2"/>
        <v>Long Beach</v>
      </c>
      <c r="M577" s="1" t="s">
        <v>52</v>
      </c>
      <c r="N577" s="1" t="str">
        <f t="shared" si="3"/>
        <v>California</v>
      </c>
      <c r="O577" s="1">
        <v>90805.0</v>
      </c>
      <c r="P577" s="1" t="s">
        <v>37</v>
      </c>
      <c r="Q577" s="1" t="s">
        <v>38</v>
      </c>
      <c r="R577" s="3">
        <v>160.72</v>
      </c>
      <c r="S577" s="1">
        <v>9.0</v>
      </c>
      <c r="T577" s="4">
        <v>160.1</v>
      </c>
    </row>
    <row r="578">
      <c r="A578" s="1" t="s">
        <v>1073</v>
      </c>
      <c r="B578" s="2">
        <v>42631.0</v>
      </c>
      <c r="C578" s="2" t="str">
        <f t="shared" si="1"/>
        <v>Sep</v>
      </c>
      <c r="D578" s="1" t="s">
        <v>1074</v>
      </c>
      <c r="E578" s="1" t="s">
        <v>20</v>
      </c>
      <c r="F578" s="1" t="s">
        <v>1075</v>
      </c>
      <c r="G578" s="1" t="s">
        <v>1076</v>
      </c>
      <c r="H578" s="1" t="str">
        <f>IFERROR(__xludf.DUMMYFUNCTION("split(G578,"" "")"),"Trudy")</f>
        <v>Trudy</v>
      </c>
      <c r="I578" s="1" t="str">
        <f>IFERROR(__xludf.DUMMYFUNCTION("""COMPUTED_VALUE"""),"Glocke")</f>
        <v>Glocke</v>
      </c>
      <c r="J578" s="1" t="s">
        <v>23</v>
      </c>
      <c r="K578" s="1" t="s">
        <v>654</v>
      </c>
      <c r="L578" s="1" t="str">
        <f t="shared" si="2"/>
        <v>Long Beach</v>
      </c>
      <c r="M578" s="1" t="s">
        <v>52</v>
      </c>
      <c r="N578" s="1" t="str">
        <f t="shared" si="3"/>
        <v>California</v>
      </c>
      <c r="O578" s="1">
        <v>90805.0</v>
      </c>
      <c r="P578" s="1" t="s">
        <v>37</v>
      </c>
      <c r="Q578" s="1" t="s">
        <v>38</v>
      </c>
      <c r="R578" s="3">
        <v>19.92</v>
      </c>
      <c r="S578" s="1">
        <v>9.0</v>
      </c>
      <c r="T578" s="4">
        <v>19.4</v>
      </c>
    </row>
    <row r="579">
      <c r="A579" s="1" t="s">
        <v>1073</v>
      </c>
      <c r="B579" s="2">
        <v>42631.0</v>
      </c>
      <c r="C579" s="2" t="str">
        <f t="shared" si="1"/>
        <v>Sep</v>
      </c>
      <c r="D579" s="1" t="s">
        <v>1074</v>
      </c>
      <c r="E579" s="1" t="s">
        <v>20</v>
      </c>
      <c r="F579" s="1" t="s">
        <v>1075</v>
      </c>
      <c r="G579" s="1" t="s">
        <v>1076</v>
      </c>
      <c r="H579" s="1" t="str">
        <f>IFERROR(__xludf.DUMMYFUNCTION("split(G579,"" "")"),"Trudy")</f>
        <v>Trudy</v>
      </c>
      <c r="I579" s="1" t="str">
        <f>IFERROR(__xludf.DUMMYFUNCTION("""COMPUTED_VALUE"""),"Glocke")</f>
        <v>Glocke</v>
      </c>
      <c r="J579" s="1" t="s">
        <v>23</v>
      </c>
      <c r="K579" s="1" t="s">
        <v>654</v>
      </c>
      <c r="L579" s="1" t="str">
        <f t="shared" si="2"/>
        <v>Long Beach</v>
      </c>
      <c r="M579" s="1" t="s">
        <v>52</v>
      </c>
      <c r="N579" s="1" t="str">
        <f t="shared" si="3"/>
        <v>California</v>
      </c>
      <c r="O579" s="1">
        <v>90805.0</v>
      </c>
      <c r="P579" s="1" t="s">
        <v>37</v>
      </c>
      <c r="Q579" s="1" t="s">
        <v>38</v>
      </c>
      <c r="R579" s="3">
        <v>7.3</v>
      </c>
      <c r="S579" s="1">
        <v>9.0</v>
      </c>
      <c r="T579" s="4">
        <v>6.4</v>
      </c>
    </row>
    <row r="580">
      <c r="A580" s="1" t="s">
        <v>1077</v>
      </c>
      <c r="B580" s="2">
        <v>43301.0</v>
      </c>
      <c r="C580" s="2" t="str">
        <f t="shared" si="1"/>
        <v>Jul</v>
      </c>
      <c r="D580" s="1" t="s">
        <v>1078</v>
      </c>
      <c r="E580" s="1" t="s">
        <v>41</v>
      </c>
      <c r="F580" s="1" t="s">
        <v>1079</v>
      </c>
      <c r="G580" s="1" t="s">
        <v>1080</v>
      </c>
      <c r="H580" s="1" t="str">
        <f>IFERROR(__xludf.DUMMYFUNCTION("split(G580,"" "")"),"Carlos")</f>
        <v>Carlos</v>
      </c>
      <c r="I580" s="1" t="str">
        <f>IFERROR(__xludf.DUMMYFUNCTION("""COMPUTED_VALUE"""),"Soltero")</f>
        <v>Soltero</v>
      </c>
      <c r="J580" s="1" t="s">
        <v>23</v>
      </c>
      <c r="K580" s="1" t="s">
        <v>188</v>
      </c>
      <c r="L580" s="1" t="str">
        <f t="shared" si="2"/>
        <v>Chicago</v>
      </c>
      <c r="M580" s="1" t="s">
        <v>135</v>
      </c>
      <c r="N580" s="1" t="str">
        <f t="shared" si="3"/>
        <v>Illinois</v>
      </c>
      <c r="O580" s="1">
        <v>60610.0</v>
      </c>
      <c r="P580" s="1" t="s">
        <v>71</v>
      </c>
      <c r="Q580" s="1" t="s">
        <v>38</v>
      </c>
      <c r="R580" s="3">
        <v>69.712</v>
      </c>
      <c r="S580" s="1">
        <v>6.0</v>
      </c>
      <c r="T580" s="4">
        <v>69.08</v>
      </c>
    </row>
    <row r="581">
      <c r="A581" s="1" t="s">
        <v>1077</v>
      </c>
      <c r="B581" s="2">
        <v>43301.0</v>
      </c>
      <c r="C581" s="2" t="str">
        <f t="shared" si="1"/>
        <v>Jul</v>
      </c>
      <c r="D581" s="1" t="s">
        <v>1078</v>
      </c>
      <c r="E581" s="1" t="s">
        <v>41</v>
      </c>
      <c r="F581" s="1" t="s">
        <v>1079</v>
      </c>
      <c r="G581" s="1" t="s">
        <v>1080</v>
      </c>
      <c r="H581" s="1" t="str">
        <f>IFERROR(__xludf.DUMMYFUNCTION("split(G581,"" "")"),"Carlos")</f>
        <v>Carlos</v>
      </c>
      <c r="I581" s="1" t="str">
        <f>IFERROR(__xludf.DUMMYFUNCTION("""COMPUTED_VALUE"""),"Soltero")</f>
        <v>Soltero</v>
      </c>
      <c r="J581" s="1" t="s">
        <v>23</v>
      </c>
      <c r="K581" s="1" t="s">
        <v>188</v>
      </c>
      <c r="L581" s="1" t="str">
        <f t="shared" si="2"/>
        <v>Chicago</v>
      </c>
      <c r="M581" s="1" t="s">
        <v>135</v>
      </c>
      <c r="N581" s="1" t="str">
        <f t="shared" si="3"/>
        <v>Illinois</v>
      </c>
      <c r="O581" s="1">
        <v>60610.0</v>
      </c>
      <c r="P581" s="1" t="s">
        <v>71</v>
      </c>
      <c r="Q581" s="1" t="s">
        <v>27</v>
      </c>
      <c r="R581" s="3">
        <v>8.792</v>
      </c>
      <c r="S581" s="1">
        <v>6.0</v>
      </c>
      <c r="T581" s="4">
        <v>8.04</v>
      </c>
    </row>
    <row r="582">
      <c r="A582" s="1" t="s">
        <v>1081</v>
      </c>
      <c r="B582" s="2">
        <v>42652.0</v>
      </c>
      <c r="C582" s="2" t="str">
        <f t="shared" si="1"/>
        <v>Oct</v>
      </c>
      <c r="D582" s="1" t="s">
        <v>1082</v>
      </c>
      <c r="E582" s="1" t="s">
        <v>41</v>
      </c>
      <c r="F582" s="1" t="s">
        <v>1083</v>
      </c>
      <c r="G582" s="1" t="s">
        <v>1084</v>
      </c>
      <c r="H582" s="1" t="str">
        <f>IFERROR(__xludf.DUMMYFUNCTION("split(G582,"" "")"),"Charles")</f>
        <v>Charles</v>
      </c>
      <c r="I582" s="1" t="str">
        <f>IFERROR(__xludf.DUMMYFUNCTION("""COMPUTED_VALUE"""),"Crestani")</f>
        <v>Crestani</v>
      </c>
      <c r="J582" s="1" t="s">
        <v>23</v>
      </c>
      <c r="K582" s="1" t="s">
        <v>35</v>
      </c>
      <c r="L582" s="1" t="str">
        <f t="shared" si="2"/>
        <v>Los Angeles</v>
      </c>
      <c r="M582" s="1" t="s">
        <v>52</v>
      </c>
      <c r="N582" s="1" t="str">
        <f t="shared" si="3"/>
        <v>California</v>
      </c>
      <c r="O582" s="1">
        <v>90004.0</v>
      </c>
      <c r="P582" s="1" t="s">
        <v>37</v>
      </c>
      <c r="Q582" s="1" t="s">
        <v>38</v>
      </c>
      <c r="R582" s="3">
        <v>51.52</v>
      </c>
      <c r="S582" s="1">
        <v>9.0</v>
      </c>
      <c r="T582" s="4">
        <v>50.87</v>
      </c>
    </row>
    <row r="583">
      <c r="A583" s="1" t="s">
        <v>1085</v>
      </c>
      <c r="B583" s="2">
        <v>43112.0</v>
      </c>
      <c r="C583" s="2" t="str">
        <f t="shared" si="1"/>
        <v>Jan</v>
      </c>
      <c r="D583" s="6">
        <v>43232.0</v>
      </c>
      <c r="E583" s="1" t="s">
        <v>41</v>
      </c>
      <c r="F583" s="1" t="s">
        <v>1086</v>
      </c>
      <c r="G583" s="1" t="s">
        <v>1087</v>
      </c>
      <c r="H583" s="1" t="str">
        <f>IFERROR(__xludf.DUMMYFUNCTION("split(G583,"" "")"),"Dianna")</f>
        <v>Dianna</v>
      </c>
      <c r="I583" s="1" t="str">
        <f>IFERROR(__xludf.DUMMYFUNCTION("""COMPUTED_VALUE"""),"Vittorini")</f>
        <v>Vittorini</v>
      </c>
      <c r="J583" s="1" t="s">
        <v>23</v>
      </c>
      <c r="K583" s="1" t="s">
        <v>475</v>
      </c>
      <c r="L583" s="1" t="str">
        <f t="shared" si="2"/>
        <v>Denver</v>
      </c>
      <c r="M583" s="1" t="s">
        <v>279</v>
      </c>
      <c r="N583" s="1" t="str">
        <f t="shared" si="3"/>
        <v>Colorado</v>
      </c>
      <c r="O583" s="1">
        <v>80219.0</v>
      </c>
      <c r="P583" s="1" t="s">
        <v>37</v>
      </c>
      <c r="Q583" s="1" t="s">
        <v>51</v>
      </c>
      <c r="R583" s="3">
        <v>470.376</v>
      </c>
      <c r="S583" s="1">
        <v>8.0</v>
      </c>
      <c r="T583" s="4">
        <v>469.87</v>
      </c>
    </row>
    <row r="584">
      <c r="A584" s="1" t="s">
        <v>1085</v>
      </c>
      <c r="B584" s="2">
        <v>43112.0</v>
      </c>
      <c r="C584" s="2" t="str">
        <f t="shared" si="1"/>
        <v>Jan</v>
      </c>
      <c r="D584" s="6">
        <v>43232.0</v>
      </c>
      <c r="E584" s="1" t="s">
        <v>41</v>
      </c>
      <c r="F584" s="1" t="s">
        <v>1086</v>
      </c>
      <c r="G584" s="1" t="s">
        <v>1087</v>
      </c>
      <c r="H584" s="1" t="str">
        <f>IFERROR(__xludf.DUMMYFUNCTION("split(G584,"" "")"),"Dianna")</f>
        <v>Dianna</v>
      </c>
      <c r="I584" s="1" t="str">
        <f>IFERROR(__xludf.DUMMYFUNCTION("""COMPUTED_VALUE"""),"Vittorini")</f>
        <v>Vittorini</v>
      </c>
      <c r="J584" s="1" t="s">
        <v>23</v>
      </c>
      <c r="K584" s="1" t="s">
        <v>475</v>
      </c>
      <c r="L584" s="1" t="str">
        <f t="shared" si="2"/>
        <v>Denver</v>
      </c>
      <c r="M584" s="1" t="s">
        <v>279</v>
      </c>
      <c r="N584" s="1" t="str">
        <f t="shared" si="3"/>
        <v>Colorado</v>
      </c>
      <c r="O584" s="1">
        <v>80219.0</v>
      </c>
      <c r="P584" s="1" t="s">
        <v>37</v>
      </c>
      <c r="Q584" s="1" t="s">
        <v>51</v>
      </c>
      <c r="R584" s="3">
        <v>105.584</v>
      </c>
      <c r="S584" s="1">
        <v>8.0</v>
      </c>
      <c r="T584" s="4">
        <v>104.8</v>
      </c>
    </row>
    <row r="585">
      <c r="A585" s="1" t="s">
        <v>1085</v>
      </c>
      <c r="B585" s="2">
        <v>43112.0</v>
      </c>
      <c r="C585" s="2" t="str">
        <f t="shared" si="1"/>
        <v>Jan</v>
      </c>
      <c r="D585" s="6">
        <v>43232.0</v>
      </c>
      <c r="E585" s="1" t="s">
        <v>41</v>
      </c>
      <c r="F585" s="1" t="s">
        <v>1086</v>
      </c>
      <c r="G585" s="1" t="s">
        <v>1087</v>
      </c>
      <c r="H585" s="1" t="str">
        <f>IFERROR(__xludf.DUMMYFUNCTION("split(G585,"" "")"),"Dianna")</f>
        <v>Dianna</v>
      </c>
      <c r="I585" s="1" t="str">
        <f>IFERROR(__xludf.DUMMYFUNCTION("""COMPUTED_VALUE"""),"Vittorini")</f>
        <v>Vittorini</v>
      </c>
      <c r="J585" s="1" t="s">
        <v>23</v>
      </c>
      <c r="K585" s="1" t="s">
        <v>475</v>
      </c>
      <c r="L585" s="1" t="str">
        <f t="shared" si="2"/>
        <v>Denver</v>
      </c>
      <c r="M585" s="1" t="s">
        <v>279</v>
      </c>
      <c r="N585" s="1" t="str">
        <f t="shared" si="3"/>
        <v>Colorado</v>
      </c>
      <c r="O585" s="1">
        <v>80219.0</v>
      </c>
      <c r="P585" s="1" t="s">
        <v>37</v>
      </c>
      <c r="Q585" s="1" t="s">
        <v>38</v>
      </c>
      <c r="R585" s="3">
        <v>31.152</v>
      </c>
      <c r="S585" s="1">
        <v>8.0</v>
      </c>
      <c r="T585" s="4">
        <v>30.52</v>
      </c>
    </row>
    <row r="586">
      <c r="A586" s="1" t="s">
        <v>1085</v>
      </c>
      <c r="B586" s="2">
        <v>43112.0</v>
      </c>
      <c r="C586" s="2" t="str">
        <f t="shared" si="1"/>
        <v>Jan</v>
      </c>
      <c r="D586" s="6">
        <v>43232.0</v>
      </c>
      <c r="E586" s="1" t="s">
        <v>41</v>
      </c>
      <c r="F586" s="1" t="s">
        <v>1086</v>
      </c>
      <c r="G586" s="1" t="s">
        <v>1087</v>
      </c>
      <c r="H586" s="1" t="str">
        <f>IFERROR(__xludf.DUMMYFUNCTION("split(G586,"" "")"),"Dianna")</f>
        <v>Dianna</v>
      </c>
      <c r="I586" s="1" t="str">
        <f>IFERROR(__xludf.DUMMYFUNCTION("""COMPUTED_VALUE"""),"Vittorini")</f>
        <v>Vittorini</v>
      </c>
      <c r="J586" s="1" t="s">
        <v>23</v>
      </c>
      <c r="K586" s="1" t="s">
        <v>475</v>
      </c>
      <c r="L586" s="1" t="str">
        <f t="shared" si="2"/>
        <v>Denver</v>
      </c>
      <c r="M586" s="1" t="s">
        <v>279</v>
      </c>
      <c r="N586" s="1" t="str">
        <f t="shared" si="3"/>
        <v>Colorado</v>
      </c>
      <c r="O586" s="1">
        <v>80219.0</v>
      </c>
      <c r="P586" s="1" t="s">
        <v>37</v>
      </c>
      <c r="Q586" s="1" t="s">
        <v>38</v>
      </c>
      <c r="R586" s="3">
        <v>6.783</v>
      </c>
      <c r="S586" s="1">
        <v>8.0</v>
      </c>
      <c r="T586" s="4">
        <v>6.77</v>
      </c>
    </row>
    <row r="587">
      <c r="A587" s="1" t="s">
        <v>1085</v>
      </c>
      <c r="B587" s="2">
        <v>43112.0</v>
      </c>
      <c r="C587" s="2" t="str">
        <f t="shared" si="1"/>
        <v>Jan</v>
      </c>
      <c r="D587" s="6">
        <v>43232.0</v>
      </c>
      <c r="E587" s="1" t="s">
        <v>41</v>
      </c>
      <c r="F587" s="1" t="s">
        <v>1086</v>
      </c>
      <c r="G587" s="1" t="s">
        <v>1087</v>
      </c>
      <c r="H587" s="1" t="str">
        <f>IFERROR(__xludf.DUMMYFUNCTION("split(G587,"" "")"),"Dianna")</f>
        <v>Dianna</v>
      </c>
      <c r="I587" s="1" t="str">
        <f>IFERROR(__xludf.DUMMYFUNCTION("""COMPUTED_VALUE"""),"Vittorini")</f>
        <v>Vittorini</v>
      </c>
      <c r="J587" s="1" t="s">
        <v>23</v>
      </c>
      <c r="K587" s="1" t="s">
        <v>475</v>
      </c>
      <c r="L587" s="1" t="str">
        <f t="shared" si="2"/>
        <v>Denver</v>
      </c>
      <c r="M587" s="1" t="s">
        <v>279</v>
      </c>
      <c r="N587" s="1" t="str">
        <f t="shared" si="3"/>
        <v>Colorado</v>
      </c>
      <c r="O587" s="1">
        <v>80219.0</v>
      </c>
      <c r="P587" s="1" t="s">
        <v>37</v>
      </c>
      <c r="Q587" s="1" t="s">
        <v>51</v>
      </c>
      <c r="R587" s="3">
        <v>406.368</v>
      </c>
      <c r="S587" s="1">
        <v>8.0</v>
      </c>
      <c r="T587" s="4">
        <v>406.22</v>
      </c>
    </row>
    <row r="588">
      <c r="A588" s="1" t="s">
        <v>1088</v>
      </c>
      <c r="B588" s="2">
        <v>42436.0</v>
      </c>
      <c r="C588" s="2" t="str">
        <f t="shared" si="1"/>
        <v>Mar</v>
      </c>
      <c r="D588" s="6">
        <v>42620.0</v>
      </c>
      <c r="E588" s="1" t="s">
        <v>41</v>
      </c>
      <c r="F588" s="1" t="s">
        <v>1089</v>
      </c>
      <c r="G588" s="1" t="s">
        <v>1090</v>
      </c>
      <c r="H588" s="1" t="str">
        <f>IFERROR(__xludf.DUMMYFUNCTION("split(G588,"" "")"),"Bruce")</f>
        <v>Bruce</v>
      </c>
      <c r="I588" s="1" t="str">
        <f>IFERROR(__xludf.DUMMYFUNCTION("""COMPUTED_VALUE"""),"Degenhardt")</f>
        <v>Degenhardt</v>
      </c>
      <c r="J588" s="1" t="s">
        <v>23</v>
      </c>
      <c r="K588" s="1" t="s">
        <v>814</v>
      </c>
      <c r="L588" s="1" t="str">
        <f t="shared" si="2"/>
        <v>Richmond</v>
      </c>
      <c r="M588" s="1" t="s">
        <v>25</v>
      </c>
      <c r="N588" s="1" t="str">
        <f t="shared" si="3"/>
        <v>Kentucky</v>
      </c>
      <c r="O588" s="1">
        <v>40475.0</v>
      </c>
      <c r="P588" s="1" t="s">
        <v>26</v>
      </c>
      <c r="Q588" s="1" t="s">
        <v>27</v>
      </c>
      <c r="R588" s="3">
        <v>70.98</v>
      </c>
      <c r="S588" s="1">
        <v>4.0</v>
      </c>
      <c r="T588" s="4">
        <v>70.65</v>
      </c>
    </row>
    <row r="589">
      <c r="A589" s="1" t="s">
        <v>1088</v>
      </c>
      <c r="B589" s="2">
        <v>42436.0</v>
      </c>
      <c r="C589" s="2" t="str">
        <f t="shared" si="1"/>
        <v>Mar</v>
      </c>
      <c r="D589" s="6">
        <v>42620.0</v>
      </c>
      <c r="E589" s="1" t="s">
        <v>41</v>
      </c>
      <c r="F589" s="1" t="s">
        <v>1089</v>
      </c>
      <c r="G589" s="1" t="s">
        <v>1090</v>
      </c>
      <c r="H589" s="1" t="str">
        <f>IFERROR(__xludf.DUMMYFUNCTION("split(G589,"" "")"),"Bruce")</f>
        <v>Bruce</v>
      </c>
      <c r="I589" s="1" t="str">
        <f>IFERROR(__xludf.DUMMYFUNCTION("""COMPUTED_VALUE"""),"Degenhardt")</f>
        <v>Degenhardt</v>
      </c>
      <c r="J589" s="1" t="s">
        <v>23</v>
      </c>
      <c r="K589" s="1" t="s">
        <v>814</v>
      </c>
      <c r="L589" s="1" t="str">
        <f t="shared" si="2"/>
        <v>Richmond</v>
      </c>
      <c r="M589" s="1" t="s">
        <v>25</v>
      </c>
      <c r="N589" s="1" t="str">
        <f t="shared" si="3"/>
        <v>Kentucky</v>
      </c>
      <c r="O589" s="1">
        <v>40475.0</v>
      </c>
      <c r="P589" s="1" t="s">
        <v>26</v>
      </c>
      <c r="Q589" s="1" t="s">
        <v>38</v>
      </c>
      <c r="R589" s="3">
        <v>294.93</v>
      </c>
      <c r="S589" s="1">
        <v>4.0</v>
      </c>
      <c r="T589" s="4">
        <v>294.81</v>
      </c>
    </row>
    <row r="590">
      <c r="A590" s="1" t="s">
        <v>1091</v>
      </c>
      <c r="B590" s="2">
        <v>42814.0</v>
      </c>
      <c r="C590" s="2" t="str">
        <f t="shared" si="1"/>
        <v>Mar</v>
      </c>
      <c r="D590" s="1" t="s">
        <v>1092</v>
      </c>
      <c r="E590" s="1" t="s">
        <v>41</v>
      </c>
      <c r="F590" s="1" t="s">
        <v>1093</v>
      </c>
      <c r="G590" s="1" t="s">
        <v>1094</v>
      </c>
      <c r="H590" s="1" t="str">
        <f>IFERROR(__xludf.DUMMYFUNCTION("split(G590,"" "")"),"Zuschuss")</f>
        <v>Zuschuss</v>
      </c>
      <c r="I590" s="1" t="str">
        <f>IFERROR(__xludf.DUMMYFUNCTION("""COMPUTED_VALUE"""),"Carroll")</f>
        <v>Carroll</v>
      </c>
      <c r="J590" s="1" t="s">
        <v>23</v>
      </c>
      <c r="K590" s="1" t="s">
        <v>1095</v>
      </c>
      <c r="L590" s="1" t="str">
        <f t="shared" si="2"/>
        <v>Salem</v>
      </c>
      <c r="M590" s="1" t="s">
        <v>256</v>
      </c>
      <c r="N590" s="1" t="str">
        <f t="shared" si="3"/>
        <v>Oregon</v>
      </c>
      <c r="O590" s="1">
        <v>97301.0</v>
      </c>
      <c r="P590" s="1" t="s">
        <v>37</v>
      </c>
      <c r="Q590" s="1" t="s">
        <v>51</v>
      </c>
      <c r="R590" s="3">
        <v>84.784</v>
      </c>
      <c r="S590" s="1">
        <v>9.0</v>
      </c>
      <c r="T590" s="4">
        <v>84.02</v>
      </c>
    </row>
    <row r="591">
      <c r="A591" s="1" t="s">
        <v>1091</v>
      </c>
      <c r="B591" s="2">
        <v>42814.0</v>
      </c>
      <c r="C591" s="2" t="str">
        <f t="shared" si="1"/>
        <v>Mar</v>
      </c>
      <c r="D591" s="1" t="s">
        <v>1092</v>
      </c>
      <c r="E591" s="1" t="s">
        <v>41</v>
      </c>
      <c r="F591" s="1" t="s">
        <v>1093</v>
      </c>
      <c r="G591" s="1" t="s">
        <v>1094</v>
      </c>
      <c r="H591" s="1" t="str">
        <f>IFERROR(__xludf.DUMMYFUNCTION("split(G591,"" "")"),"Zuschuss")</f>
        <v>Zuschuss</v>
      </c>
      <c r="I591" s="1" t="str">
        <f>IFERROR(__xludf.DUMMYFUNCTION("""COMPUTED_VALUE"""),"Carroll")</f>
        <v>Carroll</v>
      </c>
      <c r="J591" s="1" t="s">
        <v>23</v>
      </c>
      <c r="K591" s="1" t="s">
        <v>1095</v>
      </c>
      <c r="L591" s="1" t="str">
        <f t="shared" si="2"/>
        <v>Salem</v>
      </c>
      <c r="M591" s="1" t="s">
        <v>256</v>
      </c>
      <c r="N591" s="1" t="str">
        <f t="shared" si="3"/>
        <v>Oregon</v>
      </c>
      <c r="O591" s="1">
        <v>97301.0</v>
      </c>
      <c r="P591" s="1" t="s">
        <v>37</v>
      </c>
      <c r="Q591" s="1" t="s">
        <v>38</v>
      </c>
      <c r="R591" s="3">
        <v>20.736</v>
      </c>
      <c r="S591" s="1">
        <v>9.0</v>
      </c>
      <c r="T591" s="4">
        <v>19.74</v>
      </c>
    </row>
    <row r="592">
      <c r="A592" s="1" t="s">
        <v>1091</v>
      </c>
      <c r="B592" s="2">
        <v>42814.0</v>
      </c>
      <c r="C592" s="2" t="str">
        <f t="shared" si="1"/>
        <v>Mar</v>
      </c>
      <c r="D592" s="1" t="s">
        <v>1092</v>
      </c>
      <c r="E592" s="1" t="s">
        <v>41</v>
      </c>
      <c r="F592" s="1" t="s">
        <v>1093</v>
      </c>
      <c r="G592" s="1" t="s">
        <v>1094</v>
      </c>
      <c r="H592" s="1" t="str">
        <f>IFERROR(__xludf.DUMMYFUNCTION("split(G592,"" "")"),"Zuschuss")</f>
        <v>Zuschuss</v>
      </c>
      <c r="I592" s="1" t="str">
        <f>IFERROR(__xludf.DUMMYFUNCTION("""COMPUTED_VALUE"""),"Carroll")</f>
        <v>Carroll</v>
      </c>
      <c r="J592" s="1" t="s">
        <v>23</v>
      </c>
      <c r="K592" s="1" t="s">
        <v>1095</v>
      </c>
      <c r="L592" s="1" t="str">
        <f t="shared" si="2"/>
        <v>Salem</v>
      </c>
      <c r="M592" s="1" t="s">
        <v>256</v>
      </c>
      <c r="N592" s="1" t="str">
        <f t="shared" si="3"/>
        <v>Oregon</v>
      </c>
      <c r="O592" s="1">
        <v>97301.0</v>
      </c>
      <c r="P592" s="1" t="s">
        <v>37</v>
      </c>
      <c r="Q592" s="1" t="s">
        <v>38</v>
      </c>
      <c r="R592" s="3">
        <v>16.821</v>
      </c>
      <c r="S592" s="1">
        <v>9.0</v>
      </c>
      <c r="T592" s="4">
        <v>16.29</v>
      </c>
    </row>
    <row r="593">
      <c r="A593" s="1" t="s">
        <v>1091</v>
      </c>
      <c r="B593" s="2">
        <v>42814.0</v>
      </c>
      <c r="C593" s="2" t="str">
        <f t="shared" si="1"/>
        <v>Mar</v>
      </c>
      <c r="D593" s="1" t="s">
        <v>1092</v>
      </c>
      <c r="E593" s="1" t="s">
        <v>41</v>
      </c>
      <c r="F593" s="1" t="s">
        <v>1093</v>
      </c>
      <c r="G593" s="1" t="s">
        <v>1094</v>
      </c>
      <c r="H593" s="1" t="str">
        <f>IFERROR(__xludf.DUMMYFUNCTION("split(G593,"" "")"),"Zuschuss")</f>
        <v>Zuschuss</v>
      </c>
      <c r="I593" s="1" t="str">
        <f>IFERROR(__xludf.DUMMYFUNCTION("""COMPUTED_VALUE"""),"Carroll")</f>
        <v>Carroll</v>
      </c>
      <c r="J593" s="1" t="s">
        <v>23</v>
      </c>
      <c r="K593" s="1" t="s">
        <v>1095</v>
      </c>
      <c r="L593" s="1" t="str">
        <f t="shared" si="2"/>
        <v>Salem</v>
      </c>
      <c r="M593" s="1" t="s">
        <v>256</v>
      </c>
      <c r="N593" s="1" t="str">
        <f t="shared" si="3"/>
        <v>Oregon</v>
      </c>
      <c r="O593" s="1">
        <v>97301.0</v>
      </c>
      <c r="P593" s="1" t="s">
        <v>37</v>
      </c>
      <c r="Q593" s="1" t="s">
        <v>38</v>
      </c>
      <c r="R593" s="3">
        <v>10.368</v>
      </c>
      <c r="S593" s="1">
        <v>9.0</v>
      </c>
      <c r="T593" s="4">
        <v>10.1</v>
      </c>
    </row>
    <row r="594">
      <c r="A594" s="1" t="s">
        <v>1096</v>
      </c>
      <c r="B594" s="2">
        <v>42248.0</v>
      </c>
      <c r="C594" s="2" t="str">
        <f t="shared" si="1"/>
        <v>Sep</v>
      </c>
      <c r="D594" s="1" t="s">
        <v>1097</v>
      </c>
      <c r="E594" s="1" t="s">
        <v>41</v>
      </c>
      <c r="F594" s="1" t="s">
        <v>1098</v>
      </c>
      <c r="G594" s="1" t="s">
        <v>1099</v>
      </c>
      <c r="H594" s="1" t="str">
        <f>IFERROR(__xludf.DUMMYFUNCTION("split(G594,"" "")"),"Melanie")</f>
        <v>Melanie</v>
      </c>
      <c r="I594" s="1" t="str">
        <f>IFERROR(__xludf.DUMMYFUNCTION("""COMPUTED_VALUE"""),"Seite")</f>
        <v>Seite</v>
      </c>
      <c r="J594" s="1" t="s">
        <v>23</v>
      </c>
      <c r="K594" s="1" t="s">
        <v>1100</v>
      </c>
      <c r="L594" s="1" t="str">
        <f t="shared" si="2"/>
        <v>Laredo</v>
      </c>
      <c r="M594" s="1" t="s">
        <v>70</v>
      </c>
      <c r="N594" s="1" t="str">
        <f t="shared" si="3"/>
        <v>Texas</v>
      </c>
      <c r="O594" s="1">
        <v>78041.0</v>
      </c>
      <c r="P594" s="1" t="s">
        <v>71</v>
      </c>
      <c r="Q594" s="1" t="s">
        <v>38</v>
      </c>
      <c r="R594" s="3">
        <v>9.344</v>
      </c>
      <c r="S594" s="1">
        <v>7.0</v>
      </c>
      <c r="T594" s="4">
        <v>8.59</v>
      </c>
    </row>
    <row r="595">
      <c r="A595" s="1" t="s">
        <v>1096</v>
      </c>
      <c r="B595" s="2">
        <v>42248.0</v>
      </c>
      <c r="C595" s="2" t="str">
        <f t="shared" si="1"/>
        <v>Sep</v>
      </c>
      <c r="D595" s="1" t="s">
        <v>1097</v>
      </c>
      <c r="E595" s="1" t="s">
        <v>41</v>
      </c>
      <c r="F595" s="1" t="s">
        <v>1098</v>
      </c>
      <c r="G595" s="1" t="s">
        <v>1099</v>
      </c>
      <c r="H595" s="1" t="str">
        <f>IFERROR(__xludf.DUMMYFUNCTION("split(G595,"" "")"),"Melanie")</f>
        <v>Melanie</v>
      </c>
      <c r="I595" s="1" t="str">
        <f>IFERROR(__xludf.DUMMYFUNCTION("""COMPUTED_VALUE"""),"Seite")</f>
        <v>Seite</v>
      </c>
      <c r="J595" s="1" t="s">
        <v>23</v>
      </c>
      <c r="K595" s="1" t="s">
        <v>1100</v>
      </c>
      <c r="L595" s="1" t="str">
        <f t="shared" si="2"/>
        <v>Laredo</v>
      </c>
      <c r="M595" s="1" t="s">
        <v>70</v>
      </c>
      <c r="N595" s="1" t="str">
        <f t="shared" si="3"/>
        <v>Texas</v>
      </c>
      <c r="O595" s="1">
        <v>78041.0</v>
      </c>
      <c r="P595" s="1" t="s">
        <v>71</v>
      </c>
      <c r="Q595" s="1" t="s">
        <v>51</v>
      </c>
      <c r="R595" s="3">
        <v>31.2</v>
      </c>
      <c r="S595" s="1">
        <v>7.0</v>
      </c>
      <c r="T595" s="4">
        <v>30.73</v>
      </c>
    </row>
    <row r="596">
      <c r="A596" s="1" t="s">
        <v>1101</v>
      </c>
      <c r="B596" s="2">
        <v>42224.0</v>
      </c>
      <c r="C596" s="2" t="str">
        <f t="shared" si="1"/>
        <v>Aug</v>
      </c>
      <c r="D596" s="1" t="s">
        <v>1102</v>
      </c>
      <c r="E596" s="1" t="s">
        <v>41</v>
      </c>
      <c r="F596" s="1" t="s">
        <v>1103</v>
      </c>
      <c r="G596" s="1" t="s">
        <v>1104</v>
      </c>
      <c r="H596" s="1" t="str">
        <f>IFERROR(__xludf.DUMMYFUNCTION("split(G596,"" "")"),"Lena")</f>
        <v>Lena</v>
      </c>
      <c r="I596" s="1" t="str">
        <f>IFERROR(__xludf.DUMMYFUNCTION("""COMPUTED_VALUE"""),"Radford")</f>
        <v>Radford</v>
      </c>
      <c r="J596" s="1" t="s">
        <v>23</v>
      </c>
      <c r="K596" s="1" t="s">
        <v>542</v>
      </c>
      <c r="L596" s="1" t="str">
        <f t="shared" si="2"/>
        <v>San Diego</v>
      </c>
      <c r="M596" s="1" t="s">
        <v>52</v>
      </c>
      <c r="N596" s="1" t="str">
        <f t="shared" si="3"/>
        <v>California</v>
      </c>
      <c r="O596" s="1">
        <v>92024.0</v>
      </c>
      <c r="P596" s="1" t="s">
        <v>37</v>
      </c>
      <c r="Q596" s="1" t="s">
        <v>38</v>
      </c>
      <c r="R596" s="3">
        <v>76.12</v>
      </c>
      <c r="S596" s="1">
        <v>9.0</v>
      </c>
      <c r="T596" s="4">
        <v>75.46</v>
      </c>
    </row>
    <row r="597">
      <c r="A597" s="1" t="s">
        <v>1101</v>
      </c>
      <c r="B597" s="2">
        <v>42224.0</v>
      </c>
      <c r="C597" s="2" t="str">
        <f t="shared" si="1"/>
        <v>Aug</v>
      </c>
      <c r="D597" s="1" t="s">
        <v>1102</v>
      </c>
      <c r="E597" s="1" t="s">
        <v>41</v>
      </c>
      <c r="F597" s="1" t="s">
        <v>1103</v>
      </c>
      <c r="G597" s="1" t="s">
        <v>1104</v>
      </c>
      <c r="H597" s="1" t="str">
        <f>IFERROR(__xludf.DUMMYFUNCTION("split(G597,"" "")"),"Lena")</f>
        <v>Lena</v>
      </c>
      <c r="I597" s="1" t="str">
        <f>IFERROR(__xludf.DUMMYFUNCTION("""COMPUTED_VALUE"""),"Radford")</f>
        <v>Radford</v>
      </c>
      <c r="J597" s="1" t="s">
        <v>23</v>
      </c>
      <c r="K597" s="1" t="s">
        <v>542</v>
      </c>
      <c r="L597" s="1" t="str">
        <f t="shared" si="2"/>
        <v>San Diego</v>
      </c>
      <c r="M597" s="1" t="s">
        <v>52</v>
      </c>
      <c r="N597" s="1" t="str">
        <f t="shared" si="3"/>
        <v>California</v>
      </c>
      <c r="O597" s="1">
        <v>92024.0</v>
      </c>
      <c r="P597" s="1" t="s">
        <v>37</v>
      </c>
      <c r="Q597" s="1" t="s">
        <v>51</v>
      </c>
      <c r="R597" s="3">
        <v>1199.976</v>
      </c>
      <c r="S597" s="1">
        <v>9.0</v>
      </c>
      <c r="T597" s="4">
        <v>1199.23</v>
      </c>
    </row>
    <row r="598">
      <c r="A598" s="1" t="s">
        <v>1101</v>
      </c>
      <c r="B598" s="2">
        <v>42224.0</v>
      </c>
      <c r="C598" s="2" t="str">
        <f t="shared" si="1"/>
        <v>Aug</v>
      </c>
      <c r="D598" s="1" t="s">
        <v>1102</v>
      </c>
      <c r="E598" s="1" t="s">
        <v>41</v>
      </c>
      <c r="F598" s="1" t="s">
        <v>1103</v>
      </c>
      <c r="G598" s="1" t="s">
        <v>1104</v>
      </c>
      <c r="H598" s="1" t="str">
        <f>IFERROR(__xludf.DUMMYFUNCTION("split(G598,"" "")"),"Lena")</f>
        <v>Lena</v>
      </c>
      <c r="I598" s="1" t="str">
        <f>IFERROR(__xludf.DUMMYFUNCTION("""COMPUTED_VALUE"""),"Radford")</f>
        <v>Radford</v>
      </c>
      <c r="J598" s="1" t="s">
        <v>23</v>
      </c>
      <c r="K598" s="1" t="s">
        <v>542</v>
      </c>
      <c r="L598" s="1" t="str">
        <f t="shared" si="2"/>
        <v>San Diego</v>
      </c>
      <c r="M598" s="1" t="s">
        <v>52</v>
      </c>
      <c r="N598" s="1" t="str">
        <f t="shared" si="3"/>
        <v>California</v>
      </c>
      <c r="O598" s="1">
        <v>92024.0</v>
      </c>
      <c r="P598" s="1" t="s">
        <v>37</v>
      </c>
      <c r="Q598" s="1" t="s">
        <v>51</v>
      </c>
      <c r="R598" s="3">
        <v>445.96</v>
      </c>
      <c r="S598" s="1">
        <v>9.0</v>
      </c>
      <c r="T598" s="4">
        <v>445.38</v>
      </c>
    </row>
    <row r="599">
      <c r="A599" s="1" t="s">
        <v>1101</v>
      </c>
      <c r="B599" s="2">
        <v>42224.0</v>
      </c>
      <c r="C599" s="2" t="str">
        <f t="shared" si="1"/>
        <v>Aug</v>
      </c>
      <c r="D599" s="1" t="s">
        <v>1102</v>
      </c>
      <c r="E599" s="1" t="s">
        <v>41</v>
      </c>
      <c r="F599" s="1" t="s">
        <v>1103</v>
      </c>
      <c r="G599" s="1" t="s">
        <v>1104</v>
      </c>
      <c r="H599" s="1" t="str">
        <f>IFERROR(__xludf.DUMMYFUNCTION("split(G599,"" "")"),"Lena")</f>
        <v>Lena</v>
      </c>
      <c r="I599" s="1" t="str">
        <f>IFERROR(__xludf.DUMMYFUNCTION("""COMPUTED_VALUE"""),"Radford")</f>
        <v>Radford</v>
      </c>
      <c r="J599" s="1" t="s">
        <v>23</v>
      </c>
      <c r="K599" s="1" t="s">
        <v>542</v>
      </c>
      <c r="L599" s="1" t="str">
        <f t="shared" si="2"/>
        <v>San Diego</v>
      </c>
      <c r="M599" s="1" t="s">
        <v>52</v>
      </c>
      <c r="N599" s="1" t="str">
        <f t="shared" si="3"/>
        <v>California</v>
      </c>
      <c r="O599" s="1">
        <v>92024.0</v>
      </c>
      <c r="P599" s="1" t="s">
        <v>37</v>
      </c>
      <c r="Q599" s="1" t="s">
        <v>27</v>
      </c>
      <c r="R599" s="3">
        <v>327.76</v>
      </c>
      <c r="S599" s="1">
        <v>9.0</v>
      </c>
      <c r="T599" s="4">
        <v>327.51</v>
      </c>
    </row>
    <row r="600">
      <c r="A600" s="1" t="s">
        <v>1105</v>
      </c>
      <c r="B600" s="2">
        <v>42930.0</v>
      </c>
      <c r="C600" s="2" t="str">
        <f t="shared" si="1"/>
        <v>Jul</v>
      </c>
      <c r="D600" s="1" t="s">
        <v>1006</v>
      </c>
      <c r="E600" s="1" t="s">
        <v>121</v>
      </c>
      <c r="F600" s="1" t="s">
        <v>1106</v>
      </c>
      <c r="G600" s="1" t="s">
        <v>1107</v>
      </c>
      <c r="H600" s="1" t="str">
        <f>IFERROR(__xludf.DUMMYFUNCTION("split(G600,"" "")"),"Theone")</f>
        <v>Theone</v>
      </c>
      <c r="I600" s="1" t="str">
        <f>IFERROR(__xludf.DUMMYFUNCTION("""COMPUTED_VALUE"""),"Pippenger")</f>
        <v>Pippenger</v>
      </c>
      <c r="J600" s="1" t="s">
        <v>23</v>
      </c>
      <c r="K600" s="1" t="s">
        <v>98</v>
      </c>
      <c r="L600" s="1" t="str">
        <f t="shared" si="2"/>
        <v>Philadelphia</v>
      </c>
      <c r="M600" s="1" t="s">
        <v>99</v>
      </c>
      <c r="N600" s="1" t="str">
        <f t="shared" si="3"/>
        <v>Pennsylvania</v>
      </c>
      <c r="O600" s="1">
        <v>19134.0</v>
      </c>
      <c r="P600" s="1" t="s">
        <v>100</v>
      </c>
      <c r="Q600" s="1" t="s">
        <v>38</v>
      </c>
      <c r="R600" s="3">
        <v>11.632</v>
      </c>
      <c r="S600" s="1">
        <v>1.0</v>
      </c>
      <c r="T600" s="4">
        <v>11.38</v>
      </c>
    </row>
    <row r="601">
      <c r="A601" s="1" t="s">
        <v>1108</v>
      </c>
      <c r="B601" s="2">
        <v>42932.0</v>
      </c>
      <c r="C601" s="2" t="str">
        <f t="shared" si="1"/>
        <v>Jul</v>
      </c>
      <c r="D601" s="1" t="s">
        <v>1109</v>
      </c>
      <c r="E601" s="1" t="s">
        <v>41</v>
      </c>
      <c r="F601" s="1" t="s">
        <v>1110</v>
      </c>
      <c r="G601" s="1" t="s">
        <v>1111</v>
      </c>
      <c r="H601" s="1" t="str">
        <f>IFERROR(__xludf.DUMMYFUNCTION("split(G601,"" "")"),"Chloris")</f>
        <v>Chloris</v>
      </c>
      <c r="I601" s="1" t="str">
        <f>IFERROR(__xludf.DUMMYFUNCTION("""COMPUTED_VALUE"""),"Kastensmidt")</f>
        <v>Kastensmidt</v>
      </c>
      <c r="J601" s="1" t="s">
        <v>23</v>
      </c>
      <c r="K601" s="1" t="s">
        <v>98</v>
      </c>
      <c r="L601" s="1" t="str">
        <f t="shared" si="2"/>
        <v>Philadelphia</v>
      </c>
      <c r="M601" s="1" t="s">
        <v>99</v>
      </c>
      <c r="N601" s="1" t="str">
        <f t="shared" si="3"/>
        <v>Pennsylvania</v>
      </c>
      <c r="O601" s="1">
        <v>19120.0</v>
      </c>
      <c r="P601" s="1" t="s">
        <v>100</v>
      </c>
      <c r="Q601" s="1" t="s">
        <v>51</v>
      </c>
      <c r="R601" s="3">
        <v>143.982</v>
      </c>
      <c r="S601" s="1">
        <v>1.0</v>
      </c>
      <c r="T601" s="4">
        <v>143.98</v>
      </c>
    </row>
    <row r="602">
      <c r="A602" s="1" t="s">
        <v>1108</v>
      </c>
      <c r="B602" s="2">
        <v>42932.0</v>
      </c>
      <c r="C602" s="2" t="str">
        <f t="shared" si="1"/>
        <v>Jul</v>
      </c>
      <c r="D602" s="1" t="s">
        <v>1109</v>
      </c>
      <c r="E602" s="1" t="s">
        <v>41</v>
      </c>
      <c r="F602" s="1" t="s">
        <v>1110</v>
      </c>
      <c r="G602" s="1" t="s">
        <v>1111</v>
      </c>
      <c r="H602" s="1" t="str">
        <f>IFERROR(__xludf.DUMMYFUNCTION("split(G602,"" "")"),"Chloris")</f>
        <v>Chloris</v>
      </c>
      <c r="I602" s="1" t="str">
        <f>IFERROR(__xludf.DUMMYFUNCTION("""COMPUTED_VALUE"""),"Kastensmidt")</f>
        <v>Kastensmidt</v>
      </c>
      <c r="J602" s="1" t="s">
        <v>23</v>
      </c>
      <c r="K602" s="1" t="s">
        <v>98</v>
      </c>
      <c r="L602" s="1" t="str">
        <f t="shared" si="2"/>
        <v>Philadelphia</v>
      </c>
      <c r="M602" s="1" t="s">
        <v>99</v>
      </c>
      <c r="N602" s="1" t="str">
        <f t="shared" si="3"/>
        <v>Pennsylvania</v>
      </c>
      <c r="O602" s="1">
        <v>19120.0</v>
      </c>
      <c r="P602" s="1" t="s">
        <v>100</v>
      </c>
      <c r="Q602" s="1" t="s">
        <v>51</v>
      </c>
      <c r="R602" s="3">
        <v>494.376</v>
      </c>
      <c r="S602" s="1">
        <v>1.0</v>
      </c>
      <c r="T602" s="4">
        <v>493.7</v>
      </c>
    </row>
    <row r="603">
      <c r="A603" s="1" t="s">
        <v>1108</v>
      </c>
      <c r="B603" s="2">
        <v>42932.0</v>
      </c>
      <c r="C603" s="2" t="str">
        <f t="shared" si="1"/>
        <v>Jul</v>
      </c>
      <c r="D603" s="1" t="s">
        <v>1109</v>
      </c>
      <c r="E603" s="1" t="s">
        <v>41</v>
      </c>
      <c r="F603" s="1" t="s">
        <v>1110</v>
      </c>
      <c r="G603" s="1" t="s">
        <v>1111</v>
      </c>
      <c r="H603" s="1" t="str">
        <f>IFERROR(__xludf.DUMMYFUNCTION("split(G603,"" "")"),"Chloris")</f>
        <v>Chloris</v>
      </c>
      <c r="I603" s="1" t="str">
        <f>IFERROR(__xludf.DUMMYFUNCTION("""COMPUTED_VALUE"""),"Kastensmidt")</f>
        <v>Kastensmidt</v>
      </c>
      <c r="J603" s="1" t="s">
        <v>23</v>
      </c>
      <c r="K603" s="1" t="s">
        <v>98</v>
      </c>
      <c r="L603" s="1" t="str">
        <f t="shared" si="2"/>
        <v>Philadelphia</v>
      </c>
      <c r="M603" s="1" t="s">
        <v>99</v>
      </c>
      <c r="N603" s="1" t="str">
        <f t="shared" si="3"/>
        <v>Pennsylvania</v>
      </c>
      <c r="O603" s="1">
        <v>19120.0</v>
      </c>
      <c r="P603" s="1" t="s">
        <v>100</v>
      </c>
      <c r="Q603" s="1" t="s">
        <v>38</v>
      </c>
      <c r="R603" s="3">
        <v>5.84</v>
      </c>
      <c r="S603" s="1">
        <v>1.0</v>
      </c>
      <c r="T603" s="4">
        <v>4.88</v>
      </c>
    </row>
    <row r="604">
      <c r="A604" s="1" t="s">
        <v>1112</v>
      </c>
      <c r="B604" s="2">
        <v>42078.0</v>
      </c>
      <c r="C604" s="2" t="str">
        <f t="shared" si="1"/>
        <v>Mar</v>
      </c>
      <c r="D604" s="1" t="s">
        <v>1113</v>
      </c>
      <c r="E604" s="1" t="s">
        <v>41</v>
      </c>
      <c r="F604" s="1" t="s">
        <v>1114</v>
      </c>
      <c r="G604" s="1" t="s">
        <v>1115</v>
      </c>
      <c r="H604" s="1" t="str">
        <f>IFERROR(__xludf.DUMMYFUNCTION("split(G604,"" "")"),"Alan")</f>
        <v>Alan</v>
      </c>
      <c r="I604" s="1" t="str">
        <f>IFERROR(__xludf.DUMMYFUNCTION("""COMPUTED_VALUE"""),"Shonely")</f>
        <v>Shonely</v>
      </c>
      <c r="J604" s="1" t="s">
        <v>23</v>
      </c>
      <c r="K604" s="1" t="s">
        <v>522</v>
      </c>
      <c r="L604" s="1" t="str">
        <f t="shared" si="2"/>
        <v>Tampa</v>
      </c>
      <c r="M604" s="1" t="s">
        <v>145</v>
      </c>
      <c r="N604" s="1" t="str">
        <f t="shared" si="3"/>
        <v>Florida</v>
      </c>
      <c r="O604" s="1">
        <v>33614.0</v>
      </c>
      <c r="P604" s="1" t="s">
        <v>26</v>
      </c>
      <c r="Q604" s="1" t="s">
        <v>38</v>
      </c>
      <c r="R604" s="3">
        <v>142.776</v>
      </c>
      <c r="S604" s="1">
        <v>3.0</v>
      </c>
      <c r="T604" s="4">
        <v>142.64</v>
      </c>
    </row>
    <row r="605">
      <c r="A605" s="1" t="s">
        <v>1112</v>
      </c>
      <c r="B605" s="2">
        <v>42078.0</v>
      </c>
      <c r="C605" s="2" t="str">
        <f t="shared" si="1"/>
        <v>Mar</v>
      </c>
      <c r="D605" s="1" t="s">
        <v>1113</v>
      </c>
      <c r="E605" s="1" t="s">
        <v>41</v>
      </c>
      <c r="F605" s="1" t="s">
        <v>1114</v>
      </c>
      <c r="G605" s="1" t="s">
        <v>1115</v>
      </c>
      <c r="H605" s="1" t="str">
        <f>IFERROR(__xludf.DUMMYFUNCTION("split(G605,"" "")"),"Alan")</f>
        <v>Alan</v>
      </c>
      <c r="I605" s="1" t="str">
        <f>IFERROR(__xludf.DUMMYFUNCTION("""COMPUTED_VALUE"""),"Shonely")</f>
        <v>Shonely</v>
      </c>
      <c r="J605" s="1" t="s">
        <v>23</v>
      </c>
      <c r="K605" s="1" t="s">
        <v>522</v>
      </c>
      <c r="L605" s="1" t="str">
        <f t="shared" si="2"/>
        <v>Tampa</v>
      </c>
      <c r="M605" s="1" t="s">
        <v>145</v>
      </c>
      <c r="N605" s="1" t="str">
        <f t="shared" si="3"/>
        <v>Florida</v>
      </c>
      <c r="O605" s="1">
        <v>33614.0</v>
      </c>
      <c r="P605" s="1" t="s">
        <v>26</v>
      </c>
      <c r="Q605" s="1" t="s">
        <v>27</v>
      </c>
      <c r="R605" s="3">
        <v>45.696</v>
      </c>
      <c r="S605" s="1">
        <v>3.0</v>
      </c>
      <c r="T605" s="4">
        <v>45.65</v>
      </c>
    </row>
    <row r="606">
      <c r="A606" s="1" t="s">
        <v>1112</v>
      </c>
      <c r="B606" s="2">
        <v>42078.0</v>
      </c>
      <c r="C606" s="2" t="str">
        <f t="shared" si="1"/>
        <v>Mar</v>
      </c>
      <c r="D606" s="1" t="s">
        <v>1113</v>
      </c>
      <c r="E606" s="1" t="s">
        <v>41</v>
      </c>
      <c r="F606" s="1" t="s">
        <v>1114</v>
      </c>
      <c r="G606" s="1" t="s">
        <v>1115</v>
      </c>
      <c r="H606" s="1" t="str">
        <f>IFERROR(__xludf.DUMMYFUNCTION("split(G606,"" "")"),"Alan")</f>
        <v>Alan</v>
      </c>
      <c r="I606" s="1" t="str">
        <f>IFERROR(__xludf.DUMMYFUNCTION("""COMPUTED_VALUE"""),"Shonely")</f>
        <v>Shonely</v>
      </c>
      <c r="J606" s="1" t="s">
        <v>23</v>
      </c>
      <c r="K606" s="1" t="s">
        <v>522</v>
      </c>
      <c r="L606" s="1" t="str">
        <f t="shared" si="2"/>
        <v>Tampa</v>
      </c>
      <c r="M606" s="1" t="s">
        <v>145</v>
      </c>
      <c r="N606" s="1" t="str">
        <f t="shared" si="3"/>
        <v>Florida</v>
      </c>
      <c r="O606" s="1">
        <v>33614.0</v>
      </c>
      <c r="P606" s="1" t="s">
        <v>26</v>
      </c>
      <c r="Q606" s="1" t="s">
        <v>38</v>
      </c>
      <c r="R606" s="3">
        <v>7.218</v>
      </c>
      <c r="S606" s="1">
        <v>3.0</v>
      </c>
      <c r="T606" s="4">
        <v>6.25</v>
      </c>
    </row>
    <row r="607">
      <c r="A607" s="1" t="s">
        <v>1112</v>
      </c>
      <c r="B607" s="2">
        <v>42078.0</v>
      </c>
      <c r="C607" s="2" t="str">
        <f t="shared" si="1"/>
        <v>Mar</v>
      </c>
      <c r="D607" s="1" t="s">
        <v>1113</v>
      </c>
      <c r="E607" s="1" t="s">
        <v>41</v>
      </c>
      <c r="F607" s="1" t="s">
        <v>1114</v>
      </c>
      <c r="G607" s="1" t="s">
        <v>1115</v>
      </c>
      <c r="H607" s="1" t="str">
        <f>IFERROR(__xludf.DUMMYFUNCTION("split(G607,"" "")"),"Alan")</f>
        <v>Alan</v>
      </c>
      <c r="I607" s="1" t="str">
        <f>IFERROR(__xludf.DUMMYFUNCTION("""COMPUTED_VALUE"""),"Shonely")</f>
        <v>Shonely</v>
      </c>
      <c r="J607" s="1" t="s">
        <v>23</v>
      </c>
      <c r="K607" s="1" t="s">
        <v>522</v>
      </c>
      <c r="L607" s="1" t="str">
        <f t="shared" si="2"/>
        <v>Tampa</v>
      </c>
      <c r="M607" s="1" t="s">
        <v>145</v>
      </c>
      <c r="N607" s="1" t="str">
        <f t="shared" si="3"/>
        <v>Florida</v>
      </c>
      <c r="O607" s="1">
        <v>33614.0</v>
      </c>
      <c r="P607" s="1" t="s">
        <v>26</v>
      </c>
      <c r="Q607" s="1" t="s">
        <v>38</v>
      </c>
      <c r="R607" s="3">
        <v>43.188</v>
      </c>
      <c r="S607" s="1">
        <v>3.0</v>
      </c>
      <c r="T607" s="4">
        <v>42.61</v>
      </c>
    </row>
    <row r="608">
      <c r="A608" s="1" t="s">
        <v>1112</v>
      </c>
      <c r="B608" s="2">
        <v>42078.0</v>
      </c>
      <c r="C608" s="2" t="str">
        <f t="shared" si="1"/>
        <v>Mar</v>
      </c>
      <c r="D608" s="1" t="s">
        <v>1113</v>
      </c>
      <c r="E608" s="1" t="s">
        <v>41</v>
      </c>
      <c r="F608" s="1" t="s">
        <v>1114</v>
      </c>
      <c r="G608" s="1" t="s">
        <v>1115</v>
      </c>
      <c r="H608" s="1" t="str">
        <f>IFERROR(__xludf.DUMMYFUNCTION("split(G608,"" "")"),"Alan")</f>
        <v>Alan</v>
      </c>
      <c r="I608" s="1" t="str">
        <f>IFERROR(__xludf.DUMMYFUNCTION("""COMPUTED_VALUE"""),"Shonely")</f>
        <v>Shonely</v>
      </c>
      <c r="J608" s="1" t="s">
        <v>23</v>
      </c>
      <c r="K608" s="1" t="s">
        <v>522</v>
      </c>
      <c r="L608" s="1" t="str">
        <f t="shared" si="2"/>
        <v>Tampa</v>
      </c>
      <c r="M608" s="1" t="s">
        <v>145</v>
      </c>
      <c r="N608" s="1" t="str">
        <f t="shared" si="3"/>
        <v>Florida</v>
      </c>
      <c r="O608" s="1">
        <v>33614.0</v>
      </c>
      <c r="P608" s="1" t="s">
        <v>26</v>
      </c>
      <c r="Q608" s="1" t="s">
        <v>38</v>
      </c>
      <c r="R608" s="3">
        <v>131.904</v>
      </c>
      <c r="S608" s="1">
        <v>3.0</v>
      </c>
      <c r="T608" s="4">
        <v>131.07</v>
      </c>
    </row>
    <row r="609">
      <c r="A609" s="1" t="s">
        <v>1116</v>
      </c>
      <c r="B609" s="2">
        <v>42147.0</v>
      </c>
      <c r="C609" s="2" t="str">
        <f t="shared" si="1"/>
        <v>May</v>
      </c>
      <c r="D609" s="1" t="s">
        <v>1117</v>
      </c>
      <c r="E609" s="1" t="s">
        <v>41</v>
      </c>
      <c r="F609" s="1" t="s">
        <v>1118</v>
      </c>
      <c r="G609" s="1" t="s">
        <v>1119</v>
      </c>
      <c r="H609" s="1" t="str">
        <f>IFERROR(__xludf.DUMMYFUNCTION("split(G609,"" "")"),"Andrew")</f>
        <v>Andrew</v>
      </c>
      <c r="I609" s="1" t="str">
        <f>IFERROR(__xludf.DUMMYFUNCTION("""COMPUTED_VALUE"""),"Roberts")</f>
        <v>Roberts</v>
      </c>
      <c r="J609" s="1" t="s">
        <v>23</v>
      </c>
      <c r="K609" s="1" t="s">
        <v>98</v>
      </c>
      <c r="L609" s="1" t="str">
        <f t="shared" si="2"/>
        <v>Philadelphia</v>
      </c>
      <c r="M609" s="1" t="s">
        <v>99</v>
      </c>
      <c r="N609" s="1" t="str">
        <f t="shared" si="3"/>
        <v>Pennsylvania</v>
      </c>
      <c r="O609" s="1">
        <v>19134.0</v>
      </c>
      <c r="P609" s="1" t="s">
        <v>100</v>
      </c>
      <c r="Q609" s="1" t="s">
        <v>38</v>
      </c>
      <c r="R609" s="3">
        <v>3.282</v>
      </c>
      <c r="S609" s="1">
        <v>1.0</v>
      </c>
      <c r="T609" s="4">
        <v>2.64</v>
      </c>
    </row>
    <row r="610">
      <c r="A610" s="1" t="s">
        <v>1116</v>
      </c>
      <c r="B610" s="2">
        <v>42147.0</v>
      </c>
      <c r="C610" s="2" t="str">
        <f t="shared" si="1"/>
        <v>May</v>
      </c>
      <c r="D610" s="1" t="s">
        <v>1117</v>
      </c>
      <c r="E610" s="1" t="s">
        <v>41</v>
      </c>
      <c r="F610" s="1" t="s">
        <v>1118</v>
      </c>
      <c r="G610" s="1" t="s">
        <v>1119</v>
      </c>
      <c r="H610" s="1" t="str">
        <f>IFERROR(__xludf.DUMMYFUNCTION("split(G610,"" "")"),"Andrew")</f>
        <v>Andrew</v>
      </c>
      <c r="I610" s="1" t="str">
        <f>IFERROR(__xludf.DUMMYFUNCTION("""COMPUTED_VALUE"""),"Roberts")</f>
        <v>Roberts</v>
      </c>
      <c r="J610" s="1" t="s">
        <v>23</v>
      </c>
      <c r="K610" s="1" t="s">
        <v>98</v>
      </c>
      <c r="L610" s="1" t="str">
        <f t="shared" si="2"/>
        <v>Philadelphia</v>
      </c>
      <c r="M610" s="1" t="s">
        <v>99</v>
      </c>
      <c r="N610" s="1" t="str">
        <f t="shared" si="3"/>
        <v>Pennsylvania</v>
      </c>
      <c r="O610" s="1">
        <v>19134.0</v>
      </c>
      <c r="P610" s="1" t="s">
        <v>100</v>
      </c>
      <c r="Q610" s="1" t="s">
        <v>38</v>
      </c>
      <c r="R610" s="3">
        <v>21.168</v>
      </c>
      <c r="S610" s="1">
        <v>1.0</v>
      </c>
      <c r="T610" s="4">
        <v>20.68</v>
      </c>
    </row>
    <row r="611">
      <c r="A611" s="1" t="s">
        <v>1116</v>
      </c>
      <c r="B611" s="2">
        <v>42147.0</v>
      </c>
      <c r="C611" s="2" t="str">
        <f t="shared" si="1"/>
        <v>May</v>
      </c>
      <c r="D611" s="1" t="s">
        <v>1117</v>
      </c>
      <c r="E611" s="1" t="s">
        <v>41</v>
      </c>
      <c r="F611" s="1" t="s">
        <v>1118</v>
      </c>
      <c r="G611" s="1" t="s">
        <v>1119</v>
      </c>
      <c r="H611" s="1" t="str">
        <f>IFERROR(__xludf.DUMMYFUNCTION("split(G611,"" "")"),"Andrew")</f>
        <v>Andrew</v>
      </c>
      <c r="I611" s="1" t="str">
        <f>IFERROR(__xludf.DUMMYFUNCTION("""COMPUTED_VALUE"""),"Roberts")</f>
        <v>Roberts</v>
      </c>
      <c r="J611" s="1" t="s">
        <v>23</v>
      </c>
      <c r="K611" s="1" t="s">
        <v>98</v>
      </c>
      <c r="L611" s="1" t="str">
        <f t="shared" si="2"/>
        <v>Philadelphia</v>
      </c>
      <c r="M611" s="1" t="s">
        <v>99</v>
      </c>
      <c r="N611" s="1" t="str">
        <f t="shared" si="3"/>
        <v>Pennsylvania</v>
      </c>
      <c r="O611" s="1">
        <v>19134.0</v>
      </c>
      <c r="P611" s="1" t="s">
        <v>100</v>
      </c>
      <c r="Q611" s="1" t="s">
        <v>51</v>
      </c>
      <c r="R611" s="3">
        <v>55.188</v>
      </c>
      <c r="S611" s="1">
        <v>1.0</v>
      </c>
      <c r="T611" s="4">
        <v>54.68</v>
      </c>
    </row>
    <row r="612">
      <c r="A612" s="1" t="s">
        <v>1120</v>
      </c>
      <c r="B612" s="2">
        <v>42853.0</v>
      </c>
      <c r="C612" s="2" t="str">
        <f t="shared" si="1"/>
        <v>Apr</v>
      </c>
      <c r="D612" s="6">
        <v>42740.0</v>
      </c>
      <c r="E612" s="1" t="s">
        <v>121</v>
      </c>
      <c r="F612" s="1" t="s">
        <v>1121</v>
      </c>
      <c r="G612" s="1" t="s">
        <v>1122</v>
      </c>
      <c r="H612" s="1" t="str">
        <f>IFERROR(__xludf.DUMMYFUNCTION("split(G612,"" "")"),"Nona")</f>
        <v>Nona</v>
      </c>
      <c r="I612" s="1" t="str">
        <f>IFERROR(__xludf.DUMMYFUNCTION("""COMPUTED_VALUE"""),"Balk")</f>
        <v>Balk</v>
      </c>
      <c r="J612" s="1" t="s">
        <v>34</v>
      </c>
      <c r="K612" s="1" t="s">
        <v>480</v>
      </c>
      <c r="L612" s="1" t="str">
        <f t="shared" si="2"/>
        <v>Dallas</v>
      </c>
      <c r="M612" s="1" t="s">
        <v>70</v>
      </c>
      <c r="N612" s="1" t="str">
        <f t="shared" si="3"/>
        <v>Texas</v>
      </c>
      <c r="O612" s="1">
        <v>75217.0</v>
      </c>
      <c r="P612" s="1" t="s">
        <v>71</v>
      </c>
      <c r="Q612" s="1" t="s">
        <v>51</v>
      </c>
      <c r="R612" s="3">
        <v>369.576</v>
      </c>
      <c r="S612" s="1">
        <v>7.0</v>
      </c>
      <c r="T612" s="4">
        <v>369.43</v>
      </c>
    </row>
    <row r="613">
      <c r="A613" s="1" t="s">
        <v>1120</v>
      </c>
      <c r="B613" s="2">
        <v>42853.0</v>
      </c>
      <c r="C613" s="2" t="str">
        <f t="shared" si="1"/>
        <v>Apr</v>
      </c>
      <c r="D613" s="6">
        <v>42740.0</v>
      </c>
      <c r="E613" s="1" t="s">
        <v>121</v>
      </c>
      <c r="F613" s="1" t="s">
        <v>1121</v>
      </c>
      <c r="G613" s="1" t="s">
        <v>1122</v>
      </c>
      <c r="H613" s="1" t="str">
        <f>IFERROR(__xludf.DUMMYFUNCTION("split(G613,"" "")"),"Nona")</f>
        <v>Nona</v>
      </c>
      <c r="I613" s="1" t="str">
        <f>IFERROR(__xludf.DUMMYFUNCTION("""COMPUTED_VALUE"""),"Balk")</f>
        <v>Balk</v>
      </c>
      <c r="J613" s="1" t="s">
        <v>34</v>
      </c>
      <c r="K613" s="1" t="s">
        <v>480</v>
      </c>
      <c r="L613" s="1" t="str">
        <f t="shared" si="2"/>
        <v>Dallas</v>
      </c>
      <c r="M613" s="1" t="s">
        <v>70</v>
      </c>
      <c r="N613" s="1" t="str">
        <f t="shared" si="3"/>
        <v>Texas</v>
      </c>
      <c r="O613" s="1">
        <v>75217.0</v>
      </c>
      <c r="P613" s="1" t="s">
        <v>71</v>
      </c>
      <c r="Q613" s="1" t="s">
        <v>38</v>
      </c>
      <c r="R613" s="3">
        <v>15.712</v>
      </c>
      <c r="S613" s="1">
        <v>7.0</v>
      </c>
      <c r="T613" s="4">
        <v>15.41</v>
      </c>
    </row>
    <row r="614">
      <c r="A614" s="1" t="s">
        <v>1123</v>
      </c>
      <c r="B614" s="2">
        <v>43048.0</v>
      </c>
      <c r="C614" s="2" t="str">
        <f t="shared" si="1"/>
        <v>Nov</v>
      </c>
      <c r="D614" s="1" t="s">
        <v>1124</v>
      </c>
      <c r="E614" s="1" t="s">
        <v>20</v>
      </c>
      <c r="F614" s="1" t="s">
        <v>1125</v>
      </c>
      <c r="G614" s="1" t="s">
        <v>1126</v>
      </c>
      <c r="H614" s="1" t="str">
        <f>IFERROR(__xludf.DUMMYFUNCTION("split(G614,"" "")"),"Giulietta")</f>
        <v>Giulietta</v>
      </c>
      <c r="I614" s="1" t="str">
        <f>IFERROR(__xludf.DUMMYFUNCTION("""COMPUTED_VALUE"""),"Dortch")</f>
        <v>Dortch</v>
      </c>
      <c r="J614" s="1" t="s">
        <v>34</v>
      </c>
      <c r="K614" s="1" t="s">
        <v>98</v>
      </c>
      <c r="L614" s="1" t="str">
        <f t="shared" si="2"/>
        <v>Philadelphia</v>
      </c>
      <c r="M614" s="1" t="s">
        <v>99</v>
      </c>
      <c r="N614" s="1" t="str">
        <f t="shared" si="3"/>
        <v>Pennsylvania</v>
      </c>
      <c r="O614" s="1">
        <v>19143.0</v>
      </c>
      <c r="P614" s="1" t="s">
        <v>100</v>
      </c>
      <c r="Q614" s="1" t="s">
        <v>38</v>
      </c>
      <c r="R614" s="3">
        <v>8.448</v>
      </c>
      <c r="S614" s="1">
        <v>1.0</v>
      </c>
      <c r="T614" s="4">
        <v>7.49</v>
      </c>
    </row>
    <row r="615">
      <c r="A615" s="1" t="s">
        <v>1123</v>
      </c>
      <c r="B615" s="2">
        <v>43048.0</v>
      </c>
      <c r="C615" s="2" t="str">
        <f t="shared" si="1"/>
        <v>Nov</v>
      </c>
      <c r="D615" s="1" t="s">
        <v>1124</v>
      </c>
      <c r="E615" s="1" t="s">
        <v>20</v>
      </c>
      <c r="F615" s="1" t="s">
        <v>1125</v>
      </c>
      <c r="G615" s="1" t="s">
        <v>1126</v>
      </c>
      <c r="H615" s="1" t="str">
        <f>IFERROR(__xludf.DUMMYFUNCTION("split(G615,"" "")"),"Giulietta")</f>
        <v>Giulietta</v>
      </c>
      <c r="I615" s="1" t="str">
        <f>IFERROR(__xludf.DUMMYFUNCTION("""COMPUTED_VALUE"""),"Dortch")</f>
        <v>Dortch</v>
      </c>
      <c r="J615" s="1" t="s">
        <v>34</v>
      </c>
      <c r="K615" s="1" t="s">
        <v>98</v>
      </c>
      <c r="L615" s="1" t="str">
        <f t="shared" si="2"/>
        <v>Philadelphia</v>
      </c>
      <c r="M615" s="1" t="s">
        <v>99</v>
      </c>
      <c r="N615" s="1" t="str">
        <f t="shared" si="3"/>
        <v>Pennsylvania</v>
      </c>
      <c r="O615" s="1">
        <v>19143.0</v>
      </c>
      <c r="P615" s="1" t="s">
        <v>100</v>
      </c>
      <c r="Q615" s="1" t="s">
        <v>51</v>
      </c>
      <c r="R615" s="3">
        <v>728.946</v>
      </c>
      <c r="S615" s="1">
        <v>1.0</v>
      </c>
      <c r="T615" s="4">
        <v>727.99</v>
      </c>
    </row>
    <row r="616">
      <c r="A616" s="1" t="s">
        <v>1127</v>
      </c>
      <c r="B616" s="2">
        <v>43418.0</v>
      </c>
      <c r="C616" s="2" t="str">
        <f t="shared" si="1"/>
        <v>Nov</v>
      </c>
      <c r="D616" s="1" t="s">
        <v>1128</v>
      </c>
      <c r="E616" s="1" t="s">
        <v>20</v>
      </c>
      <c r="F616" s="1" t="s">
        <v>1129</v>
      </c>
      <c r="G616" s="1" t="s">
        <v>1130</v>
      </c>
      <c r="H616" s="1" t="str">
        <f>IFERROR(__xludf.DUMMYFUNCTION("split(G616,"" "")"),"Clytie")</f>
        <v>Clytie</v>
      </c>
      <c r="I616" s="1" t="str">
        <f>IFERROR(__xludf.DUMMYFUNCTION("""COMPUTED_VALUE"""),"Kelty")</f>
        <v>Kelty</v>
      </c>
      <c r="J616" s="1" t="s">
        <v>23</v>
      </c>
      <c r="K616" s="1" t="s">
        <v>1131</v>
      </c>
      <c r="L616" s="1" t="str">
        <f t="shared" si="2"/>
        <v>Grove City</v>
      </c>
      <c r="M616" s="1" t="s">
        <v>304</v>
      </c>
      <c r="N616" s="1" t="str">
        <f t="shared" si="3"/>
        <v>Ohio</v>
      </c>
      <c r="O616" s="1">
        <v>43123.0</v>
      </c>
      <c r="P616" s="1" t="s">
        <v>100</v>
      </c>
      <c r="Q616" s="1" t="s">
        <v>51</v>
      </c>
      <c r="R616" s="3">
        <v>119.94</v>
      </c>
      <c r="S616" s="1">
        <v>4.0</v>
      </c>
      <c r="T616" s="4">
        <v>119.72</v>
      </c>
    </row>
    <row r="617">
      <c r="A617" s="1" t="s">
        <v>1127</v>
      </c>
      <c r="B617" s="2">
        <v>43418.0</v>
      </c>
      <c r="C617" s="2" t="str">
        <f t="shared" si="1"/>
        <v>Nov</v>
      </c>
      <c r="D617" s="1" t="s">
        <v>1128</v>
      </c>
      <c r="E617" s="1" t="s">
        <v>20</v>
      </c>
      <c r="F617" s="1" t="s">
        <v>1129</v>
      </c>
      <c r="G617" s="1" t="s">
        <v>1130</v>
      </c>
      <c r="H617" s="1" t="str">
        <f>IFERROR(__xludf.DUMMYFUNCTION("split(G617,"" "")"),"Clytie")</f>
        <v>Clytie</v>
      </c>
      <c r="I617" s="1" t="str">
        <f>IFERROR(__xludf.DUMMYFUNCTION("""COMPUTED_VALUE"""),"Kelty")</f>
        <v>Kelty</v>
      </c>
      <c r="J617" s="1" t="s">
        <v>23</v>
      </c>
      <c r="K617" s="1" t="s">
        <v>1131</v>
      </c>
      <c r="L617" s="1" t="str">
        <f t="shared" si="2"/>
        <v>Grove City</v>
      </c>
      <c r="M617" s="1" t="s">
        <v>304</v>
      </c>
      <c r="N617" s="1" t="str">
        <f t="shared" si="3"/>
        <v>Ohio</v>
      </c>
      <c r="O617" s="1">
        <v>43123.0</v>
      </c>
      <c r="P617" s="1" t="s">
        <v>100</v>
      </c>
      <c r="Q617" s="1" t="s">
        <v>38</v>
      </c>
      <c r="R617" s="3">
        <v>3.648</v>
      </c>
      <c r="S617" s="1">
        <v>4.0</v>
      </c>
      <c r="T617" s="4">
        <v>2.81</v>
      </c>
    </row>
    <row r="618">
      <c r="A618" s="1" t="s">
        <v>1132</v>
      </c>
      <c r="B618" s="2">
        <v>43330.0</v>
      </c>
      <c r="C618" s="2" t="str">
        <f t="shared" si="1"/>
        <v>Aug</v>
      </c>
      <c r="D618" s="1" t="s">
        <v>824</v>
      </c>
      <c r="E618" s="1" t="s">
        <v>20</v>
      </c>
      <c r="F618" s="1" t="s">
        <v>1133</v>
      </c>
      <c r="G618" s="1" t="s">
        <v>1134</v>
      </c>
      <c r="H618" s="1" t="str">
        <f>IFERROR(__xludf.DUMMYFUNCTION("split(G618,"" "")"),"Nat")</f>
        <v>Nat</v>
      </c>
      <c r="I618" s="1" t="str">
        <f>IFERROR(__xludf.DUMMYFUNCTION("""COMPUTED_VALUE"""),"Gilpin")</f>
        <v>Gilpin</v>
      </c>
      <c r="J618" s="1" t="s">
        <v>34</v>
      </c>
      <c r="K618" s="1" t="s">
        <v>174</v>
      </c>
      <c r="L618" s="1" t="str">
        <f t="shared" si="2"/>
        <v>New York City</v>
      </c>
      <c r="M618" s="1" t="s">
        <v>175</v>
      </c>
      <c r="N618" s="1" t="str">
        <f t="shared" si="3"/>
        <v>New York</v>
      </c>
      <c r="O618" s="1">
        <v>10011.0</v>
      </c>
      <c r="P618" s="1" t="s">
        <v>100</v>
      </c>
      <c r="Q618" s="1" t="s">
        <v>27</v>
      </c>
      <c r="R618" s="3">
        <v>40.48</v>
      </c>
      <c r="S618" s="1">
        <v>1.0</v>
      </c>
      <c r="T618" s="4">
        <v>40.35</v>
      </c>
    </row>
    <row r="619">
      <c r="A619" s="1" t="s">
        <v>1132</v>
      </c>
      <c r="B619" s="2">
        <v>43330.0</v>
      </c>
      <c r="C619" s="2" t="str">
        <f t="shared" si="1"/>
        <v>Aug</v>
      </c>
      <c r="D619" s="1" t="s">
        <v>824</v>
      </c>
      <c r="E619" s="1" t="s">
        <v>20</v>
      </c>
      <c r="F619" s="1" t="s">
        <v>1133</v>
      </c>
      <c r="G619" s="1" t="s">
        <v>1134</v>
      </c>
      <c r="H619" s="1" t="str">
        <f>IFERROR(__xludf.DUMMYFUNCTION("split(G619,"" "")"),"Nat")</f>
        <v>Nat</v>
      </c>
      <c r="I619" s="1" t="str">
        <f>IFERROR(__xludf.DUMMYFUNCTION("""COMPUTED_VALUE"""),"Gilpin")</f>
        <v>Gilpin</v>
      </c>
      <c r="J619" s="1" t="s">
        <v>34</v>
      </c>
      <c r="K619" s="1" t="s">
        <v>174</v>
      </c>
      <c r="L619" s="1" t="str">
        <f t="shared" si="2"/>
        <v>New York City</v>
      </c>
      <c r="M619" s="1" t="s">
        <v>175</v>
      </c>
      <c r="N619" s="1" t="str">
        <f t="shared" si="3"/>
        <v>New York</v>
      </c>
      <c r="O619" s="1">
        <v>10011.0</v>
      </c>
      <c r="P619" s="1" t="s">
        <v>100</v>
      </c>
      <c r="Q619" s="1" t="s">
        <v>27</v>
      </c>
      <c r="R619" s="3">
        <v>9.94</v>
      </c>
      <c r="S619" s="1">
        <v>1.0</v>
      </c>
      <c r="T619" s="4">
        <v>9.42</v>
      </c>
    </row>
    <row r="620">
      <c r="A620" s="1" t="s">
        <v>1132</v>
      </c>
      <c r="B620" s="2">
        <v>43330.0</v>
      </c>
      <c r="C620" s="2" t="str">
        <f t="shared" si="1"/>
        <v>Aug</v>
      </c>
      <c r="D620" s="1" t="s">
        <v>824</v>
      </c>
      <c r="E620" s="1" t="s">
        <v>20</v>
      </c>
      <c r="F620" s="1" t="s">
        <v>1133</v>
      </c>
      <c r="G620" s="1" t="s">
        <v>1134</v>
      </c>
      <c r="H620" s="1" t="str">
        <f>IFERROR(__xludf.DUMMYFUNCTION("split(G620,"" "")"),"Nat")</f>
        <v>Nat</v>
      </c>
      <c r="I620" s="1" t="str">
        <f>IFERROR(__xludf.DUMMYFUNCTION("""COMPUTED_VALUE"""),"Gilpin")</f>
        <v>Gilpin</v>
      </c>
      <c r="J620" s="1" t="s">
        <v>34</v>
      </c>
      <c r="K620" s="1" t="s">
        <v>174</v>
      </c>
      <c r="L620" s="1" t="str">
        <f t="shared" si="2"/>
        <v>New York City</v>
      </c>
      <c r="M620" s="1" t="s">
        <v>175</v>
      </c>
      <c r="N620" s="1" t="str">
        <f t="shared" si="3"/>
        <v>New York</v>
      </c>
      <c r="O620" s="1">
        <v>10011.0</v>
      </c>
      <c r="P620" s="1" t="s">
        <v>100</v>
      </c>
      <c r="Q620" s="1" t="s">
        <v>38</v>
      </c>
      <c r="R620" s="3">
        <v>107.424</v>
      </c>
      <c r="S620" s="1">
        <v>1.0</v>
      </c>
      <c r="T620" s="4">
        <v>107.26</v>
      </c>
    </row>
    <row r="621">
      <c r="A621" s="1" t="s">
        <v>1132</v>
      </c>
      <c r="B621" s="2">
        <v>43330.0</v>
      </c>
      <c r="C621" s="2" t="str">
        <f t="shared" si="1"/>
        <v>Aug</v>
      </c>
      <c r="D621" s="1" t="s">
        <v>824</v>
      </c>
      <c r="E621" s="1" t="s">
        <v>20</v>
      </c>
      <c r="F621" s="1" t="s">
        <v>1133</v>
      </c>
      <c r="G621" s="1" t="s">
        <v>1134</v>
      </c>
      <c r="H621" s="1" t="str">
        <f>IFERROR(__xludf.DUMMYFUNCTION("split(G621,"" "")"),"Nat")</f>
        <v>Nat</v>
      </c>
      <c r="I621" s="1" t="str">
        <f>IFERROR(__xludf.DUMMYFUNCTION("""COMPUTED_VALUE"""),"Gilpin")</f>
        <v>Gilpin</v>
      </c>
      <c r="J621" s="1" t="s">
        <v>34</v>
      </c>
      <c r="K621" s="1" t="s">
        <v>174</v>
      </c>
      <c r="L621" s="1" t="str">
        <f t="shared" si="2"/>
        <v>New York City</v>
      </c>
      <c r="M621" s="1" t="s">
        <v>175</v>
      </c>
      <c r="N621" s="1" t="str">
        <f t="shared" si="3"/>
        <v>New York</v>
      </c>
      <c r="O621" s="1">
        <v>10011.0</v>
      </c>
      <c r="P621" s="1" t="s">
        <v>100</v>
      </c>
      <c r="Q621" s="1" t="s">
        <v>51</v>
      </c>
      <c r="R621" s="3">
        <v>37.91</v>
      </c>
      <c r="S621" s="1">
        <v>1.0</v>
      </c>
      <c r="T621" s="4">
        <v>37.76</v>
      </c>
    </row>
    <row r="622">
      <c r="A622" s="1" t="s">
        <v>1132</v>
      </c>
      <c r="B622" s="2">
        <v>43330.0</v>
      </c>
      <c r="C622" s="2" t="str">
        <f t="shared" si="1"/>
        <v>Aug</v>
      </c>
      <c r="D622" s="1" t="s">
        <v>824</v>
      </c>
      <c r="E622" s="1" t="s">
        <v>20</v>
      </c>
      <c r="F622" s="1" t="s">
        <v>1133</v>
      </c>
      <c r="G622" s="1" t="s">
        <v>1134</v>
      </c>
      <c r="H622" s="1" t="str">
        <f>IFERROR(__xludf.DUMMYFUNCTION("split(G622,"" "")"),"Nat")</f>
        <v>Nat</v>
      </c>
      <c r="I622" s="1" t="str">
        <f>IFERROR(__xludf.DUMMYFUNCTION("""COMPUTED_VALUE"""),"Gilpin")</f>
        <v>Gilpin</v>
      </c>
      <c r="J622" s="1" t="s">
        <v>34</v>
      </c>
      <c r="K622" s="1" t="s">
        <v>174</v>
      </c>
      <c r="L622" s="1" t="str">
        <f t="shared" si="2"/>
        <v>New York City</v>
      </c>
      <c r="M622" s="1" t="s">
        <v>175</v>
      </c>
      <c r="N622" s="1" t="str">
        <f t="shared" si="3"/>
        <v>New York</v>
      </c>
      <c r="O622" s="1">
        <v>10011.0</v>
      </c>
      <c r="P622" s="1" t="s">
        <v>100</v>
      </c>
      <c r="Q622" s="1" t="s">
        <v>27</v>
      </c>
      <c r="R622" s="3">
        <v>88.02</v>
      </c>
      <c r="S622" s="1">
        <v>1.0</v>
      </c>
      <c r="T622" s="4">
        <v>87.89</v>
      </c>
    </row>
    <row r="623">
      <c r="A623" s="1" t="s">
        <v>1135</v>
      </c>
      <c r="B623" s="2">
        <v>42364.0</v>
      </c>
      <c r="C623" s="2" t="str">
        <f t="shared" si="1"/>
        <v>Dec</v>
      </c>
      <c r="D623" s="1" t="s">
        <v>1136</v>
      </c>
      <c r="E623" s="1" t="s">
        <v>41</v>
      </c>
      <c r="F623" s="1" t="s">
        <v>1137</v>
      </c>
      <c r="G623" s="1" t="s">
        <v>1138</v>
      </c>
      <c r="H623" s="1" t="str">
        <f>IFERROR(__xludf.DUMMYFUNCTION("split(G623,"" "")"),"Christina")</f>
        <v>Christina</v>
      </c>
      <c r="I623" s="1" t="str">
        <f>IFERROR(__xludf.DUMMYFUNCTION("""COMPUTED_VALUE"""),"Anderson")</f>
        <v>Anderson</v>
      </c>
      <c r="J623" s="1" t="s">
        <v>23</v>
      </c>
      <c r="K623" s="1" t="s">
        <v>188</v>
      </c>
      <c r="L623" s="1" t="str">
        <f t="shared" si="2"/>
        <v>Chicago</v>
      </c>
      <c r="M623" s="1" t="s">
        <v>135</v>
      </c>
      <c r="N623" s="1" t="str">
        <f t="shared" si="3"/>
        <v>Illinois</v>
      </c>
      <c r="O623" s="1">
        <v>60610.0</v>
      </c>
      <c r="P623" s="1" t="s">
        <v>71</v>
      </c>
      <c r="Q623" s="1" t="s">
        <v>38</v>
      </c>
      <c r="R623" s="3">
        <v>8.69</v>
      </c>
      <c r="S623" s="1">
        <v>6.0</v>
      </c>
      <c r="T623" s="4">
        <v>8.16</v>
      </c>
    </row>
    <row r="624">
      <c r="A624" s="1" t="s">
        <v>1139</v>
      </c>
      <c r="B624" s="2">
        <v>42703.0</v>
      </c>
      <c r="C624" s="2" t="str">
        <f t="shared" si="1"/>
        <v>Nov</v>
      </c>
      <c r="D624" s="6">
        <v>42441.0</v>
      </c>
      <c r="E624" s="1" t="s">
        <v>41</v>
      </c>
      <c r="F624" s="1" t="s">
        <v>1140</v>
      </c>
      <c r="G624" s="1" t="s">
        <v>1141</v>
      </c>
      <c r="H624" s="1" t="str">
        <f>IFERROR(__xludf.DUMMYFUNCTION("split(G624,"" "")"),"Sylvia")</f>
        <v>Sylvia</v>
      </c>
      <c r="I624" s="1" t="str">
        <f>IFERROR(__xludf.DUMMYFUNCTION("""COMPUTED_VALUE"""),"Foulston")</f>
        <v>Foulston</v>
      </c>
      <c r="J624" s="1" t="s">
        <v>34</v>
      </c>
      <c r="K624" s="1" t="s">
        <v>1142</v>
      </c>
      <c r="L624" s="1" t="str">
        <f t="shared" si="2"/>
        <v>Dearborn</v>
      </c>
      <c r="M624" s="1" t="s">
        <v>157</v>
      </c>
      <c r="N624" s="1" t="str">
        <f t="shared" si="3"/>
        <v>Michigan</v>
      </c>
      <c r="O624" s="1">
        <v>48126.0</v>
      </c>
      <c r="P624" s="1" t="s">
        <v>71</v>
      </c>
      <c r="Q624" s="1" t="s">
        <v>27</v>
      </c>
      <c r="R624" s="3">
        <v>301.96</v>
      </c>
      <c r="S624" s="1">
        <v>4.0</v>
      </c>
      <c r="T624" s="4">
        <v>301.62</v>
      </c>
    </row>
    <row r="625">
      <c r="A625" s="1" t="s">
        <v>1139</v>
      </c>
      <c r="B625" s="2">
        <v>42703.0</v>
      </c>
      <c r="C625" s="2" t="str">
        <f t="shared" si="1"/>
        <v>Nov</v>
      </c>
      <c r="D625" s="6">
        <v>42441.0</v>
      </c>
      <c r="E625" s="1" t="s">
        <v>41</v>
      </c>
      <c r="F625" s="1" t="s">
        <v>1140</v>
      </c>
      <c r="G625" s="1" t="s">
        <v>1141</v>
      </c>
      <c r="H625" s="1" t="str">
        <f>IFERROR(__xludf.DUMMYFUNCTION("split(G625,"" "")"),"Sylvia")</f>
        <v>Sylvia</v>
      </c>
      <c r="I625" s="1" t="str">
        <f>IFERROR(__xludf.DUMMYFUNCTION("""COMPUTED_VALUE"""),"Foulston")</f>
        <v>Foulston</v>
      </c>
      <c r="J625" s="1" t="s">
        <v>34</v>
      </c>
      <c r="K625" s="1" t="s">
        <v>1142</v>
      </c>
      <c r="L625" s="1" t="str">
        <f t="shared" si="2"/>
        <v>Dearborn</v>
      </c>
      <c r="M625" s="1" t="s">
        <v>157</v>
      </c>
      <c r="N625" s="1" t="str">
        <f t="shared" si="3"/>
        <v>Michigan</v>
      </c>
      <c r="O625" s="1">
        <v>48126.0</v>
      </c>
      <c r="P625" s="1" t="s">
        <v>71</v>
      </c>
      <c r="Q625" s="1" t="s">
        <v>38</v>
      </c>
      <c r="R625" s="3">
        <v>555.21</v>
      </c>
      <c r="S625" s="1">
        <v>4.0</v>
      </c>
      <c r="T625" s="4">
        <v>554.84</v>
      </c>
    </row>
    <row r="626">
      <c r="A626" s="1" t="s">
        <v>1139</v>
      </c>
      <c r="B626" s="2">
        <v>42703.0</v>
      </c>
      <c r="C626" s="2" t="str">
        <f t="shared" si="1"/>
        <v>Nov</v>
      </c>
      <c r="D626" s="6">
        <v>42441.0</v>
      </c>
      <c r="E626" s="1" t="s">
        <v>41</v>
      </c>
      <c r="F626" s="1" t="s">
        <v>1140</v>
      </c>
      <c r="G626" s="1" t="s">
        <v>1141</v>
      </c>
      <c r="H626" s="1" t="str">
        <f>IFERROR(__xludf.DUMMYFUNCTION("split(G626,"" "")"),"Sylvia")</f>
        <v>Sylvia</v>
      </c>
      <c r="I626" s="1" t="str">
        <f>IFERROR(__xludf.DUMMYFUNCTION("""COMPUTED_VALUE"""),"Foulston")</f>
        <v>Foulston</v>
      </c>
      <c r="J626" s="1" t="s">
        <v>34</v>
      </c>
      <c r="K626" s="1" t="s">
        <v>1142</v>
      </c>
      <c r="L626" s="1" t="str">
        <f t="shared" si="2"/>
        <v>Dearborn</v>
      </c>
      <c r="M626" s="1" t="s">
        <v>157</v>
      </c>
      <c r="N626" s="1" t="str">
        <f t="shared" si="3"/>
        <v>Michigan</v>
      </c>
      <c r="O626" s="1">
        <v>48126.0</v>
      </c>
      <c r="P626" s="1" t="s">
        <v>71</v>
      </c>
      <c r="Q626" s="1" t="s">
        <v>38</v>
      </c>
      <c r="R626" s="3">
        <v>523.48</v>
      </c>
      <c r="S626" s="1">
        <v>4.0</v>
      </c>
      <c r="T626" s="4">
        <v>522.95</v>
      </c>
    </row>
    <row r="627">
      <c r="A627" s="1" t="s">
        <v>1139</v>
      </c>
      <c r="B627" s="2">
        <v>42703.0</v>
      </c>
      <c r="C627" s="2" t="str">
        <f t="shared" si="1"/>
        <v>Nov</v>
      </c>
      <c r="D627" s="6">
        <v>42441.0</v>
      </c>
      <c r="E627" s="1" t="s">
        <v>41</v>
      </c>
      <c r="F627" s="1" t="s">
        <v>1140</v>
      </c>
      <c r="G627" s="1" t="s">
        <v>1141</v>
      </c>
      <c r="H627" s="1" t="str">
        <f>IFERROR(__xludf.DUMMYFUNCTION("split(G627,"" "")"),"Sylvia")</f>
        <v>Sylvia</v>
      </c>
      <c r="I627" s="1" t="str">
        <f>IFERROR(__xludf.DUMMYFUNCTION("""COMPUTED_VALUE"""),"Foulston")</f>
        <v>Foulston</v>
      </c>
      <c r="J627" s="1" t="s">
        <v>34</v>
      </c>
      <c r="K627" s="1" t="s">
        <v>1142</v>
      </c>
      <c r="L627" s="1" t="str">
        <f t="shared" si="2"/>
        <v>Dearborn</v>
      </c>
      <c r="M627" s="1" t="s">
        <v>157</v>
      </c>
      <c r="N627" s="1" t="str">
        <f t="shared" si="3"/>
        <v>Michigan</v>
      </c>
      <c r="O627" s="1">
        <v>48126.0</v>
      </c>
      <c r="P627" s="1" t="s">
        <v>71</v>
      </c>
      <c r="Q627" s="1" t="s">
        <v>38</v>
      </c>
      <c r="R627" s="3">
        <v>161.82</v>
      </c>
      <c r="S627" s="1">
        <v>4.0</v>
      </c>
      <c r="T627" s="4">
        <v>161.05</v>
      </c>
    </row>
    <row r="628">
      <c r="A628" s="1" t="s">
        <v>1143</v>
      </c>
      <c r="B628" s="2">
        <v>43358.0</v>
      </c>
      <c r="C628" s="2" t="str">
        <f t="shared" si="1"/>
        <v>Sep</v>
      </c>
      <c r="D628" s="1" t="s">
        <v>855</v>
      </c>
      <c r="E628" s="1" t="s">
        <v>41</v>
      </c>
      <c r="F628" s="1" t="s">
        <v>1144</v>
      </c>
      <c r="G628" s="1" t="s">
        <v>1145</v>
      </c>
      <c r="H628" s="1" t="str">
        <f>IFERROR(__xludf.DUMMYFUNCTION("split(G628,"" "")"),"Meg")</f>
        <v>Meg</v>
      </c>
      <c r="I628" s="1" t="str">
        <f>IFERROR(__xludf.DUMMYFUNCTION("""COMPUTED_VALUE"""),"O'Connel")</f>
        <v>O'Connel</v>
      </c>
      <c r="J628" s="1" t="s">
        <v>68</v>
      </c>
      <c r="K628" s="1" t="s">
        <v>174</v>
      </c>
      <c r="L628" s="1" t="str">
        <f t="shared" si="2"/>
        <v>New York City</v>
      </c>
      <c r="M628" s="1" t="s">
        <v>175</v>
      </c>
      <c r="N628" s="1" t="str">
        <f t="shared" si="3"/>
        <v>New York</v>
      </c>
      <c r="O628" s="1">
        <v>10009.0</v>
      </c>
      <c r="P628" s="1" t="s">
        <v>100</v>
      </c>
      <c r="Q628" s="1" t="s">
        <v>27</v>
      </c>
      <c r="R628" s="3">
        <v>35.56</v>
      </c>
      <c r="S628" s="1">
        <v>1.0</v>
      </c>
      <c r="T628" s="4">
        <v>35.04</v>
      </c>
    </row>
    <row r="629">
      <c r="A629" s="1" t="s">
        <v>1146</v>
      </c>
      <c r="B629" s="2">
        <v>43239.0</v>
      </c>
      <c r="C629" s="2" t="str">
        <f t="shared" si="1"/>
        <v>May</v>
      </c>
      <c r="D629" s="1" t="s">
        <v>1147</v>
      </c>
      <c r="E629" s="1" t="s">
        <v>41</v>
      </c>
      <c r="F629" s="1" t="s">
        <v>1148</v>
      </c>
      <c r="G629" s="1" t="s">
        <v>1149</v>
      </c>
      <c r="H629" s="1" t="str">
        <f>IFERROR(__xludf.DUMMYFUNCTION("split(G629,"" "")"),"Annie")</f>
        <v>Annie</v>
      </c>
      <c r="I629" s="1" t="str">
        <f>IFERROR(__xludf.DUMMYFUNCTION("""COMPUTED_VALUE"""),"Thurman")</f>
        <v>Thurman</v>
      </c>
      <c r="J629" s="1" t="s">
        <v>23</v>
      </c>
      <c r="K629" s="1" t="s">
        <v>62</v>
      </c>
      <c r="L629" s="1" t="str">
        <f t="shared" si="2"/>
        <v>Seattle</v>
      </c>
      <c r="M629" s="1" t="s">
        <v>63</v>
      </c>
      <c r="N629" s="1" t="str">
        <f t="shared" si="3"/>
        <v>Washington</v>
      </c>
      <c r="O629" s="1">
        <v>98115.0</v>
      </c>
      <c r="P629" s="1" t="s">
        <v>37</v>
      </c>
      <c r="Q629" s="1" t="s">
        <v>38</v>
      </c>
      <c r="R629" s="3">
        <v>97.16</v>
      </c>
      <c r="S629" s="1">
        <v>9.0</v>
      </c>
      <c r="T629" s="4">
        <v>97.09</v>
      </c>
    </row>
    <row r="630">
      <c r="A630" s="1" t="s">
        <v>1150</v>
      </c>
      <c r="B630" s="2">
        <v>43451.0</v>
      </c>
      <c r="C630" s="2" t="str">
        <f t="shared" si="1"/>
        <v>Dec</v>
      </c>
      <c r="D630" s="1" t="s">
        <v>477</v>
      </c>
      <c r="E630" s="1" t="s">
        <v>41</v>
      </c>
      <c r="F630" s="1" t="s">
        <v>478</v>
      </c>
      <c r="G630" s="1" t="s">
        <v>479</v>
      </c>
      <c r="H630" s="1" t="str">
        <f>IFERROR(__xludf.DUMMYFUNCTION("split(G630,"" "")"),"Logan")</f>
        <v>Logan</v>
      </c>
      <c r="I630" s="1" t="str">
        <f>IFERROR(__xludf.DUMMYFUNCTION("""COMPUTED_VALUE"""),"Currie")</f>
        <v>Currie</v>
      </c>
      <c r="J630" s="1" t="s">
        <v>23</v>
      </c>
      <c r="K630" s="1" t="s">
        <v>87</v>
      </c>
      <c r="L630" s="1" t="str">
        <f t="shared" si="2"/>
        <v>San Francisco</v>
      </c>
      <c r="M630" s="1" t="s">
        <v>52</v>
      </c>
      <c r="N630" s="1" t="str">
        <f t="shared" si="3"/>
        <v>California</v>
      </c>
      <c r="O630" s="1">
        <v>94122.0</v>
      </c>
      <c r="P630" s="1" t="s">
        <v>37</v>
      </c>
      <c r="Q630" s="1" t="s">
        <v>38</v>
      </c>
      <c r="R630" s="3">
        <v>15.24</v>
      </c>
      <c r="S630" s="1">
        <v>9.0</v>
      </c>
      <c r="T630" s="4">
        <v>14.45</v>
      </c>
    </row>
    <row r="631">
      <c r="A631" s="1" t="s">
        <v>1150</v>
      </c>
      <c r="B631" s="2">
        <v>43451.0</v>
      </c>
      <c r="C631" s="2" t="str">
        <f t="shared" si="1"/>
        <v>Dec</v>
      </c>
      <c r="D631" s="1" t="s">
        <v>477</v>
      </c>
      <c r="E631" s="1" t="s">
        <v>41</v>
      </c>
      <c r="F631" s="1" t="s">
        <v>478</v>
      </c>
      <c r="G631" s="1" t="s">
        <v>479</v>
      </c>
      <c r="H631" s="1" t="str">
        <f>IFERROR(__xludf.DUMMYFUNCTION("split(G631,"" "")"),"Logan")</f>
        <v>Logan</v>
      </c>
      <c r="I631" s="1" t="str">
        <f>IFERROR(__xludf.DUMMYFUNCTION("""COMPUTED_VALUE"""),"Currie")</f>
        <v>Currie</v>
      </c>
      <c r="J631" s="1" t="s">
        <v>23</v>
      </c>
      <c r="K631" s="1" t="s">
        <v>87</v>
      </c>
      <c r="L631" s="1" t="str">
        <f t="shared" si="2"/>
        <v>San Francisco</v>
      </c>
      <c r="M631" s="1" t="s">
        <v>52</v>
      </c>
      <c r="N631" s="1" t="str">
        <f t="shared" si="3"/>
        <v>California</v>
      </c>
      <c r="O631" s="1">
        <v>94122.0</v>
      </c>
      <c r="P631" s="1" t="s">
        <v>37</v>
      </c>
      <c r="Q631" s="1" t="s">
        <v>38</v>
      </c>
      <c r="R631" s="3">
        <v>13.23</v>
      </c>
      <c r="S631" s="1">
        <v>9.0</v>
      </c>
      <c r="T631" s="4">
        <v>12.83</v>
      </c>
    </row>
    <row r="632">
      <c r="A632" s="1" t="s">
        <v>1151</v>
      </c>
      <c r="B632" s="2">
        <v>43051.0</v>
      </c>
      <c r="C632" s="2" t="str">
        <f t="shared" si="1"/>
        <v>Nov</v>
      </c>
      <c r="D632" s="1" t="s">
        <v>89</v>
      </c>
      <c r="E632" s="1" t="s">
        <v>20</v>
      </c>
      <c r="F632" s="1" t="s">
        <v>1152</v>
      </c>
      <c r="G632" s="1" t="s">
        <v>1153</v>
      </c>
      <c r="H632" s="1" t="str">
        <f>IFERROR(__xludf.DUMMYFUNCTION("split(G632,"" "")"),"Fred")</f>
        <v>Fred</v>
      </c>
      <c r="I632" s="1" t="str">
        <f>IFERROR(__xludf.DUMMYFUNCTION("""COMPUTED_VALUE"""),"McMath")</f>
        <v>McMath</v>
      </c>
      <c r="J632" s="1" t="s">
        <v>23</v>
      </c>
      <c r="K632" s="1" t="s">
        <v>278</v>
      </c>
      <c r="L632" s="1" t="str">
        <f t="shared" si="2"/>
        <v>Aurora</v>
      </c>
      <c r="M632" s="1" t="s">
        <v>279</v>
      </c>
      <c r="N632" s="1" t="str">
        <f t="shared" si="3"/>
        <v>Colorado</v>
      </c>
      <c r="O632" s="1">
        <v>80013.0</v>
      </c>
      <c r="P632" s="1" t="s">
        <v>37</v>
      </c>
      <c r="Q632" s="1" t="s">
        <v>38</v>
      </c>
      <c r="R632" s="3">
        <v>243.384</v>
      </c>
      <c r="S632" s="1">
        <v>8.0</v>
      </c>
      <c r="T632" s="4">
        <v>242.8</v>
      </c>
    </row>
    <row r="633">
      <c r="A633" s="1" t="s">
        <v>1151</v>
      </c>
      <c r="B633" s="2">
        <v>43051.0</v>
      </c>
      <c r="C633" s="2" t="str">
        <f t="shared" si="1"/>
        <v>Nov</v>
      </c>
      <c r="D633" s="1" t="s">
        <v>89</v>
      </c>
      <c r="E633" s="1" t="s">
        <v>20</v>
      </c>
      <c r="F633" s="1" t="s">
        <v>1152</v>
      </c>
      <c r="G633" s="1" t="s">
        <v>1153</v>
      </c>
      <c r="H633" s="1" t="str">
        <f>IFERROR(__xludf.DUMMYFUNCTION("split(G633,"" "")"),"Fred")</f>
        <v>Fred</v>
      </c>
      <c r="I633" s="1" t="str">
        <f>IFERROR(__xludf.DUMMYFUNCTION("""COMPUTED_VALUE"""),"McMath")</f>
        <v>McMath</v>
      </c>
      <c r="J633" s="1" t="s">
        <v>23</v>
      </c>
      <c r="K633" s="1" t="s">
        <v>278</v>
      </c>
      <c r="L633" s="1" t="str">
        <f t="shared" si="2"/>
        <v>Aurora</v>
      </c>
      <c r="M633" s="1" t="s">
        <v>279</v>
      </c>
      <c r="N633" s="1" t="str">
        <f t="shared" si="3"/>
        <v>Colorado</v>
      </c>
      <c r="O633" s="1">
        <v>80013.0</v>
      </c>
      <c r="P633" s="1" t="s">
        <v>37</v>
      </c>
      <c r="Q633" s="1" t="s">
        <v>51</v>
      </c>
      <c r="R633" s="3">
        <v>119.8</v>
      </c>
      <c r="S633" s="1">
        <v>8.0</v>
      </c>
      <c r="T633" s="4">
        <v>119.49</v>
      </c>
    </row>
    <row r="634">
      <c r="A634" s="1" t="s">
        <v>1151</v>
      </c>
      <c r="B634" s="2">
        <v>43051.0</v>
      </c>
      <c r="C634" s="2" t="str">
        <f t="shared" si="1"/>
        <v>Nov</v>
      </c>
      <c r="D634" s="1" t="s">
        <v>89</v>
      </c>
      <c r="E634" s="1" t="s">
        <v>20</v>
      </c>
      <c r="F634" s="1" t="s">
        <v>1152</v>
      </c>
      <c r="G634" s="1" t="s">
        <v>1153</v>
      </c>
      <c r="H634" s="1" t="str">
        <f>IFERROR(__xludf.DUMMYFUNCTION("split(G634,"" "")"),"Fred")</f>
        <v>Fred</v>
      </c>
      <c r="I634" s="1" t="str">
        <f>IFERROR(__xludf.DUMMYFUNCTION("""COMPUTED_VALUE"""),"McMath")</f>
        <v>McMath</v>
      </c>
      <c r="J634" s="1" t="s">
        <v>23</v>
      </c>
      <c r="K634" s="1" t="s">
        <v>278</v>
      </c>
      <c r="L634" s="1" t="str">
        <f t="shared" si="2"/>
        <v>Aurora</v>
      </c>
      <c r="M634" s="1" t="s">
        <v>279</v>
      </c>
      <c r="N634" s="1" t="str">
        <f t="shared" si="3"/>
        <v>Colorado</v>
      </c>
      <c r="O634" s="1">
        <v>80013.0</v>
      </c>
      <c r="P634" s="1" t="s">
        <v>37</v>
      </c>
      <c r="Q634" s="1" t="s">
        <v>51</v>
      </c>
      <c r="R634" s="3">
        <v>300.768</v>
      </c>
      <c r="S634" s="1">
        <v>8.0</v>
      </c>
      <c r="T634" s="4">
        <v>300.09</v>
      </c>
    </row>
    <row r="635">
      <c r="A635" s="1" t="s">
        <v>1154</v>
      </c>
      <c r="B635" s="2">
        <v>43367.0</v>
      </c>
      <c r="C635" s="2" t="str">
        <f t="shared" si="1"/>
        <v>Sep</v>
      </c>
      <c r="D635" s="1" t="s">
        <v>1155</v>
      </c>
      <c r="E635" s="1" t="s">
        <v>20</v>
      </c>
      <c r="F635" s="1" t="s">
        <v>985</v>
      </c>
      <c r="G635" s="1" t="s">
        <v>986</v>
      </c>
      <c r="H635" s="1" t="str">
        <f>IFERROR(__xludf.DUMMYFUNCTION("split(G635,"" "")"),"Brian")</f>
        <v>Brian</v>
      </c>
      <c r="I635" s="1" t="str">
        <f>IFERROR(__xludf.DUMMYFUNCTION("""COMPUTED_VALUE"""),"Dahlen")</f>
        <v>Dahlen</v>
      </c>
      <c r="J635" s="1" t="s">
        <v>23</v>
      </c>
      <c r="K635" s="1" t="s">
        <v>791</v>
      </c>
      <c r="L635" s="1" t="str">
        <f t="shared" si="2"/>
        <v>Miami</v>
      </c>
      <c r="M635" s="1" t="s">
        <v>145</v>
      </c>
      <c r="N635" s="1" t="str">
        <f t="shared" si="3"/>
        <v>Florida</v>
      </c>
      <c r="O635" s="1">
        <v>33180.0</v>
      </c>
      <c r="P635" s="1" t="s">
        <v>26</v>
      </c>
      <c r="Q635" s="1" t="s">
        <v>51</v>
      </c>
      <c r="R635" s="3">
        <v>17.88</v>
      </c>
      <c r="S635" s="1">
        <v>3.0</v>
      </c>
      <c r="T635" s="4">
        <v>16.89</v>
      </c>
    </row>
    <row r="636">
      <c r="A636" s="1" t="s">
        <v>1154</v>
      </c>
      <c r="B636" s="2">
        <v>43367.0</v>
      </c>
      <c r="C636" s="2" t="str">
        <f t="shared" si="1"/>
        <v>Sep</v>
      </c>
      <c r="D636" s="1" t="s">
        <v>1155</v>
      </c>
      <c r="E636" s="1" t="s">
        <v>20</v>
      </c>
      <c r="F636" s="1" t="s">
        <v>985</v>
      </c>
      <c r="G636" s="1" t="s">
        <v>986</v>
      </c>
      <c r="H636" s="1" t="str">
        <f>IFERROR(__xludf.DUMMYFUNCTION("split(G636,"" "")"),"Brian")</f>
        <v>Brian</v>
      </c>
      <c r="I636" s="1" t="str">
        <f>IFERROR(__xludf.DUMMYFUNCTION("""COMPUTED_VALUE"""),"Dahlen")</f>
        <v>Dahlen</v>
      </c>
      <c r="J636" s="1" t="s">
        <v>23</v>
      </c>
      <c r="K636" s="1" t="s">
        <v>791</v>
      </c>
      <c r="L636" s="1" t="str">
        <f t="shared" si="2"/>
        <v>Miami</v>
      </c>
      <c r="M636" s="1" t="s">
        <v>145</v>
      </c>
      <c r="N636" s="1" t="str">
        <f t="shared" si="3"/>
        <v>Florida</v>
      </c>
      <c r="O636" s="1">
        <v>33180.0</v>
      </c>
      <c r="P636" s="1" t="s">
        <v>26</v>
      </c>
      <c r="Q636" s="1" t="s">
        <v>38</v>
      </c>
      <c r="R636" s="3">
        <v>235.944</v>
      </c>
      <c r="S636" s="1">
        <v>3.0</v>
      </c>
      <c r="T636" s="4">
        <v>235.05</v>
      </c>
    </row>
    <row r="637">
      <c r="A637" s="1" t="s">
        <v>1156</v>
      </c>
      <c r="B637" s="2">
        <v>42470.0</v>
      </c>
      <c r="C637" s="2" t="str">
        <f t="shared" si="1"/>
        <v>Apr</v>
      </c>
      <c r="D637" s="6">
        <v>42623.0</v>
      </c>
      <c r="E637" s="1" t="s">
        <v>20</v>
      </c>
      <c r="F637" s="1" t="s">
        <v>1157</v>
      </c>
      <c r="G637" s="1" t="s">
        <v>1158</v>
      </c>
      <c r="H637" s="1" t="str">
        <f>IFERROR(__xludf.DUMMYFUNCTION("split(G637,"" "")"),"Denny")</f>
        <v>Denny</v>
      </c>
      <c r="I637" s="1" t="str">
        <f>IFERROR(__xludf.DUMMYFUNCTION("""COMPUTED_VALUE"""),"Joy")</f>
        <v>Joy</v>
      </c>
      <c r="J637" s="1" t="s">
        <v>34</v>
      </c>
      <c r="K637" s="1" t="s">
        <v>1159</v>
      </c>
      <c r="L637" s="1" t="str">
        <f t="shared" si="2"/>
        <v>Warner Robins</v>
      </c>
      <c r="M637" s="1" t="s">
        <v>707</v>
      </c>
      <c r="N637" s="1" t="str">
        <f t="shared" si="3"/>
        <v>Georgia</v>
      </c>
      <c r="O637" s="1">
        <v>31088.0</v>
      </c>
      <c r="P637" s="1" t="s">
        <v>26</v>
      </c>
      <c r="Q637" s="1" t="s">
        <v>27</v>
      </c>
      <c r="R637" s="3">
        <v>392.94</v>
      </c>
      <c r="S637" s="1">
        <v>3.0</v>
      </c>
      <c r="T637" s="4">
        <v>392.3</v>
      </c>
    </row>
    <row r="638">
      <c r="A638" s="1" t="s">
        <v>1160</v>
      </c>
      <c r="B638" s="2">
        <v>42962.0</v>
      </c>
      <c r="C638" s="2" t="str">
        <f t="shared" si="1"/>
        <v>Aug</v>
      </c>
      <c r="D638" s="1" t="s">
        <v>1161</v>
      </c>
      <c r="E638" s="1" t="s">
        <v>41</v>
      </c>
      <c r="F638" s="1" t="s">
        <v>1162</v>
      </c>
      <c r="G638" s="1" t="s">
        <v>1163</v>
      </c>
      <c r="H638" s="1" t="str">
        <f>IFERROR(__xludf.DUMMYFUNCTION("split(G638,"" "")"),"Max")</f>
        <v>Max</v>
      </c>
      <c r="I638" s="1" t="str">
        <f>IFERROR(__xludf.DUMMYFUNCTION("""COMPUTED_VALUE"""),"Engle")</f>
        <v>Engle</v>
      </c>
      <c r="J638" s="1" t="s">
        <v>23</v>
      </c>
      <c r="K638" s="1" t="s">
        <v>278</v>
      </c>
      <c r="L638" s="1" t="str">
        <f t="shared" si="2"/>
        <v>Aurora</v>
      </c>
      <c r="M638" s="1" t="s">
        <v>279</v>
      </c>
      <c r="N638" s="1" t="str">
        <f t="shared" si="3"/>
        <v>Colorado</v>
      </c>
      <c r="O638" s="1">
        <v>80013.0</v>
      </c>
      <c r="P638" s="1" t="s">
        <v>37</v>
      </c>
      <c r="Q638" s="1" t="s">
        <v>38</v>
      </c>
      <c r="R638" s="3">
        <v>18.882</v>
      </c>
      <c r="S638" s="1">
        <v>8.0</v>
      </c>
      <c r="T638" s="4">
        <v>18.82</v>
      </c>
    </row>
    <row r="639">
      <c r="A639" s="1" t="s">
        <v>1160</v>
      </c>
      <c r="B639" s="2">
        <v>42962.0</v>
      </c>
      <c r="C639" s="2" t="str">
        <f t="shared" si="1"/>
        <v>Aug</v>
      </c>
      <c r="D639" s="1" t="s">
        <v>1161</v>
      </c>
      <c r="E639" s="1" t="s">
        <v>41</v>
      </c>
      <c r="F639" s="1" t="s">
        <v>1162</v>
      </c>
      <c r="G639" s="1" t="s">
        <v>1163</v>
      </c>
      <c r="H639" s="1" t="str">
        <f>IFERROR(__xludf.DUMMYFUNCTION("split(G639,"" "")"),"Max")</f>
        <v>Max</v>
      </c>
      <c r="I639" s="1" t="str">
        <f>IFERROR(__xludf.DUMMYFUNCTION("""COMPUTED_VALUE"""),"Engle")</f>
        <v>Engle</v>
      </c>
      <c r="J639" s="1" t="s">
        <v>23</v>
      </c>
      <c r="K639" s="1" t="s">
        <v>278</v>
      </c>
      <c r="L639" s="1" t="str">
        <f t="shared" si="2"/>
        <v>Aurora</v>
      </c>
      <c r="M639" s="1" t="s">
        <v>279</v>
      </c>
      <c r="N639" s="1" t="str">
        <f t="shared" si="3"/>
        <v>Colorado</v>
      </c>
      <c r="O639" s="1">
        <v>80013.0</v>
      </c>
      <c r="P639" s="1" t="s">
        <v>37</v>
      </c>
      <c r="Q639" s="1" t="s">
        <v>38</v>
      </c>
      <c r="R639" s="3">
        <v>122.328</v>
      </c>
      <c r="S639" s="1">
        <v>8.0</v>
      </c>
      <c r="T639" s="4">
        <v>121.96</v>
      </c>
    </row>
    <row r="640">
      <c r="A640" s="1" t="s">
        <v>1164</v>
      </c>
      <c r="B640" s="2">
        <v>42875.0</v>
      </c>
      <c r="C640" s="2" t="str">
        <f t="shared" si="1"/>
        <v>May</v>
      </c>
      <c r="D640" s="1" t="s">
        <v>1165</v>
      </c>
      <c r="E640" s="1" t="s">
        <v>41</v>
      </c>
      <c r="F640" s="1" t="s">
        <v>269</v>
      </c>
      <c r="G640" s="1" t="s">
        <v>270</v>
      </c>
      <c r="H640" s="1" t="str">
        <f>IFERROR(__xludf.DUMMYFUNCTION("split(G640,"" "")"),"Rick")</f>
        <v>Rick</v>
      </c>
      <c r="I640" s="1" t="str">
        <f>IFERROR(__xludf.DUMMYFUNCTION("""COMPUTED_VALUE"""),"Bensley")</f>
        <v>Bensley</v>
      </c>
      <c r="J640" s="1" t="s">
        <v>68</v>
      </c>
      <c r="K640" s="1" t="s">
        <v>1166</v>
      </c>
      <c r="L640" s="1" t="str">
        <f t="shared" si="2"/>
        <v>Vallejo</v>
      </c>
      <c r="M640" s="1" t="s">
        <v>52</v>
      </c>
      <c r="N640" s="1" t="str">
        <f t="shared" si="3"/>
        <v>California</v>
      </c>
      <c r="O640" s="1">
        <v>94591.0</v>
      </c>
      <c r="P640" s="1" t="s">
        <v>37</v>
      </c>
      <c r="Q640" s="1" t="s">
        <v>27</v>
      </c>
      <c r="R640" s="3">
        <v>1049.2</v>
      </c>
      <c r="S640" s="1">
        <v>9.0</v>
      </c>
      <c r="T640" s="4">
        <v>1048.97</v>
      </c>
    </row>
    <row r="641">
      <c r="A641" s="1" t="s">
        <v>1164</v>
      </c>
      <c r="B641" s="2">
        <v>42875.0</v>
      </c>
      <c r="C641" s="2" t="str">
        <f t="shared" si="1"/>
        <v>May</v>
      </c>
      <c r="D641" s="1" t="s">
        <v>1165</v>
      </c>
      <c r="E641" s="1" t="s">
        <v>41</v>
      </c>
      <c r="F641" s="1" t="s">
        <v>269</v>
      </c>
      <c r="G641" s="1" t="s">
        <v>270</v>
      </c>
      <c r="H641" s="1" t="str">
        <f>IFERROR(__xludf.DUMMYFUNCTION("split(G641,"" "")"),"Rick")</f>
        <v>Rick</v>
      </c>
      <c r="I641" s="1" t="str">
        <f>IFERROR(__xludf.DUMMYFUNCTION("""COMPUTED_VALUE"""),"Bensley")</f>
        <v>Bensley</v>
      </c>
      <c r="J641" s="1" t="s">
        <v>68</v>
      </c>
      <c r="K641" s="1" t="s">
        <v>1166</v>
      </c>
      <c r="L641" s="1" t="str">
        <f t="shared" si="2"/>
        <v>Vallejo</v>
      </c>
      <c r="M641" s="1" t="s">
        <v>52</v>
      </c>
      <c r="N641" s="1" t="str">
        <f t="shared" si="3"/>
        <v>California</v>
      </c>
      <c r="O641" s="1">
        <v>94591.0</v>
      </c>
      <c r="P641" s="1" t="s">
        <v>37</v>
      </c>
      <c r="Q641" s="1" t="s">
        <v>38</v>
      </c>
      <c r="R641" s="3">
        <v>15.424</v>
      </c>
      <c r="S641" s="1">
        <v>9.0</v>
      </c>
      <c r="T641" s="4">
        <v>14.88</v>
      </c>
    </row>
    <row r="642">
      <c r="A642" s="1" t="s">
        <v>1167</v>
      </c>
      <c r="B642" s="2">
        <v>43087.0</v>
      </c>
      <c r="C642" s="2" t="str">
        <f t="shared" si="1"/>
        <v>Dec</v>
      </c>
      <c r="D642" s="1" t="s">
        <v>1168</v>
      </c>
      <c r="E642" s="1" t="s">
        <v>41</v>
      </c>
      <c r="F642" s="1" t="s">
        <v>1169</v>
      </c>
      <c r="G642" s="1" t="s">
        <v>1170</v>
      </c>
      <c r="H642" s="1" t="str">
        <f>IFERROR(__xludf.DUMMYFUNCTION("split(G642,"" "")"),"Justin")</f>
        <v>Justin</v>
      </c>
      <c r="I642" s="1" t="str">
        <f>IFERROR(__xludf.DUMMYFUNCTION("""COMPUTED_VALUE"""),"Deggeller")</f>
        <v>Deggeller</v>
      </c>
      <c r="J642" s="1" t="s">
        <v>34</v>
      </c>
      <c r="K642" s="1" t="s">
        <v>251</v>
      </c>
      <c r="L642" s="1" t="str">
        <f t="shared" si="2"/>
        <v>Minneapolis</v>
      </c>
      <c r="M642" s="1" t="s">
        <v>151</v>
      </c>
      <c r="N642" s="1" t="str">
        <f t="shared" si="3"/>
        <v>Minnesota</v>
      </c>
      <c r="O642" s="1">
        <v>55407.0</v>
      </c>
      <c r="P642" s="1" t="s">
        <v>71</v>
      </c>
      <c r="Q642" s="1" t="s">
        <v>27</v>
      </c>
      <c r="R642" s="3">
        <v>18.84</v>
      </c>
      <c r="S642" s="1">
        <v>5.0</v>
      </c>
      <c r="T642" s="4">
        <v>18.04</v>
      </c>
    </row>
    <row r="643">
      <c r="A643" s="1" t="s">
        <v>1171</v>
      </c>
      <c r="B643" s="2">
        <v>43311.0</v>
      </c>
      <c r="C643" s="2" t="str">
        <f t="shared" si="1"/>
        <v>Jul</v>
      </c>
      <c r="D643" s="6">
        <v>43167.0</v>
      </c>
      <c r="E643" s="1" t="s">
        <v>20</v>
      </c>
      <c r="F643" s="1" t="s">
        <v>1172</v>
      </c>
      <c r="G643" s="1" t="s">
        <v>1173</v>
      </c>
      <c r="H643" s="1" t="str">
        <f>IFERROR(__xludf.DUMMYFUNCTION("split(G643,"" "")"),"John")</f>
        <v>John</v>
      </c>
      <c r="I643" s="1" t="str">
        <f>IFERROR(__xludf.DUMMYFUNCTION("""COMPUTED_VALUE"""),"Lee")</f>
        <v>Lee</v>
      </c>
      <c r="J643" s="1" t="s">
        <v>23</v>
      </c>
      <c r="K643" s="1" t="s">
        <v>1174</v>
      </c>
      <c r="L643" s="1" t="str">
        <f t="shared" si="2"/>
        <v>Mission Viejo</v>
      </c>
      <c r="M643" s="1" t="s">
        <v>52</v>
      </c>
      <c r="N643" s="1" t="str">
        <f t="shared" si="3"/>
        <v>California</v>
      </c>
      <c r="O643" s="1">
        <v>92691.0</v>
      </c>
      <c r="P643" s="1" t="s">
        <v>37</v>
      </c>
      <c r="Q643" s="1" t="s">
        <v>38</v>
      </c>
      <c r="R643" s="3">
        <v>330.4</v>
      </c>
      <c r="S643" s="1">
        <v>9.0</v>
      </c>
      <c r="T643" s="4">
        <v>330.19</v>
      </c>
    </row>
    <row r="644">
      <c r="A644" s="1" t="s">
        <v>1171</v>
      </c>
      <c r="B644" s="2">
        <v>43311.0</v>
      </c>
      <c r="C644" s="2" t="str">
        <f t="shared" si="1"/>
        <v>Jul</v>
      </c>
      <c r="D644" s="6">
        <v>43167.0</v>
      </c>
      <c r="E644" s="1" t="s">
        <v>20</v>
      </c>
      <c r="F644" s="1" t="s">
        <v>1172</v>
      </c>
      <c r="G644" s="1" t="s">
        <v>1173</v>
      </c>
      <c r="H644" s="1" t="str">
        <f>IFERROR(__xludf.DUMMYFUNCTION("split(G644,"" "")"),"John")</f>
        <v>John</v>
      </c>
      <c r="I644" s="1" t="str">
        <f>IFERROR(__xludf.DUMMYFUNCTION("""COMPUTED_VALUE"""),"Lee")</f>
        <v>Lee</v>
      </c>
      <c r="J644" s="1" t="s">
        <v>23</v>
      </c>
      <c r="K644" s="1" t="s">
        <v>1174</v>
      </c>
      <c r="L644" s="1" t="str">
        <f t="shared" si="2"/>
        <v>Mission Viejo</v>
      </c>
      <c r="M644" s="1" t="s">
        <v>52</v>
      </c>
      <c r="N644" s="1" t="str">
        <f t="shared" si="3"/>
        <v>California</v>
      </c>
      <c r="O644" s="1">
        <v>92691.0</v>
      </c>
      <c r="P644" s="1" t="s">
        <v>37</v>
      </c>
      <c r="Q644" s="1" t="s">
        <v>38</v>
      </c>
      <c r="R644" s="3">
        <v>26.25</v>
      </c>
      <c r="S644" s="1">
        <v>9.0</v>
      </c>
      <c r="T644" s="4">
        <v>25.55</v>
      </c>
    </row>
    <row r="645">
      <c r="A645" s="1" t="s">
        <v>1175</v>
      </c>
      <c r="B645" s="2">
        <v>43379.0</v>
      </c>
      <c r="C645" s="2" t="str">
        <f t="shared" si="1"/>
        <v>Oct</v>
      </c>
      <c r="D645" s="1" t="s">
        <v>1176</v>
      </c>
      <c r="E645" s="1" t="s">
        <v>41</v>
      </c>
      <c r="F645" s="1" t="s">
        <v>1177</v>
      </c>
      <c r="G645" s="1" t="s">
        <v>1178</v>
      </c>
      <c r="H645" s="1" t="str">
        <f>IFERROR(__xludf.DUMMYFUNCTION("split(G645,"" "")"),"Sean")</f>
        <v>Sean</v>
      </c>
      <c r="I645" s="1" t="str">
        <f>IFERROR(__xludf.DUMMYFUNCTION("""COMPUTED_VALUE"""),"Christensen")</f>
        <v>Christensen</v>
      </c>
      <c r="J645" s="1" t="s">
        <v>23</v>
      </c>
      <c r="K645" s="1" t="s">
        <v>1179</v>
      </c>
      <c r="L645" s="1" t="str">
        <f t="shared" si="2"/>
        <v>Rochester Hills</v>
      </c>
      <c r="M645" s="1" t="s">
        <v>157</v>
      </c>
      <c r="N645" s="1" t="str">
        <f t="shared" si="3"/>
        <v>Michigan</v>
      </c>
      <c r="O645" s="1">
        <v>48307.0</v>
      </c>
      <c r="P645" s="1" t="s">
        <v>71</v>
      </c>
      <c r="Q645" s="1" t="s">
        <v>51</v>
      </c>
      <c r="R645" s="3">
        <v>132.52</v>
      </c>
      <c r="S645" s="1">
        <v>4.0</v>
      </c>
      <c r="T645" s="4">
        <v>132.09</v>
      </c>
    </row>
    <row r="646">
      <c r="A646" s="1" t="s">
        <v>1180</v>
      </c>
      <c r="B646" s="2">
        <v>43302.0</v>
      </c>
      <c r="C646" s="2" t="str">
        <f t="shared" si="1"/>
        <v>Jul</v>
      </c>
      <c r="D646" s="1" t="s">
        <v>1181</v>
      </c>
      <c r="E646" s="1" t="s">
        <v>41</v>
      </c>
      <c r="F646" s="1" t="s">
        <v>367</v>
      </c>
      <c r="G646" s="1" t="s">
        <v>368</v>
      </c>
      <c r="H646" s="1" t="str">
        <f>IFERROR(__xludf.DUMMYFUNCTION("split(G646,"" "")"),"Tamara")</f>
        <v>Tamara</v>
      </c>
      <c r="I646" s="1" t="str">
        <f>IFERROR(__xludf.DUMMYFUNCTION("""COMPUTED_VALUE"""),"Willingham")</f>
        <v>Willingham</v>
      </c>
      <c r="J646" s="1" t="s">
        <v>68</v>
      </c>
      <c r="K646" s="1" t="s">
        <v>1182</v>
      </c>
      <c r="L646" s="1" t="str">
        <f t="shared" si="2"/>
        <v>Plainfield</v>
      </c>
      <c r="M646" s="1" t="s">
        <v>462</v>
      </c>
      <c r="N646" s="1" t="str">
        <f t="shared" si="3"/>
        <v>New Jersey</v>
      </c>
      <c r="O646" s="1">
        <v>7060.0</v>
      </c>
      <c r="P646" s="1" t="s">
        <v>100</v>
      </c>
      <c r="Q646" s="1" t="s">
        <v>38</v>
      </c>
      <c r="R646" s="3">
        <v>6.48</v>
      </c>
      <c r="S646" s="1">
        <v>7.0</v>
      </c>
      <c r="T646" s="4">
        <v>5.96</v>
      </c>
    </row>
    <row r="647">
      <c r="A647" s="1" t="s">
        <v>1183</v>
      </c>
      <c r="B647" s="2">
        <v>43464.0</v>
      </c>
      <c r="C647" s="2" t="str">
        <f t="shared" si="1"/>
        <v>Dec</v>
      </c>
      <c r="D647" s="6">
        <v>43586.0</v>
      </c>
      <c r="E647" s="1" t="s">
        <v>41</v>
      </c>
      <c r="F647" s="1" t="s">
        <v>1184</v>
      </c>
      <c r="G647" s="1" t="s">
        <v>1185</v>
      </c>
      <c r="H647" s="1" t="str">
        <f>IFERROR(__xludf.DUMMYFUNCTION("split(G647,"" "")"),"Chuck")</f>
        <v>Chuck</v>
      </c>
      <c r="I647" s="1" t="str">
        <f>IFERROR(__xludf.DUMMYFUNCTION("""COMPUTED_VALUE"""),"Clark")</f>
        <v>Clark</v>
      </c>
      <c r="J647" s="1" t="s">
        <v>68</v>
      </c>
      <c r="K647" s="1" t="s">
        <v>303</v>
      </c>
      <c r="L647" s="1" t="str">
        <f t="shared" si="2"/>
        <v>Columbus</v>
      </c>
      <c r="M647" s="1" t="s">
        <v>169</v>
      </c>
      <c r="N647" s="1" t="str">
        <f t="shared" si="3"/>
        <v>Indiana</v>
      </c>
      <c r="O647" s="1">
        <v>47201.0</v>
      </c>
      <c r="P647" s="1" t="s">
        <v>71</v>
      </c>
      <c r="Q647" s="1" t="s">
        <v>38</v>
      </c>
      <c r="R647" s="3">
        <v>209.3</v>
      </c>
      <c r="S647" s="1">
        <v>4.0</v>
      </c>
      <c r="T647" s="4">
        <v>209.04</v>
      </c>
    </row>
    <row r="648">
      <c r="A648" s="1" t="s">
        <v>1186</v>
      </c>
      <c r="B648" s="2">
        <v>42739.0</v>
      </c>
      <c r="C648" s="2" t="str">
        <f t="shared" si="1"/>
        <v>Jan</v>
      </c>
      <c r="D648" s="6">
        <v>42951.0</v>
      </c>
      <c r="E648" s="1" t="s">
        <v>41</v>
      </c>
      <c r="F648" s="1" t="s">
        <v>586</v>
      </c>
      <c r="G648" s="1" t="s">
        <v>587</v>
      </c>
      <c r="H648" s="1" t="str">
        <f>IFERROR(__xludf.DUMMYFUNCTION("split(G648,"" "")"),"Barry")</f>
        <v>Barry</v>
      </c>
      <c r="I648" s="1" t="str">
        <f>IFERROR(__xludf.DUMMYFUNCTION("""COMPUTED_VALUE"""),"Blumstein")</f>
        <v>Blumstein</v>
      </c>
      <c r="J648" s="1" t="s">
        <v>34</v>
      </c>
      <c r="K648" s="1" t="s">
        <v>1187</v>
      </c>
      <c r="L648" s="1" t="str">
        <f t="shared" si="2"/>
        <v>Sierra Vista</v>
      </c>
      <c r="M648" s="1" t="s">
        <v>193</v>
      </c>
      <c r="N648" s="1" t="str">
        <f t="shared" si="3"/>
        <v>Arizona</v>
      </c>
      <c r="O648" s="1">
        <v>85635.0</v>
      </c>
      <c r="P648" s="1" t="s">
        <v>37</v>
      </c>
      <c r="Q648" s="1" t="s">
        <v>38</v>
      </c>
      <c r="R648" s="3">
        <v>31.56</v>
      </c>
      <c r="S648" s="1">
        <v>8.0</v>
      </c>
      <c r="T648" s="4">
        <v>31.05</v>
      </c>
    </row>
    <row r="649">
      <c r="A649" s="1" t="s">
        <v>1186</v>
      </c>
      <c r="B649" s="2">
        <v>42739.0</v>
      </c>
      <c r="C649" s="2" t="str">
        <f t="shared" si="1"/>
        <v>Jan</v>
      </c>
      <c r="D649" s="6">
        <v>42951.0</v>
      </c>
      <c r="E649" s="1" t="s">
        <v>41</v>
      </c>
      <c r="F649" s="1" t="s">
        <v>586</v>
      </c>
      <c r="G649" s="1" t="s">
        <v>587</v>
      </c>
      <c r="H649" s="1" t="str">
        <f>IFERROR(__xludf.DUMMYFUNCTION("split(G649,"" "")"),"Barry")</f>
        <v>Barry</v>
      </c>
      <c r="I649" s="1" t="str">
        <f>IFERROR(__xludf.DUMMYFUNCTION("""COMPUTED_VALUE"""),"Blumstein")</f>
        <v>Blumstein</v>
      </c>
      <c r="J649" s="1" t="s">
        <v>34</v>
      </c>
      <c r="K649" s="1" t="s">
        <v>1187</v>
      </c>
      <c r="L649" s="1" t="str">
        <f t="shared" si="2"/>
        <v>Sierra Vista</v>
      </c>
      <c r="M649" s="1" t="s">
        <v>193</v>
      </c>
      <c r="N649" s="1" t="str">
        <f t="shared" si="3"/>
        <v>Arizona</v>
      </c>
      <c r="O649" s="1">
        <v>85635.0</v>
      </c>
      <c r="P649" s="1" t="s">
        <v>37</v>
      </c>
      <c r="Q649" s="1" t="s">
        <v>38</v>
      </c>
      <c r="R649" s="3">
        <v>30.144</v>
      </c>
      <c r="S649" s="1">
        <v>8.0</v>
      </c>
      <c r="T649" s="4">
        <v>30.06</v>
      </c>
    </row>
    <row r="650">
      <c r="A650" s="1" t="s">
        <v>1188</v>
      </c>
      <c r="B650" s="2">
        <v>43051.0</v>
      </c>
      <c r="C650" s="2" t="str">
        <f t="shared" si="1"/>
        <v>Nov</v>
      </c>
      <c r="D650" s="1" t="s">
        <v>1189</v>
      </c>
      <c r="E650" s="1" t="s">
        <v>20</v>
      </c>
      <c r="F650" s="1" t="s">
        <v>1190</v>
      </c>
      <c r="G650" s="1" t="s">
        <v>1191</v>
      </c>
      <c r="H650" s="1" t="str">
        <f>IFERROR(__xludf.DUMMYFUNCTION("split(G650,"" "")"),"Anthony")</f>
        <v>Anthony</v>
      </c>
      <c r="I650" s="1" t="str">
        <f>IFERROR(__xludf.DUMMYFUNCTION("""COMPUTED_VALUE"""),"Rawles")</f>
        <v>Rawles</v>
      </c>
      <c r="J650" s="1" t="s">
        <v>34</v>
      </c>
      <c r="K650" s="1" t="s">
        <v>1192</v>
      </c>
      <c r="L650" s="1" t="str">
        <f t="shared" si="2"/>
        <v>Vancouver</v>
      </c>
      <c r="M650" s="1" t="s">
        <v>63</v>
      </c>
      <c r="N650" s="1" t="str">
        <f t="shared" si="3"/>
        <v>Washington</v>
      </c>
      <c r="O650" s="1">
        <v>98661.0</v>
      </c>
      <c r="P650" s="1" t="s">
        <v>37</v>
      </c>
      <c r="Q650" s="1" t="s">
        <v>27</v>
      </c>
      <c r="R650" s="3">
        <v>14.8</v>
      </c>
      <c r="S650" s="1">
        <v>9.0</v>
      </c>
      <c r="T650" s="4">
        <v>14.73</v>
      </c>
    </row>
    <row r="651">
      <c r="A651" s="1" t="s">
        <v>1188</v>
      </c>
      <c r="B651" s="2">
        <v>43051.0</v>
      </c>
      <c r="C651" s="2" t="str">
        <f t="shared" si="1"/>
        <v>Nov</v>
      </c>
      <c r="D651" s="1" t="s">
        <v>1189</v>
      </c>
      <c r="E651" s="1" t="s">
        <v>20</v>
      </c>
      <c r="F651" s="1" t="s">
        <v>1190</v>
      </c>
      <c r="G651" s="1" t="s">
        <v>1191</v>
      </c>
      <c r="H651" s="1" t="str">
        <f>IFERROR(__xludf.DUMMYFUNCTION("split(G651,"" "")"),"Anthony")</f>
        <v>Anthony</v>
      </c>
      <c r="I651" s="1" t="str">
        <f>IFERROR(__xludf.DUMMYFUNCTION("""COMPUTED_VALUE"""),"Rawles")</f>
        <v>Rawles</v>
      </c>
      <c r="J651" s="1" t="s">
        <v>34</v>
      </c>
      <c r="K651" s="1" t="s">
        <v>1192</v>
      </c>
      <c r="L651" s="1" t="str">
        <f t="shared" si="2"/>
        <v>Vancouver</v>
      </c>
      <c r="M651" s="1" t="s">
        <v>63</v>
      </c>
      <c r="N651" s="1" t="str">
        <f t="shared" si="3"/>
        <v>Washington</v>
      </c>
      <c r="O651" s="1">
        <v>98661.0</v>
      </c>
      <c r="P651" s="1" t="s">
        <v>37</v>
      </c>
      <c r="Q651" s="1" t="s">
        <v>51</v>
      </c>
      <c r="R651" s="3">
        <v>302.376</v>
      </c>
      <c r="S651" s="1">
        <v>9.0</v>
      </c>
      <c r="T651" s="4">
        <v>301.45</v>
      </c>
    </row>
    <row r="652">
      <c r="A652" s="1" t="s">
        <v>1188</v>
      </c>
      <c r="B652" s="2">
        <v>43051.0</v>
      </c>
      <c r="C652" s="2" t="str">
        <f t="shared" si="1"/>
        <v>Nov</v>
      </c>
      <c r="D652" s="1" t="s">
        <v>1189</v>
      </c>
      <c r="E652" s="1" t="s">
        <v>20</v>
      </c>
      <c r="F652" s="1" t="s">
        <v>1190</v>
      </c>
      <c r="G652" s="1" t="s">
        <v>1191</v>
      </c>
      <c r="H652" s="1" t="str">
        <f>IFERROR(__xludf.DUMMYFUNCTION("split(G652,"" "")"),"Anthony")</f>
        <v>Anthony</v>
      </c>
      <c r="I652" s="1" t="str">
        <f>IFERROR(__xludf.DUMMYFUNCTION("""COMPUTED_VALUE"""),"Rawles")</f>
        <v>Rawles</v>
      </c>
      <c r="J652" s="1" t="s">
        <v>34</v>
      </c>
      <c r="K652" s="1" t="s">
        <v>1192</v>
      </c>
      <c r="L652" s="1" t="str">
        <f t="shared" si="2"/>
        <v>Vancouver</v>
      </c>
      <c r="M652" s="1" t="s">
        <v>63</v>
      </c>
      <c r="N652" s="1" t="str">
        <f t="shared" si="3"/>
        <v>Washington</v>
      </c>
      <c r="O652" s="1">
        <v>98661.0</v>
      </c>
      <c r="P652" s="1" t="s">
        <v>37</v>
      </c>
      <c r="Q652" s="1" t="s">
        <v>51</v>
      </c>
      <c r="R652" s="3">
        <v>316.0</v>
      </c>
      <c r="S652" s="1">
        <v>9.0</v>
      </c>
      <c r="T652" s="4">
        <v>315.0</v>
      </c>
    </row>
    <row r="653">
      <c r="A653" s="1" t="s">
        <v>1193</v>
      </c>
      <c r="B653" s="2">
        <v>43031.0</v>
      </c>
      <c r="C653" s="2" t="str">
        <f t="shared" si="1"/>
        <v>Oct</v>
      </c>
      <c r="D653" s="1" t="s">
        <v>741</v>
      </c>
      <c r="E653" s="1" t="s">
        <v>41</v>
      </c>
      <c r="F653" s="1" t="s">
        <v>1194</v>
      </c>
      <c r="G653" s="1" t="s">
        <v>1195</v>
      </c>
      <c r="H653" s="1" t="str">
        <f>IFERROR(__xludf.DUMMYFUNCTION("split(G653,"" "")"),"Steven")</f>
        <v>Steven</v>
      </c>
      <c r="I653" s="1" t="str">
        <f>IFERROR(__xludf.DUMMYFUNCTION("""COMPUTED_VALUE"""),"Roelle")</f>
        <v>Roelle</v>
      </c>
      <c r="J653" s="1" t="s">
        <v>68</v>
      </c>
      <c r="K653" s="1" t="s">
        <v>174</v>
      </c>
      <c r="L653" s="1" t="str">
        <f t="shared" si="2"/>
        <v>New York City</v>
      </c>
      <c r="M653" s="1" t="s">
        <v>175</v>
      </c>
      <c r="N653" s="1" t="str">
        <f t="shared" si="3"/>
        <v>New York</v>
      </c>
      <c r="O653" s="1">
        <v>10024.0</v>
      </c>
      <c r="P653" s="1" t="s">
        <v>100</v>
      </c>
      <c r="Q653" s="1" t="s">
        <v>38</v>
      </c>
      <c r="R653" s="3">
        <v>379.4</v>
      </c>
      <c r="S653" s="1">
        <v>1.0</v>
      </c>
      <c r="T653" s="4">
        <v>378.46</v>
      </c>
    </row>
    <row r="654">
      <c r="A654" s="1" t="s">
        <v>1196</v>
      </c>
      <c r="B654" s="2">
        <v>43270.0</v>
      </c>
      <c r="C654" s="2" t="str">
        <f t="shared" si="1"/>
        <v>Jun</v>
      </c>
      <c r="D654" s="1" t="s">
        <v>1197</v>
      </c>
      <c r="E654" s="1" t="s">
        <v>41</v>
      </c>
      <c r="F654" s="1" t="s">
        <v>735</v>
      </c>
      <c r="G654" s="1" t="s">
        <v>736</v>
      </c>
      <c r="H654" s="1" t="str">
        <f>IFERROR(__xludf.DUMMYFUNCTION("split(G654,"" "")"),"Allen")</f>
        <v>Allen</v>
      </c>
      <c r="I654" s="1" t="str">
        <f>IFERROR(__xludf.DUMMYFUNCTION("""COMPUTED_VALUE"""),"Rosenblatt")</f>
        <v>Rosenblatt</v>
      </c>
      <c r="J654" s="1" t="s">
        <v>34</v>
      </c>
      <c r="K654" s="1" t="s">
        <v>174</v>
      </c>
      <c r="L654" s="1" t="str">
        <f t="shared" si="2"/>
        <v>New York City</v>
      </c>
      <c r="M654" s="1" t="s">
        <v>175</v>
      </c>
      <c r="N654" s="1" t="str">
        <f t="shared" si="3"/>
        <v>New York</v>
      </c>
      <c r="O654" s="1">
        <v>10035.0</v>
      </c>
      <c r="P654" s="1" t="s">
        <v>100</v>
      </c>
      <c r="Q654" s="1" t="s">
        <v>38</v>
      </c>
      <c r="R654" s="3">
        <v>97.82</v>
      </c>
      <c r="S654" s="1">
        <v>1.0</v>
      </c>
      <c r="T654" s="4">
        <v>97.7</v>
      </c>
    </row>
    <row r="655">
      <c r="A655" s="1" t="s">
        <v>1196</v>
      </c>
      <c r="B655" s="2">
        <v>43270.0</v>
      </c>
      <c r="C655" s="2" t="str">
        <f t="shared" si="1"/>
        <v>Jun</v>
      </c>
      <c r="D655" s="1" t="s">
        <v>1197</v>
      </c>
      <c r="E655" s="1" t="s">
        <v>41</v>
      </c>
      <c r="F655" s="1" t="s">
        <v>735</v>
      </c>
      <c r="G655" s="1" t="s">
        <v>736</v>
      </c>
      <c r="H655" s="1" t="str">
        <f>IFERROR(__xludf.DUMMYFUNCTION("split(G655,"" "")"),"Allen")</f>
        <v>Allen</v>
      </c>
      <c r="I655" s="1" t="str">
        <f>IFERROR(__xludf.DUMMYFUNCTION("""COMPUTED_VALUE"""),"Rosenblatt")</f>
        <v>Rosenblatt</v>
      </c>
      <c r="J655" s="1" t="s">
        <v>34</v>
      </c>
      <c r="K655" s="1" t="s">
        <v>174</v>
      </c>
      <c r="L655" s="1" t="str">
        <f t="shared" si="2"/>
        <v>New York City</v>
      </c>
      <c r="M655" s="1" t="s">
        <v>175</v>
      </c>
      <c r="N655" s="1" t="str">
        <f t="shared" si="3"/>
        <v>New York</v>
      </c>
      <c r="O655" s="1">
        <v>10035.0</v>
      </c>
      <c r="P655" s="1" t="s">
        <v>100</v>
      </c>
      <c r="Q655" s="1" t="s">
        <v>51</v>
      </c>
      <c r="R655" s="3">
        <v>103.12</v>
      </c>
      <c r="S655" s="1">
        <v>1.0</v>
      </c>
      <c r="T655" s="4">
        <v>102.24</v>
      </c>
    </row>
    <row r="656">
      <c r="A656" s="1" t="s">
        <v>1198</v>
      </c>
      <c r="B656" s="2">
        <v>42969.0</v>
      </c>
      <c r="C656" s="2" t="str">
        <f t="shared" si="1"/>
        <v>Aug</v>
      </c>
      <c r="D656" s="1" t="s">
        <v>1199</v>
      </c>
      <c r="E656" s="1" t="s">
        <v>41</v>
      </c>
      <c r="F656" s="1" t="s">
        <v>1200</v>
      </c>
      <c r="G656" s="1" t="s">
        <v>1201</v>
      </c>
      <c r="H656" s="1" t="str">
        <f>IFERROR(__xludf.DUMMYFUNCTION("split(G656,"" "")"),"Craig")</f>
        <v>Craig</v>
      </c>
      <c r="I656" s="1" t="str">
        <f>IFERROR(__xludf.DUMMYFUNCTION("""COMPUTED_VALUE"""),"Reiter")</f>
        <v>Reiter</v>
      </c>
      <c r="J656" s="1" t="s">
        <v>23</v>
      </c>
      <c r="K656" s="1" t="s">
        <v>303</v>
      </c>
      <c r="L656" s="1" t="str">
        <f t="shared" si="2"/>
        <v>Columbus</v>
      </c>
      <c r="M656" s="1" t="s">
        <v>304</v>
      </c>
      <c r="N656" s="1" t="str">
        <f t="shared" si="3"/>
        <v>Ohio</v>
      </c>
      <c r="O656" s="1">
        <v>43229.0</v>
      </c>
      <c r="P656" s="1" t="s">
        <v>100</v>
      </c>
      <c r="Q656" s="1" t="s">
        <v>38</v>
      </c>
      <c r="R656" s="3">
        <v>113.552</v>
      </c>
      <c r="S656" s="1">
        <v>4.0</v>
      </c>
      <c r="T656" s="4">
        <v>112.7</v>
      </c>
    </row>
    <row r="657">
      <c r="A657" s="1" t="s">
        <v>1198</v>
      </c>
      <c r="B657" s="2">
        <v>42969.0</v>
      </c>
      <c r="C657" s="2" t="str">
        <f t="shared" si="1"/>
        <v>Aug</v>
      </c>
      <c r="D657" s="1" t="s">
        <v>1199</v>
      </c>
      <c r="E657" s="1" t="s">
        <v>41</v>
      </c>
      <c r="F657" s="1" t="s">
        <v>1200</v>
      </c>
      <c r="G657" s="1" t="s">
        <v>1201</v>
      </c>
      <c r="H657" s="1" t="str">
        <f>IFERROR(__xludf.DUMMYFUNCTION("split(G657,"" "")"),"Craig")</f>
        <v>Craig</v>
      </c>
      <c r="I657" s="1" t="str">
        <f>IFERROR(__xludf.DUMMYFUNCTION("""COMPUTED_VALUE"""),"Reiter")</f>
        <v>Reiter</v>
      </c>
      <c r="J657" s="1" t="s">
        <v>23</v>
      </c>
      <c r="K657" s="1" t="s">
        <v>303</v>
      </c>
      <c r="L657" s="1" t="str">
        <f t="shared" si="2"/>
        <v>Columbus</v>
      </c>
      <c r="M657" s="1" t="s">
        <v>304</v>
      </c>
      <c r="N657" s="1" t="str">
        <f t="shared" si="3"/>
        <v>Ohio</v>
      </c>
      <c r="O657" s="1">
        <v>43229.0</v>
      </c>
      <c r="P657" s="1" t="s">
        <v>100</v>
      </c>
      <c r="Q657" s="1" t="s">
        <v>38</v>
      </c>
      <c r="R657" s="3">
        <v>3.318</v>
      </c>
      <c r="S657" s="1">
        <v>4.0</v>
      </c>
      <c r="T657" s="4">
        <v>3.09</v>
      </c>
    </row>
    <row r="658">
      <c r="A658" s="1" t="s">
        <v>1198</v>
      </c>
      <c r="B658" s="2">
        <v>42969.0</v>
      </c>
      <c r="C658" s="2" t="str">
        <f t="shared" si="1"/>
        <v>Aug</v>
      </c>
      <c r="D658" s="1" t="s">
        <v>1199</v>
      </c>
      <c r="E658" s="1" t="s">
        <v>41</v>
      </c>
      <c r="F658" s="1" t="s">
        <v>1200</v>
      </c>
      <c r="G658" s="1" t="s">
        <v>1201</v>
      </c>
      <c r="H658" s="1" t="str">
        <f>IFERROR(__xludf.DUMMYFUNCTION("split(G658,"" "")"),"Craig")</f>
        <v>Craig</v>
      </c>
      <c r="I658" s="1" t="str">
        <f>IFERROR(__xludf.DUMMYFUNCTION("""COMPUTED_VALUE"""),"Reiter")</f>
        <v>Reiter</v>
      </c>
      <c r="J658" s="1" t="s">
        <v>23</v>
      </c>
      <c r="K658" s="1" t="s">
        <v>303</v>
      </c>
      <c r="L658" s="1" t="str">
        <f t="shared" si="2"/>
        <v>Columbus</v>
      </c>
      <c r="M658" s="1" t="s">
        <v>304</v>
      </c>
      <c r="N658" s="1" t="str">
        <f t="shared" si="3"/>
        <v>Ohio</v>
      </c>
      <c r="O658" s="1">
        <v>43229.0</v>
      </c>
      <c r="P658" s="1" t="s">
        <v>100</v>
      </c>
      <c r="Q658" s="1" t="s">
        <v>38</v>
      </c>
      <c r="R658" s="3">
        <v>134.288</v>
      </c>
      <c r="S658" s="1">
        <v>4.0</v>
      </c>
      <c r="T658" s="4">
        <v>133.72</v>
      </c>
    </row>
    <row r="659">
      <c r="A659" s="1" t="s">
        <v>1202</v>
      </c>
      <c r="B659" s="2">
        <v>42997.0</v>
      </c>
      <c r="C659" s="2" t="str">
        <f t="shared" si="1"/>
        <v>Sep</v>
      </c>
      <c r="D659" s="1" t="s">
        <v>1203</v>
      </c>
      <c r="E659" s="1" t="s">
        <v>717</v>
      </c>
      <c r="F659" s="1" t="s">
        <v>1204</v>
      </c>
      <c r="G659" s="1" t="s">
        <v>1205</v>
      </c>
      <c r="H659" s="1" t="str">
        <f>IFERROR(__xludf.DUMMYFUNCTION("split(G659,"" "")"),"Eugene")</f>
        <v>Eugene</v>
      </c>
      <c r="I659" s="1" t="str">
        <f>IFERROR(__xludf.DUMMYFUNCTION("""COMPUTED_VALUE"""),"Hildebrand")</f>
        <v>Hildebrand</v>
      </c>
      <c r="J659" s="1" t="s">
        <v>68</v>
      </c>
      <c r="K659" s="1" t="s">
        <v>278</v>
      </c>
      <c r="L659" s="1" t="str">
        <f t="shared" si="2"/>
        <v>Aurora</v>
      </c>
      <c r="M659" s="1" t="s">
        <v>135</v>
      </c>
      <c r="N659" s="1" t="str">
        <f t="shared" si="3"/>
        <v>Illinois</v>
      </c>
      <c r="O659" s="1">
        <v>60505.0</v>
      </c>
      <c r="P659" s="1" t="s">
        <v>71</v>
      </c>
      <c r="Q659" s="1" t="s">
        <v>27</v>
      </c>
      <c r="R659" s="3">
        <v>701.372</v>
      </c>
      <c r="S659" s="1">
        <v>6.0</v>
      </c>
      <c r="T659" s="4">
        <v>700.42</v>
      </c>
    </row>
    <row r="660">
      <c r="A660" s="1" t="s">
        <v>1202</v>
      </c>
      <c r="B660" s="2">
        <v>42997.0</v>
      </c>
      <c r="C660" s="2" t="str">
        <f t="shared" si="1"/>
        <v>Sep</v>
      </c>
      <c r="D660" s="1" t="s">
        <v>1203</v>
      </c>
      <c r="E660" s="1" t="s">
        <v>717</v>
      </c>
      <c r="F660" s="1" t="s">
        <v>1204</v>
      </c>
      <c r="G660" s="1" t="s">
        <v>1205</v>
      </c>
      <c r="H660" s="1" t="str">
        <f>IFERROR(__xludf.DUMMYFUNCTION("split(G660,"" "")"),"Eugene")</f>
        <v>Eugene</v>
      </c>
      <c r="I660" s="1" t="str">
        <f>IFERROR(__xludf.DUMMYFUNCTION("""COMPUTED_VALUE"""),"Hildebrand")</f>
        <v>Hildebrand</v>
      </c>
      <c r="J660" s="1" t="s">
        <v>68</v>
      </c>
      <c r="K660" s="1" t="s">
        <v>278</v>
      </c>
      <c r="L660" s="1" t="str">
        <f t="shared" si="2"/>
        <v>Aurora</v>
      </c>
      <c r="M660" s="1" t="s">
        <v>135</v>
      </c>
      <c r="N660" s="1" t="str">
        <f t="shared" si="3"/>
        <v>Illinois</v>
      </c>
      <c r="O660" s="1">
        <v>60505.0</v>
      </c>
      <c r="P660" s="1" t="s">
        <v>71</v>
      </c>
      <c r="Q660" s="1" t="s">
        <v>38</v>
      </c>
      <c r="R660" s="3">
        <v>2.308</v>
      </c>
      <c r="S660" s="1">
        <v>6.0</v>
      </c>
      <c r="T660" s="4">
        <v>1.71</v>
      </c>
    </row>
    <row r="661">
      <c r="A661" s="1" t="s">
        <v>1206</v>
      </c>
      <c r="B661" s="2">
        <v>42606.0</v>
      </c>
      <c r="C661" s="2" t="str">
        <f t="shared" si="1"/>
        <v>Aug</v>
      </c>
      <c r="D661" s="1" t="s">
        <v>1207</v>
      </c>
      <c r="E661" s="1" t="s">
        <v>41</v>
      </c>
      <c r="F661" s="1" t="s">
        <v>454</v>
      </c>
      <c r="G661" s="1" t="s">
        <v>455</v>
      </c>
      <c r="H661" s="1" t="str">
        <f>IFERROR(__xludf.DUMMYFUNCTION("split(G661,"" "")"),"Cassandra")</f>
        <v>Cassandra</v>
      </c>
      <c r="I661" s="1" t="str">
        <f>IFERROR(__xludf.DUMMYFUNCTION("""COMPUTED_VALUE"""),"Brandow")</f>
        <v>Brandow</v>
      </c>
      <c r="J661" s="1" t="s">
        <v>23</v>
      </c>
      <c r="K661" s="1" t="s">
        <v>628</v>
      </c>
      <c r="L661" s="1" t="str">
        <f t="shared" si="2"/>
        <v>Arlington</v>
      </c>
      <c r="M661" s="1" t="s">
        <v>70</v>
      </c>
      <c r="N661" s="1" t="str">
        <f t="shared" si="3"/>
        <v>Texas</v>
      </c>
      <c r="O661" s="1">
        <v>76017.0</v>
      </c>
      <c r="P661" s="1" t="s">
        <v>71</v>
      </c>
      <c r="Q661" s="1" t="s">
        <v>38</v>
      </c>
      <c r="R661" s="3">
        <v>999.432</v>
      </c>
      <c r="S661" s="1">
        <v>7.0</v>
      </c>
      <c r="T661" s="4">
        <v>998.53</v>
      </c>
    </row>
    <row r="662">
      <c r="A662" s="1" t="s">
        <v>1206</v>
      </c>
      <c r="B662" s="2">
        <v>42606.0</v>
      </c>
      <c r="C662" s="2" t="str">
        <f t="shared" si="1"/>
        <v>Aug</v>
      </c>
      <c r="D662" s="1" t="s">
        <v>1207</v>
      </c>
      <c r="E662" s="1" t="s">
        <v>41</v>
      </c>
      <c r="F662" s="1" t="s">
        <v>454</v>
      </c>
      <c r="G662" s="1" t="s">
        <v>455</v>
      </c>
      <c r="H662" s="1" t="str">
        <f>IFERROR(__xludf.DUMMYFUNCTION("split(G662,"" "")"),"Cassandra")</f>
        <v>Cassandra</v>
      </c>
      <c r="I662" s="1" t="str">
        <f>IFERROR(__xludf.DUMMYFUNCTION("""COMPUTED_VALUE"""),"Brandow")</f>
        <v>Brandow</v>
      </c>
      <c r="J662" s="1" t="s">
        <v>23</v>
      </c>
      <c r="K662" s="1" t="s">
        <v>628</v>
      </c>
      <c r="L662" s="1" t="str">
        <f t="shared" si="2"/>
        <v>Arlington</v>
      </c>
      <c r="M662" s="1" t="s">
        <v>70</v>
      </c>
      <c r="N662" s="1" t="str">
        <f t="shared" si="3"/>
        <v>Texas</v>
      </c>
      <c r="O662" s="1">
        <v>76017.0</v>
      </c>
      <c r="P662" s="1" t="s">
        <v>71</v>
      </c>
      <c r="Q662" s="1" t="s">
        <v>38</v>
      </c>
      <c r="R662" s="3">
        <v>724.08</v>
      </c>
      <c r="S662" s="1">
        <v>7.0</v>
      </c>
      <c r="T662" s="4">
        <v>723.22</v>
      </c>
    </row>
    <row r="663">
      <c r="A663" s="1" t="s">
        <v>1206</v>
      </c>
      <c r="B663" s="2">
        <v>42606.0</v>
      </c>
      <c r="C663" s="2" t="str">
        <f t="shared" si="1"/>
        <v>Aug</v>
      </c>
      <c r="D663" s="1" t="s">
        <v>1207</v>
      </c>
      <c r="E663" s="1" t="s">
        <v>41</v>
      </c>
      <c r="F663" s="1" t="s">
        <v>454</v>
      </c>
      <c r="G663" s="1" t="s">
        <v>455</v>
      </c>
      <c r="H663" s="1" t="str">
        <f>IFERROR(__xludf.DUMMYFUNCTION("split(G663,"" "")"),"Cassandra")</f>
        <v>Cassandra</v>
      </c>
      <c r="I663" s="1" t="str">
        <f>IFERROR(__xludf.DUMMYFUNCTION("""COMPUTED_VALUE"""),"Brandow")</f>
        <v>Brandow</v>
      </c>
      <c r="J663" s="1" t="s">
        <v>23</v>
      </c>
      <c r="K663" s="1" t="s">
        <v>628</v>
      </c>
      <c r="L663" s="1" t="str">
        <f t="shared" si="2"/>
        <v>Arlington</v>
      </c>
      <c r="M663" s="1" t="s">
        <v>70</v>
      </c>
      <c r="N663" s="1" t="str">
        <f t="shared" si="3"/>
        <v>Texas</v>
      </c>
      <c r="O663" s="1">
        <v>76017.0</v>
      </c>
      <c r="P663" s="1" t="s">
        <v>71</v>
      </c>
      <c r="Q663" s="1" t="s">
        <v>27</v>
      </c>
      <c r="R663" s="3">
        <v>918.785</v>
      </c>
      <c r="S663" s="1">
        <v>7.0</v>
      </c>
      <c r="T663" s="4">
        <v>917.93</v>
      </c>
    </row>
    <row r="664">
      <c r="A664" s="1" t="s">
        <v>1206</v>
      </c>
      <c r="B664" s="2">
        <v>42606.0</v>
      </c>
      <c r="C664" s="2" t="str">
        <f t="shared" si="1"/>
        <v>Aug</v>
      </c>
      <c r="D664" s="1" t="s">
        <v>1207</v>
      </c>
      <c r="E664" s="1" t="s">
        <v>41</v>
      </c>
      <c r="F664" s="1" t="s">
        <v>454</v>
      </c>
      <c r="G664" s="1" t="s">
        <v>455</v>
      </c>
      <c r="H664" s="1" t="str">
        <f>IFERROR(__xludf.DUMMYFUNCTION("split(G664,"" "")"),"Cassandra")</f>
        <v>Cassandra</v>
      </c>
      <c r="I664" s="1" t="str">
        <f>IFERROR(__xludf.DUMMYFUNCTION("""COMPUTED_VALUE"""),"Brandow")</f>
        <v>Brandow</v>
      </c>
      <c r="J664" s="1" t="s">
        <v>23</v>
      </c>
      <c r="K664" s="1" t="s">
        <v>628</v>
      </c>
      <c r="L664" s="1" t="str">
        <f t="shared" si="2"/>
        <v>Arlington</v>
      </c>
      <c r="M664" s="1" t="s">
        <v>70</v>
      </c>
      <c r="N664" s="1" t="str">
        <f t="shared" si="3"/>
        <v>Texas</v>
      </c>
      <c r="O664" s="1">
        <v>76017.0</v>
      </c>
      <c r="P664" s="1" t="s">
        <v>71</v>
      </c>
      <c r="Q664" s="1" t="s">
        <v>38</v>
      </c>
      <c r="R664" s="3">
        <v>2.724</v>
      </c>
      <c r="S664" s="1">
        <v>7.0</v>
      </c>
      <c r="T664" s="4">
        <v>2.25</v>
      </c>
    </row>
    <row r="665">
      <c r="A665" s="1" t="s">
        <v>1208</v>
      </c>
      <c r="B665" s="2">
        <v>42820.0</v>
      </c>
      <c r="C665" s="2" t="str">
        <f t="shared" si="1"/>
        <v>Mar</v>
      </c>
      <c r="D665" s="1" t="s">
        <v>1209</v>
      </c>
      <c r="E665" s="1" t="s">
        <v>41</v>
      </c>
      <c r="F665" s="1" t="s">
        <v>1210</v>
      </c>
      <c r="G665" s="1" t="s">
        <v>1211</v>
      </c>
      <c r="H665" s="1" t="str">
        <f>IFERROR(__xludf.DUMMYFUNCTION("split(G665,"" "")"),"Sibella")</f>
        <v>Sibella</v>
      </c>
      <c r="I665" s="1" t="str">
        <f>IFERROR(__xludf.DUMMYFUNCTION("""COMPUTED_VALUE"""),"Parks")</f>
        <v>Parks</v>
      </c>
      <c r="J665" s="1" t="s">
        <v>34</v>
      </c>
      <c r="K665" s="1" t="s">
        <v>174</v>
      </c>
      <c r="L665" s="1" t="str">
        <f t="shared" si="2"/>
        <v>New York City</v>
      </c>
      <c r="M665" s="1" t="s">
        <v>175</v>
      </c>
      <c r="N665" s="1" t="str">
        <f t="shared" si="3"/>
        <v>New York</v>
      </c>
      <c r="O665" s="1">
        <v>10011.0</v>
      </c>
      <c r="P665" s="1" t="s">
        <v>100</v>
      </c>
      <c r="Q665" s="1" t="s">
        <v>38</v>
      </c>
      <c r="R665" s="3">
        <v>459.95</v>
      </c>
      <c r="S665" s="1">
        <v>1.0</v>
      </c>
      <c r="T665" s="4">
        <v>459.05</v>
      </c>
    </row>
    <row r="666">
      <c r="A666" s="1" t="s">
        <v>1212</v>
      </c>
      <c r="B666" s="2">
        <v>42836.0</v>
      </c>
      <c r="C666" s="2" t="str">
        <f t="shared" si="1"/>
        <v>Apr</v>
      </c>
      <c r="D666" s="6">
        <v>42836.0</v>
      </c>
      <c r="E666" s="1" t="s">
        <v>717</v>
      </c>
      <c r="F666" s="1" t="s">
        <v>561</v>
      </c>
      <c r="G666" s="1" t="s">
        <v>562</v>
      </c>
      <c r="H666" s="1" t="str">
        <f>IFERROR(__xludf.DUMMYFUNCTION("split(G666,"" "")"),"Roy")</f>
        <v>Roy</v>
      </c>
      <c r="I666" s="1" t="str">
        <f>IFERROR(__xludf.DUMMYFUNCTION("""COMPUTED_VALUE"""),"Collins")</f>
        <v>Collins</v>
      </c>
      <c r="J666" s="1" t="s">
        <v>23</v>
      </c>
      <c r="K666" s="1" t="s">
        <v>818</v>
      </c>
      <c r="L666" s="1" t="str">
        <f t="shared" si="2"/>
        <v>Louisville</v>
      </c>
      <c r="M666" s="1" t="s">
        <v>25</v>
      </c>
      <c r="N666" s="1" t="str">
        <f t="shared" si="3"/>
        <v>Kentucky</v>
      </c>
      <c r="O666" s="1">
        <v>40214.0</v>
      </c>
      <c r="P666" s="1" t="s">
        <v>26</v>
      </c>
      <c r="Q666" s="1" t="s">
        <v>38</v>
      </c>
      <c r="R666" s="3">
        <v>10.74</v>
      </c>
      <c r="S666" s="1">
        <v>4.0</v>
      </c>
      <c r="T666" s="4">
        <v>10.2</v>
      </c>
    </row>
    <row r="667">
      <c r="A667" s="1" t="s">
        <v>1213</v>
      </c>
      <c r="B667" s="2">
        <v>43318.0</v>
      </c>
      <c r="C667" s="2" t="str">
        <f t="shared" si="1"/>
        <v>Aug</v>
      </c>
      <c r="D667" s="6">
        <v>43379.0</v>
      </c>
      <c r="E667" s="1" t="s">
        <v>20</v>
      </c>
      <c r="F667" s="1" t="s">
        <v>1214</v>
      </c>
      <c r="G667" s="1" t="s">
        <v>1215</v>
      </c>
      <c r="H667" s="1" t="str">
        <f>IFERROR(__xludf.DUMMYFUNCTION("split(G667,"" "")"),"Tiffany")</f>
        <v>Tiffany</v>
      </c>
      <c r="I667" s="1" t="str">
        <f>IFERROR(__xludf.DUMMYFUNCTION("""COMPUTED_VALUE"""),"House")</f>
        <v>House</v>
      </c>
      <c r="J667" s="1" t="s">
        <v>34</v>
      </c>
      <c r="K667" s="1" t="s">
        <v>480</v>
      </c>
      <c r="L667" s="1" t="str">
        <f t="shared" si="2"/>
        <v>Dallas</v>
      </c>
      <c r="M667" s="1" t="s">
        <v>70</v>
      </c>
      <c r="N667" s="1" t="str">
        <f t="shared" si="3"/>
        <v>Texas</v>
      </c>
      <c r="O667" s="1">
        <v>75081.0</v>
      </c>
      <c r="P667" s="1" t="s">
        <v>71</v>
      </c>
      <c r="Q667" s="1" t="s">
        <v>38</v>
      </c>
      <c r="R667" s="3">
        <v>23.76</v>
      </c>
      <c r="S667" s="1">
        <v>7.0</v>
      </c>
      <c r="T667" s="4">
        <v>23.17</v>
      </c>
    </row>
    <row r="668">
      <c r="A668" s="1" t="s">
        <v>1213</v>
      </c>
      <c r="B668" s="2">
        <v>43318.0</v>
      </c>
      <c r="C668" s="2" t="str">
        <f t="shared" si="1"/>
        <v>Aug</v>
      </c>
      <c r="D668" s="6">
        <v>43379.0</v>
      </c>
      <c r="E668" s="1" t="s">
        <v>20</v>
      </c>
      <c r="F668" s="1" t="s">
        <v>1214</v>
      </c>
      <c r="G668" s="1" t="s">
        <v>1215</v>
      </c>
      <c r="H668" s="1" t="str">
        <f>IFERROR(__xludf.DUMMYFUNCTION("split(G668,"" "")"),"Tiffany")</f>
        <v>Tiffany</v>
      </c>
      <c r="I668" s="1" t="str">
        <f>IFERROR(__xludf.DUMMYFUNCTION("""COMPUTED_VALUE"""),"House")</f>
        <v>House</v>
      </c>
      <c r="J668" s="1" t="s">
        <v>34</v>
      </c>
      <c r="K668" s="1" t="s">
        <v>480</v>
      </c>
      <c r="L668" s="1" t="str">
        <f t="shared" si="2"/>
        <v>Dallas</v>
      </c>
      <c r="M668" s="1" t="s">
        <v>70</v>
      </c>
      <c r="N668" s="1" t="str">
        <f t="shared" si="3"/>
        <v>Texas</v>
      </c>
      <c r="O668" s="1">
        <v>75081.0</v>
      </c>
      <c r="P668" s="1" t="s">
        <v>71</v>
      </c>
      <c r="Q668" s="1" t="s">
        <v>38</v>
      </c>
      <c r="R668" s="3">
        <v>85.056</v>
      </c>
      <c r="S668" s="1">
        <v>7.0</v>
      </c>
      <c r="T668" s="4">
        <v>84.29</v>
      </c>
    </row>
    <row r="669">
      <c r="A669" s="1" t="s">
        <v>1213</v>
      </c>
      <c r="B669" s="2">
        <v>43318.0</v>
      </c>
      <c r="C669" s="2" t="str">
        <f t="shared" si="1"/>
        <v>Aug</v>
      </c>
      <c r="D669" s="6">
        <v>43379.0</v>
      </c>
      <c r="E669" s="1" t="s">
        <v>20</v>
      </c>
      <c r="F669" s="1" t="s">
        <v>1214</v>
      </c>
      <c r="G669" s="1" t="s">
        <v>1215</v>
      </c>
      <c r="H669" s="1" t="str">
        <f>IFERROR(__xludf.DUMMYFUNCTION("split(G669,"" "")"),"Tiffany")</f>
        <v>Tiffany</v>
      </c>
      <c r="I669" s="1" t="str">
        <f>IFERROR(__xludf.DUMMYFUNCTION("""COMPUTED_VALUE"""),"House")</f>
        <v>House</v>
      </c>
      <c r="J669" s="1" t="s">
        <v>34</v>
      </c>
      <c r="K669" s="1" t="s">
        <v>480</v>
      </c>
      <c r="L669" s="1" t="str">
        <f t="shared" si="2"/>
        <v>Dallas</v>
      </c>
      <c r="M669" s="1" t="s">
        <v>70</v>
      </c>
      <c r="N669" s="1" t="str">
        <f t="shared" si="3"/>
        <v>Texas</v>
      </c>
      <c r="O669" s="1">
        <v>75081.0</v>
      </c>
      <c r="P669" s="1" t="s">
        <v>71</v>
      </c>
      <c r="Q669" s="1" t="s">
        <v>51</v>
      </c>
      <c r="R669" s="3">
        <v>381.576</v>
      </c>
      <c r="S669" s="1">
        <v>7.0</v>
      </c>
      <c r="T669" s="4">
        <v>380.78</v>
      </c>
    </row>
    <row r="670">
      <c r="A670" s="1" t="s">
        <v>1216</v>
      </c>
      <c r="B670" s="2">
        <v>42362.0</v>
      </c>
      <c r="C670" s="2" t="str">
        <f t="shared" si="1"/>
        <v>Dec</v>
      </c>
      <c r="D670" s="1" t="s">
        <v>788</v>
      </c>
      <c r="E670" s="1" t="s">
        <v>121</v>
      </c>
      <c r="F670" s="1" t="s">
        <v>1217</v>
      </c>
      <c r="G670" s="1" t="s">
        <v>1218</v>
      </c>
      <c r="H670" s="1" t="str">
        <f>IFERROR(__xludf.DUMMYFUNCTION("split(G670,"" "")"),"Resi")</f>
        <v>Resi</v>
      </c>
      <c r="I670" s="1" t="str">
        <f>IFERROR(__xludf.DUMMYFUNCTION("""COMPUTED_VALUE"""),"Pölking")</f>
        <v>Pölking</v>
      </c>
      <c r="J670" s="1" t="s">
        <v>23</v>
      </c>
      <c r="K670" s="1" t="s">
        <v>1219</v>
      </c>
      <c r="L670" s="1" t="str">
        <f t="shared" si="2"/>
        <v>Cleveland</v>
      </c>
      <c r="M670" s="1" t="s">
        <v>304</v>
      </c>
      <c r="N670" s="1" t="str">
        <f t="shared" si="3"/>
        <v>Ohio</v>
      </c>
      <c r="O670" s="1">
        <v>44105.0</v>
      </c>
      <c r="P670" s="1" t="s">
        <v>100</v>
      </c>
      <c r="Q670" s="1" t="s">
        <v>27</v>
      </c>
      <c r="R670" s="3">
        <v>30.36</v>
      </c>
      <c r="S670" s="1">
        <v>4.0</v>
      </c>
      <c r="T670" s="4">
        <v>29.57</v>
      </c>
    </row>
    <row r="671">
      <c r="A671" s="1" t="s">
        <v>1220</v>
      </c>
      <c r="B671" s="2">
        <v>43349.0</v>
      </c>
      <c r="C671" s="2" t="str">
        <f t="shared" si="1"/>
        <v>Sep</v>
      </c>
      <c r="D671" s="1" t="s">
        <v>915</v>
      </c>
      <c r="E671" s="1" t="s">
        <v>41</v>
      </c>
      <c r="F671" s="1" t="s">
        <v>1144</v>
      </c>
      <c r="G671" s="1" t="s">
        <v>1145</v>
      </c>
      <c r="H671" s="1" t="str">
        <f>IFERROR(__xludf.DUMMYFUNCTION("split(G671,"" "")"),"Meg")</f>
        <v>Meg</v>
      </c>
      <c r="I671" s="1" t="str">
        <f>IFERROR(__xludf.DUMMYFUNCTION("""COMPUTED_VALUE"""),"O'Connel")</f>
        <v>O'Connel</v>
      </c>
      <c r="J671" s="1" t="s">
        <v>68</v>
      </c>
      <c r="K671" s="1" t="s">
        <v>188</v>
      </c>
      <c r="L671" s="1" t="str">
        <f t="shared" si="2"/>
        <v>Chicago</v>
      </c>
      <c r="M671" s="1" t="s">
        <v>135</v>
      </c>
      <c r="N671" s="1" t="str">
        <f t="shared" si="3"/>
        <v>Illinois</v>
      </c>
      <c r="O671" s="1">
        <v>60653.0</v>
      </c>
      <c r="P671" s="1" t="s">
        <v>71</v>
      </c>
      <c r="Q671" s="1" t="s">
        <v>27</v>
      </c>
      <c r="R671" s="3">
        <v>23.976</v>
      </c>
      <c r="S671" s="1">
        <v>6.0</v>
      </c>
      <c r="T671" s="4">
        <v>23.68</v>
      </c>
    </row>
    <row r="672">
      <c r="A672" s="1" t="s">
        <v>1220</v>
      </c>
      <c r="B672" s="2">
        <v>43349.0</v>
      </c>
      <c r="C672" s="2" t="str">
        <f t="shared" si="1"/>
        <v>Sep</v>
      </c>
      <c r="D672" s="1" t="s">
        <v>915</v>
      </c>
      <c r="E672" s="1" t="s">
        <v>41</v>
      </c>
      <c r="F672" s="1" t="s">
        <v>1144</v>
      </c>
      <c r="G672" s="1" t="s">
        <v>1145</v>
      </c>
      <c r="H672" s="1" t="str">
        <f>IFERROR(__xludf.DUMMYFUNCTION("split(G672,"" "")"),"Meg")</f>
        <v>Meg</v>
      </c>
      <c r="I672" s="1" t="str">
        <f>IFERROR(__xludf.DUMMYFUNCTION("""COMPUTED_VALUE"""),"O'Connel")</f>
        <v>O'Connel</v>
      </c>
      <c r="J672" s="1" t="s">
        <v>68</v>
      </c>
      <c r="K672" s="1" t="s">
        <v>188</v>
      </c>
      <c r="L672" s="1" t="str">
        <f t="shared" si="2"/>
        <v>Chicago</v>
      </c>
      <c r="M672" s="1" t="s">
        <v>135</v>
      </c>
      <c r="N672" s="1" t="str">
        <f t="shared" si="3"/>
        <v>Illinois</v>
      </c>
      <c r="O672" s="1">
        <v>60653.0</v>
      </c>
      <c r="P672" s="1" t="s">
        <v>71</v>
      </c>
      <c r="Q672" s="1" t="s">
        <v>27</v>
      </c>
      <c r="R672" s="3">
        <v>108.925</v>
      </c>
      <c r="S672" s="1">
        <v>6.0</v>
      </c>
      <c r="T672" s="4">
        <v>108.54</v>
      </c>
    </row>
    <row r="673">
      <c r="A673" s="1" t="s">
        <v>1220</v>
      </c>
      <c r="B673" s="2">
        <v>43349.0</v>
      </c>
      <c r="C673" s="2" t="str">
        <f t="shared" si="1"/>
        <v>Sep</v>
      </c>
      <c r="D673" s="1" t="s">
        <v>915</v>
      </c>
      <c r="E673" s="1" t="s">
        <v>41</v>
      </c>
      <c r="F673" s="1" t="s">
        <v>1144</v>
      </c>
      <c r="G673" s="1" t="s">
        <v>1145</v>
      </c>
      <c r="H673" s="1" t="str">
        <f>IFERROR(__xludf.DUMMYFUNCTION("split(G673,"" "")"),"Meg")</f>
        <v>Meg</v>
      </c>
      <c r="I673" s="1" t="str">
        <f>IFERROR(__xludf.DUMMYFUNCTION("""COMPUTED_VALUE"""),"O'Connel")</f>
        <v>O'Connel</v>
      </c>
      <c r="J673" s="1" t="s">
        <v>68</v>
      </c>
      <c r="K673" s="1" t="s">
        <v>188</v>
      </c>
      <c r="L673" s="1" t="str">
        <f t="shared" si="2"/>
        <v>Chicago</v>
      </c>
      <c r="M673" s="1" t="s">
        <v>135</v>
      </c>
      <c r="N673" s="1" t="str">
        <f t="shared" si="3"/>
        <v>Illinois</v>
      </c>
      <c r="O673" s="1">
        <v>60653.0</v>
      </c>
      <c r="P673" s="1" t="s">
        <v>71</v>
      </c>
      <c r="Q673" s="1" t="s">
        <v>38</v>
      </c>
      <c r="R673" s="3">
        <v>36.352</v>
      </c>
      <c r="S673" s="1">
        <v>6.0</v>
      </c>
      <c r="T673" s="4">
        <v>36.08</v>
      </c>
    </row>
    <row r="674">
      <c r="A674" s="1" t="s">
        <v>1221</v>
      </c>
      <c r="B674" s="2">
        <v>43266.0</v>
      </c>
      <c r="C674" s="2" t="str">
        <f t="shared" si="1"/>
        <v>Jun</v>
      </c>
      <c r="D674" s="1" t="s">
        <v>1222</v>
      </c>
      <c r="E674" s="1" t="s">
        <v>41</v>
      </c>
      <c r="F674" s="1" t="s">
        <v>691</v>
      </c>
      <c r="G674" s="1" t="s">
        <v>692</v>
      </c>
      <c r="H674" s="1" t="str">
        <f>IFERROR(__xludf.DUMMYFUNCTION("split(G674,"" "")"),"Tamara")</f>
        <v>Tamara</v>
      </c>
      <c r="I674" s="1" t="str">
        <f>IFERROR(__xludf.DUMMYFUNCTION("""COMPUTED_VALUE"""),"Dahlen")</f>
        <v>Dahlen</v>
      </c>
      <c r="J674" s="1" t="s">
        <v>23</v>
      </c>
      <c r="K674" s="1" t="s">
        <v>733</v>
      </c>
      <c r="L674" s="1" t="str">
        <f t="shared" si="2"/>
        <v>Quincy</v>
      </c>
      <c r="M674" s="1" t="s">
        <v>135</v>
      </c>
      <c r="N674" s="1" t="str">
        <f t="shared" si="3"/>
        <v>Illinois</v>
      </c>
      <c r="O674" s="1">
        <v>62301.0</v>
      </c>
      <c r="P674" s="1" t="s">
        <v>71</v>
      </c>
      <c r="Q674" s="1" t="s">
        <v>38</v>
      </c>
      <c r="R674" s="3">
        <v>19.56</v>
      </c>
      <c r="S674" s="1">
        <v>6.0</v>
      </c>
      <c r="T674" s="4">
        <v>18.66</v>
      </c>
    </row>
    <row r="675">
      <c r="A675" s="1" t="s">
        <v>1223</v>
      </c>
      <c r="B675" s="2">
        <v>43232.0</v>
      </c>
      <c r="C675" s="2" t="str">
        <f t="shared" si="1"/>
        <v>May</v>
      </c>
      <c r="D675" s="6">
        <v>43324.0</v>
      </c>
      <c r="E675" s="1" t="s">
        <v>121</v>
      </c>
      <c r="F675" s="1" t="s">
        <v>1224</v>
      </c>
      <c r="G675" s="1" t="s">
        <v>1225</v>
      </c>
      <c r="H675" s="1" t="str">
        <f>IFERROR(__xludf.DUMMYFUNCTION("split(G675,"" "")"),"Rob")</f>
        <v>Rob</v>
      </c>
      <c r="I675" s="1" t="str">
        <f>IFERROR(__xludf.DUMMYFUNCTION("""COMPUTED_VALUE"""),"Beeghly")</f>
        <v>Beeghly</v>
      </c>
      <c r="J675" s="1" t="s">
        <v>23</v>
      </c>
      <c r="K675" s="1" t="s">
        <v>303</v>
      </c>
      <c r="L675" s="1" t="str">
        <f t="shared" si="2"/>
        <v>Columbus</v>
      </c>
      <c r="M675" s="1" t="s">
        <v>169</v>
      </c>
      <c r="N675" s="1" t="str">
        <f t="shared" si="3"/>
        <v>Indiana</v>
      </c>
      <c r="O675" s="1">
        <v>47201.0</v>
      </c>
      <c r="P675" s="1" t="s">
        <v>71</v>
      </c>
      <c r="Q675" s="1" t="s">
        <v>38</v>
      </c>
      <c r="R675" s="3">
        <v>61.44</v>
      </c>
      <c r="S675" s="1">
        <v>4.0</v>
      </c>
      <c r="T675" s="4">
        <v>60.91</v>
      </c>
    </row>
    <row r="676">
      <c r="A676" s="1" t="s">
        <v>1223</v>
      </c>
      <c r="B676" s="2">
        <v>43232.0</v>
      </c>
      <c r="C676" s="2" t="str">
        <f t="shared" si="1"/>
        <v>May</v>
      </c>
      <c r="D676" s="6">
        <v>43324.0</v>
      </c>
      <c r="E676" s="1" t="s">
        <v>121</v>
      </c>
      <c r="F676" s="1" t="s">
        <v>1224</v>
      </c>
      <c r="G676" s="1" t="s">
        <v>1225</v>
      </c>
      <c r="H676" s="1" t="str">
        <f>IFERROR(__xludf.DUMMYFUNCTION("split(G676,"" "")"),"Rob")</f>
        <v>Rob</v>
      </c>
      <c r="I676" s="1" t="str">
        <f>IFERROR(__xludf.DUMMYFUNCTION("""COMPUTED_VALUE"""),"Beeghly")</f>
        <v>Beeghly</v>
      </c>
      <c r="J676" s="1" t="s">
        <v>23</v>
      </c>
      <c r="K676" s="1" t="s">
        <v>303</v>
      </c>
      <c r="L676" s="1" t="str">
        <f t="shared" si="2"/>
        <v>Columbus</v>
      </c>
      <c r="M676" s="1" t="s">
        <v>169</v>
      </c>
      <c r="N676" s="1" t="str">
        <f t="shared" si="3"/>
        <v>Indiana</v>
      </c>
      <c r="O676" s="1">
        <v>47201.0</v>
      </c>
      <c r="P676" s="1" t="s">
        <v>71</v>
      </c>
      <c r="Q676" s="1" t="s">
        <v>38</v>
      </c>
      <c r="R676" s="3">
        <v>38.9</v>
      </c>
      <c r="S676" s="1">
        <v>4.0</v>
      </c>
      <c r="T676" s="4">
        <v>38.1</v>
      </c>
    </row>
    <row r="677">
      <c r="A677" s="1" t="s">
        <v>1223</v>
      </c>
      <c r="B677" s="2">
        <v>43232.0</v>
      </c>
      <c r="C677" s="2" t="str">
        <f t="shared" si="1"/>
        <v>May</v>
      </c>
      <c r="D677" s="6">
        <v>43324.0</v>
      </c>
      <c r="E677" s="1" t="s">
        <v>121</v>
      </c>
      <c r="F677" s="1" t="s">
        <v>1224</v>
      </c>
      <c r="G677" s="1" t="s">
        <v>1225</v>
      </c>
      <c r="H677" s="1" t="str">
        <f>IFERROR(__xludf.DUMMYFUNCTION("split(G677,"" "")"),"Rob")</f>
        <v>Rob</v>
      </c>
      <c r="I677" s="1" t="str">
        <f>IFERROR(__xludf.DUMMYFUNCTION("""COMPUTED_VALUE"""),"Beeghly")</f>
        <v>Beeghly</v>
      </c>
      <c r="J677" s="1" t="s">
        <v>23</v>
      </c>
      <c r="K677" s="1" t="s">
        <v>303</v>
      </c>
      <c r="L677" s="1" t="str">
        <f t="shared" si="2"/>
        <v>Columbus</v>
      </c>
      <c r="M677" s="1" t="s">
        <v>169</v>
      </c>
      <c r="N677" s="1" t="str">
        <f t="shared" si="3"/>
        <v>Indiana</v>
      </c>
      <c r="O677" s="1">
        <v>47201.0</v>
      </c>
      <c r="P677" s="1" t="s">
        <v>71</v>
      </c>
      <c r="Q677" s="1" t="s">
        <v>51</v>
      </c>
      <c r="R677" s="3">
        <v>99.39</v>
      </c>
      <c r="S677" s="1">
        <v>4.0</v>
      </c>
      <c r="T677" s="4">
        <v>99.38</v>
      </c>
    </row>
    <row r="678">
      <c r="A678" s="1" t="s">
        <v>1226</v>
      </c>
      <c r="B678" s="2">
        <v>43177.0</v>
      </c>
      <c r="C678" s="2" t="str">
        <f t="shared" si="1"/>
        <v>Mar</v>
      </c>
      <c r="D678" s="1" t="s">
        <v>1227</v>
      </c>
      <c r="E678" s="1" t="s">
        <v>41</v>
      </c>
      <c r="F678" s="1" t="s">
        <v>1228</v>
      </c>
      <c r="G678" s="1" t="s">
        <v>1229</v>
      </c>
      <c r="H678" s="1" t="str">
        <f>IFERROR(__xludf.DUMMYFUNCTION("split(G678,"" "")"),"Carol")</f>
        <v>Carol</v>
      </c>
      <c r="I678" s="1" t="str">
        <f>IFERROR(__xludf.DUMMYFUNCTION("""COMPUTED_VALUE"""),"Darley")</f>
        <v>Darley</v>
      </c>
      <c r="J678" s="1" t="s">
        <v>23</v>
      </c>
      <c r="K678" s="1" t="s">
        <v>1230</v>
      </c>
      <c r="L678" s="1" t="str">
        <f t="shared" si="2"/>
        <v>Tyler</v>
      </c>
      <c r="M678" s="1" t="s">
        <v>70</v>
      </c>
      <c r="N678" s="1" t="str">
        <f t="shared" si="3"/>
        <v>Texas</v>
      </c>
      <c r="O678" s="1">
        <v>75701.0</v>
      </c>
      <c r="P678" s="1" t="s">
        <v>71</v>
      </c>
      <c r="Q678" s="1" t="s">
        <v>38</v>
      </c>
      <c r="R678" s="3">
        <v>2.688</v>
      </c>
      <c r="S678" s="1">
        <v>7.0</v>
      </c>
      <c r="T678" s="4">
        <v>2.55</v>
      </c>
    </row>
    <row r="679">
      <c r="A679" s="1" t="s">
        <v>1226</v>
      </c>
      <c r="B679" s="2">
        <v>43177.0</v>
      </c>
      <c r="C679" s="2" t="str">
        <f t="shared" si="1"/>
        <v>Mar</v>
      </c>
      <c r="D679" s="1" t="s">
        <v>1227</v>
      </c>
      <c r="E679" s="1" t="s">
        <v>41</v>
      </c>
      <c r="F679" s="1" t="s">
        <v>1228</v>
      </c>
      <c r="G679" s="1" t="s">
        <v>1229</v>
      </c>
      <c r="H679" s="1" t="str">
        <f>IFERROR(__xludf.DUMMYFUNCTION("split(G679,"" "")"),"Carol")</f>
        <v>Carol</v>
      </c>
      <c r="I679" s="1" t="str">
        <f>IFERROR(__xludf.DUMMYFUNCTION("""COMPUTED_VALUE"""),"Darley")</f>
        <v>Darley</v>
      </c>
      <c r="J679" s="1" t="s">
        <v>23</v>
      </c>
      <c r="K679" s="1" t="s">
        <v>1230</v>
      </c>
      <c r="L679" s="1" t="str">
        <f t="shared" si="2"/>
        <v>Tyler</v>
      </c>
      <c r="M679" s="1" t="s">
        <v>70</v>
      </c>
      <c r="N679" s="1" t="str">
        <f t="shared" si="3"/>
        <v>Texas</v>
      </c>
      <c r="O679" s="1">
        <v>75701.0</v>
      </c>
      <c r="P679" s="1" t="s">
        <v>71</v>
      </c>
      <c r="Q679" s="1" t="s">
        <v>51</v>
      </c>
      <c r="R679" s="3">
        <v>27.816</v>
      </c>
      <c r="S679" s="1">
        <v>7.0</v>
      </c>
      <c r="T679" s="4">
        <v>26.86</v>
      </c>
    </row>
    <row r="680">
      <c r="A680" s="1" t="s">
        <v>1226</v>
      </c>
      <c r="B680" s="2">
        <v>43177.0</v>
      </c>
      <c r="C680" s="2" t="str">
        <f t="shared" si="1"/>
        <v>Mar</v>
      </c>
      <c r="D680" s="1" t="s">
        <v>1227</v>
      </c>
      <c r="E680" s="1" t="s">
        <v>41</v>
      </c>
      <c r="F680" s="1" t="s">
        <v>1228</v>
      </c>
      <c r="G680" s="1" t="s">
        <v>1229</v>
      </c>
      <c r="H680" s="1" t="str">
        <f>IFERROR(__xludf.DUMMYFUNCTION("split(G680,"" "")"),"Carol")</f>
        <v>Carol</v>
      </c>
      <c r="I680" s="1" t="str">
        <f>IFERROR(__xludf.DUMMYFUNCTION("""COMPUTED_VALUE"""),"Darley")</f>
        <v>Darley</v>
      </c>
      <c r="J680" s="1" t="s">
        <v>23</v>
      </c>
      <c r="K680" s="1" t="s">
        <v>1230</v>
      </c>
      <c r="L680" s="1" t="str">
        <f t="shared" si="2"/>
        <v>Tyler</v>
      </c>
      <c r="M680" s="1" t="s">
        <v>70</v>
      </c>
      <c r="N680" s="1" t="str">
        <f t="shared" si="3"/>
        <v>Texas</v>
      </c>
      <c r="O680" s="1">
        <v>75701.0</v>
      </c>
      <c r="P680" s="1" t="s">
        <v>71</v>
      </c>
      <c r="Q680" s="1" t="s">
        <v>27</v>
      </c>
      <c r="R680" s="3">
        <v>82.524</v>
      </c>
      <c r="S680" s="1">
        <v>7.0</v>
      </c>
      <c r="T680" s="4">
        <v>82.06</v>
      </c>
    </row>
    <row r="681">
      <c r="A681" s="1" t="s">
        <v>1226</v>
      </c>
      <c r="B681" s="2">
        <v>43177.0</v>
      </c>
      <c r="C681" s="2" t="str">
        <f t="shared" si="1"/>
        <v>Mar</v>
      </c>
      <c r="D681" s="1" t="s">
        <v>1227</v>
      </c>
      <c r="E681" s="1" t="s">
        <v>41</v>
      </c>
      <c r="F681" s="1" t="s">
        <v>1228</v>
      </c>
      <c r="G681" s="1" t="s">
        <v>1229</v>
      </c>
      <c r="H681" s="1" t="str">
        <f>IFERROR(__xludf.DUMMYFUNCTION("split(G681,"" "")"),"Carol")</f>
        <v>Carol</v>
      </c>
      <c r="I681" s="1" t="str">
        <f>IFERROR(__xludf.DUMMYFUNCTION("""COMPUTED_VALUE"""),"Darley")</f>
        <v>Darley</v>
      </c>
      <c r="J681" s="1" t="s">
        <v>23</v>
      </c>
      <c r="K681" s="1" t="s">
        <v>1230</v>
      </c>
      <c r="L681" s="1" t="str">
        <f t="shared" si="2"/>
        <v>Tyler</v>
      </c>
      <c r="M681" s="1" t="s">
        <v>70</v>
      </c>
      <c r="N681" s="1" t="str">
        <f t="shared" si="3"/>
        <v>Texas</v>
      </c>
      <c r="O681" s="1">
        <v>75701.0</v>
      </c>
      <c r="P681" s="1" t="s">
        <v>71</v>
      </c>
      <c r="Q681" s="1" t="s">
        <v>38</v>
      </c>
      <c r="R681" s="3">
        <v>182.994</v>
      </c>
      <c r="S681" s="1">
        <v>7.0</v>
      </c>
      <c r="T681" s="4">
        <v>182.04</v>
      </c>
    </row>
    <row r="682">
      <c r="A682" s="1" t="s">
        <v>1231</v>
      </c>
      <c r="B682" s="2">
        <v>43058.0</v>
      </c>
      <c r="C682" s="2" t="str">
        <f t="shared" si="1"/>
        <v>Nov</v>
      </c>
      <c r="D682" s="1" t="s">
        <v>381</v>
      </c>
      <c r="E682" s="1" t="s">
        <v>41</v>
      </c>
      <c r="F682" s="1" t="s">
        <v>1232</v>
      </c>
      <c r="G682" s="1" t="s">
        <v>1233</v>
      </c>
      <c r="H682" s="1" t="str">
        <f>IFERROR(__xludf.DUMMYFUNCTION("split(G682,"" "")"),"Doug")</f>
        <v>Doug</v>
      </c>
      <c r="I682" s="1" t="str">
        <f>IFERROR(__xludf.DUMMYFUNCTION("""COMPUTED_VALUE"""),"Jacobs")</f>
        <v>Jacobs</v>
      </c>
      <c r="J682" s="1" t="s">
        <v>23</v>
      </c>
      <c r="K682" s="1" t="s">
        <v>174</v>
      </c>
      <c r="L682" s="1" t="str">
        <f t="shared" si="2"/>
        <v>New York City</v>
      </c>
      <c r="M682" s="1" t="s">
        <v>175</v>
      </c>
      <c r="N682" s="1" t="str">
        <f t="shared" si="3"/>
        <v>New York</v>
      </c>
      <c r="O682" s="1">
        <v>10024.0</v>
      </c>
      <c r="P682" s="1" t="s">
        <v>100</v>
      </c>
      <c r="Q682" s="1" t="s">
        <v>38</v>
      </c>
      <c r="R682" s="3">
        <v>14.352</v>
      </c>
      <c r="S682" s="1">
        <v>1.0</v>
      </c>
      <c r="T682" s="4">
        <v>14.01</v>
      </c>
    </row>
    <row r="683">
      <c r="A683" s="1" t="s">
        <v>1231</v>
      </c>
      <c r="B683" s="2">
        <v>43058.0</v>
      </c>
      <c r="C683" s="2" t="str">
        <f t="shared" si="1"/>
        <v>Nov</v>
      </c>
      <c r="D683" s="1" t="s">
        <v>381</v>
      </c>
      <c r="E683" s="1" t="s">
        <v>41</v>
      </c>
      <c r="F683" s="1" t="s">
        <v>1232</v>
      </c>
      <c r="G683" s="1" t="s">
        <v>1233</v>
      </c>
      <c r="H683" s="1" t="str">
        <f>IFERROR(__xludf.DUMMYFUNCTION("split(G683,"" "")"),"Doug")</f>
        <v>Doug</v>
      </c>
      <c r="I683" s="1" t="str">
        <f>IFERROR(__xludf.DUMMYFUNCTION("""COMPUTED_VALUE"""),"Jacobs")</f>
        <v>Jacobs</v>
      </c>
      <c r="J683" s="1" t="s">
        <v>23</v>
      </c>
      <c r="K683" s="1" t="s">
        <v>174</v>
      </c>
      <c r="L683" s="1" t="str">
        <f t="shared" si="2"/>
        <v>New York City</v>
      </c>
      <c r="M683" s="1" t="s">
        <v>175</v>
      </c>
      <c r="N683" s="1" t="str">
        <f t="shared" si="3"/>
        <v>New York</v>
      </c>
      <c r="O683" s="1">
        <v>10024.0</v>
      </c>
      <c r="P683" s="1" t="s">
        <v>100</v>
      </c>
      <c r="Q683" s="1" t="s">
        <v>38</v>
      </c>
      <c r="R683" s="3">
        <v>64.96</v>
      </c>
      <c r="S683" s="1">
        <v>1.0</v>
      </c>
      <c r="T683" s="4">
        <v>64.55</v>
      </c>
    </row>
    <row r="684">
      <c r="A684" s="1" t="s">
        <v>1231</v>
      </c>
      <c r="B684" s="2">
        <v>43058.0</v>
      </c>
      <c r="C684" s="2" t="str">
        <f t="shared" si="1"/>
        <v>Nov</v>
      </c>
      <c r="D684" s="1" t="s">
        <v>381</v>
      </c>
      <c r="E684" s="1" t="s">
        <v>41</v>
      </c>
      <c r="F684" s="1" t="s">
        <v>1232</v>
      </c>
      <c r="G684" s="1" t="s">
        <v>1233</v>
      </c>
      <c r="H684" s="1" t="str">
        <f>IFERROR(__xludf.DUMMYFUNCTION("split(G684,"" "")"),"Doug")</f>
        <v>Doug</v>
      </c>
      <c r="I684" s="1" t="str">
        <f>IFERROR(__xludf.DUMMYFUNCTION("""COMPUTED_VALUE"""),"Jacobs")</f>
        <v>Jacobs</v>
      </c>
      <c r="J684" s="1" t="s">
        <v>23</v>
      </c>
      <c r="K684" s="1" t="s">
        <v>174</v>
      </c>
      <c r="L684" s="1" t="str">
        <f t="shared" si="2"/>
        <v>New York City</v>
      </c>
      <c r="M684" s="1" t="s">
        <v>175</v>
      </c>
      <c r="N684" s="1" t="str">
        <f t="shared" si="3"/>
        <v>New York</v>
      </c>
      <c r="O684" s="1">
        <v>10024.0</v>
      </c>
      <c r="P684" s="1" t="s">
        <v>100</v>
      </c>
      <c r="Q684" s="1" t="s">
        <v>38</v>
      </c>
      <c r="R684" s="3">
        <v>68.6</v>
      </c>
      <c r="S684" s="1">
        <v>1.0</v>
      </c>
      <c r="T684" s="4">
        <v>68.47</v>
      </c>
    </row>
    <row r="685">
      <c r="A685" s="1" t="s">
        <v>1234</v>
      </c>
      <c r="B685" s="2">
        <v>43201.0</v>
      </c>
      <c r="C685" s="2" t="str">
        <f t="shared" si="1"/>
        <v>Apr</v>
      </c>
      <c r="D685" s="6">
        <v>43201.0</v>
      </c>
      <c r="E685" s="1" t="s">
        <v>717</v>
      </c>
      <c r="F685" s="1" t="s">
        <v>1235</v>
      </c>
      <c r="G685" s="1" t="s">
        <v>1236</v>
      </c>
      <c r="H685" s="1" t="str">
        <f>IFERROR(__xludf.DUMMYFUNCTION("split(G685,"" "")"),"Grant")</f>
        <v>Grant</v>
      </c>
      <c r="I685" s="1" t="str">
        <f>IFERROR(__xludf.DUMMYFUNCTION("""COMPUTED_VALUE"""),"Thornton")</f>
        <v>Thornton</v>
      </c>
      <c r="J685" s="1" t="s">
        <v>34</v>
      </c>
      <c r="K685" s="1" t="s">
        <v>1237</v>
      </c>
      <c r="L685" s="1" t="str">
        <f t="shared" si="2"/>
        <v>Burlington</v>
      </c>
      <c r="M685" s="1" t="s">
        <v>58</v>
      </c>
      <c r="N685" s="1" t="str">
        <f t="shared" si="3"/>
        <v>North Carolina</v>
      </c>
      <c r="O685" s="1">
        <v>27217.0</v>
      </c>
      <c r="P685" s="1" t="s">
        <v>26</v>
      </c>
      <c r="Q685" s="1" t="s">
        <v>51</v>
      </c>
      <c r="R685" s="3">
        <v>7999.98</v>
      </c>
      <c r="S685" s="1">
        <v>2.0</v>
      </c>
      <c r="T685" s="4">
        <v>7999.04</v>
      </c>
    </row>
    <row r="686">
      <c r="A686" s="1" t="s">
        <v>1234</v>
      </c>
      <c r="B686" s="2">
        <v>43201.0</v>
      </c>
      <c r="C686" s="2" t="str">
        <f t="shared" si="1"/>
        <v>Apr</v>
      </c>
      <c r="D686" s="6">
        <v>43201.0</v>
      </c>
      <c r="E686" s="1" t="s">
        <v>717</v>
      </c>
      <c r="F686" s="1" t="s">
        <v>1235</v>
      </c>
      <c r="G686" s="1" t="s">
        <v>1236</v>
      </c>
      <c r="H686" s="1" t="str">
        <f>IFERROR(__xludf.DUMMYFUNCTION("split(G686,"" "")"),"Grant")</f>
        <v>Grant</v>
      </c>
      <c r="I686" s="1" t="str">
        <f>IFERROR(__xludf.DUMMYFUNCTION("""COMPUTED_VALUE"""),"Thornton")</f>
        <v>Thornton</v>
      </c>
      <c r="J686" s="1" t="s">
        <v>34</v>
      </c>
      <c r="K686" s="1" t="s">
        <v>1237</v>
      </c>
      <c r="L686" s="1" t="str">
        <f t="shared" si="2"/>
        <v>Burlington</v>
      </c>
      <c r="M686" s="1" t="s">
        <v>58</v>
      </c>
      <c r="N686" s="1" t="str">
        <f t="shared" si="3"/>
        <v>North Carolina</v>
      </c>
      <c r="O686" s="1">
        <v>27217.0</v>
      </c>
      <c r="P686" s="1" t="s">
        <v>26</v>
      </c>
      <c r="Q686" s="1" t="s">
        <v>38</v>
      </c>
      <c r="R686" s="3">
        <v>167.44</v>
      </c>
      <c r="S686" s="1">
        <v>2.0</v>
      </c>
      <c r="T686" s="4">
        <v>167.12</v>
      </c>
    </row>
    <row r="687">
      <c r="A687" s="1" t="s">
        <v>1238</v>
      </c>
      <c r="B687" s="2">
        <v>42131.0</v>
      </c>
      <c r="C687" s="2" t="str">
        <f t="shared" si="1"/>
        <v>May</v>
      </c>
      <c r="D687" s="6">
        <v>42223.0</v>
      </c>
      <c r="E687" s="1" t="s">
        <v>121</v>
      </c>
      <c r="F687" s="1" t="s">
        <v>1239</v>
      </c>
      <c r="G687" s="1" t="s">
        <v>1240</v>
      </c>
      <c r="H687" s="1" t="str">
        <f>IFERROR(__xludf.DUMMYFUNCTION("split(G687,"" "")"),"Michael")</f>
        <v>Michael</v>
      </c>
      <c r="I687" s="1" t="str">
        <f>IFERROR(__xludf.DUMMYFUNCTION("""COMPUTED_VALUE"""),"Chen")</f>
        <v>Chen</v>
      </c>
      <c r="J687" s="1" t="s">
        <v>23</v>
      </c>
      <c r="K687" s="1" t="s">
        <v>205</v>
      </c>
      <c r="L687" s="1" t="str">
        <f t="shared" si="2"/>
        <v>Jackson</v>
      </c>
      <c r="M687" s="1" t="s">
        <v>827</v>
      </c>
      <c r="N687" s="1" t="str">
        <f t="shared" si="3"/>
        <v>Mississippi</v>
      </c>
      <c r="O687" s="1">
        <v>39212.0</v>
      </c>
      <c r="P687" s="1" t="s">
        <v>26</v>
      </c>
      <c r="Q687" s="1" t="s">
        <v>51</v>
      </c>
      <c r="R687" s="3">
        <v>479.97</v>
      </c>
      <c r="S687" s="1">
        <v>3.0</v>
      </c>
      <c r="T687" s="4">
        <v>479.4</v>
      </c>
    </row>
    <row r="688">
      <c r="A688" s="1" t="s">
        <v>1238</v>
      </c>
      <c r="B688" s="2">
        <v>42131.0</v>
      </c>
      <c r="C688" s="2" t="str">
        <f t="shared" si="1"/>
        <v>May</v>
      </c>
      <c r="D688" s="6">
        <v>42223.0</v>
      </c>
      <c r="E688" s="1" t="s">
        <v>121</v>
      </c>
      <c r="F688" s="1" t="s">
        <v>1239</v>
      </c>
      <c r="G688" s="1" t="s">
        <v>1240</v>
      </c>
      <c r="H688" s="1" t="str">
        <f>IFERROR(__xludf.DUMMYFUNCTION("split(G688,"" "")"),"Michael")</f>
        <v>Michael</v>
      </c>
      <c r="I688" s="1" t="str">
        <f>IFERROR(__xludf.DUMMYFUNCTION("""COMPUTED_VALUE"""),"Chen")</f>
        <v>Chen</v>
      </c>
      <c r="J688" s="1" t="s">
        <v>23</v>
      </c>
      <c r="K688" s="1" t="s">
        <v>205</v>
      </c>
      <c r="L688" s="1" t="str">
        <f t="shared" si="2"/>
        <v>Jackson</v>
      </c>
      <c r="M688" s="1" t="s">
        <v>827</v>
      </c>
      <c r="N688" s="1" t="str">
        <f t="shared" si="3"/>
        <v>Mississippi</v>
      </c>
      <c r="O688" s="1">
        <v>39212.0</v>
      </c>
      <c r="P688" s="1" t="s">
        <v>26</v>
      </c>
      <c r="Q688" s="1" t="s">
        <v>38</v>
      </c>
      <c r="R688" s="3">
        <v>14.62</v>
      </c>
      <c r="S688" s="1">
        <v>3.0</v>
      </c>
      <c r="T688" s="4">
        <v>13.95</v>
      </c>
    </row>
    <row r="689">
      <c r="A689" s="1" t="s">
        <v>1238</v>
      </c>
      <c r="B689" s="2">
        <v>42131.0</v>
      </c>
      <c r="C689" s="2" t="str">
        <f t="shared" si="1"/>
        <v>May</v>
      </c>
      <c r="D689" s="6">
        <v>42223.0</v>
      </c>
      <c r="E689" s="1" t="s">
        <v>121</v>
      </c>
      <c r="F689" s="1" t="s">
        <v>1239</v>
      </c>
      <c r="G689" s="1" t="s">
        <v>1240</v>
      </c>
      <c r="H689" s="1" t="str">
        <f>IFERROR(__xludf.DUMMYFUNCTION("split(G689,"" "")"),"Michael")</f>
        <v>Michael</v>
      </c>
      <c r="I689" s="1" t="str">
        <f>IFERROR(__xludf.DUMMYFUNCTION("""COMPUTED_VALUE"""),"Chen")</f>
        <v>Chen</v>
      </c>
      <c r="J689" s="1" t="s">
        <v>23</v>
      </c>
      <c r="K689" s="1" t="s">
        <v>205</v>
      </c>
      <c r="L689" s="1" t="str">
        <f t="shared" si="2"/>
        <v>Jackson</v>
      </c>
      <c r="M689" s="1" t="s">
        <v>827</v>
      </c>
      <c r="N689" s="1" t="str">
        <f t="shared" si="3"/>
        <v>Mississippi</v>
      </c>
      <c r="O689" s="1">
        <v>39212.0</v>
      </c>
      <c r="P689" s="1" t="s">
        <v>26</v>
      </c>
      <c r="Q689" s="1" t="s">
        <v>38</v>
      </c>
      <c r="R689" s="3">
        <v>19.44</v>
      </c>
      <c r="S689" s="1">
        <v>3.0</v>
      </c>
      <c r="T689" s="4">
        <v>19.38</v>
      </c>
    </row>
    <row r="690">
      <c r="A690" s="1" t="s">
        <v>1241</v>
      </c>
      <c r="B690" s="2">
        <v>43459.0</v>
      </c>
      <c r="C690" s="2" t="str">
        <f t="shared" si="1"/>
        <v>Dec</v>
      </c>
      <c r="D690" s="1" t="s">
        <v>795</v>
      </c>
      <c r="E690" s="1" t="s">
        <v>41</v>
      </c>
      <c r="F690" s="1" t="s">
        <v>1242</v>
      </c>
      <c r="G690" s="1" t="s">
        <v>1243</v>
      </c>
      <c r="H690" s="1" t="str">
        <f>IFERROR(__xludf.DUMMYFUNCTION("split(G690,"" "")"),"Ralph")</f>
        <v>Ralph</v>
      </c>
      <c r="I690" s="1" t="str">
        <f>IFERROR(__xludf.DUMMYFUNCTION("""COMPUTED_VALUE"""),"Arnett")</f>
        <v>Arnett</v>
      </c>
      <c r="J690" s="1" t="s">
        <v>23</v>
      </c>
      <c r="K690" s="1" t="s">
        <v>174</v>
      </c>
      <c r="L690" s="1" t="str">
        <f t="shared" si="2"/>
        <v>New York City</v>
      </c>
      <c r="M690" s="1" t="s">
        <v>175</v>
      </c>
      <c r="N690" s="1" t="str">
        <f t="shared" si="3"/>
        <v>New York</v>
      </c>
      <c r="O690" s="1">
        <v>10035.0</v>
      </c>
      <c r="P690" s="1" t="s">
        <v>100</v>
      </c>
      <c r="Q690" s="1" t="s">
        <v>27</v>
      </c>
      <c r="R690" s="3">
        <v>191.984</v>
      </c>
      <c r="S690" s="1">
        <v>1.0</v>
      </c>
      <c r="T690" s="4">
        <v>191.73</v>
      </c>
    </row>
    <row r="691">
      <c r="A691" s="1" t="s">
        <v>1244</v>
      </c>
      <c r="B691" s="2">
        <v>42176.0</v>
      </c>
      <c r="C691" s="2" t="str">
        <f t="shared" si="1"/>
        <v>Jun</v>
      </c>
      <c r="D691" s="1" t="s">
        <v>1245</v>
      </c>
      <c r="E691" s="1" t="s">
        <v>20</v>
      </c>
      <c r="F691" s="1" t="s">
        <v>1246</v>
      </c>
      <c r="G691" s="1" t="s">
        <v>1247</v>
      </c>
      <c r="H691" s="1" t="str">
        <f>IFERROR(__xludf.DUMMYFUNCTION("split(G691,"" "")"),"Naresj")</f>
        <v>Naresj</v>
      </c>
      <c r="I691" s="1" t="str">
        <f>IFERROR(__xludf.DUMMYFUNCTION("""COMPUTED_VALUE"""),"Patel")</f>
        <v>Patel</v>
      </c>
      <c r="J691" s="1" t="s">
        <v>23</v>
      </c>
      <c r="K691" s="1" t="s">
        <v>1248</v>
      </c>
      <c r="L691" s="1" t="str">
        <f t="shared" si="2"/>
        <v>Waynesboro</v>
      </c>
      <c r="M691" s="1" t="s">
        <v>198</v>
      </c>
      <c r="N691" s="1" t="str">
        <f t="shared" si="3"/>
        <v>Virginia</v>
      </c>
      <c r="O691" s="1">
        <v>22980.0</v>
      </c>
      <c r="P691" s="1" t="s">
        <v>26</v>
      </c>
      <c r="Q691" s="1" t="s">
        <v>27</v>
      </c>
      <c r="R691" s="3">
        <v>104.01</v>
      </c>
      <c r="S691" s="1">
        <v>2.0</v>
      </c>
      <c r="T691" s="4">
        <v>103.23</v>
      </c>
    </row>
    <row r="692">
      <c r="A692" s="1" t="s">
        <v>1244</v>
      </c>
      <c r="B692" s="2">
        <v>42176.0</v>
      </c>
      <c r="C692" s="2" t="str">
        <f t="shared" si="1"/>
        <v>Jun</v>
      </c>
      <c r="D692" s="1" t="s">
        <v>1245</v>
      </c>
      <c r="E692" s="1" t="s">
        <v>20</v>
      </c>
      <c r="F692" s="1" t="s">
        <v>1246</v>
      </c>
      <c r="G692" s="1" t="s">
        <v>1247</v>
      </c>
      <c r="H692" s="1" t="str">
        <f>IFERROR(__xludf.DUMMYFUNCTION("split(G692,"" "")"),"Naresj")</f>
        <v>Naresj</v>
      </c>
      <c r="I692" s="1" t="str">
        <f>IFERROR(__xludf.DUMMYFUNCTION("""COMPUTED_VALUE"""),"Patel")</f>
        <v>Patel</v>
      </c>
      <c r="J692" s="1" t="s">
        <v>23</v>
      </c>
      <c r="K692" s="1" t="s">
        <v>1248</v>
      </c>
      <c r="L692" s="1" t="str">
        <f t="shared" si="2"/>
        <v>Waynesboro</v>
      </c>
      <c r="M692" s="1" t="s">
        <v>198</v>
      </c>
      <c r="N692" s="1" t="str">
        <f t="shared" si="3"/>
        <v>Virginia</v>
      </c>
      <c r="O692" s="1">
        <v>22980.0</v>
      </c>
      <c r="P692" s="1" t="s">
        <v>26</v>
      </c>
      <c r="Q692" s="1" t="s">
        <v>51</v>
      </c>
      <c r="R692" s="3">
        <v>284.82</v>
      </c>
      <c r="S692" s="1">
        <v>2.0</v>
      </c>
      <c r="T692" s="4">
        <v>284.3</v>
      </c>
    </row>
    <row r="693">
      <c r="A693" s="1" t="s">
        <v>1244</v>
      </c>
      <c r="B693" s="2">
        <v>42176.0</v>
      </c>
      <c r="C693" s="2" t="str">
        <f t="shared" si="1"/>
        <v>Jun</v>
      </c>
      <c r="D693" s="1" t="s">
        <v>1245</v>
      </c>
      <c r="E693" s="1" t="s">
        <v>20</v>
      </c>
      <c r="F693" s="1" t="s">
        <v>1246</v>
      </c>
      <c r="G693" s="1" t="s">
        <v>1247</v>
      </c>
      <c r="H693" s="1" t="str">
        <f>IFERROR(__xludf.DUMMYFUNCTION("split(G693,"" "")"),"Naresj")</f>
        <v>Naresj</v>
      </c>
      <c r="I693" s="1" t="str">
        <f>IFERROR(__xludf.DUMMYFUNCTION("""COMPUTED_VALUE"""),"Patel")</f>
        <v>Patel</v>
      </c>
      <c r="J693" s="1" t="s">
        <v>23</v>
      </c>
      <c r="K693" s="1" t="s">
        <v>1248</v>
      </c>
      <c r="L693" s="1" t="str">
        <f t="shared" si="2"/>
        <v>Waynesboro</v>
      </c>
      <c r="M693" s="1" t="s">
        <v>198</v>
      </c>
      <c r="N693" s="1" t="str">
        <f t="shared" si="3"/>
        <v>Virginia</v>
      </c>
      <c r="O693" s="1">
        <v>22980.0</v>
      </c>
      <c r="P693" s="1" t="s">
        <v>26</v>
      </c>
      <c r="Q693" s="1" t="s">
        <v>38</v>
      </c>
      <c r="R693" s="3">
        <v>36.84</v>
      </c>
      <c r="S693" s="1">
        <v>2.0</v>
      </c>
      <c r="T693" s="4">
        <v>35.94</v>
      </c>
    </row>
    <row r="694">
      <c r="A694" s="1" t="s">
        <v>1249</v>
      </c>
      <c r="B694" s="2">
        <v>42457.0</v>
      </c>
      <c r="C694" s="2" t="str">
        <f t="shared" si="1"/>
        <v>Mar</v>
      </c>
      <c r="D694" s="6">
        <v>42404.0</v>
      </c>
      <c r="E694" s="1" t="s">
        <v>41</v>
      </c>
      <c r="F694" s="1" t="s">
        <v>1250</v>
      </c>
      <c r="G694" s="1" t="s">
        <v>1251</v>
      </c>
      <c r="H694" s="1" t="str">
        <f>IFERROR(__xludf.DUMMYFUNCTION("split(G694,"" "")"),"Alan")</f>
        <v>Alan</v>
      </c>
      <c r="I694" s="1" t="str">
        <f>IFERROR(__xludf.DUMMYFUNCTION("""COMPUTED_VALUE"""),"Barnes")</f>
        <v>Barnes</v>
      </c>
      <c r="J694" s="1" t="s">
        <v>23</v>
      </c>
      <c r="K694" s="1" t="s">
        <v>35</v>
      </c>
      <c r="L694" s="1" t="str">
        <f t="shared" si="2"/>
        <v>Los Angeles</v>
      </c>
      <c r="M694" s="1" t="s">
        <v>52</v>
      </c>
      <c r="N694" s="1" t="str">
        <f t="shared" si="3"/>
        <v>California</v>
      </c>
      <c r="O694" s="1">
        <v>90036.0</v>
      </c>
      <c r="P694" s="1" t="s">
        <v>37</v>
      </c>
      <c r="Q694" s="1" t="s">
        <v>51</v>
      </c>
      <c r="R694" s="3">
        <v>166.24</v>
      </c>
      <c r="S694" s="1">
        <v>9.0</v>
      </c>
      <c r="T694" s="4">
        <v>166.08</v>
      </c>
    </row>
    <row r="695">
      <c r="A695" s="1" t="s">
        <v>1249</v>
      </c>
      <c r="B695" s="2">
        <v>42457.0</v>
      </c>
      <c r="C695" s="2" t="str">
        <f t="shared" si="1"/>
        <v>Mar</v>
      </c>
      <c r="D695" s="6">
        <v>42404.0</v>
      </c>
      <c r="E695" s="1" t="s">
        <v>41</v>
      </c>
      <c r="F695" s="1" t="s">
        <v>1250</v>
      </c>
      <c r="G695" s="1" t="s">
        <v>1251</v>
      </c>
      <c r="H695" s="1" t="str">
        <f>IFERROR(__xludf.DUMMYFUNCTION("split(G695,"" "")"),"Alan")</f>
        <v>Alan</v>
      </c>
      <c r="I695" s="1" t="str">
        <f>IFERROR(__xludf.DUMMYFUNCTION("""COMPUTED_VALUE"""),"Barnes")</f>
        <v>Barnes</v>
      </c>
      <c r="J695" s="1" t="s">
        <v>23</v>
      </c>
      <c r="K695" s="1" t="s">
        <v>35</v>
      </c>
      <c r="L695" s="1" t="str">
        <f t="shared" si="2"/>
        <v>Los Angeles</v>
      </c>
      <c r="M695" s="1" t="s">
        <v>52</v>
      </c>
      <c r="N695" s="1" t="str">
        <f t="shared" si="3"/>
        <v>California</v>
      </c>
      <c r="O695" s="1">
        <v>90036.0</v>
      </c>
      <c r="P695" s="1" t="s">
        <v>37</v>
      </c>
      <c r="Q695" s="1" t="s">
        <v>38</v>
      </c>
      <c r="R695" s="3">
        <v>33.4</v>
      </c>
      <c r="S695" s="1">
        <v>9.0</v>
      </c>
      <c r="T695" s="4">
        <v>33.38</v>
      </c>
    </row>
    <row r="696">
      <c r="A696" s="1" t="s">
        <v>1252</v>
      </c>
      <c r="B696" s="2">
        <v>42504.0</v>
      </c>
      <c r="C696" s="2" t="str">
        <f t="shared" si="1"/>
        <v>May</v>
      </c>
      <c r="D696" s="1" t="s">
        <v>1253</v>
      </c>
      <c r="E696" s="1" t="s">
        <v>121</v>
      </c>
      <c r="F696" s="1" t="s">
        <v>1254</v>
      </c>
      <c r="G696" s="1" t="s">
        <v>1255</v>
      </c>
      <c r="H696" s="1" t="str">
        <f>IFERROR(__xludf.DUMMYFUNCTION("split(G696,"" "")"),"Jesus")</f>
        <v>Jesus</v>
      </c>
      <c r="I696" s="1" t="str">
        <f>IFERROR(__xludf.DUMMYFUNCTION("""COMPUTED_VALUE"""),"Ocampo")</f>
        <v>Ocampo</v>
      </c>
      <c r="J696" s="1" t="s">
        <v>68</v>
      </c>
      <c r="K696" s="1" t="s">
        <v>1256</v>
      </c>
      <c r="L696" s="1" t="str">
        <f t="shared" si="2"/>
        <v>Chester</v>
      </c>
      <c r="M696" s="1" t="s">
        <v>99</v>
      </c>
      <c r="N696" s="1" t="str">
        <f t="shared" si="3"/>
        <v>Pennsylvania</v>
      </c>
      <c r="O696" s="1">
        <v>19013.0</v>
      </c>
      <c r="P696" s="1" t="s">
        <v>100</v>
      </c>
      <c r="Q696" s="1" t="s">
        <v>38</v>
      </c>
      <c r="R696" s="3">
        <v>198.272</v>
      </c>
      <c r="S696" s="1">
        <v>1.0</v>
      </c>
      <c r="T696" s="4">
        <v>197.32</v>
      </c>
    </row>
    <row r="697">
      <c r="A697" s="1" t="s">
        <v>1252</v>
      </c>
      <c r="B697" s="2">
        <v>42504.0</v>
      </c>
      <c r="C697" s="2" t="str">
        <f t="shared" si="1"/>
        <v>May</v>
      </c>
      <c r="D697" s="1" t="s">
        <v>1253</v>
      </c>
      <c r="E697" s="1" t="s">
        <v>121</v>
      </c>
      <c r="F697" s="1" t="s">
        <v>1254</v>
      </c>
      <c r="G697" s="1" t="s">
        <v>1255</v>
      </c>
      <c r="H697" s="1" t="str">
        <f>IFERROR(__xludf.DUMMYFUNCTION("split(G697,"" "")"),"Jesus")</f>
        <v>Jesus</v>
      </c>
      <c r="I697" s="1" t="str">
        <f>IFERROR(__xludf.DUMMYFUNCTION("""COMPUTED_VALUE"""),"Ocampo")</f>
        <v>Ocampo</v>
      </c>
      <c r="J697" s="1" t="s">
        <v>68</v>
      </c>
      <c r="K697" s="1" t="s">
        <v>1256</v>
      </c>
      <c r="L697" s="1" t="str">
        <f t="shared" si="2"/>
        <v>Chester</v>
      </c>
      <c r="M697" s="1" t="s">
        <v>99</v>
      </c>
      <c r="N697" s="1" t="str">
        <f t="shared" si="3"/>
        <v>Pennsylvania</v>
      </c>
      <c r="O697" s="1">
        <v>19013.0</v>
      </c>
      <c r="P697" s="1" t="s">
        <v>100</v>
      </c>
      <c r="Q697" s="1" t="s">
        <v>38</v>
      </c>
      <c r="R697" s="3">
        <v>47.36</v>
      </c>
      <c r="S697" s="1">
        <v>1.0</v>
      </c>
      <c r="T697" s="4">
        <v>47.31</v>
      </c>
    </row>
    <row r="698">
      <c r="A698" s="1" t="s">
        <v>1252</v>
      </c>
      <c r="B698" s="2">
        <v>42504.0</v>
      </c>
      <c r="C698" s="2" t="str">
        <f t="shared" si="1"/>
        <v>May</v>
      </c>
      <c r="D698" s="1" t="s">
        <v>1253</v>
      </c>
      <c r="E698" s="1" t="s">
        <v>121</v>
      </c>
      <c r="F698" s="1" t="s">
        <v>1254</v>
      </c>
      <c r="G698" s="1" t="s">
        <v>1255</v>
      </c>
      <c r="H698" s="1" t="str">
        <f>IFERROR(__xludf.DUMMYFUNCTION("split(G698,"" "")"),"Jesus")</f>
        <v>Jesus</v>
      </c>
      <c r="I698" s="1" t="str">
        <f>IFERROR(__xludf.DUMMYFUNCTION("""COMPUTED_VALUE"""),"Ocampo")</f>
        <v>Ocampo</v>
      </c>
      <c r="J698" s="1" t="s">
        <v>68</v>
      </c>
      <c r="K698" s="1" t="s">
        <v>1256</v>
      </c>
      <c r="L698" s="1" t="str">
        <f t="shared" si="2"/>
        <v>Chester</v>
      </c>
      <c r="M698" s="1" t="s">
        <v>99</v>
      </c>
      <c r="N698" s="1" t="str">
        <f t="shared" si="3"/>
        <v>Pennsylvania</v>
      </c>
      <c r="O698" s="1">
        <v>19013.0</v>
      </c>
      <c r="P698" s="1" t="s">
        <v>100</v>
      </c>
      <c r="Q698" s="1" t="s">
        <v>38</v>
      </c>
      <c r="R698" s="3">
        <v>200.984</v>
      </c>
      <c r="S698" s="1">
        <v>1.0</v>
      </c>
      <c r="T698" s="4">
        <v>200.57</v>
      </c>
    </row>
    <row r="699">
      <c r="A699" s="1" t="s">
        <v>1252</v>
      </c>
      <c r="B699" s="2">
        <v>42504.0</v>
      </c>
      <c r="C699" s="2" t="str">
        <f t="shared" si="1"/>
        <v>May</v>
      </c>
      <c r="D699" s="1" t="s">
        <v>1253</v>
      </c>
      <c r="E699" s="1" t="s">
        <v>121</v>
      </c>
      <c r="F699" s="1" t="s">
        <v>1254</v>
      </c>
      <c r="G699" s="1" t="s">
        <v>1255</v>
      </c>
      <c r="H699" s="1" t="str">
        <f>IFERROR(__xludf.DUMMYFUNCTION("split(G699,"" "")"),"Jesus")</f>
        <v>Jesus</v>
      </c>
      <c r="I699" s="1" t="str">
        <f>IFERROR(__xludf.DUMMYFUNCTION("""COMPUTED_VALUE"""),"Ocampo")</f>
        <v>Ocampo</v>
      </c>
      <c r="J699" s="1" t="s">
        <v>68</v>
      </c>
      <c r="K699" s="1" t="s">
        <v>1256</v>
      </c>
      <c r="L699" s="1" t="str">
        <f t="shared" si="2"/>
        <v>Chester</v>
      </c>
      <c r="M699" s="1" t="s">
        <v>99</v>
      </c>
      <c r="N699" s="1" t="str">
        <f t="shared" si="3"/>
        <v>Pennsylvania</v>
      </c>
      <c r="O699" s="1">
        <v>19013.0</v>
      </c>
      <c r="P699" s="1" t="s">
        <v>100</v>
      </c>
      <c r="Q699" s="1" t="s">
        <v>38</v>
      </c>
      <c r="R699" s="3">
        <v>97.696</v>
      </c>
      <c r="S699" s="1">
        <v>1.0</v>
      </c>
      <c r="T699" s="4">
        <v>97.58</v>
      </c>
    </row>
    <row r="700">
      <c r="A700" s="1" t="s">
        <v>1252</v>
      </c>
      <c r="B700" s="2">
        <v>42504.0</v>
      </c>
      <c r="C700" s="2" t="str">
        <f t="shared" si="1"/>
        <v>May</v>
      </c>
      <c r="D700" s="1" t="s">
        <v>1253</v>
      </c>
      <c r="E700" s="1" t="s">
        <v>121</v>
      </c>
      <c r="F700" s="1" t="s">
        <v>1254</v>
      </c>
      <c r="G700" s="1" t="s">
        <v>1255</v>
      </c>
      <c r="H700" s="1" t="str">
        <f>IFERROR(__xludf.DUMMYFUNCTION("split(G700,"" "")"),"Jesus")</f>
        <v>Jesus</v>
      </c>
      <c r="I700" s="1" t="str">
        <f>IFERROR(__xludf.DUMMYFUNCTION("""COMPUTED_VALUE"""),"Ocampo")</f>
        <v>Ocampo</v>
      </c>
      <c r="J700" s="1" t="s">
        <v>68</v>
      </c>
      <c r="K700" s="1" t="s">
        <v>1256</v>
      </c>
      <c r="L700" s="1" t="str">
        <f t="shared" si="2"/>
        <v>Chester</v>
      </c>
      <c r="M700" s="1" t="s">
        <v>99</v>
      </c>
      <c r="N700" s="1" t="str">
        <f t="shared" si="3"/>
        <v>Pennsylvania</v>
      </c>
      <c r="O700" s="1">
        <v>19013.0</v>
      </c>
      <c r="P700" s="1" t="s">
        <v>100</v>
      </c>
      <c r="Q700" s="1" t="s">
        <v>38</v>
      </c>
      <c r="R700" s="3">
        <v>2.696</v>
      </c>
      <c r="S700" s="1">
        <v>1.0</v>
      </c>
      <c r="T700" s="4">
        <v>2.67</v>
      </c>
    </row>
    <row r="701">
      <c r="A701" s="1" t="s">
        <v>1252</v>
      </c>
      <c r="B701" s="2">
        <v>42504.0</v>
      </c>
      <c r="C701" s="2" t="str">
        <f t="shared" si="1"/>
        <v>May</v>
      </c>
      <c r="D701" s="1" t="s">
        <v>1253</v>
      </c>
      <c r="E701" s="1" t="s">
        <v>121</v>
      </c>
      <c r="F701" s="1" t="s">
        <v>1254</v>
      </c>
      <c r="G701" s="1" t="s">
        <v>1255</v>
      </c>
      <c r="H701" s="1" t="str">
        <f>IFERROR(__xludf.DUMMYFUNCTION("split(G701,"" "")"),"Jesus")</f>
        <v>Jesus</v>
      </c>
      <c r="I701" s="1" t="str">
        <f>IFERROR(__xludf.DUMMYFUNCTION("""COMPUTED_VALUE"""),"Ocampo")</f>
        <v>Ocampo</v>
      </c>
      <c r="J701" s="1" t="s">
        <v>68</v>
      </c>
      <c r="K701" s="1" t="s">
        <v>1256</v>
      </c>
      <c r="L701" s="1" t="str">
        <f t="shared" si="2"/>
        <v>Chester</v>
      </c>
      <c r="M701" s="1" t="s">
        <v>99</v>
      </c>
      <c r="N701" s="1" t="str">
        <f t="shared" si="3"/>
        <v>Pennsylvania</v>
      </c>
      <c r="O701" s="1">
        <v>19013.0</v>
      </c>
      <c r="P701" s="1" t="s">
        <v>100</v>
      </c>
      <c r="Q701" s="1" t="s">
        <v>38</v>
      </c>
      <c r="R701" s="3">
        <v>18.588</v>
      </c>
      <c r="S701" s="1">
        <v>1.0</v>
      </c>
      <c r="T701" s="4">
        <v>18.0</v>
      </c>
    </row>
    <row r="702">
      <c r="A702" s="1" t="s">
        <v>1252</v>
      </c>
      <c r="B702" s="2">
        <v>42504.0</v>
      </c>
      <c r="C702" s="2" t="str">
        <f t="shared" si="1"/>
        <v>May</v>
      </c>
      <c r="D702" s="1" t="s">
        <v>1253</v>
      </c>
      <c r="E702" s="1" t="s">
        <v>121</v>
      </c>
      <c r="F702" s="1" t="s">
        <v>1254</v>
      </c>
      <c r="G702" s="1" t="s">
        <v>1255</v>
      </c>
      <c r="H702" s="1" t="str">
        <f>IFERROR(__xludf.DUMMYFUNCTION("split(G702,"" "")"),"Jesus")</f>
        <v>Jesus</v>
      </c>
      <c r="I702" s="1" t="str">
        <f>IFERROR(__xludf.DUMMYFUNCTION("""COMPUTED_VALUE"""),"Ocampo")</f>
        <v>Ocampo</v>
      </c>
      <c r="J702" s="1" t="s">
        <v>68</v>
      </c>
      <c r="K702" s="1" t="s">
        <v>1256</v>
      </c>
      <c r="L702" s="1" t="str">
        <f t="shared" si="2"/>
        <v>Chester</v>
      </c>
      <c r="M702" s="1" t="s">
        <v>99</v>
      </c>
      <c r="N702" s="1" t="str">
        <f t="shared" si="3"/>
        <v>Pennsylvania</v>
      </c>
      <c r="O702" s="1">
        <v>19013.0</v>
      </c>
      <c r="P702" s="1" t="s">
        <v>100</v>
      </c>
      <c r="Q702" s="1" t="s">
        <v>38</v>
      </c>
      <c r="R702" s="3">
        <v>4.896</v>
      </c>
      <c r="S702" s="1">
        <v>1.0</v>
      </c>
      <c r="T702" s="4">
        <v>4.29</v>
      </c>
    </row>
    <row r="703">
      <c r="A703" s="1" t="s">
        <v>1257</v>
      </c>
      <c r="B703" s="2">
        <v>43140.0</v>
      </c>
      <c r="C703" s="2" t="str">
        <f t="shared" si="1"/>
        <v>Feb</v>
      </c>
      <c r="D703" s="6">
        <v>43321.0</v>
      </c>
      <c r="E703" s="1" t="s">
        <v>41</v>
      </c>
      <c r="F703" s="1" t="s">
        <v>553</v>
      </c>
      <c r="G703" s="1" t="s">
        <v>554</v>
      </c>
      <c r="H703" s="1" t="str">
        <f>IFERROR(__xludf.DUMMYFUNCTION("split(G703,"" "")"),"Dorris")</f>
        <v>Dorris</v>
      </c>
      <c r="I703" s="1" t="str">
        <f>IFERROR(__xludf.DUMMYFUNCTION("""COMPUTED_VALUE"""),"liebe")</f>
        <v>liebe</v>
      </c>
      <c r="J703" s="1" t="s">
        <v>34</v>
      </c>
      <c r="K703" s="1" t="s">
        <v>1219</v>
      </c>
      <c r="L703" s="1" t="str">
        <f t="shared" si="2"/>
        <v>Cleveland</v>
      </c>
      <c r="M703" s="1" t="s">
        <v>304</v>
      </c>
      <c r="N703" s="1" t="str">
        <f t="shared" si="3"/>
        <v>Ohio</v>
      </c>
      <c r="O703" s="1">
        <v>44105.0</v>
      </c>
      <c r="P703" s="1" t="s">
        <v>100</v>
      </c>
      <c r="Q703" s="1" t="s">
        <v>27</v>
      </c>
      <c r="R703" s="3">
        <v>15.072</v>
      </c>
      <c r="S703" s="1">
        <v>4.0</v>
      </c>
      <c r="T703" s="4">
        <v>15.04</v>
      </c>
    </row>
    <row r="704">
      <c r="A704" s="1" t="s">
        <v>1258</v>
      </c>
      <c r="B704" s="2">
        <v>42836.0</v>
      </c>
      <c r="C704" s="2" t="str">
        <f t="shared" si="1"/>
        <v>Apr</v>
      </c>
      <c r="D704" s="6">
        <v>42958.0</v>
      </c>
      <c r="E704" s="1" t="s">
        <v>20</v>
      </c>
      <c r="F704" s="1" t="s">
        <v>742</v>
      </c>
      <c r="G704" s="1" t="s">
        <v>743</v>
      </c>
      <c r="H704" s="1" t="str">
        <f>IFERROR(__xludf.DUMMYFUNCTION("split(G704,"" "")"),"Alejandro")</f>
        <v>Alejandro</v>
      </c>
      <c r="I704" s="1" t="str">
        <f>IFERROR(__xludf.DUMMYFUNCTION("""COMPUTED_VALUE"""),"Savely")</f>
        <v>Savely</v>
      </c>
      <c r="J704" s="1" t="s">
        <v>34</v>
      </c>
      <c r="K704" s="1" t="s">
        <v>62</v>
      </c>
      <c r="L704" s="1" t="str">
        <f t="shared" si="2"/>
        <v>Seattle</v>
      </c>
      <c r="M704" s="1" t="s">
        <v>63</v>
      </c>
      <c r="N704" s="1" t="str">
        <f t="shared" si="3"/>
        <v>Washington</v>
      </c>
      <c r="O704" s="1">
        <v>98103.0</v>
      </c>
      <c r="P704" s="1" t="s">
        <v>37</v>
      </c>
      <c r="Q704" s="1" t="s">
        <v>27</v>
      </c>
      <c r="R704" s="3">
        <v>209.88</v>
      </c>
      <c r="S704" s="1">
        <v>9.0</v>
      </c>
      <c r="T704" s="4">
        <v>209.67</v>
      </c>
    </row>
    <row r="705">
      <c r="A705" s="1" t="s">
        <v>1259</v>
      </c>
      <c r="B705" s="2">
        <v>42617.0</v>
      </c>
      <c r="C705" s="2" t="str">
        <f t="shared" si="1"/>
        <v>Sep</v>
      </c>
      <c r="D705" s="1" t="s">
        <v>1260</v>
      </c>
      <c r="E705" s="1" t="s">
        <v>41</v>
      </c>
      <c r="F705" s="1" t="s">
        <v>1261</v>
      </c>
      <c r="G705" s="1" t="s">
        <v>1262</v>
      </c>
      <c r="H705" s="1" t="str">
        <f>IFERROR(__xludf.DUMMYFUNCTION("split(G705,"" "")"),"Jay")</f>
        <v>Jay</v>
      </c>
      <c r="I705" s="1" t="str">
        <f>IFERROR(__xludf.DUMMYFUNCTION("""COMPUTED_VALUE"""),"Kimmel")</f>
        <v>Kimmel</v>
      </c>
      <c r="J705" s="1" t="s">
        <v>23</v>
      </c>
      <c r="K705" s="1" t="s">
        <v>654</v>
      </c>
      <c r="L705" s="1" t="str">
        <f t="shared" si="2"/>
        <v>Long Beach</v>
      </c>
      <c r="M705" s="1" t="s">
        <v>52</v>
      </c>
      <c r="N705" s="1" t="str">
        <f t="shared" si="3"/>
        <v>California</v>
      </c>
      <c r="O705" s="1">
        <v>90805.0</v>
      </c>
      <c r="P705" s="1" t="s">
        <v>37</v>
      </c>
      <c r="Q705" s="1" t="s">
        <v>27</v>
      </c>
      <c r="R705" s="3">
        <v>369.912</v>
      </c>
      <c r="S705" s="1">
        <v>9.0</v>
      </c>
      <c r="T705" s="4">
        <v>369.25</v>
      </c>
    </row>
    <row r="706">
      <c r="A706" s="1" t="s">
        <v>1263</v>
      </c>
      <c r="B706" s="2">
        <v>42347.0</v>
      </c>
      <c r="C706" s="2" t="str">
        <f t="shared" si="1"/>
        <v>Dec</v>
      </c>
      <c r="D706" s="1" t="s">
        <v>518</v>
      </c>
      <c r="E706" s="1" t="s">
        <v>41</v>
      </c>
      <c r="F706" s="1" t="s">
        <v>1264</v>
      </c>
      <c r="G706" s="1" t="s">
        <v>1265</v>
      </c>
      <c r="H706" s="1" t="str">
        <f>IFERROR(__xludf.DUMMYFUNCTION("split(G706,"" "")"),"Brad")</f>
        <v>Brad</v>
      </c>
      <c r="I706" s="1" t="str">
        <f>IFERROR(__xludf.DUMMYFUNCTION("""COMPUTED_VALUE"""),"Norvell")</f>
        <v>Norvell</v>
      </c>
      <c r="J706" s="1" t="s">
        <v>34</v>
      </c>
      <c r="K706" s="1" t="s">
        <v>1266</v>
      </c>
      <c r="L706" s="1" t="str">
        <f t="shared" si="2"/>
        <v>Cary</v>
      </c>
      <c r="M706" s="1" t="s">
        <v>58</v>
      </c>
      <c r="N706" s="1" t="str">
        <f t="shared" si="3"/>
        <v>North Carolina</v>
      </c>
      <c r="O706" s="1">
        <v>27511.0</v>
      </c>
      <c r="P706" s="1" t="s">
        <v>26</v>
      </c>
      <c r="Q706" s="1" t="s">
        <v>38</v>
      </c>
      <c r="R706" s="3">
        <v>10.368</v>
      </c>
      <c r="S706" s="1">
        <v>2.0</v>
      </c>
      <c r="T706" s="4">
        <v>10.13</v>
      </c>
    </row>
    <row r="707">
      <c r="A707" s="1" t="s">
        <v>1263</v>
      </c>
      <c r="B707" s="2">
        <v>42347.0</v>
      </c>
      <c r="C707" s="2" t="str">
        <f t="shared" si="1"/>
        <v>Dec</v>
      </c>
      <c r="D707" s="1" t="s">
        <v>518</v>
      </c>
      <c r="E707" s="1" t="s">
        <v>41</v>
      </c>
      <c r="F707" s="1" t="s">
        <v>1264</v>
      </c>
      <c r="G707" s="1" t="s">
        <v>1265</v>
      </c>
      <c r="H707" s="1" t="str">
        <f>IFERROR(__xludf.DUMMYFUNCTION("split(G707,"" "")"),"Brad")</f>
        <v>Brad</v>
      </c>
      <c r="I707" s="1" t="str">
        <f>IFERROR(__xludf.DUMMYFUNCTION("""COMPUTED_VALUE"""),"Norvell")</f>
        <v>Norvell</v>
      </c>
      <c r="J707" s="1" t="s">
        <v>34</v>
      </c>
      <c r="K707" s="1" t="s">
        <v>1266</v>
      </c>
      <c r="L707" s="1" t="str">
        <f t="shared" si="2"/>
        <v>Cary</v>
      </c>
      <c r="M707" s="1" t="s">
        <v>58</v>
      </c>
      <c r="N707" s="1" t="str">
        <f t="shared" si="3"/>
        <v>North Carolina</v>
      </c>
      <c r="O707" s="1">
        <v>27511.0</v>
      </c>
      <c r="P707" s="1" t="s">
        <v>26</v>
      </c>
      <c r="Q707" s="1" t="s">
        <v>38</v>
      </c>
      <c r="R707" s="3">
        <v>166.84</v>
      </c>
      <c r="S707" s="1">
        <v>2.0</v>
      </c>
      <c r="T707" s="4">
        <v>166.37</v>
      </c>
    </row>
    <row r="708">
      <c r="A708" s="1" t="s">
        <v>1263</v>
      </c>
      <c r="B708" s="2">
        <v>42347.0</v>
      </c>
      <c r="C708" s="2" t="str">
        <f t="shared" si="1"/>
        <v>Dec</v>
      </c>
      <c r="D708" s="1" t="s">
        <v>518</v>
      </c>
      <c r="E708" s="1" t="s">
        <v>41</v>
      </c>
      <c r="F708" s="1" t="s">
        <v>1264</v>
      </c>
      <c r="G708" s="1" t="s">
        <v>1265</v>
      </c>
      <c r="H708" s="1" t="str">
        <f>IFERROR(__xludf.DUMMYFUNCTION("split(G708,"" "")"),"Brad")</f>
        <v>Brad</v>
      </c>
      <c r="I708" s="1" t="str">
        <f>IFERROR(__xludf.DUMMYFUNCTION("""COMPUTED_VALUE"""),"Norvell")</f>
        <v>Norvell</v>
      </c>
      <c r="J708" s="1" t="s">
        <v>34</v>
      </c>
      <c r="K708" s="1" t="s">
        <v>1266</v>
      </c>
      <c r="L708" s="1" t="str">
        <f t="shared" si="2"/>
        <v>Cary</v>
      </c>
      <c r="M708" s="1" t="s">
        <v>58</v>
      </c>
      <c r="N708" s="1" t="str">
        <f t="shared" si="3"/>
        <v>North Carolina</v>
      </c>
      <c r="O708" s="1">
        <v>27511.0</v>
      </c>
      <c r="P708" s="1" t="s">
        <v>26</v>
      </c>
      <c r="Q708" s="1" t="s">
        <v>51</v>
      </c>
      <c r="R708" s="3">
        <v>15.216</v>
      </c>
      <c r="S708" s="1">
        <v>2.0</v>
      </c>
      <c r="T708" s="4">
        <v>14.91</v>
      </c>
    </row>
    <row r="709">
      <c r="A709" s="1" t="s">
        <v>1267</v>
      </c>
      <c r="B709" s="2">
        <v>42047.0</v>
      </c>
      <c r="C709" s="2" t="str">
        <f t="shared" si="1"/>
        <v>Feb</v>
      </c>
      <c r="D709" s="6">
        <v>42106.0</v>
      </c>
      <c r="E709" s="1" t="s">
        <v>121</v>
      </c>
      <c r="F709" s="1" t="s">
        <v>1268</v>
      </c>
      <c r="G709" s="1" t="s">
        <v>1269</v>
      </c>
      <c r="H709" s="1" t="str">
        <f>IFERROR(__xludf.DUMMYFUNCTION("split(G709,"" "")"),"David")</f>
        <v>David</v>
      </c>
      <c r="I709" s="1" t="str">
        <f>IFERROR(__xludf.DUMMYFUNCTION("""COMPUTED_VALUE"""),"Philippe")</f>
        <v>Philippe</v>
      </c>
      <c r="J709" s="1" t="s">
        <v>23</v>
      </c>
      <c r="K709" s="1" t="s">
        <v>174</v>
      </c>
      <c r="L709" s="1" t="str">
        <f t="shared" si="2"/>
        <v>New York City</v>
      </c>
      <c r="M709" s="1" t="s">
        <v>175</v>
      </c>
      <c r="N709" s="1" t="str">
        <f t="shared" si="3"/>
        <v>New York</v>
      </c>
      <c r="O709" s="1">
        <v>10035.0</v>
      </c>
      <c r="P709" s="1" t="s">
        <v>100</v>
      </c>
      <c r="Q709" s="1" t="s">
        <v>51</v>
      </c>
      <c r="R709" s="3">
        <v>119.96</v>
      </c>
      <c r="S709" s="1">
        <v>1.0</v>
      </c>
      <c r="T709" s="4">
        <v>119.88</v>
      </c>
    </row>
    <row r="710">
      <c r="A710" s="1" t="s">
        <v>1267</v>
      </c>
      <c r="B710" s="2">
        <v>42047.0</v>
      </c>
      <c r="C710" s="2" t="str">
        <f t="shared" si="1"/>
        <v>Feb</v>
      </c>
      <c r="D710" s="6">
        <v>42106.0</v>
      </c>
      <c r="E710" s="1" t="s">
        <v>121</v>
      </c>
      <c r="F710" s="1" t="s">
        <v>1268</v>
      </c>
      <c r="G710" s="1" t="s">
        <v>1269</v>
      </c>
      <c r="H710" s="1" t="str">
        <f>IFERROR(__xludf.DUMMYFUNCTION("split(G710,"" "")"),"David")</f>
        <v>David</v>
      </c>
      <c r="I710" s="1" t="str">
        <f>IFERROR(__xludf.DUMMYFUNCTION("""COMPUTED_VALUE"""),"Philippe")</f>
        <v>Philippe</v>
      </c>
      <c r="J710" s="1" t="s">
        <v>23</v>
      </c>
      <c r="K710" s="1" t="s">
        <v>174</v>
      </c>
      <c r="L710" s="1" t="str">
        <f t="shared" si="2"/>
        <v>New York City</v>
      </c>
      <c r="M710" s="1" t="s">
        <v>175</v>
      </c>
      <c r="N710" s="1" t="str">
        <f t="shared" si="3"/>
        <v>New York</v>
      </c>
      <c r="O710" s="1">
        <v>10035.0</v>
      </c>
      <c r="P710" s="1" t="s">
        <v>100</v>
      </c>
      <c r="Q710" s="1" t="s">
        <v>27</v>
      </c>
      <c r="R710" s="3">
        <v>883.92</v>
      </c>
      <c r="S710" s="1">
        <v>1.0</v>
      </c>
      <c r="T710" s="4">
        <v>883.73</v>
      </c>
    </row>
    <row r="711">
      <c r="A711" s="1" t="s">
        <v>1267</v>
      </c>
      <c r="B711" s="2">
        <v>42047.0</v>
      </c>
      <c r="C711" s="2" t="str">
        <f t="shared" si="1"/>
        <v>Feb</v>
      </c>
      <c r="D711" s="6">
        <v>42106.0</v>
      </c>
      <c r="E711" s="1" t="s">
        <v>121</v>
      </c>
      <c r="F711" s="1" t="s">
        <v>1268</v>
      </c>
      <c r="G711" s="1" t="s">
        <v>1269</v>
      </c>
      <c r="H711" s="1" t="str">
        <f>IFERROR(__xludf.DUMMYFUNCTION("split(G711,"" "")"),"David")</f>
        <v>David</v>
      </c>
      <c r="I711" s="1" t="str">
        <f>IFERROR(__xludf.DUMMYFUNCTION("""COMPUTED_VALUE"""),"Philippe")</f>
        <v>Philippe</v>
      </c>
      <c r="J711" s="1" t="s">
        <v>23</v>
      </c>
      <c r="K711" s="1" t="s">
        <v>174</v>
      </c>
      <c r="L711" s="1" t="str">
        <f t="shared" si="2"/>
        <v>New York City</v>
      </c>
      <c r="M711" s="1" t="s">
        <v>175</v>
      </c>
      <c r="N711" s="1" t="str">
        <f t="shared" si="3"/>
        <v>New York</v>
      </c>
      <c r="O711" s="1">
        <v>10035.0</v>
      </c>
      <c r="P711" s="1" t="s">
        <v>100</v>
      </c>
      <c r="Q711" s="1" t="s">
        <v>38</v>
      </c>
      <c r="R711" s="3">
        <v>46.72</v>
      </c>
      <c r="S711" s="1">
        <v>1.0</v>
      </c>
      <c r="T711" s="4">
        <v>46.15</v>
      </c>
    </row>
    <row r="712">
      <c r="A712" s="1" t="s">
        <v>1270</v>
      </c>
      <c r="B712" s="2">
        <v>42128.0</v>
      </c>
      <c r="C712" s="2" t="str">
        <f t="shared" si="1"/>
        <v>May</v>
      </c>
      <c r="D712" s="6">
        <v>42189.0</v>
      </c>
      <c r="E712" s="1" t="s">
        <v>121</v>
      </c>
      <c r="F712" s="1" t="s">
        <v>1271</v>
      </c>
      <c r="G712" s="1" t="s">
        <v>1272</v>
      </c>
      <c r="H712" s="1" t="str">
        <f>IFERROR(__xludf.DUMMYFUNCTION("split(G712,"" "")"),"Tracy")</f>
        <v>Tracy</v>
      </c>
      <c r="I712" s="1" t="str">
        <f>IFERROR(__xludf.DUMMYFUNCTION("""COMPUTED_VALUE"""),"Hopkins")</f>
        <v>Hopkins</v>
      </c>
      <c r="J712" s="1" t="s">
        <v>68</v>
      </c>
      <c r="K712" s="1" t="s">
        <v>174</v>
      </c>
      <c r="L712" s="1" t="str">
        <f t="shared" si="2"/>
        <v>New York City</v>
      </c>
      <c r="M712" s="1" t="s">
        <v>175</v>
      </c>
      <c r="N712" s="1" t="str">
        <f t="shared" si="3"/>
        <v>New York</v>
      </c>
      <c r="O712" s="1">
        <v>10035.0</v>
      </c>
      <c r="P712" s="1" t="s">
        <v>100</v>
      </c>
      <c r="Q712" s="1" t="s">
        <v>38</v>
      </c>
      <c r="R712" s="3">
        <v>55.48</v>
      </c>
      <c r="S712" s="1">
        <v>1.0</v>
      </c>
      <c r="T712" s="4">
        <v>55.03</v>
      </c>
    </row>
    <row r="713">
      <c r="A713" s="1" t="s">
        <v>1273</v>
      </c>
      <c r="B713" s="2">
        <v>43168.0</v>
      </c>
      <c r="C713" s="2" t="str">
        <f t="shared" si="1"/>
        <v>Mar</v>
      </c>
      <c r="D713" s="6">
        <v>43290.0</v>
      </c>
      <c r="E713" s="1" t="s">
        <v>41</v>
      </c>
      <c r="F713" s="1" t="s">
        <v>1274</v>
      </c>
      <c r="G713" s="1" t="s">
        <v>1275</v>
      </c>
      <c r="H713" s="1" t="str">
        <f>IFERROR(__xludf.DUMMYFUNCTION("split(G713,"" "")"),"Arthur")</f>
        <v>Arthur</v>
      </c>
      <c r="I713" s="1" t="str">
        <f>IFERROR(__xludf.DUMMYFUNCTION("""COMPUTED_VALUE"""),"Prichep")</f>
        <v>Prichep</v>
      </c>
      <c r="J713" s="1" t="s">
        <v>23</v>
      </c>
      <c r="K713" s="1" t="s">
        <v>1276</v>
      </c>
      <c r="L713" s="1" t="str">
        <f t="shared" si="2"/>
        <v>Palm Coast</v>
      </c>
      <c r="M713" s="1" t="s">
        <v>145</v>
      </c>
      <c r="N713" s="1" t="str">
        <f t="shared" si="3"/>
        <v>Florida</v>
      </c>
      <c r="O713" s="1">
        <v>32137.0</v>
      </c>
      <c r="P713" s="1" t="s">
        <v>26</v>
      </c>
      <c r="Q713" s="1" t="s">
        <v>38</v>
      </c>
      <c r="R713" s="3">
        <v>24.448</v>
      </c>
      <c r="S713" s="1">
        <v>3.0</v>
      </c>
      <c r="T713" s="4">
        <v>24.28</v>
      </c>
    </row>
    <row r="714">
      <c r="A714" s="1" t="s">
        <v>1277</v>
      </c>
      <c r="B714" s="2">
        <v>43239.0</v>
      </c>
      <c r="C714" s="2" t="str">
        <f t="shared" si="1"/>
        <v>May</v>
      </c>
      <c r="D714" s="1" t="s">
        <v>1278</v>
      </c>
      <c r="E714" s="1" t="s">
        <v>41</v>
      </c>
      <c r="F714" s="1" t="s">
        <v>1279</v>
      </c>
      <c r="G714" s="1" t="s">
        <v>1280</v>
      </c>
      <c r="H714" s="1" t="str">
        <f>IFERROR(__xludf.DUMMYFUNCTION("split(G714,"" "")"),"Roland")</f>
        <v>Roland</v>
      </c>
      <c r="I714" s="1" t="str">
        <f>IFERROR(__xludf.DUMMYFUNCTION("""COMPUTED_VALUE"""),"Schwarz")</f>
        <v>Schwarz</v>
      </c>
      <c r="J714" s="1" t="s">
        <v>34</v>
      </c>
      <c r="K714" s="1" t="s">
        <v>1281</v>
      </c>
      <c r="L714" s="1" t="str">
        <f t="shared" si="2"/>
        <v>Mount Vernon</v>
      </c>
      <c r="M714" s="1" t="s">
        <v>175</v>
      </c>
      <c r="N714" s="1" t="str">
        <f t="shared" si="3"/>
        <v>New York</v>
      </c>
      <c r="O714" s="1">
        <v>10550.0</v>
      </c>
      <c r="P714" s="1" t="s">
        <v>100</v>
      </c>
      <c r="Q714" s="1" t="s">
        <v>38</v>
      </c>
      <c r="R714" s="3">
        <v>281.34</v>
      </c>
      <c r="S714" s="1">
        <v>1.0</v>
      </c>
      <c r="T714" s="4">
        <v>280.52</v>
      </c>
    </row>
    <row r="715">
      <c r="A715" s="1" t="s">
        <v>1277</v>
      </c>
      <c r="B715" s="2">
        <v>43239.0</v>
      </c>
      <c r="C715" s="2" t="str">
        <f t="shared" si="1"/>
        <v>May</v>
      </c>
      <c r="D715" s="1" t="s">
        <v>1278</v>
      </c>
      <c r="E715" s="1" t="s">
        <v>41</v>
      </c>
      <c r="F715" s="1" t="s">
        <v>1279</v>
      </c>
      <c r="G715" s="1" t="s">
        <v>1280</v>
      </c>
      <c r="H715" s="1" t="str">
        <f>IFERROR(__xludf.DUMMYFUNCTION("split(G715,"" "")"),"Roland")</f>
        <v>Roland</v>
      </c>
      <c r="I715" s="1" t="str">
        <f>IFERROR(__xludf.DUMMYFUNCTION("""COMPUTED_VALUE"""),"Schwarz")</f>
        <v>Schwarz</v>
      </c>
      <c r="J715" s="1" t="s">
        <v>34</v>
      </c>
      <c r="K715" s="1" t="s">
        <v>1281</v>
      </c>
      <c r="L715" s="1" t="str">
        <f t="shared" si="2"/>
        <v>Mount Vernon</v>
      </c>
      <c r="M715" s="1" t="s">
        <v>175</v>
      </c>
      <c r="N715" s="1" t="str">
        <f t="shared" si="3"/>
        <v>New York</v>
      </c>
      <c r="O715" s="1">
        <v>10550.0</v>
      </c>
      <c r="P715" s="1" t="s">
        <v>100</v>
      </c>
      <c r="Q715" s="1" t="s">
        <v>51</v>
      </c>
      <c r="R715" s="3">
        <v>307.98</v>
      </c>
      <c r="S715" s="1">
        <v>1.0</v>
      </c>
      <c r="T715" s="4">
        <v>307.2</v>
      </c>
    </row>
    <row r="716">
      <c r="A716" s="1" t="s">
        <v>1277</v>
      </c>
      <c r="B716" s="2">
        <v>43239.0</v>
      </c>
      <c r="C716" s="2" t="str">
        <f t="shared" si="1"/>
        <v>May</v>
      </c>
      <c r="D716" s="1" t="s">
        <v>1278</v>
      </c>
      <c r="E716" s="1" t="s">
        <v>41</v>
      </c>
      <c r="F716" s="1" t="s">
        <v>1279</v>
      </c>
      <c r="G716" s="1" t="s">
        <v>1280</v>
      </c>
      <c r="H716" s="1" t="str">
        <f>IFERROR(__xludf.DUMMYFUNCTION("split(G716,"" "")"),"Roland")</f>
        <v>Roland</v>
      </c>
      <c r="I716" s="1" t="str">
        <f>IFERROR(__xludf.DUMMYFUNCTION("""COMPUTED_VALUE"""),"Schwarz")</f>
        <v>Schwarz</v>
      </c>
      <c r="J716" s="1" t="s">
        <v>34</v>
      </c>
      <c r="K716" s="1" t="s">
        <v>1281</v>
      </c>
      <c r="L716" s="1" t="str">
        <f t="shared" si="2"/>
        <v>Mount Vernon</v>
      </c>
      <c r="M716" s="1" t="s">
        <v>175</v>
      </c>
      <c r="N716" s="1" t="str">
        <f t="shared" si="3"/>
        <v>New York</v>
      </c>
      <c r="O716" s="1">
        <v>10550.0</v>
      </c>
      <c r="P716" s="1" t="s">
        <v>100</v>
      </c>
      <c r="Q716" s="1" t="s">
        <v>51</v>
      </c>
      <c r="R716" s="3">
        <v>299.97</v>
      </c>
      <c r="S716" s="1">
        <v>1.0</v>
      </c>
      <c r="T716" s="4">
        <v>299.73</v>
      </c>
    </row>
    <row r="717">
      <c r="A717" s="1" t="s">
        <v>1282</v>
      </c>
      <c r="B717" s="2">
        <v>42011.0</v>
      </c>
      <c r="C717" s="2" t="str">
        <f t="shared" si="1"/>
        <v>Jan</v>
      </c>
      <c r="D717" s="6">
        <v>42162.0</v>
      </c>
      <c r="E717" s="1" t="s">
        <v>20</v>
      </c>
      <c r="F717" s="1" t="s">
        <v>553</v>
      </c>
      <c r="G717" s="1" t="s">
        <v>554</v>
      </c>
      <c r="H717" s="1" t="str">
        <f>IFERROR(__xludf.DUMMYFUNCTION("split(G717,"" "")"),"Dorris")</f>
        <v>Dorris</v>
      </c>
      <c r="I717" s="1" t="str">
        <f>IFERROR(__xludf.DUMMYFUNCTION("""COMPUTED_VALUE"""),"liebe")</f>
        <v>liebe</v>
      </c>
      <c r="J717" s="1" t="s">
        <v>34</v>
      </c>
      <c r="K717" s="1" t="s">
        <v>62</v>
      </c>
      <c r="L717" s="1" t="str">
        <f t="shared" si="2"/>
        <v>Seattle</v>
      </c>
      <c r="M717" s="1" t="s">
        <v>63</v>
      </c>
      <c r="N717" s="1" t="str">
        <f t="shared" si="3"/>
        <v>Washington</v>
      </c>
      <c r="O717" s="1">
        <v>98105.0</v>
      </c>
      <c r="P717" s="1" t="s">
        <v>37</v>
      </c>
      <c r="Q717" s="1" t="s">
        <v>38</v>
      </c>
      <c r="R717" s="3">
        <v>19.92</v>
      </c>
      <c r="S717" s="1">
        <v>9.0</v>
      </c>
      <c r="T717" s="4">
        <v>19.36</v>
      </c>
    </row>
    <row r="718">
      <c r="A718" s="1" t="s">
        <v>1283</v>
      </c>
      <c r="B718" s="2">
        <v>42309.0</v>
      </c>
      <c r="C718" s="2" t="str">
        <f t="shared" si="1"/>
        <v>Nov</v>
      </c>
      <c r="D718" s="1" t="s">
        <v>1284</v>
      </c>
      <c r="E718" s="1" t="s">
        <v>121</v>
      </c>
      <c r="F718" s="1" t="s">
        <v>1285</v>
      </c>
      <c r="G718" s="1" t="s">
        <v>1286</v>
      </c>
      <c r="H718" s="1" t="str">
        <f>IFERROR(__xludf.DUMMYFUNCTION("split(G718,"" "")"),"Seth")</f>
        <v>Seth</v>
      </c>
      <c r="I718" s="1" t="str">
        <f>IFERROR(__xludf.DUMMYFUNCTION("""COMPUTED_VALUE"""),"Vernon")</f>
        <v>Vernon</v>
      </c>
      <c r="J718" s="1" t="s">
        <v>23</v>
      </c>
      <c r="K718" s="1" t="s">
        <v>162</v>
      </c>
      <c r="L718" s="1" t="str">
        <f t="shared" si="2"/>
        <v>Dover</v>
      </c>
      <c r="M718" s="1" t="s">
        <v>163</v>
      </c>
      <c r="N718" s="1" t="str">
        <f t="shared" si="3"/>
        <v>Delaware</v>
      </c>
      <c r="O718" s="1">
        <v>19901.0</v>
      </c>
      <c r="P718" s="1" t="s">
        <v>100</v>
      </c>
      <c r="Q718" s="1" t="s">
        <v>27</v>
      </c>
      <c r="R718" s="3">
        <v>9.94</v>
      </c>
      <c r="S718" s="1">
        <v>1.0</v>
      </c>
      <c r="T718" s="4">
        <v>8.98</v>
      </c>
    </row>
    <row r="719">
      <c r="A719" s="1" t="s">
        <v>1287</v>
      </c>
      <c r="B719" s="2">
        <v>43367.0</v>
      </c>
      <c r="C719" s="2" t="str">
        <f t="shared" si="1"/>
        <v>Sep</v>
      </c>
      <c r="D719" s="1" t="s">
        <v>1288</v>
      </c>
      <c r="E719" s="1" t="s">
        <v>41</v>
      </c>
      <c r="F719" s="1" t="s">
        <v>540</v>
      </c>
      <c r="G719" s="1" t="s">
        <v>541</v>
      </c>
      <c r="H719" s="1" t="str">
        <f>IFERROR(__xludf.DUMMYFUNCTION("split(G719,"" "")"),"Kelly")</f>
        <v>Kelly</v>
      </c>
      <c r="I719" s="1" t="str">
        <f>IFERROR(__xludf.DUMMYFUNCTION("""COMPUTED_VALUE"""),"Collister")</f>
        <v>Collister</v>
      </c>
      <c r="J719" s="1" t="s">
        <v>23</v>
      </c>
      <c r="K719" s="1" t="s">
        <v>360</v>
      </c>
      <c r="L719" s="1" t="str">
        <f t="shared" si="2"/>
        <v>Newark</v>
      </c>
      <c r="M719" s="1" t="s">
        <v>304</v>
      </c>
      <c r="N719" s="1" t="str">
        <f t="shared" si="3"/>
        <v>Ohio</v>
      </c>
      <c r="O719" s="1">
        <v>43055.0</v>
      </c>
      <c r="P719" s="1" t="s">
        <v>100</v>
      </c>
      <c r="Q719" s="1" t="s">
        <v>27</v>
      </c>
      <c r="R719" s="3">
        <v>103.056</v>
      </c>
      <c r="S719" s="1">
        <v>4.0</v>
      </c>
      <c r="T719" s="4">
        <v>102.11</v>
      </c>
    </row>
    <row r="720">
      <c r="A720" s="1" t="s">
        <v>1289</v>
      </c>
      <c r="B720" s="2">
        <v>42041.0</v>
      </c>
      <c r="C720" s="2" t="str">
        <f t="shared" si="1"/>
        <v>Feb</v>
      </c>
      <c r="D720" s="6">
        <v>42191.0</v>
      </c>
      <c r="E720" s="1" t="s">
        <v>41</v>
      </c>
      <c r="F720" s="1" t="s">
        <v>1290</v>
      </c>
      <c r="G720" s="1" t="s">
        <v>1291</v>
      </c>
      <c r="H720" s="1" t="str">
        <f>IFERROR(__xludf.DUMMYFUNCTION("split(G720,"" "")"),"Christine")</f>
        <v>Christine</v>
      </c>
      <c r="I720" s="1" t="str">
        <f>IFERROR(__xludf.DUMMYFUNCTION("""COMPUTED_VALUE"""),"Kargatis")</f>
        <v>Kargatis</v>
      </c>
      <c r="J720" s="1" t="s">
        <v>68</v>
      </c>
      <c r="K720" s="1" t="s">
        <v>105</v>
      </c>
      <c r="L720" s="1" t="str">
        <f t="shared" si="2"/>
        <v>Orem</v>
      </c>
      <c r="M720" s="1" t="s">
        <v>83</v>
      </c>
      <c r="N720" s="1" t="str">
        <f t="shared" si="3"/>
        <v>Utah</v>
      </c>
      <c r="O720" s="1">
        <v>84057.0</v>
      </c>
      <c r="P720" s="1" t="s">
        <v>37</v>
      </c>
      <c r="Q720" s="1" t="s">
        <v>38</v>
      </c>
      <c r="R720" s="3">
        <v>59.808</v>
      </c>
      <c r="S720" s="1">
        <v>8.0</v>
      </c>
      <c r="T720" s="4">
        <v>59.78</v>
      </c>
    </row>
    <row r="721">
      <c r="A721" s="1" t="s">
        <v>1289</v>
      </c>
      <c r="B721" s="2">
        <v>42041.0</v>
      </c>
      <c r="C721" s="2" t="str">
        <f t="shared" si="1"/>
        <v>Feb</v>
      </c>
      <c r="D721" s="6">
        <v>42191.0</v>
      </c>
      <c r="E721" s="1" t="s">
        <v>41</v>
      </c>
      <c r="F721" s="1" t="s">
        <v>1290</v>
      </c>
      <c r="G721" s="1" t="s">
        <v>1291</v>
      </c>
      <c r="H721" s="1" t="str">
        <f>IFERROR(__xludf.DUMMYFUNCTION("split(G721,"" "")"),"Christine")</f>
        <v>Christine</v>
      </c>
      <c r="I721" s="1" t="str">
        <f>IFERROR(__xludf.DUMMYFUNCTION("""COMPUTED_VALUE"""),"Kargatis")</f>
        <v>Kargatis</v>
      </c>
      <c r="J721" s="1" t="s">
        <v>68</v>
      </c>
      <c r="K721" s="1" t="s">
        <v>105</v>
      </c>
      <c r="L721" s="1" t="str">
        <f t="shared" si="2"/>
        <v>Orem</v>
      </c>
      <c r="M721" s="1" t="s">
        <v>83</v>
      </c>
      <c r="N721" s="1" t="str">
        <f t="shared" si="3"/>
        <v>Utah</v>
      </c>
      <c r="O721" s="1">
        <v>84057.0</v>
      </c>
      <c r="P721" s="1" t="s">
        <v>37</v>
      </c>
      <c r="Q721" s="1" t="s">
        <v>27</v>
      </c>
      <c r="R721" s="3">
        <v>73.32</v>
      </c>
      <c r="S721" s="1">
        <v>8.0</v>
      </c>
      <c r="T721" s="4">
        <v>72.32</v>
      </c>
    </row>
    <row r="722">
      <c r="A722" s="1" t="s">
        <v>1292</v>
      </c>
      <c r="B722" s="2">
        <v>42779.0</v>
      </c>
      <c r="C722" s="2" t="str">
        <f t="shared" si="1"/>
        <v>Feb</v>
      </c>
      <c r="D722" s="1" t="s">
        <v>1293</v>
      </c>
      <c r="E722" s="1" t="s">
        <v>41</v>
      </c>
      <c r="F722" s="1" t="s">
        <v>1294</v>
      </c>
      <c r="G722" s="1" t="s">
        <v>1295</v>
      </c>
      <c r="H722" s="1" t="str">
        <f>IFERROR(__xludf.DUMMYFUNCTION("split(G722,"" "")"),"Ross")</f>
        <v>Ross</v>
      </c>
      <c r="I722" s="1" t="str">
        <f>IFERROR(__xludf.DUMMYFUNCTION("""COMPUTED_VALUE"""),"DeVincentis")</f>
        <v>DeVincentis</v>
      </c>
      <c r="J722" s="1" t="s">
        <v>68</v>
      </c>
      <c r="K722" s="1" t="s">
        <v>35</v>
      </c>
      <c r="L722" s="1" t="str">
        <f t="shared" si="2"/>
        <v>Los Angeles</v>
      </c>
      <c r="M722" s="1" t="s">
        <v>52</v>
      </c>
      <c r="N722" s="1" t="str">
        <f t="shared" si="3"/>
        <v>California</v>
      </c>
      <c r="O722" s="1">
        <v>90045.0</v>
      </c>
      <c r="P722" s="1" t="s">
        <v>37</v>
      </c>
      <c r="Q722" s="1" t="s">
        <v>38</v>
      </c>
      <c r="R722" s="3">
        <v>146.82</v>
      </c>
      <c r="S722" s="1">
        <v>9.0</v>
      </c>
      <c r="T722" s="4">
        <v>146.01</v>
      </c>
    </row>
    <row r="723">
      <c r="A723" s="1" t="s">
        <v>1296</v>
      </c>
      <c r="B723" s="2">
        <v>43084.0</v>
      </c>
      <c r="C723" s="2" t="str">
        <f t="shared" si="1"/>
        <v>Dec</v>
      </c>
      <c r="D723" s="1" t="s">
        <v>1297</v>
      </c>
      <c r="E723" s="1" t="s">
        <v>41</v>
      </c>
      <c r="F723" s="1" t="s">
        <v>820</v>
      </c>
      <c r="G723" s="1" t="s">
        <v>821</v>
      </c>
      <c r="H723" s="1" t="str">
        <f>IFERROR(__xludf.DUMMYFUNCTION("split(G723,"" "")"),"Michael")</f>
        <v>Michael</v>
      </c>
      <c r="I723" s="1" t="str">
        <f>IFERROR(__xludf.DUMMYFUNCTION("""COMPUTED_VALUE"""),"Paige")</f>
        <v>Paige</v>
      </c>
      <c r="J723" s="1" t="s">
        <v>34</v>
      </c>
      <c r="K723" s="1" t="s">
        <v>513</v>
      </c>
      <c r="L723" s="1" t="str">
        <f t="shared" si="2"/>
        <v>Detroit</v>
      </c>
      <c r="M723" s="1" t="s">
        <v>157</v>
      </c>
      <c r="N723" s="1" t="str">
        <f t="shared" si="3"/>
        <v>Michigan</v>
      </c>
      <c r="O723" s="1">
        <v>48205.0</v>
      </c>
      <c r="P723" s="1" t="s">
        <v>71</v>
      </c>
      <c r="Q723" s="1" t="s">
        <v>27</v>
      </c>
      <c r="R723" s="3">
        <v>1652.94</v>
      </c>
      <c r="S723" s="1">
        <v>4.0</v>
      </c>
      <c r="T723" s="4">
        <v>1652.21</v>
      </c>
    </row>
    <row r="724">
      <c r="A724" s="1" t="s">
        <v>1296</v>
      </c>
      <c r="B724" s="2">
        <v>43084.0</v>
      </c>
      <c r="C724" s="2" t="str">
        <f t="shared" si="1"/>
        <v>Dec</v>
      </c>
      <c r="D724" s="1" t="s">
        <v>1297</v>
      </c>
      <c r="E724" s="1" t="s">
        <v>41</v>
      </c>
      <c r="F724" s="1" t="s">
        <v>820</v>
      </c>
      <c r="G724" s="1" t="s">
        <v>821</v>
      </c>
      <c r="H724" s="1" t="str">
        <f>IFERROR(__xludf.DUMMYFUNCTION("split(G724,"" "")"),"Michael")</f>
        <v>Michael</v>
      </c>
      <c r="I724" s="1" t="str">
        <f>IFERROR(__xludf.DUMMYFUNCTION("""COMPUTED_VALUE"""),"Paige")</f>
        <v>Paige</v>
      </c>
      <c r="J724" s="1" t="s">
        <v>34</v>
      </c>
      <c r="K724" s="1" t="s">
        <v>513</v>
      </c>
      <c r="L724" s="1" t="str">
        <f t="shared" si="2"/>
        <v>Detroit</v>
      </c>
      <c r="M724" s="1" t="s">
        <v>157</v>
      </c>
      <c r="N724" s="1" t="str">
        <f t="shared" si="3"/>
        <v>Michigan</v>
      </c>
      <c r="O724" s="1">
        <v>48205.0</v>
      </c>
      <c r="P724" s="1" t="s">
        <v>71</v>
      </c>
      <c r="Q724" s="1" t="s">
        <v>38</v>
      </c>
      <c r="R724" s="3">
        <v>296.37</v>
      </c>
      <c r="S724" s="1">
        <v>4.0</v>
      </c>
      <c r="T724" s="4">
        <v>296.27</v>
      </c>
    </row>
    <row r="725">
      <c r="A725" s="1" t="s">
        <v>1298</v>
      </c>
      <c r="B725" s="2">
        <v>42195.0</v>
      </c>
      <c r="C725" s="2" t="str">
        <f t="shared" si="1"/>
        <v>Jul</v>
      </c>
      <c r="D725" s="1" t="s">
        <v>1299</v>
      </c>
      <c r="E725" s="1" t="s">
        <v>41</v>
      </c>
      <c r="F725" s="1" t="s">
        <v>1300</v>
      </c>
      <c r="G725" s="1" t="s">
        <v>1301</v>
      </c>
      <c r="H725" s="1" t="str">
        <f>IFERROR(__xludf.DUMMYFUNCTION("split(G725,"" "")"),"Mathew")</f>
        <v>Mathew</v>
      </c>
      <c r="I725" s="1" t="str">
        <f>IFERROR(__xludf.DUMMYFUNCTION("""COMPUTED_VALUE"""),"Reese")</f>
        <v>Reese</v>
      </c>
      <c r="J725" s="1" t="s">
        <v>68</v>
      </c>
      <c r="K725" s="1" t="s">
        <v>98</v>
      </c>
      <c r="L725" s="1" t="str">
        <f t="shared" si="2"/>
        <v>Philadelphia</v>
      </c>
      <c r="M725" s="1" t="s">
        <v>99</v>
      </c>
      <c r="N725" s="1" t="str">
        <f t="shared" si="3"/>
        <v>Pennsylvania</v>
      </c>
      <c r="O725" s="1">
        <v>19140.0</v>
      </c>
      <c r="P725" s="1" t="s">
        <v>100</v>
      </c>
      <c r="Q725" s="1" t="s">
        <v>27</v>
      </c>
      <c r="R725" s="3">
        <v>129.92</v>
      </c>
      <c r="S725" s="1">
        <v>1.0</v>
      </c>
      <c r="T725" s="4">
        <v>129.89</v>
      </c>
    </row>
    <row r="726">
      <c r="A726" s="1" t="s">
        <v>1302</v>
      </c>
      <c r="B726" s="2">
        <v>42923.0</v>
      </c>
      <c r="C726" s="2" t="str">
        <f t="shared" si="1"/>
        <v>Jul</v>
      </c>
      <c r="D726" s="6">
        <v>43076.0</v>
      </c>
      <c r="E726" s="1" t="s">
        <v>41</v>
      </c>
      <c r="F726" s="1" t="s">
        <v>1303</v>
      </c>
      <c r="G726" s="1" t="s">
        <v>1304</v>
      </c>
      <c r="H726" s="1" t="str">
        <f>IFERROR(__xludf.DUMMYFUNCTION("split(G726,"" "")"),"Steve")</f>
        <v>Steve</v>
      </c>
      <c r="I726" s="1" t="str">
        <f>IFERROR(__xludf.DUMMYFUNCTION("""COMPUTED_VALUE"""),"Chapman")</f>
        <v>Chapman</v>
      </c>
      <c r="J726" s="1" t="s">
        <v>34</v>
      </c>
      <c r="K726" s="1" t="s">
        <v>1305</v>
      </c>
      <c r="L726" s="1" t="str">
        <f t="shared" si="2"/>
        <v>Hialeah</v>
      </c>
      <c r="M726" s="1" t="s">
        <v>145</v>
      </c>
      <c r="N726" s="1" t="str">
        <f t="shared" si="3"/>
        <v>Florida</v>
      </c>
      <c r="O726" s="1">
        <v>33012.0</v>
      </c>
      <c r="P726" s="1" t="s">
        <v>26</v>
      </c>
      <c r="Q726" s="1" t="s">
        <v>38</v>
      </c>
      <c r="R726" s="3">
        <v>45.584</v>
      </c>
      <c r="S726" s="1">
        <v>3.0</v>
      </c>
      <c r="T726" s="4">
        <v>45.23</v>
      </c>
    </row>
    <row r="727">
      <c r="A727" s="1" t="s">
        <v>1306</v>
      </c>
      <c r="B727" s="2">
        <v>43359.0</v>
      </c>
      <c r="C727" s="2" t="str">
        <f t="shared" si="1"/>
        <v>Sep</v>
      </c>
      <c r="D727" s="1" t="s">
        <v>1307</v>
      </c>
      <c r="E727" s="1" t="s">
        <v>41</v>
      </c>
      <c r="F727" s="1" t="s">
        <v>1308</v>
      </c>
      <c r="G727" s="1" t="s">
        <v>1309</v>
      </c>
      <c r="H727" s="1" t="str">
        <f>IFERROR(__xludf.DUMMYFUNCTION("split(G727,"" "")"),"Jay")</f>
        <v>Jay</v>
      </c>
      <c r="I727" s="1" t="str">
        <f>IFERROR(__xludf.DUMMYFUNCTION("""COMPUTED_VALUE"""),"Fein")</f>
        <v>Fein</v>
      </c>
      <c r="J727" s="1" t="s">
        <v>23</v>
      </c>
      <c r="K727" s="1" t="s">
        <v>685</v>
      </c>
      <c r="L727" s="1" t="str">
        <f t="shared" si="2"/>
        <v>Austin</v>
      </c>
      <c r="M727" s="1" t="s">
        <v>70</v>
      </c>
      <c r="N727" s="1" t="str">
        <f t="shared" si="3"/>
        <v>Texas</v>
      </c>
      <c r="O727" s="1">
        <v>78745.0</v>
      </c>
      <c r="P727" s="1" t="s">
        <v>71</v>
      </c>
      <c r="Q727" s="1" t="s">
        <v>38</v>
      </c>
      <c r="R727" s="3">
        <v>17.568</v>
      </c>
      <c r="S727" s="1">
        <v>7.0</v>
      </c>
      <c r="T727" s="4">
        <v>17.21</v>
      </c>
    </row>
    <row r="728">
      <c r="A728" s="1" t="s">
        <v>1306</v>
      </c>
      <c r="B728" s="2">
        <v>43359.0</v>
      </c>
      <c r="C728" s="2" t="str">
        <f t="shared" si="1"/>
        <v>Sep</v>
      </c>
      <c r="D728" s="1" t="s">
        <v>1307</v>
      </c>
      <c r="E728" s="1" t="s">
        <v>41</v>
      </c>
      <c r="F728" s="1" t="s">
        <v>1308</v>
      </c>
      <c r="G728" s="1" t="s">
        <v>1309</v>
      </c>
      <c r="H728" s="1" t="str">
        <f>IFERROR(__xludf.DUMMYFUNCTION("split(G728,"" "")"),"Jay")</f>
        <v>Jay</v>
      </c>
      <c r="I728" s="1" t="str">
        <f>IFERROR(__xludf.DUMMYFUNCTION("""COMPUTED_VALUE"""),"Fein")</f>
        <v>Fein</v>
      </c>
      <c r="J728" s="1" t="s">
        <v>23</v>
      </c>
      <c r="K728" s="1" t="s">
        <v>685</v>
      </c>
      <c r="L728" s="1" t="str">
        <f t="shared" si="2"/>
        <v>Austin</v>
      </c>
      <c r="M728" s="1" t="s">
        <v>70</v>
      </c>
      <c r="N728" s="1" t="str">
        <f t="shared" si="3"/>
        <v>Texas</v>
      </c>
      <c r="O728" s="1">
        <v>78745.0</v>
      </c>
      <c r="P728" s="1" t="s">
        <v>71</v>
      </c>
      <c r="Q728" s="1" t="s">
        <v>51</v>
      </c>
      <c r="R728" s="3">
        <v>55.992</v>
      </c>
      <c r="S728" s="1">
        <v>7.0</v>
      </c>
      <c r="T728" s="4">
        <v>55.22</v>
      </c>
    </row>
    <row r="729">
      <c r="A729" s="1" t="s">
        <v>1310</v>
      </c>
      <c r="B729" s="2">
        <v>42806.0</v>
      </c>
      <c r="C729" s="2" t="str">
        <f t="shared" si="1"/>
        <v>Mar</v>
      </c>
      <c r="D729" s="6">
        <v>42898.0</v>
      </c>
      <c r="E729" s="1" t="s">
        <v>121</v>
      </c>
      <c r="F729" s="1" t="s">
        <v>1311</v>
      </c>
      <c r="G729" s="1" t="s">
        <v>1312</v>
      </c>
      <c r="H729" s="1" t="str">
        <f>IFERROR(__xludf.DUMMYFUNCTION("split(G729,"" "")"),"Emily")</f>
        <v>Emily</v>
      </c>
      <c r="I729" s="1" t="str">
        <f>IFERROR(__xludf.DUMMYFUNCTION("""COMPUTED_VALUE"""),"Grady")</f>
        <v>Grady</v>
      </c>
      <c r="J729" s="1" t="s">
        <v>23</v>
      </c>
      <c r="K729" s="1" t="s">
        <v>1313</v>
      </c>
      <c r="L729" s="1" t="str">
        <f t="shared" si="2"/>
        <v>Oceanside</v>
      </c>
      <c r="M729" s="1" t="s">
        <v>175</v>
      </c>
      <c r="N729" s="1" t="str">
        <f t="shared" si="3"/>
        <v>New York</v>
      </c>
      <c r="O729" s="1">
        <v>11572.0</v>
      </c>
      <c r="P729" s="1" t="s">
        <v>100</v>
      </c>
      <c r="Q729" s="1" t="s">
        <v>38</v>
      </c>
      <c r="R729" s="3">
        <v>182.72</v>
      </c>
      <c r="S729" s="1">
        <v>1.0</v>
      </c>
      <c r="T729" s="4">
        <v>182.7</v>
      </c>
    </row>
    <row r="730">
      <c r="A730" s="1" t="s">
        <v>1310</v>
      </c>
      <c r="B730" s="2">
        <v>42806.0</v>
      </c>
      <c r="C730" s="2" t="str">
        <f t="shared" si="1"/>
        <v>Mar</v>
      </c>
      <c r="D730" s="6">
        <v>42898.0</v>
      </c>
      <c r="E730" s="1" t="s">
        <v>121</v>
      </c>
      <c r="F730" s="1" t="s">
        <v>1311</v>
      </c>
      <c r="G730" s="1" t="s">
        <v>1312</v>
      </c>
      <c r="H730" s="1" t="str">
        <f>IFERROR(__xludf.DUMMYFUNCTION("split(G730,"" "")"),"Emily")</f>
        <v>Emily</v>
      </c>
      <c r="I730" s="1" t="str">
        <f>IFERROR(__xludf.DUMMYFUNCTION("""COMPUTED_VALUE"""),"Grady")</f>
        <v>Grady</v>
      </c>
      <c r="J730" s="1" t="s">
        <v>23</v>
      </c>
      <c r="K730" s="1" t="s">
        <v>1313</v>
      </c>
      <c r="L730" s="1" t="str">
        <f t="shared" si="2"/>
        <v>Oceanside</v>
      </c>
      <c r="M730" s="1" t="s">
        <v>175</v>
      </c>
      <c r="N730" s="1" t="str">
        <f t="shared" si="3"/>
        <v>New York</v>
      </c>
      <c r="O730" s="1">
        <v>11572.0</v>
      </c>
      <c r="P730" s="1" t="s">
        <v>100</v>
      </c>
      <c r="Q730" s="1" t="s">
        <v>27</v>
      </c>
      <c r="R730" s="3">
        <v>400.032</v>
      </c>
      <c r="S730" s="1">
        <v>1.0</v>
      </c>
      <c r="T730" s="4">
        <v>399.48</v>
      </c>
    </row>
    <row r="731">
      <c r="A731" s="1" t="s">
        <v>1310</v>
      </c>
      <c r="B731" s="2">
        <v>42806.0</v>
      </c>
      <c r="C731" s="2" t="str">
        <f t="shared" si="1"/>
        <v>Mar</v>
      </c>
      <c r="D731" s="6">
        <v>42898.0</v>
      </c>
      <c r="E731" s="1" t="s">
        <v>121</v>
      </c>
      <c r="F731" s="1" t="s">
        <v>1311</v>
      </c>
      <c r="G731" s="1" t="s">
        <v>1312</v>
      </c>
      <c r="H731" s="1" t="str">
        <f>IFERROR(__xludf.DUMMYFUNCTION("split(G731,"" "")"),"Emily")</f>
        <v>Emily</v>
      </c>
      <c r="I731" s="1" t="str">
        <f>IFERROR(__xludf.DUMMYFUNCTION("""COMPUTED_VALUE"""),"Grady")</f>
        <v>Grady</v>
      </c>
      <c r="J731" s="1" t="s">
        <v>23</v>
      </c>
      <c r="K731" s="1" t="s">
        <v>1313</v>
      </c>
      <c r="L731" s="1" t="str">
        <f t="shared" si="2"/>
        <v>Oceanside</v>
      </c>
      <c r="M731" s="1" t="s">
        <v>175</v>
      </c>
      <c r="N731" s="1" t="str">
        <f t="shared" si="3"/>
        <v>New York</v>
      </c>
      <c r="O731" s="1">
        <v>11572.0</v>
      </c>
      <c r="P731" s="1" t="s">
        <v>100</v>
      </c>
      <c r="Q731" s="1" t="s">
        <v>38</v>
      </c>
      <c r="R731" s="3">
        <v>33.63</v>
      </c>
      <c r="S731" s="1">
        <v>1.0</v>
      </c>
      <c r="T731" s="4">
        <v>33.16</v>
      </c>
    </row>
    <row r="732">
      <c r="A732" s="1" t="s">
        <v>1310</v>
      </c>
      <c r="B732" s="2">
        <v>42806.0</v>
      </c>
      <c r="C732" s="2" t="str">
        <f t="shared" si="1"/>
        <v>Mar</v>
      </c>
      <c r="D732" s="6">
        <v>42898.0</v>
      </c>
      <c r="E732" s="1" t="s">
        <v>121</v>
      </c>
      <c r="F732" s="1" t="s">
        <v>1311</v>
      </c>
      <c r="G732" s="1" t="s">
        <v>1312</v>
      </c>
      <c r="H732" s="1" t="str">
        <f>IFERROR(__xludf.DUMMYFUNCTION("split(G732,"" "")"),"Emily")</f>
        <v>Emily</v>
      </c>
      <c r="I732" s="1" t="str">
        <f>IFERROR(__xludf.DUMMYFUNCTION("""COMPUTED_VALUE"""),"Grady")</f>
        <v>Grady</v>
      </c>
      <c r="J732" s="1" t="s">
        <v>23</v>
      </c>
      <c r="K732" s="1" t="s">
        <v>1313</v>
      </c>
      <c r="L732" s="1" t="str">
        <f t="shared" si="2"/>
        <v>Oceanside</v>
      </c>
      <c r="M732" s="1" t="s">
        <v>175</v>
      </c>
      <c r="N732" s="1" t="str">
        <f t="shared" si="3"/>
        <v>New York</v>
      </c>
      <c r="O732" s="1">
        <v>11572.0</v>
      </c>
      <c r="P732" s="1" t="s">
        <v>100</v>
      </c>
      <c r="Q732" s="1" t="s">
        <v>27</v>
      </c>
      <c r="R732" s="3">
        <v>542.646</v>
      </c>
      <c r="S732" s="1">
        <v>1.0</v>
      </c>
      <c r="T732" s="4">
        <v>542.23</v>
      </c>
    </row>
    <row r="733">
      <c r="A733" s="1" t="s">
        <v>1310</v>
      </c>
      <c r="B733" s="2">
        <v>42806.0</v>
      </c>
      <c r="C733" s="2" t="str">
        <f t="shared" si="1"/>
        <v>Mar</v>
      </c>
      <c r="D733" s="6">
        <v>42898.0</v>
      </c>
      <c r="E733" s="1" t="s">
        <v>121</v>
      </c>
      <c r="F733" s="1" t="s">
        <v>1311</v>
      </c>
      <c r="G733" s="1" t="s">
        <v>1312</v>
      </c>
      <c r="H733" s="1" t="str">
        <f>IFERROR(__xludf.DUMMYFUNCTION("split(G733,"" "")"),"Emily")</f>
        <v>Emily</v>
      </c>
      <c r="I733" s="1" t="str">
        <f>IFERROR(__xludf.DUMMYFUNCTION("""COMPUTED_VALUE"""),"Grady")</f>
        <v>Grady</v>
      </c>
      <c r="J733" s="1" t="s">
        <v>23</v>
      </c>
      <c r="K733" s="1" t="s">
        <v>1313</v>
      </c>
      <c r="L733" s="1" t="str">
        <f t="shared" si="2"/>
        <v>Oceanside</v>
      </c>
      <c r="M733" s="1" t="s">
        <v>175</v>
      </c>
      <c r="N733" s="1" t="str">
        <f t="shared" si="3"/>
        <v>New York</v>
      </c>
      <c r="O733" s="1">
        <v>11572.0</v>
      </c>
      <c r="P733" s="1" t="s">
        <v>100</v>
      </c>
      <c r="Q733" s="1" t="s">
        <v>38</v>
      </c>
      <c r="R733" s="3">
        <v>6.3</v>
      </c>
      <c r="S733" s="1">
        <v>1.0</v>
      </c>
      <c r="T733" s="4">
        <v>5.34</v>
      </c>
    </row>
    <row r="734">
      <c r="A734" s="1" t="s">
        <v>1314</v>
      </c>
      <c r="B734" s="2">
        <v>43121.0</v>
      </c>
      <c r="C734" s="2" t="str">
        <f t="shared" si="1"/>
        <v>Jan</v>
      </c>
      <c r="D734" s="1" t="s">
        <v>979</v>
      </c>
      <c r="E734" s="1" t="s">
        <v>41</v>
      </c>
      <c r="F734" s="1" t="s">
        <v>1315</v>
      </c>
      <c r="G734" s="1" t="s">
        <v>1316</v>
      </c>
      <c r="H734" s="1" t="str">
        <f>IFERROR(__xludf.DUMMYFUNCTION("split(G734,"" "")"),"Darrin")</f>
        <v>Darrin</v>
      </c>
      <c r="I734" s="1" t="str">
        <f>IFERROR(__xludf.DUMMYFUNCTION("""COMPUTED_VALUE"""),"Sayre")</f>
        <v>Sayre</v>
      </c>
      <c r="J734" s="1" t="s">
        <v>68</v>
      </c>
      <c r="K734" s="1" t="s">
        <v>62</v>
      </c>
      <c r="L734" s="1" t="str">
        <f t="shared" si="2"/>
        <v>Seattle</v>
      </c>
      <c r="M734" s="1" t="s">
        <v>63</v>
      </c>
      <c r="N734" s="1" t="str">
        <f t="shared" si="3"/>
        <v>Washington</v>
      </c>
      <c r="O734" s="1">
        <v>98115.0</v>
      </c>
      <c r="P734" s="1" t="s">
        <v>37</v>
      </c>
      <c r="Q734" s="1" t="s">
        <v>38</v>
      </c>
      <c r="R734" s="3">
        <v>242.94</v>
      </c>
      <c r="S734" s="1">
        <v>9.0</v>
      </c>
      <c r="T734" s="4">
        <v>242.41</v>
      </c>
    </row>
    <row r="735">
      <c r="A735" s="1" t="s">
        <v>1314</v>
      </c>
      <c r="B735" s="2">
        <v>43121.0</v>
      </c>
      <c r="C735" s="2" t="str">
        <f t="shared" si="1"/>
        <v>Jan</v>
      </c>
      <c r="D735" s="1" t="s">
        <v>979</v>
      </c>
      <c r="E735" s="1" t="s">
        <v>41</v>
      </c>
      <c r="F735" s="1" t="s">
        <v>1315</v>
      </c>
      <c r="G735" s="1" t="s">
        <v>1316</v>
      </c>
      <c r="H735" s="1" t="str">
        <f>IFERROR(__xludf.DUMMYFUNCTION("split(G735,"" "")"),"Darrin")</f>
        <v>Darrin</v>
      </c>
      <c r="I735" s="1" t="str">
        <f>IFERROR(__xludf.DUMMYFUNCTION("""COMPUTED_VALUE"""),"Sayre")</f>
        <v>Sayre</v>
      </c>
      <c r="J735" s="1" t="s">
        <v>68</v>
      </c>
      <c r="K735" s="1" t="s">
        <v>62</v>
      </c>
      <c r="L735" s="1" t="str">
        <f t="shared" si="2"/>
        <v>Seattle</v>
      </c>
      <c r="M735" s="1" t="s">
        <v>63</v>
      </c>
      <c r="N735" s="1" t="str">
        <f t="shared" si="3"/>
        <v>Washington</v>
      </c>
      <c r="O735" s="1">
        <v>98115.0</v>
      </c>
      <c r="P735" s="1" t="s">
        <v>37</v>
      </c>
      <c r="Q735" s="1" t="s">
        <v>51</v>
      </c>
      <c r="R735" s="3">
        <v>179.97</v>
      </c>
      <c r="S735" s="1">
        <v>9.0</v>
      </c>
      <c r="T735" s="4">
        <v>179.08</v>
      </c>
    </row>
    <row r="736">
      <c r="A736" s="1" t="s">
        <v>1314</v>
      </c>
      <c r="B736" s="2">
        <v>43121.0</v>
      </c>
      <c r="C736" s="2" t="str">
        <f t="shared" si="1"/>
        <v>Jan</v>
      </c>
      <c r="D736" s="1" t="s">
        <v>979</v>
      </c>
      <c r="E736" s="1" t="s">
        <v>41</v>
      </c>
      <c r="F736" s="1" t="s">
        <v>1315</v>
      </c>
      <c r="G736" s="1" t="s">
        <v>1316</v>
      </c>
      <c r="H736" s="1" t="str">
        <f>IFERROR(__xludf.DUMMYFUNCTION("split(G736,"" "")"),"Darrin")</f>
        <v>Darrin</v>
      </c>
      <c r="I736" s="1" t="str">
        <f>IFERROR(__xludf.DUMMYFUNCTION("""COMPUTED_VALUE"""),"Sayre")</f>
        <v>Sayre</v>
      </c>
      <c r="J736" s="1" t="s">
        <v>68</v>
      </c>
      <c r="K736" s="1" t="s">
        <v>62</v>
      </c>
      <c r="L736" s="1" t="str">
        <f t="shared" si="2"/>
        <v>Seattle</v>
      </c>
      <c r="M736" s="1" t="s">
        <v>63</v>
      </c>
      <c r="N736" s="1" t="str">
        <f t="shared" si="3"/>
        <v>Washington</v>
      </c>
      <c r="O736" s="1">
        <v>98115.0</v>
      </c>
      <c r="P736" s="1" t="s">
        <v>37</v>
      </c>
      <c r="Q736" s="1" t="s">
        <v>38</v>
      </c>
      <c r="R736" s="3">
        <v>99.696</v>
      </c>
      <c r="S736" s="1">
        <v>9.0</v>
      </c>
      <c r="T736" s="4">
        <v>99.66</v>
      </c>
    </row>
    <row r="737">
      <c r="A737" s="1" t="s">
        <v>1314</v>
      </c>
      <c r="B737" s="2">
        <v>43121.0</v>
      </c>
      <c r="C737" s="2" t="str">
        <f t="shared" si="1"/>
        <v>Jan</v>
      </c>
      <c r="D737" s="1" t="s">
        <v>979</v>
      </c>
      <c r="E737" s="1" t="s">
        <v>41</v>
      </c>
      <c r="F737" s="1" t="s">
        <v>1315</v>
      </c>
      <c r="G737" s="1" t="s">
        <v>1316</v>
      </c>
      <c r="H737" s="1" t="str">
        <f>IFERROR(__xludf.DUMMYFUNCTION("split(G737,"" "")"),"Darrin")</f>
        <v>Darrin</v>
      </c>
      <c r="I737" s="1" t="str">
        <f>IFERROR(__xludf.DUMMYFUNCTION("""COMPUTED_VALUE"""),"Sayre")</f>
        <v>Sayre</v>
      </c>
      <c r="J737" s="1" t="s">
        <v>68</v>
      </c>
      <c r="K737" s="1" t="s">
        <v>62</v>
      </c>
      <c r="L737" s="1" t="str">
        <f t="shared" si="2"/>
        <v>Seattle</v>
      </c>
      <c r="M737" s="1" t="s">
        <v>63</v>
      </c>
      <c r="N737" s="1" t="str">
        <f t="shared" si="3"/>
        <v>Washington</v>
      </c>
      <c r="O737" s="1">
        <v>98115.0</v>
      </c>
      <c r="P737" s="1" t="s">
        <v>37</v>
      </c>
      <c r="Q737" s="1" t="s">
        <v>38</v>
      </c>
      <c r="R737" s="3">
        <v>27.936</v>
      </c>
      <c r="S737" s="1">
        <v>9.0</v>
      </c>
      <c r="T737" s="4">
        <v>27.72</v>
      </c>
    </row>
    <row r="738">
      <c r="A738" s="1" t="s">
        <v>1314</v>
      </c>
      <c r="B738" s="2">
        <v>43121.0</v>
      </c>
      <c r="C738" s="2" t="str">
        <f t="shared" si="1"/>
        <v>Jan</v>
      </c>
      <c r="D738" s="1" t="s">
        <v>979</v>
      </c>
      <c r="E738" s="1" t="s">
        <v>41</v>
      </c>
      <c r="F738" s="1" t="s">
        <v>1315</v>
      </c>
      <c r="G738" s="1" t="s">
        <v>1316</v>
      </c>
      <c r="H738" s="1" t="str">
        <f>IFERROR(__xludf.DUMMYFUNCTION("split(G738,"" "")"),"Darrin")</f>
        <v>Darrin</v>
      </c>
      <c r="I738" s="1" t="str">
        <f>IFERROR(__xludf.DUMMYFUNCTION("""COMPUTED_VALUE"""),"Sayre")</f>
        <v>Sayre</v>
      </c>
      <c r="J738" s="1" t="s">
        <v>68</v>
      </c>
      <c r="K738" s="1" t="s">
        <v>62</v>
      </c>
      <c r="L738" s="1" t="str">
        <f t="shared" si="2"/>
        <v>Seattle</v>
      </c>
      <c r="M738" s="1" t="s">
        <v>63</v>
      </c>
      <c r="N738" s="1" t="str">
        <f t="shared" si="3"/>
        <v>Washington</v>
      </c>
      <c r="O738" s="1">
        <v>98115.0</v>
      </c>
      <c r="P738" s="1" t="s">
        <v>37</v>
      </c>
      <c r="Q738" s="1" t="s">
        <v>27</v>
      </c>
      <c r="R738" s="3">
        <v>84.98</v>
      </c>
      <c r="S738" s="1">
        <v>9.0</v>
      </c>
      <c r="T738" s="4">
        <v>84.26</v>
      </c>
    </row>
    <row r="739">
      <c r="A739" s="1" t="s">
        <v>1314</v>
      </c>
      <c r="B739" s="2">
        <v>43121.0</v>
      </c>
      <c r="C739" s="2" t="str">
        <f t="shared" si="1"/>
        <v>Jan</v>
      </c>
      <c r="D739" s="1" t="s">
        <v>979</v>
      </c>
      <c r="E739" s="1" t="s">
        <v>41</v>
      </c>
      <c r="F739" s="1" t="s">
        <v>1315</v>
      </c>
      <c r="G739" s="1" t="s">
        <v>1316</v>
      </c>
      <c r="H739" s="1" t="str">
        <f>IFERROR(__xludf.DUMMYFUNCTION("split(G739,"" "")"),"Darrin")</f>
        <v>Darrin</v>
      </c>
      <c r="I739" s="1" t="str">
        <f>IFERROR(__xludf.DUMMYFUNCTION("""COMPUTED_VALUE"""),"Sayre")</f>
        <v>Sayre</v>
      </c>
      <c r="J739" s="1" t="s">
        <v>68</v>
      </c>
      <c r="K739" s="1" t="s">
        <v>62</v>
      </c>
      <c r="L739" s="1" t="str">
        <f t="shared" si="2"/>
        <v>Seattle</v>
      </c>
      <c r="M739" s="1" t="s">
        <v>63</v>
      </c>
      <c r="N739" s="1" t="str">
        <f t="shared" si="3"/>
        <v>Washington</v>
      </c>
      <c r="O739" s="1">
        <v>98115.0</v>
      </c>
      <c r="P739" s="1" t="s">
        <v>37</v>
      </c>
      <c r="Q739" s="1" t="s">
        <v>38</v>
      </c>
      <c r="R739" s="3">
        <v>18.72</v>
      </c>
      <c r="S739" s="1">
        <v>9.0</v>
      </c>
      <c r="T739" s="4">
        <v>17.91</v>
      </c>
    </row>
    <row r="740">
      <c r="A740" s="1" t="s">
        <v>1317</v>
      </c>
      <c r="B740" s="2">
        <v>42225.0</v>
      </c>
      <c r="C740" s="2" t="str">
        <f t="shared" si="1"/>
        <v>Aug</v>
      </c>
      <c r="D740" s="6">
        <v>42347.0</v>
      </c>
      <c r="E740" s="1" t="s">
        <v>41</v>
      </c>
      <c r="F740" s="1" t="s">
        <v>272</v>
      </c>
      <c r="G740" s="1" t="s">
        <v>273</v>
      </c>
      <c r="H740" s="1" t="str">
        <f>IFERROR(__xludf.DUMMYFUNCTION("split(G740,"" "")"),"Gary")</f>
        <v>Gary</v>
      </c>
      <c r="I740" s="1" t="str">
        <f>IFERROR(__xludf.DUMMYFUNCTION("""COMPUTED_VALUE"""),"Zandusky")</f>
        <v>Zandusky</v>
      </c>
      <c r="J740" s="1" t="s">
        <v>23</v>
      </c>
      <c r="K740" s="1" t="s">
        <v>87</v>
      </c>
      <c r="L740" s="1" t="str">
        <f t="shared" si="2"/>
        <v>San Francisco</v>
      </c>
      <c r="M740" s="1" t="s">
        <v>52</v>
      </c>
      <c r="N740" s="1" t="str">
        <f t="shared" si="3"/>
        <v>California</v>
      </c>
      <c r="O740" s="1">
        <v>94110.0</v>
      </c>
      <c r="P740" s="1" t="s">
        <v>37</v>
      </c>
      <c r="Q740" s="1" t="s">
        <v>51</v>
      </c>
      <c r="R740" s="3">
        <v>49.98</v>
      </c>
      <c r="S740" s="1">
        <v>9.0</v>
      </c>
      <c r="T740" s="4">
        <v>49.18</v>
      </c>
    </row>
    <row r="741">
      <c r="A741" s="1" t="s">
        <v>1318</v>
      </c>
      <c r="B741" s="2">
        <v>42095.0</v>
      </c>
      <c r="C741" s="2" t="str">
        <f t="shared" si="1"/>
        <v>Apr</v>
      </c>
      <c r="D741" s="6">
        <v>42217.0</v>
      </c>
      <c r="E741" s="1" t="s">
        <v>41</v>
      </c>
      <c r="F741" s="1" t="s">
        <v>1319</v>
      </c>
      <c r="G741" s="1" t="s">
        <v>1320</v>
      </c>
      <c r="H741" s="1" t="str">
        <f>IFERROR(__xludf.DUMMYFUNCTION("split(G741,"" "")"),"Phillina")</f>
        <v>Phillina</v>
      </c>
      <c r="I741" s="1" t="str">
        <f>IFERROR(__xludf.DUMMYFUNCTION("""COMPUTED_VALUE"""),"Ober")</f>
        <v>Ober</v>
      </c>
      <c r="J741" s="1" t="s">
        <v>68</v>
      </c>
      <c r="K741" s="1" t="s">
        <v>134</v>
      </c>
      <c r="L741" s="1" t="str">
        <f t="shared" si="2"/>
        <v>Naperville</v>
      </c>
      <c r="M741" s="1" t="s">
        <v>135</v>
      </c>
      <c r="N741" s="1" t="str">
        <f t="shared" si="3"/>
        <v>Illinois</v>
      </c>
      <c r="O741" s="1">
        <v>60540.0</v>
      </c>
      <c r="P741" s="1" t="s">
        <v>71</v>
      </c>
      <c r="Q741" s="1" t="s">
        <v>38</v>
      </c>
      <c r="R741" s="3">
        <v>11.784</v>
      </c>
      <c r="S741" s="1">
        <v>6.0</v>
      </c>
      <c r="T741" s="4">
        <v>10.79</v>
      </c>
    </row>
    <row r="742">
      <c r="A742" s="1" t="s">
        <v>1318</v>
      </c>
      <c r="B742" s="2">
        <v>42095.0</v>
      </c>
      <c r="C742" s="2" t="str">
        <f t="shared" si="1"/>
        <v>Apr</v>
      </c>
      <c r="D742" s="6">
        <v>42217.0</v>
      </c>
      <c r="E742" s="1" t="s">
        <v>41</v>
      </c>
      <c r="F742" s="1" t="s">
        <v>1319</v>
      </c>
      <c r="G742" s="1" t="s">
        <v>1320</v>
      </c>
      <c r="H742" s="1" t="str">
        <f>IFERROR(__xludf.DUMMYFUNCTION("split(G742,"" "")"),"Phillina")</f>
        <v>Phillina</v>
      </c>
      <c r="I742" s="1" t="str">
        <f>IFERROR(__xludf.DUMMYFUNCTION("""COMPUTED_VALUE"""),"Ober")</f>
        <v>Ober</v>
      </c>
      <c r="J742" s="1" t="s">
        <v>68</v>
      </c>
      <c r="K742" s="1" t="s">
        <v>134</v>
      </c>
      <c r="L742" s="1" t="str">
        <f t="shared" si="2"/>
        <v>Naperville</v>
      </c>
      <c r="M742" s="1" t="s">
        <v>135</v>
      </c>
      <c r="N742" s="1" t="str">
        <f t="shared" si="3"/>
        <v>Illinois</v>
      </c>
      <c r="O742" s="1">
        <v>60540.0</v>
      </c>
      <c r="P742" s="1" t="s">
        <v>71</v>
      </c>
      <c r="Q742" s="1" t="s">
        <v>38</v>
      </c>
      <c r="R742" s="3">
        <v>272.736</v>
      </c>
      <c r="S742" s="1">
        <v>6.0</v>
      </c>
      <c r="T742" s="4">
        <v>271.79</v>
      </c>
    </row>
    <row r="743">
      <c r="A743" s="1" t="s">
        <v>1318</v>
      </c>
      <c r="B743" s="2">
        <v>42095.0</v>
      </c>
      <c r="C743" s="2" t="str">
        <f t="shared" si="1"/>
        <v>Apr</v>
      </c>
      <c r="D743" s="6">
        <v>42217.0</v>
      </c>
      <c r="E743" s="1" t="s">
        <v>41</v>
      </c>
      <c r="F743" s="1" t="s">
        <v>1319</v>
      </c>
      <c r="G743" s="1" t="s">
        <v>1320</v>
      </c>
      <c r="H743" s="1" t="str">
        <f>IFERROR(__xludf.DUMMYFUNCTION("split(G743,"" "")"),"Phillina")</f>
        <v>Phillina</v>
      </c>
      <c r="I743" s="1" t="str">
        <f>IFERROR(__xludf.DUMMYFUNCTION("""COMPUTED_VALUE"""),"Ober")</f>
        <v>Ober</v>
      </c>
      <c r="J743" s="1" t="s">
        <v>68</v>
      </c>
      <c r="K743" s="1" t="s">
        <v>134</v>
      </c>
      <c r="L743" s="1" t="str">
        <f t="shared" si="2"/>
        <v>Naperville</v>
      </c>
      <c r="M743" s="1" t="s">
        <v>135</v>
      </c>
      <c r="N743" s="1" t="str">
        <f t="shared" si="3"/>
        <v>Illinois</v>
      </c>
      <c r="O743" s="1">
        <v>60540.0</v>
      </c>
      <c r="P743" s="1" t="s">
        <v>71</v>
      </c>
      <c r="Q743" s="1" t="s">
        <v>38</v>
      </c>
      <c r="R743" s="3">
        <v>3.54</v>
      </c>
      <c r="S743" s="1">
        <v>6.0</v>
      </c>
      <c r="T743" s="4">
        <v>3.11</v>
      </c>
    </row>
    <row r="744">
      <c r="A744" s="1" t="s">
        <v>1321</v>
      </c>
      <c r="B744" s="2">
        <v>42974.0</v>
      </c>
      <c r="C744" s="2" t="str">
        <f t="shared" si="1"/>
        <v>Aug</v>
      </c>
      <c r="D744" s="6">
        <v>42744.0</v>
      </c>
      <c r="E744" s="1" t="s">
        <v>41</v>
      </c>
      <c r="F744" s="1" t="s">
        <v>1322</v>
      </c>
      <c r="G744" s="1" t="s">
        <v>1323</v>
      </c>
      <c r="H744" s="1" t="str">
        <f>IFERROR(__xludf.DUMMYFUNCTION("split(G744,"" "")"),"Sung")</f>
        <v>Sung</v>
      </c>
      <c r="I744" s="1" t="str">
        <f>IFERROR(__xludf.DUMMYFUNCTION("""COMPUTED_VALUE"""),"Shariari")</f>
        <v>Shariari</v>
      </c>
      <c r="J744" s="1" t="s">
        <v>23</v>
      </c>
      <c r="K744" s="1" t="s">
        <v>480</v>
      </c>
      <c r="L744" s="1" t="str">
        <f t="shared" si="2"/>
        <v>Dallas</v>
      </c>
      <c r="M744" s="1" t="s">
        <v>70</v>
      </c>
      <c r="N744" s="1" t="str">
        <f t="shared" si="3"/>
        <v>Texas</v>
      </c>
      <c r="O744" s="1">
        <v>75220.0</v>
      </c>
      <c r="P744" s="1" t="s">
        <v>71</v>
      </c>
      <c r="Q744" s="1" t="s">
        <v>38</v>
      </c>
      <c r="R744" s="3">
        <v>51.52</v>
      </c>
      <c r="S744" s="1">
        <v>7.0</v>
      </c>
      <c r="T744" s="4">
        <v>51.13</v>
      </c>
    </row>
    <row r="745">
      <c r="A745" s="1" t="s">
        <v>1321</v>
      </c>
      <c r="B745" s="2">
        <v>42974.0</v>
      </c>
      <c r="C745" s="2" t="str">
        <f t="shared" si="1"/>
        <v>Aug</v>
      </c>
      <c r="D745" s="6">
        <v>42744.0</v>
      </c>
      <c r="E745" s="1" t="s">
        <v>41</v>
      </c>
      <c r="F745" s="1" t="s">
        <v>1322</v>
      </c>
      <c r="G745" s="1" t="s">
        <v>1323</v>
      </c>
      <c r="H745" s="1" t="str">
        <f>IFERROR(__xludf.DUMMYFUNCTION("split(G745,"" "")"),"Sung")</f>
        <v>Sung</v>
      </c>
      <c r="I745" s="1" t="str">
        <f>IFERROR(__xludf.DUMMYFUNCTION("""COMPUTED_VALUE"""),"Shariari")</f>
        <v>Shariari</v>
      </c>
      <c r="J745" s="1" t="s">
        <v>23</v>
      </c>
      <c r="K745" s="1" t="s">
        <v>480</v>
      </c>
      <c r="L745" s="1" t="str">
        <f t="shared" si="2"/>
        <v>Dallas</v>
      </c>
      <c r="M745" s="1" t="s">
        <v>70</v>
      </c>
      <c r="N745" s="1" t="str">
        <f t="shared" si="3"/>
        <v>Texas</v>
      </c>
      <c r="O745" s="1">
        <v>75220.0</v>
      </c>
      <c r="P745" s="1" t="s">
        <v>71</v>
      </c>
      <c r="Q745" s="1" t="s">
        <v>38</v>
      </c>
      <c r="R745" s="3">
        <v>3.528</v>
      </c>
      <c r="S745" s="1">
        <v>7.0</v>
      </c>
      <c r="T745" s="4">
        <v>3.36</v>
      </c>
    </row>
    <row r="746">
      <c r="A746" s="1" t="s">
        <v>1321</v>
      </c>
      <c r="B746" s="2">
        <v>42974.0</v>
      </c>
      <c r="C746" s="2" t="str">
        <f t="shared" si="1"/>
        <v>Aug</v>
      </c>
      <c r="D746" s="6">
        <v>42744.0</v>
      </c>
      <c r="E746" s="1" t="s">
        <v>41</v>
      </c>
      <c r="F746" s="1" t="s">
        <v>1322</v>
      </c>
      <c r="G746" s="1" t="s">
        <v>1323</v>
      </c>
      <c r="H746" s="1" t="str">
        <f>IFERROR(__xludf.DUMMYFUNCTION("split(G746,"" "")"),"Sung")</f>
        <v>Sung</v>
      </c>
      <c r="I746" s="1" t="str">
        <f>IFERROR(__xludf.DUMMYFUNCTION("""COMPUTED_VALUE"""),"Shariari")</f>
        <v>Shariari</v>
      </c>
      <c r="J746" s="1" t="s">
        <v>23</v>
      </c>
      <c r="K746" s="1" t="s">
        <v>480</v>
      </c>
      <c r="L746" s="1" t="str">
        <f t="shared" si="2"/>
        <v>Dallas</v>
      </c>
      <c r="M746" s="1" t="s">
        <v>70</v>
      </c>
      <c r="N746" s="1" t="str">
        <f t="shared" si="3"/>
        <v>Texas</v>
      </c>
      <c r="O746" s="1">
        <v>75220.0</v>
      </c>
      <c r="P746" s="1" t="s">
        <v>71</v>
      </c>
      <c r="Q746" s="1" t="s">
        <v>38</v>
      </c>
      <c r="R746" s="3">
        <v>4.624</v>
      </c>
      <c r="S746" s="1">
        <v>7.0</v>
      </c>
      <c r="T746" s="4">
        <v>4.0</v>
      </c>
    </row>
    <row r="747">
      <c r="A747" s="1" t="s">
        <v>1321</v>
      </c>
      <c r="B747" s="2">
        <v>42974.0</v>
      </c>
      <c r="C747" s="2" t="str">
        <f t="shared" si="1"/>
        <v>Aug</v>
      </c>
      <c r="D747" s="6">
        <v>42744.0</v>
      </c>
      <c r="E747" s="1" t="s">
        <v>41</v>
      </c>
      <c r="F747" s="1" t="s">
        <v>1322</v>
      </c>
      <c r="G747" s="1" t="s">
        <v>1323</v>
      </c>
      <c r="H747" s="1" t="str">
        <f>IFERROR(__xludf.DUMMYFUNCTION("split(G747,"" "")"),"Sung")</f>
        <v>Sung</v>
      </c>
      <c r="I747" s="1" t="str">
        <f>IFERROR(__xludf.DUMMYFUNCTION("""COMPUTED_VALUE"""),"Shariari")</f>
        <v>Shariari</v>
      </c>
      <c r="J747" s="1" t="s">
        <v>23</v>
      </c>
      <c r="K747" s="1" t="s">
        <v>480</v>
      </c>
      <c r="L747" s="1" t="str">
        <f t="shared" si="2"/>
        <v>Dallas</v>
      </c>
      <c r="M747" s="1" t="s">
        <v>70</v>
      </c>
      <c r="N747" s="1" t="str">
        <f t="shared" si="3"/>
        <v>Texas</v>
      </c>
      <c r="O747" s="1">
        <v>75220.0</v>
      </c>
      <c r="P747" s="1" t="s">
        <v>71</v>
      </c>
      <c r="Q747" s="1" t="s">
        <v>38</v>
      </c>
      <c r="R747" s="3">
        <v>55.168</v>
      </c>
      <c r="S747" s="1">
        <v>7.0</v>
      </c>
      <c r="T747" s="4">
        <v>54.91</v>
      </c>
    </row>
    <row r="748">
      <c r="A748" s="1" t="s">
        <v>1324</v>
      </c>
      <c r="B748" s="2">
        <v>42151.0</v>
      </c>
      <c r="C748" s="2" t="str">
        <f t="shared" si="1"/>
        <v>May</v>
      </c>
      <c r="D748" s="1" t="s">
        <v>1117</v>
      </c>
      <c r="E748" s="1" t="s">
        <v>717</v>
      </c>
      <c r="F748" s="1" t="s">
        <v>894</v>
      </c>
      <c r="G748" s="1" t="s">
        <v>895</v>
      </c>
      <c r="H748" s="1" t="str">
        <f>IFERROR(__xludf.DUMMYFUNCTION("split(G748,"" "")"),"Maya")</f>
        <v>Maya</v>
      </c>
      <c r="I748" s="1" t="str">
        <f>IFERROR(__xludf.DUMMYFUNCTION("""COMPUTED_VALUE"""),"Herman")</f>
        <v>Herman</v>
      </c>
      <c r="J748" s="1" t="s">
        <v>34</v>
      </c>
      <c r="K748" s="1" t="s">
        <v>542</v>
      </c>
      <c r="L748" s="1" t="str">
        <f t="shared" si="2"/>
        <v>San Diego</v>
      </c>
      <c r="M748" s="1" t="s">
        <v>52</v>
      </c>
      <c r="N748" s="1" t="str">
        <f t="shared" si="3"/>
        <v>California</v>
      </c>
      <c r="O748" s="1">
        <v>92105.0</v>
      </c>
      <c r="P748" s="1" t="s">
        <v>37</v>
      </c>
      <c r="Q748" s="1" t="s">
        <v>27</v>
      </c>
      <c r="R748" s="3">
        <v>567.12</v>
      </c>
      <c r="S748" s="1">
        <v>9.0</v>
      </c>
      <c r="T748" s="4">
        <v>566.93</v>
      </c>
    </row>
    <row r="749">
      <c r="A749" s="1" t="s">
        <v>1324</v>
      </c>
      <c r="B749" s="2">
        <v>42151.0</v>
      </c>
      <c r="C749" s="2" t="str">
        <f t="shared" si="1"/>
        <v>May</v>
      </c>
      <c r="D749" s="1" t="s">
        <v>1117</v>
      </c>
      <c r="E749" s="1" t="s">
        <v>717</v>
      </c>
      <c r="F749" s="1" t="s">
        <v>894</v>
      </c>
      <c r="G749" s="1" t="s">
        <v>895</v>
      </c>
      <c r="H749" s="1" t="str">
        <f>IFERROR(__xludf.DUMMYFUNCTION("split(G749,"" "")"),"Maya")</f>
        <v>Maya</v>
      </c>
      <c r="I749" s="1" t="str">
        <f>IFERROR(__xludf.DUMMYFUNCTION("""COMPUTED_VALUE"""),"Herman")</f>
        <v>Herman</v>
      </c>
      <c r="J749" s="1" t="s">
        <v>34</v>
      </c>
      <c r="K749" s="1" t="s">
        <v>542</v>
      </c>
      <c r="L749" s="1" t="str">
        <f t="shared" si="2"/>
        <v>San Diego</v>
      </c>
      <c r="M749" s="1" t="s">
        <v>52</v>
      </c>
      <c r="N749" s="1" t="str">
        <f t="shared" si="3"/>
        <v>California</v>
      </c>
      <c r="O749" s="1">
        <v>92105.0</v>
      </c>
      <c r="P749" s="1" t="s">
        <v>37</v>
      </c>
      <c r="Q749" s="1" t="s">
        <v>38</v>
      </c>
      <c r="R749" s="3">
        <v>359.32</v>
      </c>
      <c r="S749" s="1">
        <v>9.0</v>
      </c>
      <c r="T749" s="4">
        <v>358.74</v>
      </c>
    </row>
    <row r="750">
      <c r="A750" s="1" t="s">
        <v>1325</v>
      </c>
      <c r="B750" s="2">
        <v>42814.0</v>
      </c>
      <c r="C750" s="2" t="str">
        <f t="shared" si="1"/>
        <v>Mar</v>
      </c>
      <c r="D750" s="1" t="s">
        <v>1326</v>
      </c>
      <c r="E750" s="1" t="s">
        <v>20</v>
      </c>
      <c r="F750" s="1" t="s">
        <v>1327</v>
      </c>
      <c r="G750" s="1" t="s">
        <v>1328</v>
      </c>
      <c r="H750" s="1" t="str">
        <f>IFERROR(__xludf.DUMMYFUNCTION("split(G750,"" "")"),"Peter")</f>
        <v>Peter</v>
      </c>
      <c r="I750" s="1" t="str">
        <f>IFERROR(__xludf.DUMMYFUNCTION("""COMPUTED_VALUE"""),"Bühler")</f>
        <v>Bühler</v>
      </c>
      <c r="J750" s="1" t="s">
        <v>23</v>
      </c>
      <c r="K750" s="1" t="s">
        <v>1329</v>
      </c>
      <c r="L750" s="1" t="str">
        <f t="shared" si="2"/>
        <v>Evanston</v>
      </c>
      <c r="M750" s="1" t="s">
        <v>135</v>
      </c>
      <c r="N750" s="1" t="str">
        <f t="shared" si="3"/>
        <v>Illinois</v>
      </c>
      <c r="O750" s="1">
        <v>60201.0</v>
      </c>
      <c r="P750" s="1" t="s">
        <v>71</v>
      </c>
      <c r="Q750" s="1" t="s">
        <v>51</v>
      </c>
      <c r="R750" s="3">
        <v>11.992</v>
      </c>
      <c r="S750" s="1">
        <v>6.0</v>
      </c>
      <c r="T750" s="4">
        <v>11.93</v>
      </c>
    </row>
    <row r="751">
      <c r="A751" s="1" t="s">
        <v>1330</v>
      </c>
      <c r="B751" s="2">
        <v>43141.0</v>
      </c>
      <c r="C751" s="2" t="str">
        <f t="shared" si="1"/>
        <v>Feb</v>
      </c>
      <c r="D751" s="6">
        <v>43261.0</v>
      </c>
      <c r="E751" s="1" t="s">
        <v>41</v>
      </c>
      <c r="F751" s="1" t="s">
        <v>1331</v>
      </c>
      <c r="G751" s="1" t="s">
        <v>1332</v>
      </c>
      <c r="H751" s="1" t="str">
        <f>IFERROR(__xludf.DUMMYFUNCTION("split(G751,"" "")"),"Roland")</f>
        <v>Roland</v>
      </c>
      <c r="I751" s="1" t="str">
        <f>IFERROR(__xludf.DUMMYFUNCTION("""COMPUTED_VALUE"""),"Fjeld")</f>
        <v>Fjeld</v>
      </c>
      <c r="J751" s="1" t="s">
        <v>23</v>
      </c>
      <c r="K751" s="1" t="s">
        <v>1333</v>
      </c>
      <c r="L751" s="1" t="str">
        <f t="shared" si="2"/>
        <v>Trenton</v>
      </c>
      <c r="M751" s="1" t="s">
        <v>157</v>
      </c>
      <c r="N751" s="1" t="str">
        <f t="shared" si="3"/>
        <v>Michigan</v>
      </c>
      <c r="O751" s="1">
        <v>48183.0</v>
      </c>
      <c r="P751" s="1" t="s">
        <v>71</v>
      </c>
      <c r="Q751" s="1" t="s">
        <v>38</v>
      </c>
      <c r="R751" s="3">
        <v>58.05</v>
      </c>
      <c r="S751" s="1">
        <v>4.0</v>
      </c>
      <c r="T751" s="4">
        <v>57.83</v>
      </c>
    </row>
    <row r="752">
      <c r="A752" s="1" t="s">
        <v>1330</v>
      </c>
      <c r="B752" s="2">
        <v>43141.0</v>
      </c>
      <c r="C752" s="2" t="str">
        <f t="shared" si="1"/>
        <v>Feb</v>
      </c>
      <c r="D752" s="6">
        <v>43261.0</v>
      </c>
      <c r="E752" s="1" t="s">
        <v>41</v>
      </c>
      <c r="F752" s="1" t="s">
        <v>1331</v>
      </c>
      <c r="G752" s="1" t="s">
        <v>1332</v>
      </c>
      <c r="H752" s="1" t="str">
        <f>IFERROR(__xludf.DUMMYFUNCTION("split(G752,"" "")"),"Roland")</f>
        <v>Roland</v>
      </c>
      <c r="I752" s="1" t="str">
        <f>IFERROR(__xludf.DUMMYFUNCTION("""COMPUTED_VALUE"""),"Fjeld")</f>
        <v>Fjeld</v>
      </c>
      <c r="J752" s="1" t="s">
        <v>23</v>
      </c>
      <c r="K752" s="1" t="s">
        <v>1333</v>
      </c>
      <c r="L752" s="1" t="str">
        <f t="shared" si="2"/>
        <v>Trenton</v>
      </c>
      <c r="M752" s="1" t="s">
        <v>157</v>
      </c>
      <c r="N752" s="1" t="str">
        <f t="shared" si="3"/>
        <v>Michigan</v>
      </c>
      <c r="O752" s="1">
        <v>48183.0</v>
      </c>
      <c r="P752" s="1" t="s">
        <v>71</v>
      </c>
      <c r="Q752" s="1" t="s">
        <v>27</v>
      </c>
      <c r="R752" s="3">
        <v>157.74</v>
      </c>
      <c r="S752" s="1">
        <v>4.0</v>
      </c>
      <c r="T752" s="4">
        <v>157.37</v>
      </c>
    </row>
    <row r="753">
      <c r="A753" s="1" t="s">
        <v>1330</v>
      </c>
      <c r="B753" s="2">
        <v>43141.0</v>
      </c>
      <c r="C753" s="2" t="str">
        <f t="shared" si="1"/>
        <v>Feb</v>
      </c>
      <c r="D753" s="6">
        <v>43261.0</v>
      </c>
      <c r="E753" s="1" t="s">
        <v>41</v>
      </c>
      <c r="F753" s="1" t="s">
        <v>1331</v>
      </c>
      <c r="G753" s="1" t="s">
        <v>1332</v>
      </c>
      <c r="H753" s="1" t="str">
        <f>IFERROR(__xludf.DUMMYFUNCTION("split(G753,"" "")"),"Roland")</f>
        <v>Roland</v>
      </c>
      <c r="I753" s="1" t="str">
        <f>IFERROR(__xludf.DUMMYFUNCTION("""COMPUTED_VALUE"""),"Fjeld")</f>
        <v>Fjeld</v>
      </c>
      <c r="J753" s="1" t="s">
        <v>23</v>
      </c>
      <c r="K753" s="1" t="s">
        <v>1333</v>
      </c>
      <c r="L753" s="1" t="str">
        <f t="shared" si="2"/>
        <v>Trenton</v>
      </c>
      <c r="M753" s="1" t="s">
        <v>157</v>
      </c>
      <c r="N753" s="1" t="str">
        <f t="shared" si="3"/>
        <v>Michigan</v>
      </c>
      <c r="O753" s="1">
        <v>48183.0</v>
      </c>
      <c r="P753" s="1" t="s">
        <v>71</v>
      </c>
      <c r="Q753" s="1" t="s">
        <v>38</v>
      </c>
      <c r="R753" s="3">
        <v>56.98</v>
      </c>
      <c r="S753" s="1">
        <v>4.0</v>
      </c>
      <c r="T753" s="4">
        <v>56.82</v>
      </c>
    </row>
    <row r="754">
      <c r="A754" s="1" t="s">
        <v>1330</v>
      </c>
      <c r="B754" s="2">
        <v>43141.0</v>
      </c>
      <c r="C754" s="2" t="str">
        <f t="shared" si="1"/>
        <v>Feb</v>
      </c>
      <c r="D754" s="6">
        <v>43261.0</v>
      </c>
      <c r="E754" s="1" t="s">
        <v>41</v>
      </c>
      <c r="F754" s="1" t="s">
        <v>1331</v>
      </c>
      <c r="G754" s="1" t="s">
        <v>1332</v>
      </c>
      <c r="H754" s="1" t="str">
        <f>IFERROR(__xludf.DUMMYFUNCTION("split(G754,"" "")"),"Roland")</f>
        <v>Roland</v>
      </c>
      <c r="I754" s="1" t="str">
        <f>IFERROR(__xludf.DUMMYFUNCTION("""COMPUTED_VALUE"""),"Fjeld")</f>
        <v>Fjeld</v>
      </c>
      <c r="J754" s="1" t="s">
        <v>23</v>
      </c>
      <c r="K754" s="1" t="s">
        <v>1333</v>
      </c>
      <c r="L754" s="1" t="str">
        <f t="shared" si="2"/>
        <v>Trenton</v>
      </c>
      <c r="M754" s="1" t="s">
        <v>157</v>
      </c>
      <c r="N754" s="1" t="str">
        <f t="shared" si="3"/>
        <v>Michigan</v>
      </c>
      <c r="O754" s="1">
        <v>48183.0</v>
      </c>
      <c r="P754" s="1" t="s">
        <v>71</v>
      </c>
      <c r="Q754" s="1" t="s">
        <v>38</v>
      </c>
      <c r="R754" s="3">
        <v>2.88</v>
      </c>
      <c r="S754" s="1">
        <v>4.0</v>
      </c>
      <c r="T754" s="4">
        <v>2.5</v>
      </c>
    </row>
    <row r="755">
      <c r="A755" s="1" t="s">
        <v>1334</v>
      </c>
      <c r="B755" s="2">
        <v>42920.0</v>
      </c>
      <c r="C755" s="2" t="str">
        <f t="shared" si="1"/>
        <v>Jul</v>
      </c>
      <c r="D755" s="6">
        <v>42982.0</v>
      </c>
      <c r="E755" s="1" t="s">
        <v>121</v>
      </c>
      <c r="F755" s="1" t="s">
        <v>1335</v>
      </c>
      <c r="G755" s="1" t="s">
        <v>1336</v>
      </c>
      <c r="H755" s="1" t="str">
        <f>IFERROR(__xludf.DUMMYFUNCTION("split(G755,"" "")"),"Yoseph")</f>
        <v>Yoseph</v>
      </c>
      <c r="I755" s="1" t="str">
        <f>IFERROR(__xludf.DUMMYFUNCTION("""COMPUTED_VALUE"""),"Carroll")</f>
        <v>Carroll</v>
      </c>
      <c r="J755" s="1" t="s">
        <v>34</v>
      </c>
      <c r="K755" s="1" t="s">
        <v>87</v>
      </c>
      <c r="L755" s="1" t="str">
        <f t="shared" si="2"/>
        <v>San Francisco</v>
      </c>
      <c r="M755" s="1" t="s">
        <v>52</v>
      </c>
      <c r="N755" s="1" t="str">
        <f t="shared" si="3"/>
        <v>California</v>
      </c>
      <c r="O755" s="1">
        <v>94110.0</v>
      </c>
      <c r="P755" s="1" t="s">
        <v>37</v>
      </c>
      <c r="Q755" s="1" t="s">
        <v>51</v>
      </c>
      <c r="R755" s="3">
        <v>1199.976</v>
      </c>
      <c r="S755" s="1">
        <v>9.0</v>
      </c>
      <c r="T755" s="4">
        <v>1199.7</v>
      </c>
    </row>
    <row r="756">
      <c r="A756" s="1" t="s">
        <v>1337</v>
      </c>
      <c r="B756" s="2">
        <v>42563.0</v>
      </c>
      <c r="C756" s="2" t="str">
        <f t="shared" si="1"/>
        <v>Jul</v>
      </c>
      <c r="D756" s="5">
        <v>42716.0</v>
      </c>
      <c r="E756" s="1" t="s">
        <v>41</v>
      </c>
      <c r="F756" s="1" t="s">
        <v>1098</v>
      </c>
      <c r="G756" s="1" t="s">
        <v>1099</v>
      </c>
      <c r="H756" s="1" t="str">
        <f>IFERROR(__xludf.DUMMYFUNCTION("split(G756,"" "")"),"Melanie")</f>
        <v>Melanie</v>
      </c>
      <c r="I756" s="1" t="str">
        <f>IFERROR(__xludf.DUMMYFUNCTION("""COMPUTED_VALUE"""),"Seite")</f>
        <v>Seite</v>
      </c>
      <c r="J756" s="1" t="s">
        <v>23</v>
      </c>
      <c r="K756" s="1" t="s">
        <v>35</v>
      </c>
      <c r="L756" s="1" t="str">
        <f t="shared" si="2"/>
        <v>Los Angeles</v>
      </c>
      <c r="M756" s="1" t="s">
        <v>52</v>
      </c>
      <c r="N756" s="1" t="str">
        <f t="shared" si="3"/>
        <v>California</v>
      </c>
      <c r="O756" s="1">
        <v>90036.0</v>
      </c>
      <c r="P756" s="1" t="s">
        <v>37</v>
      </c>
      <c r="Q756" s="1" t="s">
        <v>27</v>
      </c>
      <c r="R756" s="3">
        <v>79.92</v>
      </c>
      <c r="S756" s="1">
        <v>9.0</v>
      </c>
      <c r="T756" s="4">
        <v>79.91</v>
      </c>
    </row>
    <row r="757">
      <c r="A757" s="1" t="s">
        <v>1338</v>
      </c>
      <c r="B757" s="2">
        <v>42996.0</v>
      </c>
      <c r="C757" s="2" t="str">
        <f t="shared" si="1"/>
        <v>Sep</v>
      </c>
      <c r="D757" s="1" t="s">
        <v>245</v>
      </c>
      <c r="E757" s="1" t="s">
        <v>41</v>
      </c>
      <c r="F757" s="1" t="s">
        <v>1121</v>
      </c>
      <c r="G757" s="1" t="s">
        <v>1122</v>
      </c>
      <c r="H757" s="1" t="str">
        <f>IFERROR(__xludf.DUMMYFUNCTION("split(G757,"" "")"),"Nona")</f>
        <v>Nona</v>
      </c>
      <c r="I757" s="1" t="str">
        <f>IFERROR(__xludf.DUMMYFUNCTION("""COMPUTED_VALUE"""),"Balk")</f>
        <v>Balk</v>
      </c>
      <c r="J757" s="1" t="s">
        <v>34</v>
      </c>
      <c r="K757" s="1" t="s">
        <v>849</v>
      </c>
      <c r="L757" s="1" t="str">
        <f t="shared" si="2"/>
        <v>Jacksonville</v>
      </c>
      <c r="M757" s="1" t="s">
        <v>145</v>
      </c>
      <c r="N757" s="1" t="str">
        <f t="shared" si="3"/>
        <v>Florida</v>
      </c>
      <c r="O757" s="1">
        <v>32216.0</v>
      </c>
      <c r="P757" s="1" t="s">
        <v>26</v>
      </c>
      <c r="Q757" s="1" t="s">
        <v>27</v>
      </c>
      <c r="R757" s="3">
        <v>383.438</v>
      </c>
      <c r="S757" s="1">
        <v>3.0</v>
      </c>
      <c r="T757" s="4">
        <v>382.77</v>
      </c>
    </row>
    <row r="758">
      <c r="A758" s="1" t="s">
        <v>1339</v>
      </c>
      <c r="B758" s="2">
        <v>42367.0</v>
      </c>
      <c r="C758" s="2" t="str">
        <f t="shared" si="1"/>
        <v>Dec</v>
      </c>
      <c r="D758" s="6">
        <v>42401.0</v>
      </c>
      <c r="E758" s="1" t="s">
        <v>41</v>
      </c>
      <c r="F758" s="1" t="s">
        <v>1340</v>
      </c>
      <c r="G758" s="1" t="s">
        <v>1341</v>
      </c>
      <c r="H758" s="1" t="str">
        <f>IFERROR(__xludf.DUMMYFUNCTION("split(G758,"" "")"),"Debra")</f>
        <v>Debra</v>
      </c>
      <c r="I758" s="1" t="str">
        <f>IFERROR(__xludf.DUMMYFUNCTION("""COMPUTED_VALUE"""),"Catini")</f>
        <v>Catini</v>
      </c>
      <c r="J758" s="1" t="s">
        <v>23</v>
      </c>
      <c r="K758" s="1" t="s">
        <v>1342</v>
      </c>
      <c r="L758" s="1" t="str">
        <f t="shared" si="2"/>
        <v>Cottage Grove</v>
      </c>
      <c r="M758" s="1" t="s">
        <v>151</v>
      </c>
      <c r="N758" s="1" t="str">
        <f t="shared" si="3"/>
        <v>Minnesota</v>
      </c>
      <c r="O758" s="1">
        <v>55016.0</v>
      </c>
      <c r="P758" s="1" t="s">
        <v>71</v>
      </c>
      <c r="Q758" s="1" t="s">
        <v>38</v>
      </c>
      <c r="R758" s="3">
        <v>24.56</v>
      </c>
      <c r="S758" s="1">
        <v>5.0</v>
      </c>
      <c r="T758" s="4">
        <v>24.04</v>
      </c>
    </row>
    <row r="759">
      <c r="A759" s="1" t="s">
        <v>1339</v>
      </c>
      <c r="B759" s="2">
        <v>42367.0</v>
      </c>
      <c r="C759" s="2" t="str">
        <f t="shared" si="1"/>
        <v>Dec</v>
      </c>
      <c r="D759" s="6">
        <v>42401.0</v>
      </c>
      <c r="E759" s="1" t="s">
        <v>41</v>
      </c>
      <c r="F759" s="1" t="s">
        <v>1340</v>
      </c>
      <c r="G759" s="1" t="s">
        <v>1341</v>
      </c>
      <c r="H759" s="1" t="str">
        <f>IFERROR(__xludf.DUMMYFUNCTION("split(G759,"" "")"),"Debra")</f>
        <v>Debra</v>
      </c>
      <c r="I759" s="1" t="str">
        <f>IFERROR(__xludf.DUMMYFUNCTION("""COMPUTED_VALUE"""),"Catini")</f>
        <v>Catini</v>
      </c>
      <c r="J759" s="1" t="s">
        <v>23</v>
      </c>
      <c r="K759" s="1" t="s">
        <v>1342</v>
      </c>
      <c r="L759" s="1" t="str">
        <f t="shared" si="2"/>
        <v>Cottage Grove</v>
      </c>
      <c r="M759" s="1" t="s">
        <v>151</v>
      </c>
      <c r="N759" s="1" t="str">
        <f t="shared" si="3"/>
        <v>Minnesota</v>
      </c>
      <c r="O759" s="1">
        <v>55016.0</v>
      </c>
      <c r="P759" s="1" t="s">
        <v>71</v>
      </c>
      <c r="Q759" s="1" t="s">
        <v>51</v>
      </c>
      <c r="R759" s="3">
        <v>119.8</v>
      </c>
      <c r="S759" s="1">
        <v>5.0</v>
      </c>
      <c r="T759" s="4">
        <v>119.4</v>
      </c>
    </row>
    <row r="760">
      <c r="A760" s="1" t="s">
        <v>1343</v>
      </c>
      <c r="B760" s="2">
        <v>43304.0</v>
      </c>
      <c r="C760" s="2" t="str">
        <f t="shared" si="1"/>
        <v>Jul</v>
      </c>
      <c r="D760" s="1" t="s">
        <v>1344</v>
      </c>
      <c r="E760" s="1" t="s">
        <v>41</v>
      </c>
      <c r="F760" s="1" t="s">
        <v>1345</v>
      </c>
      <c r="G760" s="1" t="s">
        <v>1346</v>
      </c>
      <c r="H760" s="1" t="str">
        <f>IFERROR(__xludf.DUMMYFUNCTION("split(G760,"" "")"),"Christine")</f>
        <v>Christine</v>
      </c>
      <c r="I760" s="1" t="str">
        <f>IFERROR(__xludf.DUMMYFUNCTION("""COMPUTED_VALUE"""),"Phan")</f>
        <v>Phan</v>
      </c>
      <c r="J760" s="1" t="s">
        <v>34</v>
      </c>
      <c r="K760" s="1" t="s">
        <v>174</v>
      </c>
      <c r="L760" s="1" t="str">
        <f t="shared" si="2"/>
        <v>New York City</v>
      </c>
      <c r="M760" s="1" t="s">
        <v>175</v>
      </c>
      <c r="N760" s="1" t="str">
        <f t="shared" si="3"/>
        <v>New York</v>
      </c>
      <c r="O760" s="1">
        <v>10009.0</v>
      </c>
      <c r="P760" s="1" t="s">
        <v>100</v>
      </c>
      <c r="Q760" s="1" t="s">
        <v>38</v>
      </c>
      <c r="R760" s="3">
        <v>13.128</v>
      </c>
      <c r="S760" s="1">
        <v>1.0</v>
      </c>
      <c r="T760" s="4">
        <v>13.04</v>
      </c>
    </row>
    <row r="761">
      <c r="A761" s="1" t="s">
        <v>1347</v>
      </c>
      <c r="B761" s="2">
        <v>43361.0</v>
      </c>
      <c r="C761" s="2" t="str">
        <f t="shared" si="1"/>
        <v>Sep</v>
      </c>
      <c r="D761" s="1" t="s">
        <v>1348</v>
      </c>
      <c r="E761" s="1" t="s">
        <v>41</v>
      </c>
      <c r="F761" s="1" t="s">
        <v>1349</v>
      </c>
      <c r="G761" s="1" t="s">
        <v>1350</v>
      </c>
      <c r="H761" s="1" t="str">
        <f>IFERROR(__xludf.DUMMYFUNCTION("split(G761,"" "")"),"Barry")</f>
        <v>Barry</v>
      </c>
      <c r="I761" s="1" t="str">
        <f>IFERROR(__xludf.DUMMYFUNCTION("""COMPUTED_VALUE"""),"Französisch")</f>
        <v>Französisch</v>
      </c>
      <c r="J761" s="1" t="s">
        <v>34</v>
      </c>
      <c r="K761" s="1" t="s">
        <v>1020</v>
      </c>
      <c r="L761" s="1" t="str">
        <f t="shared" si="2"/>
        <v>Green Bay</v>
      </c>
      <c r="M761" s="1" t="s">
        <v>77</v>
      </c>
      <c r="N761" s="1" t="str">
        <f t="shared" si="3"/>
        <v>Wisconsin</v>
      </c>
      <c r="O761" s="1">
        <v>54302.0</v>
      </c>
      <c r="P761" s="1" t="s">
        <v>71</v>
      </c>
      <c r="Q761" s="1" t="s">
        <v>38</v>
      </c>
      <c r="R761" s="3">
        <v>22.72</v>
      </c>
      <c r="S761" s="1">
        <v>5.0</v>
      </c>
      <c r="T761" s="4">
        <v>22.7</v>
      </c>
    </row>
    <row r="762">
      <c r="A762" s="1" t="s">
        <v>1351</v>
      </c>
      <c r="B762" s="2">
        <v>42613.0</v>
      </c>
      <c r="C762" s="2" t="str">
        <f t="shared" si="1"/>
        <v>Aug</v>
      </c>
      <c r="D762" s="6">
        <v>42499.0</v>
      </c>
      <c r="E762" s="1" t="s">
        <v>41</v>
      </c>
      <c r="F762" s="1" t="s">
        <v>1118</v>
      </c>
      <c r="G762" s="1" t="s">
        <v>1119</v>
      </c>
      <c r="H762" s="1" t="str">
        <f>IFERROR(__xludf.DUMMYFUNCTION("split(G762,"" "")"),"Andrew")</f>
        <v>Andrew</v>
      </c>
      <c r="I762" s="1" t="str">
        <f>IFERROR(__xludf.DUMMYFUNCTION("""COMPUTED_VALUE"""),"Roberts")</f>
        <v>Roberts</v>
      </c>
      <c r="J762" s="1" t="s">
        <v>23</v>
      </c>
      <c r="K762" s="1" t="s">
        <v>35</v>
      </c>
      <c r="L762" s="1" t="str">
        <f t="shared" si="2"/>
        <v>Los Angeles</v>
      </c>
      <c r="M762" s="1" t="s">
        <v>52</v>
      </c>
      <c r="N762" s="1" t="str">
        <f t="shared" si="3"/>
        <v>California</v>
      </c>
      <c r="O762" s="1">
        <v>90004.0</v>
      </c>
      <c r="P762" s="1" t="s">
        <v>37</v>
      </c>
      <c r="Q762" s="1" t="s">
        <v>38</v>
      </c>
      <c r="R762" s="3">
        <v>58.32</v>
      </c>
      <c r="S762" s="1">
        <v>9.0</v>
      </c>
      <c r="T762" s="4">
        <v>58.08</v>
      </c>
    </row>
    <row r="763">
      <c r="A763" s="1" t="s">
        <v>1352</v>
      </c>
      <c r="B763" s="2">
        <v>43170.0</v>
      </c>
      <c r="C763" s="2" t="str">
        <f t="shared" si="1"/>
        <v>Mar</v>
      </c>
      <c r="D763" s="6">
        <v>43292.0</v>
      </c>
      <c r="E763" s="1" t="s">
        <v>41</v>
      </c>
      <c r="F763" s="1" t="s">
        <v>226</v>
      </c>
      <c r="G763" s="1" t="s">
        <v>227</v>
      </c>
      <c r="H763" s="1" t="str">
        <f>IFERROR(__xludf.DUMMYFUNCTION("split(G763,"" "")"),"Julie")</f>
        <v>Julie</v>
      </c>
      <c r="I763" s="1" t="str">
        <f>IFERROR(__xludf.DUMMYFUNCTION("""COMPUTED_VALUE"""),"Creighton")</f>
        <v>Creighton</v>
      </c>
      <c r="J763" s="1" t="s">
        <v>34</v>
      </c>
      <c r="K763" s="1" t="s">
        <v>958</v>
      </c>
      <c r="L763" s="1" t="str">
        <f t="shared" si="2"/>
        <v>Atlanta</v>
      </c>
      <c r="M763" s="1" t="s">
        <v>707</v>
      </c>
      <c r="N763" s="1" t="str">
        <f t="shared" si="3"/>
        <v>Georgia</v>
      </c>
      <c r="O763" s="1">
        <v>30318.0</v>
      </c>
      <c r="P763" s="1" t="s">
        <v>26</v>
      </c>
      <c r="Q763" s="1" t="s">
        <v>38</v>
      </c>
      <c r="R763" s="3">
        <v>12.39</v>
      </c>
      <c r="S763" s="1">
        <v>3.0</v>
      </c>
      <c r="T763" s="4">
        <v>11.81</v>
      </c>
    </row>
    <row r="764">
      <c r="A764" s="1" t="s">
        <v>1353</v>
      </c>
      <c r="B764" s="2">
        <v>42584.0</v>
      </c>
      <c r="C764" s="2" t="str">
        <f t="shared" si="1"/>
        <v>Aug</v>
      </c>
      <c r="D764" s="1" t="s">
        <v>494</v>
      </c>
      <c r="E764" s="1" t="s">
        <v>41</v>
      </c>
      <c r="F764" s="1" t="s">
        <v>1354</v>
      </c>
      <c r="G764" s="1" t="s">
        <v>1355</v>
      </c>
      <c r="H764" s="1" t="str">
        <f>IFERROR(__xludf.DUMMYFUNCTION("split(G764,"" "")"),"Lisa")</f>
        <v>Lisa</v>
      </c>
      <c r="I764" s="1" t="str">
        <f>IFERROR(__xludf.DUMMYFUNCTION("""COMPUTED_VALUE"""),"Hazard")</f>
        <v>Hazard</v>
      </c>
      <c r="J764" s="1" t="s">
        <v>23</v>
      </c>
      <c r="K764" s="1" t="s">
        <v>303</v>
      </c>
      <c r="L764" s="1" t="str">
        <f t="shared" si="2"/>
        <v>Columbus</v>
      </c>
      <c r="M764" s="1" t="s">
        <v>304</v>
      </c>
      <c r="N764" s="1" t="str">
        <f t="shared" si="3"/>
        <v>Ohio</v>
      </c>
      <c r="O764" s="1">
        <v>43229.0</v>
      </c>
      <c r="P764" s="1" t="s">
        <v>100</v>
      </c>
      <c r="Q764" s="1" t="s">
        <v>51</v>
      </c>
      <c r="R764" s="3">
        <v>107.982</v>
      </c>
      <c r="S764" s="1">
        <v>4.0</v>
      </c>
      <c r="T764" s="4">
        <v>107.03</v>
      </c>
    </row>
    <row r="765">
      <c r="A765" s="1" t="s">
        <v>1356</v>
      </c>
      <c r="B765" s="2">
        <v>42017.0</v>
      </c>
      <c r="C765" s="2" t="str">
        <f t="shared" si="1"/>
        <v>Jan</v>
      </c>
      <c r="D765" s="1" t="s">
        <v>1357</v>
      </c>
      <c r="E765" s="1" t="s">
        <v>20</v>
      </c>
      <c r="F765" s="1" t="s">
        <v>1358</v>
      </c>
      <c r="G765" s="1" t="s">
        <v>1359</v>
      </c>
      <c r="H765" s="1" t="str">
        <f>IFERROR(__xludf.DUMMYFUNCTION("split(G765,"" "")"),"Chris")</f>
        <v>Chris</v>
      </c>
      <c r="I765" s="1" t="str">
        <f>IFERROR(__xludf.DUMMYFUNCTION("""COMPUTED_VALUE"""),"Selesnick")</f>
        <v>Selesnick</v>
      </c>
      <c r="J765" s="1" t="s">
        <v>34</v>
      </c>
      <c r="K765" s="1" t="s">
        <v>1360</v>
      </c>
      <c r="L765" s="1" t="str">
        <f t="shared" si="2"/>
        <v>Bossier City</v>
      </c>
      <c r="M765" s="1" t="s">
        <v>430</v>
      </c>
      <c r="N765" s="1" t="str">
        <f t="shared" si="3"/>
        <v>Louisiana</v>
      </c>
      <c r="O765" s="1">
        <v>71111.0</v>
      </c>
      <c r="P765" s="1" t="s">
        <v>26</v>
      </c>
      <c r="Q765" s="1" t="s">
        <v>38</v>
      </c>
      <c r="R765" s="3">
        <v>11.36</v>
      </c>
      <c r="S765" s="1">
        <v>7.0</v>
      </c>
      <c r="T765" s="4">
        <v>10.46</v>
      </c>
    </row>
    <row r="766">
      <c r="A766" s="1" t="s">
        <v>1356</v>
      </c>
      <c r="B766" s="2">
        <v>42017.0</v>
      </c>
      <c r="C766" s="2" t="str">
        <f t="shared" si="1"/>
        <v>Jan</v>
      </c>
      <c r="D766" s="1" t="s">
        <v>1357</v>
      </c>
      <c r="E766" s="1" t="s">
        <v>20</v>
      </c>
      <c r="F766" s="1" t="s">
        <v>1358</v>
      </c>
      <c r="G766" s="1" t="s">
        <v>1359</v>
      </c>
      <c r="H766" s="1" t="str">
        <f>IFERROR(__xludf.DUMMYFUNCTION("split(G766,"" "")"),"Chris")</f>
        <v>Chris</v>
      </c>
      <c r="I766" s="1" t="str">
        <f>IFERROR(__xludf.DUMMYFUNCTION("""COMPUTED_VALUE"""),"Selesnick")</f>
        <v>Selesnick</v>
      </c>
      <c r="J766" s="1" t="s">
        <v>34</v>
      </c>
      <c r="K766" s="1" t="s">
        <v>1360</v>
      </c>
      <c r="L766" s="1" t="str">
        <f t="shared" si="2"/>
        <v>Bossier City</v>
      </c>
      <c r="M766" s="1" t="s">
        <v>430</v>
      </c>
      <c r="N766" s="1" t="str">
        <f t="shared" si="3"/>
        <v>Louisiana</v>
      </c>
      <c r="O766" s="1">
        <v>71111.0</v>
      </c>
      <c r="P766" s="1" t="s">
        <v>26</v>
      </c>
      <c r="Q766" s="1" t="s">
        <v>38</v>
      </c>
      <c r="R766" s="3">
        <v>50.94</v>
      </c>
      <c r="S766" s="1">
        <v>7.0</v>
      </c>
      <c r="T766" s="4">
        <v>50.37</v>
      </c>
    </row>
    <row r="767">
      <c r="A767" s="1" t="s">
        <v>1356</v>
      </c>
      <c r="B767" s="2">
        <v>42017.0</v>
      </c>
      <c r="C767" s="2" t="str">
        <f t="shared" si="1"/>
        <v>Jan</v>
      </c>
      <c r="D767" s="1" t="s">
        <v>1357</v>
      </c>
      <c r="E767" s="1" t="s">
        <v>20</v>
      </c>
      <c r="F767" s="1" t="s">
        <v>1358</v>
      </c>
      <c r="G767" s="1" t="s">
        <v>1359</v>
      </c>
      <c r="H767" s="1" t="str">
        <f>IFERROR(__xludf.DUMMYFUNCTION("split(G767,"" "")"),"Chris")</f>
        <v>Chris</v>
      </c>
      <c r="I767" s="1" t="str">
        <f>IFERROR(__xludf.DUMMYFUNCTION("""COMPUTED_VALUE"""),"Selesnick")</f>
        <v>Selesnick</v>
      </c>
      <c r="J767" s="1" t="s">
        <v>34</v>
      </c>
      <c r="K767" s="1" t="s">
        <v>1360</v>
      </c>
      <c r="L767" s="1" t="str">
        <f t="shared" si="2"/>
        <v>Bossier City</v>
      </c>
      <c r="M767" s="1" t="s">
        <v>430</v>
      </c>
      <c r="N767" s="1" t="str">
        <f t="shared" si="3"/>
        <v>Louisiana</v>
      </c>
      <c r="O767" s="1">
        <v>71111.0</v>
      </c>
      <c r="P767" s="1" t="s">
        <v>26</v>
      </c>
      <c r="Q767" s="1" t="s">
        <v>51</v>
      </c>
      <c r="R767" s="3">
        <v>646.74</v>
      </c>
      <c r="S767" s="1">
        <v>7.0</v>
      </c>
      <c r="T767" s="4">
        <v>646.38</v>
      </c>
    </row>
    <row r="768">
      <c r="A768" s="1" t="s">
        <v>1356</v>
      </c>
      <c r="B768" s="2">
        <v>42017.0</v>
      </c>
      <c r="C768" s="2" t="str">
        <f t="shared" si="1"/>
        <v>Jan</v>
      </c>
      <c r="D768" s="1" t="s">
        <v>1357</v>
      </c>
      <c r="E768" s="1" t="s">
        <v>20</v>
      </c>
      <c r="F768" s="1" t="s">
        <v>1358</v>
      </c>
      <c r="G768" s="1" t="s">
        <v>1359</v>
      </c>
      <c r="H768" s="1" t="str">
        <f>IFERROR(__xludf.DUMMYFUNCTION("split(G768,"" "")"),"Chris")</f>
        <v>Chris</v>
      </c>
      <c r="I768" s="1" t="str">
        <f>IFERROR(__xludf.DUMMYFUNCTION("""COMPUTED_VALUE"""),"Selesnick")</f>
        <v>Selesnick</v>
      </c>
      <c r="J768" s="1" t="s">
        <v>34</v>
      </c>
      <c r="K768" s="1" t="s">
        <v>1360</v>
      </c>
      <c r="L768" s="1" t="str">
        <f t="shared" si="2"/>
        <v>Bossier City</v>
      </c>
      <c r="M768" s="1" t="s">
        <v>430</v>
      </c>
      <c r="N768" s="1" t="str">
        <f t="shared" si="3"/>
        <v>Louisiana</v>
      </c>
      <c r="O768" s="1">
        <v>71111.0</v>
      </c>
      <c r="P768" s="1" t="s">
        <v>26</v>
      </c>
      <c r="Q768" s="1" t="s">
        <v>38</v>
      </c>
      <c r="R768" s="3">
        <v>5.64</v>
      </c>
      <c r="S768" s="1">
        <v>7.0</v>
      </c>
      <c r="T768" s="4">
        <v>4.98</v>
      </c>
    </row>
    <row r="769">
      <c r="A769" s="1" t="s">
        <v>1356</v>
      </c>
      <c r="B769" s="2">
        <v>42017.0</v>
      </c>
      <c r="C769" s="2" t="str">
        <f t="shared" si="1"/>
        <v>Jan</v>
      </c>
      <c r="D769" s="1" t="s">
        <v>1357</v>
      </c>
      <c r="E769" s="1" t="s">
        <v>20</v>
      </c>
      <c r="F769" s="1" t="s">
        <v>1358</v>
      </c>
      <c r="G769" s="1" t="s">
        <v>1359</v>
      </c>
      <c r="H769" s="1" t="str">
        <f>IFERROR(__xludf.DUMMYFUNCTION("split(G769,"" "")"),"Chris")</f>
        <v>Chris</v>
      </c>
      <c r="I769" s="1" t="str">
        <f>IFERROR(__xludf.DUMMYFUNCTION("""COMPUTED_VALUE"""),"Selesnick")</f>
        <v>Selesnick</v>
      </c>
      <c r="J769" s="1" t="s">
        <v>34</v>
      </c>
      <c r="K769" s="1" t="s">
        <v>1360</v>
      </c>
      <c r="L769" s="1" t="str">
        <f t="shared" si="2"/>
        <v>Bossier City</v>
      </c>
      <c r="M769" s="1" t="s">
        <v>430</v>
      </c>
      <c r="N769" s="1" t="str">
        <f t="shared" si="3"/>
        <v>Louisiana</v>
      </c>
      <c r="O769" s="1">
        <v>71111.0</v>
      </c>
      <c r="P769" s="1" t="s">
        <v>26</v>
      </c>
      <c r="Q769" s="1" t="s">
        <v>38</v>
      </c>
      <c r="R769" s="3">
        <v>572.58</v>
      </c>
      <c r="S769" s="1">
        <v>7.0</v>
      </c>
      <c r="T769" s="4">
        <v>572.37</v>
      </c>
    </row>
    <row r="770">
      <c r="A770" s="1" t="s">
        <v>1361</v>
      </c>
      <c r="B770" s="2">
        <v>42138.0</v>
      </c>
      <c r="C770" s="2" t="str">
        <f t="shared" si="1"/>
        <v>May</v>
      </c>
      <c r="D770" s="1" t="s">
        <v>1362</v>
      </c>
      <c r="E770" s="1" t="s">
        <v>41</v>
      </c>
      <c r="F770" s="1" t="s">
        <v>1363</v>
      </c>
      <c r="G770" s="1" t="s">
        <v>1364</v>
      </c>
      <c r="H770" s="1" t="str">
        <f>IFERROR(__xludf.DUMMYFUNCTION("split(G770,"" "")"),"Anthony")</f>
        <v>Anthony</v>
      </c>
      <c r="I770" s="1" t="str">
        <f>IFERROR(__xludf.DUMMYFUNCTION("""COMPUTED_VALUE"""),"Johnson")</f>
        <v>Johnson</v>
      </c>
      <c r="J770" s="1" t="s">
        <v>34</v>
      </c>
      <c r="K770" s="1" t="s">
        <v>642</v>
      </c>
      <c r="L770" s="1" t="str">
        <f t="shared" si="2"/>
        <v>Saint Petersburg</v>
      </c>
      <c r="M770" s="1" t="s">
        <v>145</v>
      </c>
      <c r="N770" s="1" t="str">
        <f t="shared" si="3"/>
        <v>Florida</v>
      </c>
      <c r="O770" s="1">
        <v>33710.0</v>
      </c>
      <c r="P770" s="1" t="s">
        <v>26</v>
      </c>
      <c r="Q770" s="1" t="s">
        <v>27</v>
      </c>
      <c r="R770" s="3">
        <v>310.88</v>
      </c>
      <c r="S770" s="1">
        <v>3.0</v>
      </c>
      <c r="T770" s="4">
        <v>310.63</v>
      </c>
    </row>
    <row r="771">
      <c r="A771" s="1" t="s">
        <v>1365</v>
      </c>
      <c r="B771" s="2">
        <v>42874.0</v>
      </c>
      <c r="C771" s="2" t="str">
        <f t="shared" si="1"/>
        <v>May</v>
      </c>
      <c r="D771" s="1" t="s">
        <v>1366</v>
      </c>
      <c r="E771" s="1" t="s">
        <v>41</v>
      </c>
      <c r="F771" s="1" t="s">
        <v>486</v>
      </c>
      <c r="G771" s="1" t="s">
        <v>487</v>
      </c>
      <c r="H771" s="1" t="str">
        <f>IFERROR(__xludf.DUMMYFUNCTION("split(G771,"" "")"),"Laurel")</f>
        <v>Laurel</v>
      </c>
      <c r="I771" s="1" t="str">
        <f>IFERROR(__xludf.DUMMYFUNCTION("""COMPUTED_VALUE"""),"Elliston")</f>
        <v>Elliston</v>
      </c>
      <c r="J771" s="1" t="s">
        <v>23</v>
      </c>
      <c r="K771" s="1" t="s">
        <v>628</v>
      </c>
      <c r="L771" s="1" t="str">
        <f t="shared" si="2"/>
        <v>Arlington</v>
      </c>
      <c r="M771" s="1" t="s">
        <v>198</v>
      </c>
      <c r="N771" s="1" t="str">
        <f t="shared" si="3"/>
        <v>Virginia</v>
      </c>
      <c r="O771" s="1">
        <v>22204.0</v>
      </c>
      <c r="P771" s="1" t="s">
        <v>26</v>
      </c>
      <c r="Q771" s="1" t="s">
        <v>27</v>
      </c>
      <c r="R771" s="3">
        <v>641.96</v>
      </c>
      <c r="S771" s="1">
        <v>2.0</v>
      </c>
      <c r="T771" s="4">
        <v>641.65</v>
      </c>
    </row>
    <row r="772">
      <c r="A772" s="1" t="s">
        <v>1367</v>
      </c>
      <c r="B772" s="2">
        <v>43130.0</v>
      </c>
      <c r="C772" s="2" t="str">
        <f t="shared" si="1"/>
        <v>Jan</v>
      </c>
      <c r="D772" s="6">
        <v>43222.0</v>
      </c>
      <c r="E772" s="1" t="s">
        <v>41</v>
      </c>
      <c r="F772" s="1" t="s">
        <v>1368</v>
      </c>
      <c r="G772" s="1" t="s">
        <v>1369</v>
      </c>
      <c r="H772" s="1" t="str">
        <f>IFERROR(__xludf.DUMMYFUNCTION("split(G772,"" "")"),"Benjamin")</f>
        <v>Benjamin</v>
      </c>
      <c r="I772" s="1" t="str">
        <f>IFERROR(__xludf.DUMMYFUNCTION("""COMPUTED_VALUE"""),"Venier")</f>
        <v>Venier</v>
      </c>
      <c r="J772" s="1" t="s">
        <v>34</v>
      </c>
      <c r="K772" s="1" t="s">
        <v>767</v>
      </c>
      <c r="L772" s="1" t="str">
        <f t="shared" si="2"/>
        <v>Des Moines</v>
      </c>
      <c r="M772" s="1" t="s">
        <v>298</v>
      </c>
      <c r="N772" s="1" t="str">
        <f t="shared" si="3"/>
        <v>Iowa</v>
      </c>
      <c r="O772" s="1">
        <v>50315.0</v>
      </c>
      <c r="P772" s="1" t="s">
        <v>71</v>
      </c>
      <c r="Q772" s="1" t="s">
        <v>38</v>
      </c>
      <c r="R772" s="3">
        <v>18.28</v>
      </c>
      <c r="S772" s="1">
        <v>5.0</v>
      </c>
      <c r="T772" s="4">
        <v>17.68</v>
      </c>
    </row>
    <row r="773">
      <c r="A773" s="1" t="s">
        <v>1367</v>
      </c>
      <c r="B773" s="2">
        <v>43130.0</v>
      </c>
      <c r="C773" s="2" t="str">
        <f t="shared" si="1"/>
        <v>Jan</v>
      </c>
      <c r="D773" s="6">
        <v>43222.0</v>
      </c>
      <c r="E773" s="1" t="s">
        <v>41</v>
      </c>
      <c r="F773" s="1" t="s">
        <v>1368</v>
      </c>
      <c r="G773" s="1" t="s">
        <v>1369</v>
      </c>
      <c r="H773" s="1" t="str">
        <f>IFERROR(__xludf.DUMMYFUNCTION("split(G773,"" "")"),"Benjamin")</f>
        <v>Benjamin</v>
      </c>
      <c r="I773" s="1" t="str">
        <f>IFERROR(__xludf.DUMMYFUNCTION("""COMPUTED_VALUE"""),"Venier")</f>
        <v>Venier</v>
      </c>
      <c r="J773" s="1" t="s">
        <v>34</v>
      </c>
      <c r="K773" s="1" t="s">
        <v>767</v>
      </c>
      <c r="L773" s="1" t="str">
        <f t="shared" si="2"/>
        <v>Des Moines</v>
      </c>
      <c r="M773" s="1" t="s">
        <v>298</v>
      </c>
      <c r="N773" s="1" t="str">
        <f t="shared" si="3"/>
        <v>Iowa</v>
      </c>
      <c r="O773" s="1">
        <v>50315.0</v>
      </c>
      <c r="P773" s="1" t="s">
        <v>71</v>
      </c>
      <c r="Q773" s="1" t="s">
        <v>51</v>
      </c>
      <c r="R773" s="3">
        <v>207.0</v>
      </c>
      <c r="S773" s="1">
        <v>5.0</v>
      </c>
      <c r="T773" s="4">
        <v>206.73</v>
      </c>
    </row>
    <row r="774">
      <c r="A774" s="1" t="s">
        <v>1367</v>
      </c>
      <c r="B774" s="2">
        <v>43130.0</v>
      </c>
      <c r="C774" s="2" t="str">
        <f t="shared" si="1"/>
        <v>Jan</v>
      </c>
      <c r="D774" s="6">
        <v>43222.0</v>
      </c>
      <c r="E774" s="1" t="s">
        <v>41</v>
      </c>
      <c r="F774" s="1" t="s">
        <v>1368</v>
      </c>
      <c r="G774" s="1" t="s">
        <v>1369</v>
      </c>
      <c r="H774" s="1" t="str">
        <f>IFERROR(__xludf.DUMMYFUNCTION("split(G774,"" "")"),"Benjamin")</f>
        <v>Benjamin</v>
      </c>
      <c r="I774" s="1" t="str">
        <f>IFERROR(__xludf.DUMMYFUNCTION("""COMPUTED_VALUE"""),"Venier")</f>
        <v>Venier</v>
      </c>
      <c r="J774" s="1" t="s">
        <v>34</v>
      </c>
      <c r="K774" s="1" t="s">
        <v>767</v>
      </c>
      <c r="L774" s="1" t="str">
        <f t="shared" si="2"/>
        <v>Des Moines</v>
      </c>
      <c r="M774" s="1" t="s">
        <v>298</v>
      </c>
      <c r="N774" s="1" t="str">
        <f t="shared" si="3"/>
        <v>Iowa</v>
      </c>
      <c r="O774" s="1">
        <v>50315.0</v>
      </c>
      <c r="P774" s="1" t="s">
        <v>71</v>
      </c>
      <c r="Q774" s="1" t="s">
        <v>38</v>
      </c>
      <c r="R774" s="3">
        <v>32.35</v>
      </c>
      <c r="S774" s="1">
        <v>5.0</v>
      </c>
      <c r="T774" s="4">
        <v>31.87</v>
      </c>
    </row>
    <row r="775">
      <c r="A775" s="1" t="s">
        <v>1367</v>
      </c>
      <c r="B775" s="2">
        <v>43130.0</v>
      </c>
      <c r="C775" s="2" t="str">
        <f t="shared" si="1"/>
        <v>Jan</v>
      </c>
      <c r="D775" s="6">
        <v>43222.0</v>
      </c>
      <c r="E775" s="1" t="s">
        <v>41</v>
      </c>
      <c r="F775" s="1" t="s">
        <v>1368</v>
      </c>
      <c r="G775" s="1" t="s">
        <v>1369</v>
      </c>
      <c r="H775" s="1" t="str">
        <f>IFERROR(__xludf.DUMMYFUNCTION("split(G775,"" "")"),"Benjamin")</f>
        <v>Benjamin</v>
      </c>
      <c r="I775" s="1" t="str">
        <f>IFERROR(__xludf.DUMMYFUNCTION("""COMPUTED_VALUE"""),"Venier")</f>
        <v>Venier</v>
      </c>
      <c r="J775" s="1" t="s">
        <v>34</v>
      </c>
      <c r="K775" s="1" t="s">
        <v>767</v>
      </c>
      <c r="L775" s="1" t="str">
        <f t="shared" si="2"/>
        <v>Des Moines</v>
      </c>
      <c r="M775" s="1" t="s">
        <v>298</v>
      </c>
      <c r="N775" s="1" t="str">
        <f t="shared" si="3"/>
        <v>Iowa</v>
      </c>
      <c r="O775" s="1">
        <v>50315.0</v>
      </c>
      <c r="P775" s="1" t="s">
        <v>71</v>
      </c>
      <c r="Q775" s="1" t="s">
        <v>38</v>
      </c>
      <c r="R775" s="3">
        <v>7.71</v>
      </c>
      <c r="S775" s="1">
        <v>5.0</v>
      </c>
      <c r="T775" s="4">
        <v>6.77</v>
      </c>
    </row>
    <row r="776">
      <c r="A776" s="1" t="s">
        <v>1367</v>
      </c>
      <c r="B776" s="2">
        <v>43130.0</v>
      </c>
      <c r="C776" s="2" t="str">
        <f t="shared" si="1"/>
        <v>Jan</v>
      </c>
      <c r="D776" s="6">
        <v>43222.0</v>
      </c>
      <c r="E776" s="1" t="s">
        <v>41</v>
      </c>
      <c r="F776" s="1" t="s">
        <v>1368</v>
      </c>
      <c r="G776" s="1" t="s">
        <v>1369</v>
      </c>
      <c r="H776" s="1" t="str">
        <f>IFERROR(__xludf.DUMMYFUNCTION("split(G776,"" "")"),"Benjamin")</f>
        <v>Benjamin</v>
      </c>
      <c r="I776" s="1" t="str">
        <f>IFERROR(__xludf.DUMMYFUNCTION("""COMPUTED_VALUE"""),"Venier")</f>
        <v>Venier</v>
      </c>
      <c r="J776" s="1" t="s">
        <v>34</v>
      </c>
      <c r="K776" s="1" t="s">
        <v>767</v>
      </c>
      <c r="L776" s="1" t="str">
        <f t="shared" si="2"/>
        <v>Des Moines</v>
      </c>
      <c r="M776" s="1" t="s">
        <v>298</v>
      </c>
      <c r="N776" s="1" t="str">
        <f t="shared" si="3"/>
        <v>Iowa</v>
      </c>
      <c r="O776" s="1">
        <v>50315.0</v>
      </c>
      <c r="P776" s="1" t="s">
        <v>71</v>
      </c>
      <c r="Q776" s="1" t="s">
        <v>38</v>
      </c>
      <c r="R776" s="3">
        <v>40.3</v>
      </c>
      <c r="S776" s="1">
        <v>5.0</v>
      </c>
      <c r="T776" s="4">
        <v>39.34</v>
      </c>
    </row>
    <row r="777">
      <c r="A777" s="1" t="s">
        <v>1367</v>
      </c>
      <c r="B777" s="2">
        <v>43130.0</v>
      </c>
      <c r="C777" s="2" t="str">
        <f t="shared" si="1"/>
        <v>Jan</v>
      </c>
      <c r="D777" s="6">
        <v>43222.0</v>
      </c>
      <c r="E777" s="1" t="s">
        <v>41</v>
      </c>
      <c r="F777" s="1" t="s">
        <v>1368</v>
      </c>
      <c r="G777" s="1" t="s">
        <v>1369</v>
      </c>
      <c r="H777" s="1" t="str">
        <f>IFERROR(__xludf.DUMMYFUNCTION("split(G777,"" "")"),"Benjamin")</f>
        <v>Benjamin</v>
      </c>
      <c r="I777" s="1" t="str">
        <f>IFERROR(__xludf.DUMMYFUNCTION("""COMPUTED_VALUE"""),"Venier")</f>
        <v>Venier</v>
      </c>
      <c r="J777" s="1" t="s">
        <v>34</v>
      </c>
      <c r="K777" s="1" t="s">
        <v>767</v>
      </c>
      <c r="L777" s="1" t="str">
        <f t="shared" si="2"/>
        <v>Des Moines</v>
      </c>
      <c r="M777" s="1" t="s">
        <v>298</v>
      </c>
      <c r="N777" s="1" t="str">
        <f t="shared" si="3"/>
        <v>Iowa</v>
      </c>
      <c r="O777" s="1">
        <v>50315.0</v>
      </c>
      <c r="P777" s="1" t="s">
        <v>71</v>
      </c>
      <c r="Q777" s="1" t="s">
        <v>27</v>
      </c>
      <c r="R777" s="3">
        <v>34.58</v>
      </c>
      <c r="S777" s="1">
        <v>5.0</v>
      </c>
      <c r="T777" s="4">
        <v>33.95</v>
      </c>
    </row>
    <row r="778">
      <c r="A778" s="1" t="s">
        <v>1370</v>
      </c>
      <c r="B778" s="2">
        <v>42184.0</v>
      </c>
      <c r="C778" s="2" t="str">
        <f t="shared" si="1"/>
        <v>Jun</v>
      </c>
      <c r="D778" s="6">
        <v>42162.0</v>
      </c>
      <c r="E778" s="1" t="s">
        <v>41</v>
      </c>
      <c r="F778" s="1" t="s">
        <v>1371</v>
      </c>
      <c r="G778" s="1" t="s">
        <v>1372</v>
      </c>
      <c r="H778" s="1" t="str">
        <f>IFERROR(__xludf.DUMMYFUNCTION("split(G778,"" "")"),"Dan")</f>
        <v>Dan</v>
      </c>
      <c r="I778" s="1" t="str">
        <f>IFERROR(__xludf.DUMMYFUNCTION("""COMPUTED_VALUE"""),"Lawera")</f>
        <v>Lawera</v>
      </c>
      <c r="J778" s="1" t="s">
        <v>23</v>
      </c>
      <c r="K778" s="1" t="s">
        <v>579</v>
      </c>
      <c r="L778" s="1" t="str">
        <f t="shared" si="2"/>
        <v>Cincinnati</v>
      </c>
      <c r="M778" s="1" t="s">
        <v>304</v>
      </c>
      <c r="N778" s="1" t="str">
        <f t="shared" si="3"/>
        <v>Ohio</v>
      </c>
      <c r="O778" s="1">
        <v>45231.0</v>
      </c>
      <c r="P778" s="1" t="s">
        <v>100</v>
      </c>
      <c r="Q778" s="1" t="s">
        <v>38</v>
      </c>
      <c r="R778" s="3">
        <v>32.76</v>
      </c>
      <c r="S778" s="1">
        <v>4.0</v>
      </c>
      <c r="T778" s="4">
        <v>32.5</v>
      </c>
    </row>
    <row r="779">
      <c r="A779" s="1" t="s">
        <v>1373</v>
      </c>
      <c r="B779" s="2">
        <v>42603.0</v>
      </c>
      <c r="C779" s="2" t="str">
        <f t="shared" si="1"/>
        <v>Aug</v>
      </c>
      <c r="D779" s="1" t="s">
        <v>1374</v>
      </c>
      <c r="E779" s="1" t="s">
        <v>121</v>
      </c>
      <c r="F779" s="1" t="s">
        <v>605</v>
      </c>
      <c r="G779" s="1" t="s">
        <v>606</v>
      </c>
      <c r="H779" s="1" t="str">
        <f>IFERROR(__xludf.DUMMYFUNCTION("split(G779,"" "")"),"Nick")</f>
        <v>Nick</v>
      </c>
      <c r="I779" s="1" t="str">
        <f>IFERROR(__xludf.DUMMYFUNCTION("""COMPUTED_VALUE"""),"Zandusky")</f>
        <v>Zandusky</v>
      </c>
      <c r="J779" s="1" t="s">
        <v>68</v>
      </c>
      <c r="K779" s="1" t="s">
        <v>87</v>
      </c>
      <c r="L779" s="1" t="str">
        <f t="shared" si="2"/>
        <v>San Francisco</v>
      </c>
      <c r="M779" s="1" t="s">
        <v>52</v>
      </c>
      <c r="N779" s="1" t="str">
        <f t="shared" si="3"/>
        <v>California</v>
      </c>
      <c r="O779" s="1">
        <v>94110.0</v>
      </c>
      <c r="P779" s="1" t="s">
        <v>37</v>
      </c>
      <c r="Q779" s="1" t="s">
        <v>27</v>
      </c>
      <c r="R779" s="3">
        <v>544.008</v>
      </c>
      <c r="S779" s="1">
        <v>9.0</v>
      </c>
      <c r="T779" s="4">
        <v>543.32</v>
      </c>
    </row>
    <row r="780">
      <c r="A780" s="1" t="s">
        <v>1373</v>
      </c>
      <c r="B780" s="2">
        <v>42603.0</v>
      </c>
      <c r="C780" s="2" t="str">
        <f t="shared" si="1"/>
        <v>Aug</v>
      </c>
      <c r="D780" s="1" t="s">
        <v>1374</v>
      </c>
      <c r="E780" s="1" t="s">
        <v>121</v>
      </c>
      <c r="F780" s="1" t="s">
        <v>605</v>
      </c>
      <c r="G780" s="1" t="s">
        <v>606</v>
      </c>
      <c r="H780" s="1" t="str">
        <f>IFERROR(__xludf.DUMMYFUNCTION("split(G780,"" "")"),"Nick")</f>
        <v>Nick</v>
      </c>
      <c r="I780" s="1" t="str">
        <f>IFERROR(__xludf.DUMMYFUNCTION("""COMPUTED_VALUE"""),"Zandusky")</f>
        <v>Zandusky</v>
      </c>
      <c r="J780" s="1" t="s">
        <v>68</v>
      </c>
      <c r="K780" s="1" t="s">
        <v>87</v>
      </c>
      <c r="L780" s="1" t="str">
        <f t="shared" si="2"/>
        <v>San Francisco</v>
      </c>
      <c r="M780" s="1" t="s">
        <v>52</v>
      </c>
      <c r="N780" s="1" t="str">
        <f t="shared" si="3"/>
        <v>California</v>
      </c>
      <c r="O780" s="1">
        <v>94110.0</v>
      </c>
      <c r="P780" s="1" t="s">
        <v>37</v>
      </c>
      <c r="Q780" s="1" t="s">
        <v>38</v>
      </c>
      <c r="R780" s="3">
        <v>59.94</v>
      </c>
      <c r="S780" s="1">
        <v>9.0</v>
      </c>
      <c r="T780" s="4">
        <v>59.49</v>
      </c>
    </row>
    <row r="781">
      <c r="A781" s="1" t="s">
        <v>1373</v>
      </c>
      <c r="B781" s="2">
        <v>42603.0</v>
      </c>
      <c r="C781" s="2" t="str">
        <f t="shared" si="1"/>
        <v>Aug</v>
      </c>
      <c r="D781" s="1" t="s">
        <v>1374</v>
      </c>
      <c r="E781" s="1" t="s">
        <v>121</v>
      </c>
      <c r="F781" s="1" t="s">
        <v>605</v>
      </c>
      <c r="G781" s="1" t="s">
        <v>606</v>
      </c>
      <c r="H781" s="1" t="str">
        <f>IFERROR(__xludf.DUMMYFUNCTION("split(G781,"" "")"),"Nick")</f>
        <v>Nick</v>
      </c>
      <c r="I781" s="1" t="str">
        <f>IFERROR(__xludf.DUMMYFUNCTION("""COMPUTED_VALUE"""),"Zandusky")</f>
        <v>Zandusky</v>
      </c>
      <c r="J781" s="1" t="s">
        <v>68</v>
      </c>
      <c r="K781" s="1" t="s">
        <v>87</v>
      </c>
      <c r="L781" s="1" t="str">
        <f t="shared" si="2"/>
        <v>San Francisco</v>
      </c>
      <c r="M781" s="1" t="s">
        <v>52</v>
      </c>
      <c r="N781" s="1" t="str">
        <f t="shared" si="3"/>
        <v>California</v>
      </c>
      <c r="O781" s="1">
        <v>94110.0</v>
      </c>
      <c r="P781" s="1" t="s">
        <v>37</v>
      </c>
      <c r="Q781" s="1" t="s">
        <v>38</v>
      </c>
      <c r="R781" s="3">
        <v>23.92</v>
      </c>
      <c r="S781" s="1">
        <v>9.0</v>
      </c>
      <c r="T781" s="4">
        <v>23.61</v>
      </c>
    </row>
    <row r="782">
      <c r="A782" s="1" t="s">
        <v>1373</v>
      </c>
      <c r="B782" s="2">
        <v>42603.0</v>
      </c>
      <c r="C782" s="2" t="str">
        <f t="shared" si="1"/>
        <v>Aug</v>
      </c>
      <c r="D782" s="1" t="s">
        <v>1374</v>
      </c>
      <c r="E782" s="1" t="s">
        <v>121</v>
      </c>
      <c r="F782" s="1" t="s">
        <v>605</v>
      </c>
      <c r="G782" s="1" t="s">
        <v>606</v>
      </c>
      <c r="H782" s="1" t="str">
        <f>IFERROR(__xludf.DUMMYFUNCTION("split(G782,"" "")"),"Nick")</f>
        <v>Nick</v>
      </c>
      <c r="I782" s="1" t="str">
        <f>IFERROR(__xludf.DUMMYFUNCTION("""COMPUTED_VALUE"""),"Zandusky")</f>
        <v>Zandusky</v>
      </c>
      <c r="J782" s="1" t="s">
        <v>68</v>
      </c>
      <c r="K782" s="1" t="s">
        <v>87</v>
      </c>
      <c r="L782" s="1" t="str">
        <f t="shared" si="2"/>
        <v>San Francisco</v>
      </c>
      <c r="M782" s="1" t="s">
        <v>52</v>
      </c>
      <c r="N782" s="1" t="str">
        <f t="shared" si="3"/>
        <v>California</v>
      </c>
      <c r="O782" s="1">
        <v>94110.0</v>
      </c>
      <c r="P782" s="1" t="s">
        <v>37</v>
      </c>
      <c r="Q782" s="1" t="s">
        <v>38</v>
      </c>
      <c r="R782" s="3">
        <v>4.28</v>
      </c>
      <c r="S782" s="1">
        <v>9.0</v>
      </c>
      <c r="T782" s="4">
        <v>4.07</v>
      </c>
    </row>
    <row r="783">
      <c r="A783" s="1" t="s">
        <v>1375</v>
      </c>
      <c r="B783" s="2">
        <v>42439.0</v>
      </c>
      <c r="C783" s="2" t="str">
        <f t="shared" si="1"/>
        <v>Mar</v>
      </c>
      <c r="D783" s="6">
        <v>42531.0</v>
      </c>
      <c r="E783" s="1" t="s">
        <v>20</v>
      </c>
      <c r="F783" s="1" t="s">
        <v>1376</v>
      </c>
      <c r="G783" s="1" t="s">
        <v>1377</v>
      </c>
      <c r="H783" s="1" t="str">
        <f>IFERROR(__xludf.DUMMYFUNCTION("split(G783,"" "")"),"Bryan")</f>
        <v>Bryan</v>
      </c>
      <c r="I783" s="1" t="str">
        <f>IFERROR(__xludf.DUMMYFUNCTION("""COMPUTED_VALUE"""),"Mills")</f>
        <v>Mills</v>
      </c>
      <c r="J783" s="1" t="s">
        <v>23</v>
      </c>
      <c r="K783" s="1" t="s">
        <v>303</v>
      </c>
      <c r="L783" s="1" t="str">
        <f t="shared" si="2"/>
        <v>Columbus</v>
      </c>
      <c r="M783" s="1" t="s">
        <v>304</v>
      </c>
      <c r="N783" s="1" t="str">
        <f t="shared" si="3"/>
        <v>Ohio</v>
      </c>
      <c r="O783" s="1">
        <v>43229.0</v>
      </c>
      <c r="P783" s="1" t="s">
        <v>100</v>
      </c>
      <c r="Q783" s="1" t="s">
        <v>38</v>
      </c>
      <c r="R783" s="3">
        <v>32.07</v>
      </c>
      <c r="S783" s="1">
        <v>4.0</v>
      </c>
      <c r="T783" s="4">
        <v>31.46</v>
      </c>
    </row>
    <row r="784">
      <c r="A784" s="1" t="s">
        <v>1375</v>
      </c>
      <c r="B784" s="2">
        <v>42439.0</v>
      </c>
      <c r="C784" s="2" t="str">
        <f t="shared" si="1"/>
        <v>Mar</v>
      </c>
      <c r="D784" s="6">
        <v>42531.0</v>
      </c>
      <c r="E784" s="1" t="s">
        <v>20</v>
      </c>
      <c r="F784" s="1" t="s">
        <v>1376</v>
      </c>
      <c r="G784" s="1" t="s">
        <v>1377</v>
      </c>
      <c r="H784" s="1" t="str">
        <f>IFERROR(__xludf.DUMMYFUNCTION("split(G784,"" "")"),"Bryan")</f>
        <v>Bryan</v>
      </c>
      <c r="I784" s="1" t="str">
        <f>IFERROR(__xludf.DUMMYFUNCTION("""COMPUTED_VALUE"""),"Mills")</f>
        <v>Mills</v>
      </c>
      <c r="J784" s="1" t="s">
        <v>23</v>
      </c>
      <c r="K784" s="1" t="s">
        <v>303</v>
      </c>
      <c r="L784" s="1" t="str">
        <f t="shared" si="2"/>
        <v>Columbus</v>
      </c>
      <c r="M784" s="1" t="s">
        <v>304</v>
      </c>
      <c r="N784" s="1" t="str">
        <f t="shared" si="3"/>
        <v>Ohio</v>
      </c>
      <c r="O784" s="1">
        <v>43229.0</v>
      </c>
      <c r="P784" s="1" t="s">
        <v>100</v>
      </c>
      <c r="Q784" s="1" t="s">
        <v>51</v>
      </c>
      <c r="R784" s="3">
        <v>24.0</v>
      </c>
      <c r="S784" s="1">
        <v>4.0</v>
      </c>
      <c r="T784" s="4">
        <v>23.28</v>
      </c>
    </row>
    <row r="785">
      <c r="A785" s="1" t="s">
        <v>1375</v>
      </c>
      <c r="B785" s="2">
        <v>42439.0</v>
      </c>
      <c r="C785" s="2" t="str">
        <f t="shared" si="1"/>
        <v>Mar</v>
      </c>
      <c r="D785" s="6">
        <v>42531.0</v>
      </c>
      <c r="E785" s="1" t="s">
        <v>20</v>
      </c>
      <c r="F785" s="1" t="s">
        <v>1376</v>
      </c>
      <c r="G785" s="1" t="s">
        <v>1377</v>
      </c>
      <c r="H785" s="1" t="str">
        <f>IFERROR(__xludf.DUMMYFUNCTION("split(G785,"" "")"),"Bryan")</f>
        <v>Bryan</v>
      </c>
      <c r="I785" s="1" t="str">
        <f>IFERROR(__xludf.DUMMYFUNCTION("""COMPUTED_VALUE"""),"Mills")</f>
        <v>Mills</v>
      </c>
      <c r="J785" s="1" t="s">
        <v>23</v>
      </c>
      <c r="K785" s="1" t="s">
        <v>303</v>
      </c>
      <c r="L785" s="1" t="str">
        <f t="shared" si="2"/>
        <v>Columbus</v>
      </c>
      <c r="M785" s="1" t="s">
        <v>304</v>
      </c>
      <c r="N785" s="1" t="str">
        <f t="shared" si="3"/>
        <v>Ohio</v>
      </c>
      <c r="O785" s="1">
        <v>43229.0</v>
      </c>
      <c r="P785" s="1" t="s">
        <v>100</v>
      </c>
      <c r="Q785" s="1" t="s">
        <v>27</v>
      </c>
      <c r="R785" s="3">
        <v>35.49</v>
      </c>
      <c r="S785" s="1">
        <v>4.0</v>
      </c>
      <c r="T785" s="4">
        <v>34.93</v>
      </c>
    </row>
    <row r="786">
      <c r="A786" s="1" t="s">
        <v>1375</v>
      </c>
      <c r="B786" s="2">
        <v>42439.0</v>
      </c>
      <c r="C786" s="2" t="str">
        <f t="shared" si="1"/>
        <v>Mar</v>
      </c>
      <c r="D786" s="6">
        <v>42531.0</v>
      </c>
      <c r="E786" s="1" t="s">
        <v>20</v>
      </c>
      <c r="F786" s="1" t="s">
        <v>1376</v>
      </c>
      <c r="G786" s="1" t="s">
        <v>1377</v>
      </c>
      <c r="H786" s="1" t="str">
        <f>IFERROR(__xludf.DUMMYFUNCTION("split(G786,"" "")"),"Bryan")</f>
        <v>Bryan</v>
      </c>
      <c r="I786" s="1" t="str">
        <f>IFERROR(__xludf.DUMMYFUNCTION("""COMPUTED_VALUE"""),"Mills")</f>
        <v>Mills</v>
      </c>
      <c r="J786" s="1" t="s">
        <v>23</v>
      </c>
      <c r="K786" s="1" t="s">
        <v>303</v>
      </c>
      <c r="L786" s="1" t="str">
        <f t="shared" si="2"/>
        <v>Columbus</v>
      </c>
      <c r="M786" s="1" t="s">
        <v>304</v>
      </c>
      <c r="N786" s="1" t="str">
        <f t="shared" si="3"/>
        <v>Ohio</v>
      </c>
      <c r="O786" s="1">
        <v>43229.0</v>
      </c>
      <c r="P786" s="1" t="s">
        <v>100</v>
      </c>
      <c r="Q786" s="1" t="s">
        <v>51</v>
      </c>
      <c r="R786" s="3">
        <v>47.984</v>
      </c>
      <c r="S786" s="1">
        <v>4.0</v>
      </c>
      <c r="T786" s="4">
        <v>46.99</v>
      </c>
    </row>
    <row r="787">
      <c r="A787" s="1" t="s">
        <v>1378</v>
      </c>
      <c r="B787" s="2">
        <v>42513.0</v>
      </c>
      <c r="C787" s="2" t="str">
        <f t="shared" si="1"/>
        <v>May</v>
      </c>
      <c r="D787" s="1" t="s">
        <v>1379</v>
      </c>
      <c r="E787" s="1" t="s">
        <v>41</v>
      </c>
      <c r="F787" s="1" t="s">
        <v>519</v>
      </c>
      <c r="G787" s="1" t="s">
        <v>520</v>
      </c>
      <c r="H787" s="1" t="str">
        <f>IFERROR(__xludf.DUMMYFUNCTION("split(G787,"" "")"),"Erin")</f>
        <v>Erin</v>
      </c>
      <c r="I787" s="1" t="str">
        <f>IFERROR(__xludf.DUMMYFUNCTION("""COMPUTED_VALUE"""),"Ashbrook")</f>
        <v>Ashbrook</v>
      </c>
      <c r="J787" s="1" t="s">
        <v>34</v>
      </c>
      <c r="K787" s="1" t="s">
        <v>235</v>
      </c>
      <c r="L787" s="1" t="str">
        <f t="shared" si="2"/>
        <v>Columbia</v>
      </c>
      <c r="M787" s="1" t="s">
        <v>236</v>
      </c>
      <c r="N787" s="1" t="str">
        <f t="shared" si="3"/>
        <v>South Carolina</v>
      </c>
      <c r="O787" s="1">
        <v>29203.0</v>
      </c>
      <c r="P787" s="1" t="s">
        <v>26</v>
      </c>
      <c r="Q787" s="1" t="s">
        <v>38</v>
      </c>
      <c r="R787" s="3">
        <v>186.69</v>
      </c>
      <c r="S787" s="1">
        <v>2.0</v>
      </c>
      <c r="T787" s="4">
        <v>185.95</v>
      </c>
    </row>
    <row r="788">
      <c r="A788" s="1" t="s">
        <v>1380</v>
      </c>
      <c r="B788" s="2">
        <v>43176.0</v>
      </c>
      <c r="C788" s="2" t="str">
        <f t="shared" si="1"/>
        <v>Mar</v>
      </c>
      <c r="D788" s="1" t="s">
        <v>1381</v>
      </c>
      <c r="E788" s="1" t="s">
        <v>20</v>
      </c>
      <c r="F788" s="1" t="s">
        <v>295</v>
      </c>
      <c r="G788" s="1" t="s">
        <v>296</v>
      </c>
      <c r="H788" s="1" t="str">
        <f>IFERROR(__xludf.DUMMYFUNCTION("split(G788,"" "")"),"Clay")</f>
        <v>Clay</v>
      </c>
      <c r="I788" s="1" t="str">
        <f>IFERROR(__xludf.DUMMYFUNCTION("""COMPUTED_VALUE"""),"Ludtke")</f>
        <v>Ludtke</v>
      </c>
      <c r="J788" s="1" t="s">
        <v>23</v>
      </c>
      <c r="K788" s="1" t="s">
        <v>1382</v>
      </c>
      <c r="L788" s="1" t="str">
        <f t="shared" si="2"/>
        <v>Lancaster</v>
      </c>
      <c r="M788" s="1" t="s">
        <v>52</v>
      </c>
      <c r="N788" s="1" t="str">
        <f t="shared" si="3"/>
        <v>California</v>
      </c>
      <c r="O788" s="1">
        <v>93534.0</v>
      </c>
      <c r="P788" s="1" t="s">
        <v>37</v>
      </c>
      <c r="Q788" s="1" t="s">
        <v>38</v>
      </c>
      <c r="R788" s="3">
        <v>17.456</v>
      </c>
      <c r="S788" s="1">
        <v>9.0</v>
      </c>
      <c r="T788" s="4">
        <v>16.96</v>
      </c>
    </row>
    <row r="789">
      <c r="A789" s="1" t="s">
        <v>1383</v>
      </c>
      <c r="B789" s="2">
        <v>42716.0</v>
      </c>
      <c r="C789" s="2" t="str">
        <f t="shared" si="1"/>
        <v>Dec</v>
      </c>
      <c r="D789" s="1" t="s">
        <v>1384</v>
      </c>
      <c r="E789" s="1" t="s">
        <v>41</v>
      </c>
      <c r="F789" s="1" t="s">
        <v>1385</v>
      </c>
      <c r="G789" s="1" t="s">
        <v>1386</v>
      </c>
      <c r="H789" s="1" t="str">
        <f>IFERROR(__xludf.DUMMYFUNCTION("split(G789,"" "")"),"Liz")</f>
        <v>Liz</v>
      </c>
      <c r="I789" s="1" t="str">
        <f>IFERROR(__xludf.DUMMYFUNCTION("""COMPUTED_VALUE"""),"Thompson")</f>
        <v>Thompson</v>
      </c>
      <c r="J789" s="1" t="s">
        <v>23</v>
      </c>
      <c r="K789" s="1" t="s">
        <v>1382</v>
      </c>
      <c r="L789" s="1" t="str">
        <f t="shared" si="2"/>
        <v>Lancaster</v>
      </c>
      <c r="M789" s="1" t="s">
        <v>52</v>
      </c>
      <c r="N789" s="1" t="str">
        <f t="shared" si="3"/>
        <v>California</v>
      </c>
      <c r="O789" s="1">
        <v>93534.0</v>
      </c>
      <c r="P789" s="1" t="s">
        <v>37</v>
      </c>
      <c r="Q789" s="1" t="s">
        <v>27</v>
      </c>
      <c r="R789" s="3">
        <v>348.928</v>
      </c>
      <c r="S789" s="1">
        <v>9.0</v>
      </c>
      <c r="T789" s="4">
        <v>348.61</v>
      </c>
    </row>
    <row r="790">
      <c r="A790" s="1" t="s">
        <v>1387</v>
      </c>
      <c r="B790" s="2">
        <v>42547.0</v>
      </c>
      <c r="C790" s="2" t="str">
        <f t="shared" si="1"/>
        <v>Jun</v>
      </c>
      <c r="D790" s="1" t="s">
        <v>1388</v>
      </c>
      <c r="E790" s="1" t="s">
        <v>41</v>
      </c>
      <c r="F790" s="1" t="s">
        <v>920</v>
      </c>
      <c r="G790" s="1" t="s">
        <v>921</v>
      </c>
      <c r="H790" s="1" t="s">
        <v>922</v>
      </c>
      <c r="I790" s="1" t="s">
        <v>923</v>
      </c>
      <c r="J790" s="1" t="s">
        <v>23</v>
      </c>
      <c r="K790" s="1" t="s">
        <v>814</v>
      </c>
      <c r="L790" s="1" t="str">
        <f t="shared" si="2"/>
        <v>Richmond</v>
      </c>
      <c r="M790" s="1" t="s">
        <v>198</v>
      </c>
      <c r="N790" s="1" t="str">
        <f t="shared" si="3"/>
        <v>Virginia</v>
      </c>
      <c r="O790" s="1">
        <v>23223.0</v>
      </c>
      <c r="P790" s="1" t="s">
        <v>26</v>
      </c>
      <c r="Q790" s="1" t="s">
        <v>38</v>
      </c>
      <c r="R790" s="3">
        <v>143.96</v>
      </c>
      <c r="S790" s="1">
        <v>2.0</v>
      </c>
      <c r="T790" s="4">
        <v>143.01</v>
      </c>
    </row>
    <row r="791">
      <c r="A791" s="1" t="s">
        <v>1387</v>
      </c>
      <c r="B791" s="2">
        <v>42547.0</v>
      </c>
      <c r="C791" s="2" t="str">
        <f t="shared" si="1"/>
        <v>Jun</v>
      </c>
      <c r="D791" s="1" t="s">
        <v>1388</v>
      </c>
      <c r="E791" s="1" t="s">
        <v>41</v>
      </c>
      <c r="F791" s="1" t="s">
        <v>920</v>
      </c>
      <c r="G791" s="1" t="s">
        <v>921</v>
      </c>
      <c r="H791" s="1" t="s">
        <v>922</v>
      </c>
      <c r="I791" s="1" t="s">
        <v>923</v>
      </c>
      <c r="J791" s="1" t="s">
        <v>23</v>
      </c>
      <c r="K791" s="1" t="s">
        <v>814</v>
      </c>
      <c r="L791" s="1" t="str">
        <f t="shared" si="2"/>
        <v>Richmond</v>
      </c>
      <c r="M791" s="1" t="s">
        <v>198</v>
      </c>
      <c r="N791" s="1" t="str">
        <f t="shared" si="3"/>
        <v>Virginia</v>
      </c>
      <c r="O791" s="1">
        <v>23223.0</v>
      </c>
      <c r="P791" s="1" t="s">
        <v>26</v>
      </c>
      <c r="Q791" s="1" t="s">
        <v>38</v>
      </c>
      <c r="R791" s="3">
        <v>15.42</v>
      </c>
      <c r="S791" s="1">
        <v>2.0</v>
      </c>
      <c r="T791" s="4">
        <v>14.8</v>
      </c>
    </row>
    <row r="792">
      <c r="A792" s="1" t="s">
        <v>1387</v>
      </c>
      <c r="B792" s="2">
        <v>42547.0</v>
      </c>
      <c r="C792" s="2" t="str">
        <f t="shared" si="1"/>
        <v>Jun</v>
      </c>
      <c r="D792" s="1" t="s">
        <v>1388</v>
      </c>
      <c r="E792" s="1" t="s">
        <v>41</v>
      </c>
      <c r="F792" s="1" t="s">
        <v>920</v>
      </c>
      <c r="G792" s="1" t="s">
        <v>921</v>
      </c>
      <c r="H792" s="1" t="s">
        <v>922</v>
      </c>
      <c r="I792" s="1" t="s">
        <v>923</v>
      </c>
      <c r="J792" s="1" t="s">
        <v>23</v>
      </c>
      <c r="K792" s="1" t="s">
        <v>814</v>
      </c>
      <c r="L792" s="1" t="str">
        <f t="shared" si="2"/>
        <v>Richmond</v>
      </c>
      <c r="M792" s="1" t="s">
        <v>198</v>
      </c>
      <c r="N792" s="1" t="str">
        <f t="shared" si="3"/>
        <v>Virginia</v>
      </c>
      <c r="O792" s="1">
        <v>23223.0</v>
      </c>
      <c r="P792" s="1" t="s">
        <v>26</v>
      </c>
      <c r="Q792" s="1" t="s">
        <v>38</v>
      </c>
      <c r="R792" s="3">
        <v>43.04</v>
      </c>
      <c r="S792" s="1">
        <v>2.0</v>
      </c>
      <c r="T792" s="4">
        <v>42.63</v>
      </c>
    </row>
    <row r="793">
      <c r="A793" s="1" t="s">
        <v>1387</v>
      </c>
      <c r="B793" s="2">
        <v>42547.0</v>
      </c>
      <c r="C793" s="2" t="str">
        <f t="shared" si="1"/>
        <v>Jun</v>
      </c>
      <c r="D793" s="1" t="s">
        <v>1388</v>
      </c>
      <c r="E793" s="1" t="s">
        <v>41</v>
      </c>
      <c r="F793" s="1" t="s">
        <v>920</v>
      </c>
      <c r="G793" s="1" t="s">
        <v>921</v>
      </c>
      <c r="H793" s="1" t="s">
        <v>922</v>
      </c>
      <c r="I793" s="7" t="s">
        <v>923</v>
      </c>
      <c r="J793" s="1" t="s">
        <v>23</v>
      </c>
      <c r="K793" s="1" t="s">
        <v>814</v>
      </c>
      <c r="L793" s="1" t="str">
        <f t="shared" si="2"/>
        <v>Richmond</v>
      </c>
      <c r="M793" s="1" t="s">
        <v>198</v>
      </c>
      <c r="N793" s="1" t="str">
        <f t="shared" si="3"/>
        <v>Virginia</v>
      </c>
      <c r="O793" s="1">
        <v>23223.0</v>
      </c>
      <c r="P793" s="1" t="s">
        <v>26</v>
      </c>
      <c r="Q793" s="1" t="s">
        <v>27</v>
      </c>
      <c r="R793" s="3">
        <v>332.94</v>
      </c>
      <c r="S793" s="1">
        <v>2.0</v>
      </c>
      <c r="T793" s="4">
        <v>332.22</v>
      </c>
    </row>
    <row r="794">
      <c r="A794" s="1" t="s">
        <v>1389</v>
      </c>
      <c r="B794" s="2">
        <v>42875.0</v>
      </c>
      <c r="C794" s="2" t="str">
        <f t="shared" si="1"/>
        <v>May</v>
      </c>
      <c r="D794" s="1" t="s">
        <v>1390</v>
      </c>
      <c r="E794" s="1" t="s">
        <v>717</v>
      </c>
      <c r="F794" s="1" t="s">
        <v>1391</v>
      </c>
      <c r="G794" s="1" t="s">
        <v>1392</v>
      </c>
      <c r="H794" s="1" t="str">
        <f>IFERROR(__xludf.DUMMYFUNCTION("split(G794,"" "")"),"Joe")</f>
        <v>Joe</v>
      </c>
      <c r="I794" s="1" t="str">
        <f>IFERROR(__xludf.DUMMYFUNCTION("""COMPUTED_VALUE"""),"Kamberova")</f>
        <v>Kamberova</v>
      </c>
      <c r="J794" s="1" t="s">
        <v>23</v>
      </c>
      <c r="K794" s="1" t="s">
        <v>1393</v>
      </c>
      <c r="L794" s="1" t="str">
        <f t="shared" si="2"/>
        <v>Asheville</v>
      </c>
      <c r="M794" s="1" t="s">
        <v>58</v>
      </c>
      <c r="N794" s="1" t="str">
        <f t="shared" si="3"/>
        <v>North Carolina</v>
      </c>
      <c r="O794" s="1">
        <v>28806.0</v>
      </c>
      <c r="P794" s="1" t="s">
        <v>26</v>
      </c>
      <c r="Q794" s="1" t="s">
        <v>51</v>
      </c>
      <c r="R794" s="3">
        <v>1363.96</v>
      </c>
      <c r="S794" s="1">
        <v>2.0</v>
      </c>
      <c r="T794" s="4">
        <v>1363.48</v>
      </c>
    </row>
    <row r="795">
      <c r="A795" s="1" t="s">
        <v>1394</v>
      </c>
      <c r="B795" s="2">
        <v>42267.0</v>
      </c>
      <c r="C795" s="2" t="str">
        <f t="shared" si="1"/>
        <v>Sep</v>
      </c>
      <c r="D795" s="1" t="s">
        <v>1395</v>
      </c>
      <c r="E795" s="1" t="s">
        <v>41</v>
      </c>
      <c r="F795" s="1" t="s">
        <v>1396</v>
      </c>
      <c r="G795" s="1" t="s">
        <v>1397</v>
      </c>
      <c r="H795" s="1" t="str">
        <f>IFERROR(__xludf.DUMMYFUNCTION("split(G795,"" "")"),"Erica")</f>
        <v>Erica</v>
      </c>
      <c r="I795" s="1" t="str">
        <f>IFERROR(__xludf.DUMMYFUNCTION("""COMPUTED_VALUE"""),"Smith")</f>
        <v>Smith</v>
      </c>
      <c r="J795" s="1" t="s">
        <v>23</v>
      </c>
      <c r="K795" s="1" t="s">
        <v>87</v>
      </c>
      <c r="L795" s="1" t="str">
        <f t="shared" si="2"/>
        <v>San Francisco</v>
      </c>
      <c r="M795" s="1" t="s">
        <v>52</v>
      </c>
      <c r="N795" s="1" t="str">
        <f t="shared" si="3"/>
        <v>California</v>
      </c>
      <c r="O795" s="1">
        <v>94110.0</v>
      </c>
      <c r="P795" s="1" t="s">
        <v>37</v>
      </c>
      <c r="Q795" s="1" t="s">
        <v>38</v>
      </c>
      <c r="R795" s="3">
        <v>9.96</v>
      </c>
      <c r="S795" s="1">
        <v>9.0</v>
      </c>
      <c r="T795" s="4">
        <v>8.97</v>
      </c>
    </row>
    <row r="796">
      <c r="A796" s="1" t="s">
        <v>1394</v>
      </c>
      <c r="B796" s="2">
        <v>42267.0</v>
      </c>
      <c r="C796" s="2" t="str">
        <f t="shared" si="1"/>
        <v>Sep</v>
      </c>
      <c r="D796" s="1" t="s">
        <v>1395</v>
      </c>
      <c r="E796" s="1" t="s">
        <v>41</v>
      </c>
      <c r="F796" s="1" t="s">
        <v>1396</v>
      </c>
      <c r="G796" s="1" t="s">
        <v>1397</v>
      </c>
      <c r="H796" s="1" t="str">
        <f>IFERROR(__xludf.DUMMYFUNCTION("split(G796,"" "")"),"Erica")</f>
        <v>Erica</v>
      </c>
      <c r="I796" s="1" t="str">
        <f>IFERROR(__xludf.DUMMYFUNCTION("""COMPUTED_VALUE"""),"Smith")</f>
        <v>Smith</v>
      </c>
      <c r="J796" s="1" t="s">
        <v>23</v>
      </c>
      <c r="K796" s="1" t="s">
        <v>87</v>
      </c>
      <c r="L796" s="1" t="str">
        <f t="shared" si="2"/>
        <v>San Francisco</v>
      </c>
      <c r="M796" s="1" t="s">
        <v>52</v>
      </c>
      <c r="N796" s="1" t="str">
        <f t="shared" si="3"/>
        <v>California</v>
      </c>
      <c r="O796" s="1">
        <v>94110.0</v>
      </c>
      <c r="P796" s="1" t="s">
        <v>37</v>
      </c>
      <c r="Q796" s="1" t="s">
        <v>38</v>
      </c>
      <c r="R796" s="3">
        <v>21.72</v>
      </c>
      <c r="S796" s="1">
        <v>9.0</v>
      </c>
      <c r="T796" s="4">
        <v>21.3</v>
      </c>
    </row>
    <row r="797">
      <c r="A797" s="1" t="s">
        <v>1398</v>
      </c>
      <c r="B797" s="2">
        <v>43364.0</v>
      </c>
      <c r="C797" s="2" t="str">
        <f t="shared" si="1"/>
        <v>Sep</v>
      </c>
      <c r="D797" s="1" t="s">
        <v>1155</v>
      </c>
      <c r="E797" s="1" t="s">
        <v>41</v>
      </c>
      <c r="F797" s="1" t="s">
        <v>1399</v>
      </c>
      <c r="G797" s="1" t="s">
        <v>1400</v>
      </c>
      <c r="H797" s="1" t="str">
        <f>IFERROR(__xludf.DUMMYFUNCTION("split(G797,"" "")"),"Rick")</f>
        <v>Rick</v>
      </c>
      <c r="I797" s="1" t="str">
        <f>IFERROR(__xludf.DUMMYFUNCTION("""COMPUTED_VALUE"""),"Hansen")</f>
        <v>Hansen</v>
      </c>
      <c r="J797" s="1" t="s">
        <v>23</v>
      </c>
      <c r="K797" s="1" t="s">
        <v>240</v>
      </c>
      <c r="L797" s="1" t="str">
        <f t="shared" si="2"/>
        <v>Rochester</v>
      </c>
      <c r="M797" s="1" t="s">
        <v>151</v>
      </c>
      <c r="N797" s="1" t="str">
        <f t="shared" si="3"/>
        <v>Minnesota</v>
      </c>
      <c r="O797" s="1">
        <v>55901.0</v>
      </c>
      <c r="P797" s="1" t="s">
        <v>71</v>
      </c>
      <c r="Q797" s="1" t="s">
        <v>38</v>
      </c>
      <c r="R797" s="3">
        <v>20.16</v>
      </c>
      <c r="S797" s="1">
        <v>5.0</v>
      </c>
      <c r="T797" s="4">
        <v>20.03</v>
      </c>
    </row>
    <row r="798">
      <c r="A798" s="1" t="s">
        <v>1401</v>
      </c>
      <c r="B798" s="2">
        <v>42728.0</v>
      </c>
      <c r="C798" s="2" t="str">
        <f t="shared" si="1"/>
        <v>Dec</v>
      </c>
      <c r="D798" s="1" t="s">
        <v>1402</v>
      </c>
      <c r="E798" s="1" t="s">
        <v>121</v>
      </c>
      <c r="F798" s="1" t="s">
        <v>524</v>
      </c>
      <c r="G798" s="1" t="s">
        <v>525</v>
      </c>
      <c r="H798" s="1" t="str">
        <f>IFERROR(__xludf.DUMMYFUNCTION("split(G798,"" "")"),"David")</f>
        <v>David</v>
      </c>
      <c r="I798" s="1" t="str">
        <f>IFERROR(__xludf.DUMMYFUNCTION("""COMPUTED_VALUE"""),"Bremer")</f>
        <v>Bremer</v>
      </c>
      <c r="J798" s="1" t="s">
        <v>34</v>
      </c>
      <c r="K798" s="1" t="s">
        <v>240</v>
      </c>
      <c r="L798" s="1" t="str">
        <f t="shared" si="2"/>
        <v>Rochester</v>
      </c>
      <c r="M798" s="1" t="s">
        <v>175</v>
      </c>
      <c r="N798" s="1" t="str">
        <f t="shared" si="3"/>
        <v>New York</v>
      </c>
      <c r="O798" s="1">
        <v>14609.0</v>
      </c>
      <c r="P798" s="1" t="s">
        <v>100</v>
      </c>
      <c r="Q798" s="1" t="s">
        <v>38</v>
      </c>
      <c r="R798" s="3">
        <v>132.79</v>
      </c>
      <c r="S798" s="1">
        <v>1.0</v>
      </c>
      <c r="T798" s="4">
        <v>132.09</v>
      </c>
    </row>
    <row r="799">
      <c r="A799" s="1" t="s">
        <v>1401</v>
      </c>
      <c r="B799" s="2">
        <v>42728.0</v>
      </c>
      <c r="C799" s="2" t="str">
        <f t="shared" si="1"/>
        <v>Dec</v>
      </c>
      <c r="D799" s="1" t="s">
        <v>1402</v>
      </c>
      <c r="E799" s="1" t="s">
        <v>121</v>
      </c>
      <c r="F799" s="1" t="s">
        <v>524</v>
      </c>
      <c r="G799" s="1" t="s">
        <v>525</v>
      </c>
      <c r="H799" s="1" t="str">
        <f>IFERROR(__xludf.DUMMYFUNCTION("split(G799,"" "")"),"David")</f>
        <v>David</v>
      </c>
      <c r="I799" s="1" t="str">
        <f>IFERROR(__xludf.DUMMYFUNCTION("""COMPUTED_VALUE"""),"Bremer")</f>
        <v>Bremer</v>
      </c>
      <c r="J799" s="1" t="s">
        <v>34</v>
      </c>
      <c r="K799" s="1" t="s">
        <v>240</v>
      </c>
      <c r="L799" s="1" t="str">
        <f t="shared" si="2"/>
        <v>Rochester</v>
      </c>
      <c r="M799" s="1" t="s">
        <v>175</v>
      </c>
      <c r="N799" s="1" t="str">
        <f t="shared" si="3"/>
        <v>New York</v>
      </c>
      <c r="O799" s="1">
        <v>14609.0</v>
      </c>
      <c r="P799" s="1" t="s">
        <v>100</v>
      </c>
      <c r="Q799" s="1" t="s">
        <v>38</v>
      </c>
      <c r="R799" s="3">
        <v>12.96</v>
      </c>
      <c r="S799" s="1">
        <v>1.0</v>
      </c>
      <c r="T799" s="4">
        <v>12.5</v>
      </c>
    </row>
    <row r="800">
      <c r="A800" s="1" t="s">
        <v>1401</v>
      </c>
      <c r="B800" s="2">
        <v>42728.0</v>
      </c>
      <c r="C800" s="2" t="str">
        <f t="shared" si="1"/>
        <v>Dec</v>
      </c>
      <c r="D800" s="1" t="s">
        <v>1402</v>
      </c>
      <c r="E800" s="1" t="s">
        <v>121</v>
      </c>
      <c r="F800" s="1" t="s">
        <v>524</v>
      </c>
      <c r="G800" s="1" t="s">
        <v>525</v>
      </c>
      <c r="H800" s="1" t="str">
        <f>IFERROR(__xludf.DUMMYFUNCTION("split(G800,"" "")"),"David")</f>
        <v>David</v>
      </c>
      <c r="I800" s="1" t="str">
        <f>IFERROR(__xludf.DUMMYFUNCTION("""COMPUTED_VALUE"""),"Bremer")</f>
        <v>Bremer</v>
      </c>
      <c r="J800" s="1" t="s">
        <v>34</v>
      </c>
      <c r="K800" s="1" t="s">
        <v>240</v>
      </c>
      <c r="L800" s="1" t="str">
        <f t="shared" si="2"/>
        <v>Rochester</v>
      </c>
      <c r="M800" s="1" t="s">
        <v>175</v>
      </c>
      <c r="N800" s="1" t="str">
        <f t="shared" si="3"/>
        <v>New York</v>
      </c>
      <c r="O800" s="1">
        <v>14609.0</v>
      </c>
      <c r="P800" s="1" t="s">
        <v>100</v>
      </c>
      <c r="Q800" s="1" t="s">
        <v>38</v>
      </c>
      <c r="R800" s="3">
        <v>21.56</v>
      </c>
      <c r="S800" s="1">
        <v>1.0</v>
      </c>
      <c r="T800" s="4">
        <v>20.78</v>
      </c>
    </row>
    <row r="801">
      <c r="A801" s="1" t="s">
        <v>1403</v>
      </c>
      <c r="B801" s="2">
        <v>42701.0</v>
      </c>
      <c r="C801" s="2" t="str">
        <f t="shared" si="1"/>
        <v>Nov</v>
      </c>
      <c r="D801" s="6">
        <v>42441.0</v>
      </c>
      <c r="E801" s="1" t="s">
        <v>41</v>
      </c>
      <c r="F801" s="1" t="s">
        <v>1404</v>
      </c>
      <c r="G801" s="1" t="s">
        <v>1405</v>
      </c>
      <c r="H801" s="1" t="str">
        <f>IFERROR(__xludf.DUMMYFUNCTION("split(G801,"" "")"),"Carlos")</f>
        <v>Carlos</v>
      </c>
      <c r="I801" s="1" t="str">
        <f>IFERROR(__xludf.DUMMYFUNCTION("""COMPUTED_VALUE"""),"Daly")</f>
        <v>Daly</v>
      </c>
      <c r="J801" s="1" t="s">
        <v>23</v>
      </c>
      <c r="K801" s="1" t="s">
        <v>1406</v>
      </c>
      <c r="L801" s="1" t="str">
        <f t="shared" si="2"/>
        <v>Lake Elsinore</v>
      </c>
      <c r="M801" s="1" t="s">
        <v>52</v>
      </c>
      <c r="N801" s="1" t="str">
        <f t="shared" si="3"/>
        <v>California</v>
      </c>
      <c r="O801" s="1">
        <v>92530.0</v>
      </c>
      <c r="P801" s="1" t="s">
        <v>37</v>
      </c>
      <c r="Q801" s="1" t="s">
        <v>27</v>
      </c>
      <c r="R801" s="3">
        <v>283.92</v>
      </c>
      <c r="S801" s="1">
        <v>9.0</v>
      </c>
      <c r="T801" s="4">
        <v>282.99</v>
      </c>
    </row>
    <row r="802">
      <c r="A802" s="1" t="s">
        <v>1407</v>
      </c>
      <c r="B802" s="2">
        <v>43151.0</v>
      </c>
      <c r="C802" s="2" t="str">
        <f t="shared" si="1"/>
        <v>Feb</v>
      </c>
      <c r="D802" s="1" t="s">
        <v>1408</v>
      </c>
      <c r="E802" s="1" t="s">
        <v>121</v>
      </c>
      <c r="F802" s="1" t="s">
        <v>1409</v>
      </c>
      <c r="G802" s="1" t="s">
        <v>1410</v>
      </c>
      <c r="H802" s="1" t="str">
        <f>IFERROR(__xludf.DUMMYFUNCTION("split(G802,"" "")"),"Helen")</f>
        <v>Helen</v>
      </c>
      <c r="I802" s="1" t="str">
        <f>IFERROR(__xludf.DUMMYFUNCTION("""COMPUTED_VALUE"""),"Wasserman")</f>
        <v>Wasserman</v>
      </c>
      <c r="J802" s="1" t="s">
        <v>34</v>
      </c>
      <c r="K802" s="1" t="s">
        <v>542</v>
      </c>
      <c r="L802" s="1" t="str">
        <f t="shared" si="2"/>
        <v>San Diego</v>
      </c>
      <c r="M802" s="1" t="s">
        <v>52</v>
      </c>
      <c r="N802" s="1" t="str">
        <f t="shared" si="3"/>
        <v>California</v>
      </c>
      <c r="O802" s="1">
        <v>92105.0</v>
      </c>
      <c r="P802" s="1" t="s">
        <v>37</v>
      </c>
      <c r="Q802" s="1" t="s">
        <v>27</v>
      </c>
      <c r="R802" s="3">
        <v>22.23</v>
      </c>
      <c r="S802" s="1">
        <v>9.0</v>
      </c>
      <c r="T802" s="4">
        <v>21.53</v>
      </c>
    </row>
    <row r="803">
      <c r="A803" s="1" t="s">
        <v>1407</v>
      </c>
      <c r="B803" s="2">
        <v>43151.0</v>
      </c>
      <c r="C803" s="2" t="str">
        <f t="shared" si="1"/>
        <v>Feb</v>
      </c>
      <c r="D803" s="1" t="s">
        <v>1408</v>
      </c>
      <c r="E803" s="1" t="s">
        <v>121</v>
      </c>
      <c r="F803" s="1" t="s">
        <v>1409</v>
      </c>
      <c r="G803" s="1" t="s">
        <v>1410</v>
      </c>
      <c r="H803" s="1" t="str">
        <f>IFERROR(__xludf.DUMMYFUNCTION("split(G803,"" "")"),"Helen")</f>
        <v>Helen</v>
      </c>
      <c r="I803" s="1" t="str">
        <f>IFERROR(__xludf.DUMMYFUNCTION("""COMPUTED_VALUE"""),"Wasserman")</f>
        <v>Wasserman</v>
      </c>
      <c r="J803" s="1" t="s">
        <v>34</v>
      </c>
      <c r="K803" s="1" t="s">
        <v>542</v>
      </c>
      <c r="L803" s="1" t="str">
        <f t="shared" si="2"/>
        <v>San Diego</v>
      </c>
      <c r="M803" s="1" t="s">
        <v>52</v>
      </c>
      <c r="N803" s="1" t="str">
        <f t="shared" si="3"/>
        <v>California</v>
      </c>
      <c r="O803" s="1">
        <v>92105.0</v>
      </c>
      <c r="P803" s="1" t="s">
        <v>37</v>
      </c>
      <c r="Q803" s="1" t="s">
        <v>51</v>
      </c>
      <c r="R803" s="3">
        <v>215.968</v>
      </c>
      <c r="S803" s="1">
        <v>9.0</v>
      </c>
      <c r="T803" s="4">
        <v>215.54</v>
      </c>
    </row>
    <row r="804">
      <c r="A804" s="1" t="s">
        <v>1411</v>
      </c>
      <c r="B804" s="2">
        <v>42965.0</v>
      </c>
      <c r="C804" s="2" t="str">
        <f t="shared" si="1"/>
        <v>Aug</v>
      </c>
      <c r="D804" s="1" t="s">
        <v>1412</v>
      </c>
      <c r="E804" s="1" t="s">
        <v>20</v>
      </c>
      <c r="F804" s="1" t="s">
        <v>1409</v>
      </c>
      <c r="G804" s="1" t="s">
        <v>1410</v>
      </c>
      <c r="H804" s="1" t="str">
        <f>IFERROR(__xludf.DUMMYFUNCTION("split(G804,"" "")"),"Helen")</f>
        <v>Helen</v>
      </c>
      <c r="I804" s="1" t="str">
        <f>IFERROR(__xludf.DUMMYFUNCTION("""COMPUTED_VALUE"""),"Wasserman")</f>
        <v>Wasserman</v>
      </c>
      <c r="J804" s="1" t="s">
        <v>34</v>
      </c>
      <c r="K804" s="1" t="s">
        <v>174</v>
      </c>
      <c r="L804" s="1" t="str">
        <f t="shared" si="2"/>
        <v>New York City</v>
      </c>
      <c r="M804" s="1" t="s">
        <v>175</v>
      </c>
      <c r="N804" s="1" t="str">
        <f t="shared" si="3"/>
        <v>New York</v>
      </c>
      <c r="O804" s="1">
        <v>10024.0</v>
      </c>
      <c r="P804" s="1" t="s">
        <v>100</v>
      </c>
      <c r="Q804" s="1" t="s">
        <v>38</v>
      </c>
      <c r="R804" s="3">
        <v>355.32</v>
      </c>
      <c r="S804" s="1">
        <v>1.0</v>
      </c>
      <c r="T804" s="4">
        <v>354.85</v>
      </c>
    </row>
    <row r="805">
      <c r="A805" s="1" t="s">
        <v>1413</v>
      </c>
      <c r="B805" s="2">
        <v>43072.0</v>
      </c>
      <c r="C805" s="2" t="str">
        <f t="shared" si="1"/>
        <v>Dec</v>
      </c>
      <c r="D805" s="1" t="s">
        <v>1414</v>
      </c>
      <c r="E805" s="1" t="s">
        <v>41</v>
      </c>
      <c r="F805" s="1" t="s">
        <v>1415</v>
      </c>
      <c r="G805" s="1" t="s">
        <v>1416</v>
      </c>
      <c r="H805" s="1" t="str">
        <f>IFERROR(__xludf.DUMMYFUNCTION("split(G805,"" "")"),"Mike")</f>
        <v>Mike</v>
      </c>
      <c r="I805" s="1" t="str">
        <f>IFERROR(__xludf.DUMMYFUNCTION("""COMPUTED_VALUE"""),"Caudle")</f>
        <v>Caudle</v>
      </c>
      <c r="J805" s="1" t="s">
        <v>34</v>
      </c>
      <c r="K805" s="1" t="s">
        <v>429</v>
      </c>
      <c r="L805" s="1" t="str">
        <f t="shared" si="2"/>
        <v>Monroe</v>
      </c>
      <c r="M805" s="1" t="s">
        <v>430</v>
      </c>
      <c r="N805" s="1" t="str">
        <f t="shared" si="3"/>
        <v>Louisiana</v>
      </c>
      <c r="O805" s="1">
        <v>71203.0</v>
      </c>
      <c r="P805" s="1" t="s">
        <v>26</v>
      </c>
      <c r="Q805" s="1" t="s">
        <v>38</v>
      </c>
      <c r="R805" s="3">
        <v>12.96</v>
      </c>
      <c r="S805" s="1">
        <v>7.0</v>
      </c>
      <c r="T805" s="4">
        <v>12.7</v>
      </c>
    </row>
    <row r="806">
      <c r="A806" s="1" t="s">
        <v>1417</v>
      </c>
      <c r="B806" s="2">
        <v>43212.0</v>
      </c>
      <c r="C806" s="2" t="str">
        <f t="shared" si="1"/>
        <v>Apr</v>
      </c>
      <c r="D806" s="1" t="s">
        <v>1418</v>
      </c>
      <c r="E806" s="1" t="s">
        <v>121</v>
      </c>
      <c r="F806" s="1" t="s">
        <v>1419</v>
      </c>
      <c r="G806" s="1" t="s">
        <v>1420</v>
      </c>
      <c r="H806" s="1" t="str">
        <f>IFERROR(__xludf.DUMMYFUNCTION("split(G806,"" "")"),"Gary")</f>
        <v>Gary</v>
      </c>
      <c r="I806" s="1" t="str">
        <f>IFERROR(__xludf.DUMMYFUNCTION("""COMPUTED_VALUE"""),"McGarr")</f>
        <v>McGarr</v>
      </c>
      <c r="J806" s="1" t="s">
        <v>23</v>
      </c>
      <c r="K806" s="1" t="s">
        <v>87</v>
      </c>
      <c r="L806" s="1" t="str">
        <f t="shared" si="2"/>
        <v>San Francisco</v>
      </c>
      <c r="M806" s="1" t="s">
        <v>52</v>
      </c>
      <c r="N806" s="1" t="str">
        <f t="shared" si="3"/>
        <v>California</v>
      </c>
      <c r="O806" s="1">
        <v>94122.0</v>
      </c>
      <c r="P806" s="1" t="s">
        <v>37</v>
      </c>
      <c r="Q806" s="1" t="s">
        <v>27</v>
      </c>
      <c r="R806" s="3">
        <v>18.28</v>
      </c>
      <c r="S806" s="1">
        <v>9.0</v>
      </c>
      <c r="T806" s="4">
        <v>17.56</v>
      </c>
    </row>
    <row r="807">
      <c r="A807" s="1" t="s">
        <v>1421</v>
      </c>
      <c r="B807" s="2">
        <v>42015.0</v>
      </c>
      <c r="C807" s="2" t="str">
        <f t="shared" si="1"/>
        <v>Jan</v>
      </c>
      <c r="D807" s="6">
        <v>42196.0</v>
      </c>
      <c r="E807" s="1" t="s">
        <v>41</v>
      </c>
      <c r="F807" s="1" t="s">
        <v>738</v>
      </c>
      <c r="G807" s="1" t="s">
        <v>739</v>
      </c>
      <c r="H807" s="1" t="str">
        <f>IFERROR(__xludf.DUMMYFUNCTION("split(G807,"" "")"),"Russell")</f>
        <v>Russell</v>
      </c>
      <c r="I807" s="1" t="str">
        <f>IFERROR(__xludf.DUMMYFUNCTION("""COMPUTED_VALUE"""),"Applegate")</f>
        <v>Applegate</v>
      </c>
      <c r="J807" s="1" t="s">
        <v>23</v>
      </c>
      <c r="K807" s="1" t="s">
        <v>475</v>
      </c>
      <c r="L807" s="1" t="str">
        <f t="shared" si="2"/>
        <v>Denver</v>
      </c>
      <c r="M807" s="1" t="s">
        <v>279</v>
      </c>
      <c r="N807" s="1" t="str">
        <f t="shared" si="3"/>
        <v>Colorado</v>
      </c>
      <c r="O807" s="1">
        <v>80219.0</v>
      </c>
      <c r="P807" s="1" t="s">
        <v>37</v>
      </c>
      <c r="Q807" s="1" t="s">
        <v>38</v>
      </c>
      <c r="R807" s="3">
        <v>43.176</v>
      </c>
      <c r="S807" s="1">
        <v>8.0</v>
      </c>
      <c r="T807" s="4">
        <v>42.52</v>
      </c>
    </row>
    <row r="808">
      <c r="A808" s="1" t="s">
        <v>1421</v>
      </c>
      <c r="B808" s="2">
        <v>42015.0</v>
      </c>
      <c r="C808" s="2" t="str">
        <f t="shared" si="1"/>
        <v>Jan</v>
      </c>
      <c r="D808" s="6">
        <v>42196.0</v>
      </c>
      <c r="E808" s="1" t="s">
        <v>41</v>
      </c>
      <c r="F808" s="1" t="s">
        <v>738</v>
      </c>
      <c r="G808" s="1" t="s">
        <v>739</v>
      </c>
      <c r="H808" s="1" t="str">
        <f>IFERROR(__xludf.DUMMYFUNCTION("split(G808,"" "")"),"Russell")</f>
        <v>Russell</v>
      </c>
      <c r="I808" s="1" t="str">
        <f>IFERROR(__xludf.DUMMYFUNCTION("""COMPUTED_VALUE"""),"Applegate")</f>
        <v>Applegate</v>
      </c>
      <c r="J808" s="1" t="s">
        <v>23</v>
      </c>
      <c r="K808" s="1" t="s">
        <v>475</v>
      </c>
      <c r="L808" s="1" t="str">
        <f t="shared" si="2"/>
        <v>Denver</v>
      </c>
      <c r="M808" s="1" t="s">
        <v>279</v>
      </c>
      <c r="N808" s="1" t="str">
        <f t="shared" si="3"/>
        <v>Colorado</v>
      </c>
      <c r="O808" s="1">
        <v>80219.0</v>
      </c>
      <c r="P808" s="1" t="s">
        <v>37</v>
      </c>
      <c r="Q808" s="1" t="s">
        <v>51</v>
      </c>
      <c r="R808" s="3">
        <v>1983.968</v>
      </c>
      <c r="S808" s="1">
        <v>8.0</v>
      </c>
      <c r="T808" s="4">
        <v>1983.61</v>
      </c>
    </row>
    <row r="809">
      <c r="A809" s="1" t="s">
        <v>1422</v>
      </c>
      <c r="B809" s="2">
        <v>42431.0</v>
      </c>
      <c r="C809" s="2" t="str">
        <f t="shared" si="1"/>
        <v>Mar</v>
      </c>
      <c r="D809" s="6">
        <v>42492.0</v>
      </c>
      <c r="E809" s="1" t="s">
        <v>121</v>
      </c>
      <c r="F809" s="1" t="s">
        <v>1007</v>
      </c>
      <c r="G809" s="1" t="s">
        <v>1008</v>
      </c>
      <c r="H809" s="1" t="str">
        <f>IFERROR(__xludf.DUMMYFUNCTION("split(G809,"" "")"),"Allen")</f>
        <v>Allen</v>
      </c>
      <c r="I809" s="1" t="str">
        <f>IFERROR(__xludf.DUMMYFUNCTION("""COMPUTED_VALUE"""),"Armold")</f>
        <v>Armold</v>
      </c>
      <c r="J809" s="1" t="s">
        <v>23</v>
      </c>
      <c r="K809" s="1" t="s">
        <v>1423</v>
      </c>
      <c r="L809" s="1" t="str">
        <f t="shared" si="2"/>
        <v>Omaha</v>
      </c>
      <c r="M809" s="1" t="s">
        <v>93</v>
      </c>
      <c r="N809" s="1" t="str">
        <f t="shared" si="3"/>
        <v>Nebraska</v>
      </c>
      <c r="O809" s="1">
        <v>68104.0</v>
      </c>
      <c r="P809" s="1" t="s">
        <v>71</v>
      </c>
      <c r="Q809" s="1" t="s">
        <v>27</v>
      </c>
      <c r="R809" s="3">
        <v>28.4</v>
      </c>
      <c r="S809" s="1">
        <v>6.0</v>
      </c>
      <c r="T809" s="4">
        <v>28.32</v>
      </c>
    </row>
    <row r="810">
      <c r="A810" s="1" t="s">
        <v>1422</v>
      </c>
      <c r="B810" s="2">
        <v>42431.0</v>
      </c>
      <c r="C810" s="2" t="str">
        <f t="shared" si="1"/>
        <v>Mar</v>
      </c>
      <c r="D810" s="6">
        <v>42492.0</v>
      </c>
      <c r="E810" s="1" t="s">
        <v>121</v>
      </c>
      <c r="F810" s="1" t="s">
        <v>1007</v>
      </c>
      <c r="G810" s="1" t="s">
        <v>1008</v>
      </c>
      <c r="H810" s="1" t="str">
        <f>IFERROR(__xludf.DUMMYFUNCTION("split(G810,"" "")"),"Allen")</f>
        <v>Allen</v>
      </c>
      <c r="I810" s="1" t="str">
        <f>IFERROR(__xludf.DUMMYFUNCTION("""COMPUTED_VALUE"""),"Armold")</f>
        <v>Armold</v>
      </c>
      <c r="J810" s="1" t="s">
        <v>23</v>
      </c>
      <c r="K810" s="1" t="s">
        <v>1423</v>
      </c>
      <c r="L810" s="1" t="str">
        <f t="shared" si="2"/>
        <v>Omaha</v>
      </c>
      <c r="M810" s="1" t="s">
        <v>93</v>
      </c>
      <c r="N810" s="1" t="str">
        <f t="shared" si="3"/>
        <v>Nebraska</v>
      </c>
      <c r="O810" s="1">
        <v>68104.0</v>
      </c>
      <c r="P810" s="1" t="s">
        <v>71</v>
      </c>
      <c r="Q810" s="1" t="s">
        <v>51</v>
      </c>
      <c r="R810" s="3">
        <v>149.97</v>
      </c>
      <c r="S810" s="1">
        <v>6.0</v>
      </c>
      <c r="T810" s="4">
        <v>149.22</v>
      </c>
    </row>
    <row r="811">
      <c r="A811" s="1" t="s">
        <v>1424</v>
      </c>
      <c r="B811" s="2">
        <v>42290.0</v>
      </c>
      <c r="C811" s="2" t="str">
        <f t="shared" si="1"/>
        <v>Oct</v>
      </c>
      <c r="D811" s="1" t="s">
        <v>1425</v>
      </c>
      <c r="E811" s="1" t="s">
        <v>121</v>
      </c>
      <c r="F811" s="1" t="s">
        <v>1093</v>
      </c>
      <c r="G811" s="1" t="s">
        <v>1094</v>
      </c>
      <c r="H811" s="1" t="str">
        <f>IFERROR(__xludf.DUMMYFUNCTION("split(G811,"" "")"),"Zuschuss")</f>
        <v>Zuschuss</v>
      </c>
      <c r="I811" s="1" t="str">
        <f>IFERROR(__xludf.DUMMYFUNCTION("""COMPUTED_VALUE"""),"Carroll")</f>
        <v>Carroll</v>
      </c>
      <c r="J811" s="1" t="s">
        <v>23</v>
      </c>
      <c r="K811" s="1" t="s">
        <v>1426</v>
      </c>
      <c r="L811" s="1" t="str">
        <f t="shared" si="2"/>
        <v>Edmonds</v>
      </c>
      <c r="M811" s="1" t="s">
        <v>63</v>
      </c>
      <c r="N811" s="1" t="str">
        <f t="shared" si="3"/>
        <v>Washington</v>
      </c>
      <c r="O811" s="1">
        <v>98026.0</v>
      </c>
      <c r="P811" s="1" t="s">
        <v>37</v>
      </c>
      <c r="Q811" s="1" t="s">
        <v>38</v>
      </c>
      <c r="R811" s="3">
        <v>11.52</v>
      </c>
      <c r="S811" s="1">
        <v>9.0</v>
      </c>
      <c r="T811" s="4">
        <v>11.04</v>
      </c>
    </row>
    <row r="812">
      <c r="A812" s="1" t="s">
        <v>1424</v>
      </c>
      <c r="B812" s="2">
        <v>42290.0</v>
      </c>
      <c r="C812" s="2" t="str">
        <f t="shared" si="1"/>
        <v>Oct</v>
      </c>
      <c r="D812" s="1" t="s">
        <v>1425</v>
      </c>
      <c r="E812" s="1" t="s">
        <v>121</v>
      </c>
      <c r="F812" s="1" t="s">
        <v>1093</v>
      </c>
      <c r="G812" s="1" t="s">
        <v>1094</v>
      </c>
      <c r="H812" s="1" t="str">
        <f>IFERROR(__xludf.DUMMYFUNCTION("split(G812,"" "")"),"Zuschuss")</f>
        <v>Zuschuss</v>
      </c>
      <c r="I812" s="1" t="str">
        <f>IFERROR(__xludf.DUMMYFUNCTION("""COMPUTED_VALUE"""),"Carroll")</f>
        <v>Carroll</v>
      </c>
      <c r="J812" s="1" t="s">
        <v>23</v>
      </c>
      <c r="K812" s="1" t="s">
        <v>1426</v>
      </c>
      <c r="L812" s="1" t="str">
        <f t="shared" si="2"/>
        <v>Edmonds</v>
      </c>
      <c r="M812" s="1" t="s">
        <v>63</v>
      </c>
      <c r="N812" s="1" t="str">
        <f t="shared" si="3"/>
        <v>Washington</v>
      </c>
      <c r="O812" s="1">
        <v>98026.0</v>
      </c>
      <c r="P812" s="1" t="s">
        <v>37</v>
      </c>
      <c r="Q812" s="1" t="s">
        <v>27</v>
      </c>
      <c r="R812" s="3">
        <v>1298.55</v>
      </c>
      <c r="S812" s="1">
        <v>9.0</v>
      </c>
      <c r="T812" s="4">
        <v>1297.88</v>
      </c>
    </row>
    <row r="813">
      <c r="A813" s="1" t="s">
        <v>1424</v>
      </c>
      <c r="B813" s="2">
        <v>42290.0</v>
      </c>
      <c r="C813" s="2" t="str">
        <f t="shared" si="1"/>
        <v>Oct</v>
      </c>
      <c r="D813" s="1" t="s">
        <v>1425</v>
      </c>
      <c r="E813" s="1" t="s">
        <v>121</v>
      </c>
      <c r="F813" s="1" t="s">
        <v>1093</v>
      </c>
      <c r="G813" s="1" t="s">
        <v>1094</v>
      </c>
      <c r="H813" s="1" t="str">
        <f>IFERROR(__xludf.DUMMYFUNCTION("split(G813,"" "")"),"Zuschuss")</f>
        <v>Zuschuss</v>
      </c>
      <c r="I813" s="1" t="str">
        <f>IFERROR(__xludf.DUMMYFUNCTION("""COMPUTED_VALUE"""),"Carroll")</f>
        <v>Carroll</v>
      </c>
      <c r="J813" s="1" t="s">
        <v>23</v>
      </c>
      <c r="K813" s="1" t="s">
        <v>1426</v>
      </c>
      <c r="L813" s="1" t="str">
        <f t="shared" si="2"/>
        <v>Edmonds</v>
      </c>
      <c r="M813" s="1" t="s">
        <v>63</v>
      </c>
      <c r="N813" s="1" t="str">
        <f t="shared" si="3"/>
        <v>Washington</v>
      </c>
      <c r="O813" s="1">
        <v>98026.0</v>
      </c>
      <c r="P813" s="1" t="s">
        <v>37</v>
      </c>
      <c r="Q813" s="1" t="s">
        <v>38</v>
      </c>
      <c r="R813" s="3">
        <v>213.92</v>
      </c>
      <c r="S813" s="1">
        <v>9.0</v>
      </c>
      <c r="T813" s="4">
        <v>213.11</v>
      </c>
    </row>
    <row r="814">
      <c r="A814" s="1" t="s">
        <v>1424</v>
      </c>
      <c r="B814" s="2">
        <v>42290.0</v>
      </c>
      <c r="C814" s="2" t="str">
        <f t="shared" si="1"/>
        <v>Oct</v>
      </c>
      <c r="D814" s="1" t="s">
        <v>1425</v>
      </c>
      <c r="E814" s="1" t="s">
        <v>121</v>
      </c>
      <c r="F814" s="1" t="s">
        <v>1093</v>
      </c>
      <c r="G814" s="1" t="s">
        <v>1094</v>
      </c>
      <c r="H814" s="1" t="str">
        <f>IFERROR(__xludf.DUMMYFUNCTION("split(G814,"" "")"),"Zuschuss")</f>
        <v>Zuschuss</v>
      </c>
      <c r="I814" s="1" t="str">
        <f>IFERROR(__xludf.DUMMYFUNCTION("""COMPUTED_VALUE"""),"Carroll")</f>
        <v>Carroll</v>
      </c>
      <c r="J814" s="1" t="s">
        <v>23</v>
      </c>
      <c r="K814" s="1" t="s">
        <v>1426</v>
      </c>
      <c r="L814" s="1" t="str">
        <f t="shared" si="2"/>
        <v>Edmonds</v>
      </c>
      <c r="M814" s="1" t="s">
        <v>63</v>
      </c>
      <c r="N814" s="1" t="str">
        <f t="shared" si="3"/>
        <v>Washington</v>
      </c>
      <c r="O814" s="1">
        <v>98026.0</v>
      </c>
      <c r="P814" s="1" t="s">
        <v>37</v>
      </c>
      <c r="Q814" s="1" t="s">
        <v>51</v>
      </c>
      <c r="R814" s="3">
        <v>25.78</v>
      </c>
      <c r="S814" s="1">
        <v>9.0</v>
      </c>
      <c r="T814" s="4">
        <v>24.79</v>
      </c>
    </row>
    <row r="815">
      <c r="A815" s="1" t="s">
        <v>1427</v>
      </c>
      <c r="B815" s="2">
        <v>43234.0</v>
      </c>
      <c r="C815" s="2" t="str">
        <f t="shared" si="1"/>
        <v>May</v>
      </c>
      <c r="D815" s="1" t="s">
        <v>1428</v>
      </c>
      <c r="E815" s="1" t="s">
        <v>717</v>
      </c>
      <c r="F815" s="1" t="s">
        <v>1429</v>
      </c>
      <c r="G815" s="1" t="s">
        <v>1430</v>
      </c>
      <c r="H815" s="1" t="str">
        <f>IFERROR(__xludf.DUMMYFUNCTION("split(G815,"" "")"),"Pauline")</f>
        <v>Pauline</v>
      </c>
      <c r="I815" s="1" t="str">
        <f>IFERROR(__xludf.DUMMYFUNCTION("""COMPUTED_VALUE"""),"Johnson")</f>
        <v>Johnson</v>
      </c>
      <c r="J815" s="1" t="s">
        <v>23</v>
      </c>
      <c r="K815" s="1" t="s">
        <v>1431</v>
      </c>
      <c r="L815" s="1" t="str">
        <f t="shared" si="2"/>
        <v>Santa Ana</v>
      </c>
      <c r="M815" s="1" t="s">
        <v>52</v>
      </c>
      <c r="N815" s="1" t="str">
        <f t="shared" si="3"/>
        <v>California</v>
      </c>
      <c r="O815" s="1">
        <v>92704.0</v>
      </c>
      <c r="P815" s="1" t="s">
        <v>37</v>
      </c>
      <c r="Q815" s="1" t="s">
        <v>27</v>
      </c>
      <c r="R815" s="3">
        <v>18.28</v>
      </c>
      <c r="S815" s="1">
        <v>9.0</v>
      </c>
      <c r="T815" s="4">
        <v>18.08</v>
      </c>
    </row>
    <row r="816">
      <c r="A816" s="1" t="s">
        <v>1427</v>
      </c>
      <c r="B816" s="2">
        <v>43234.0</v>
      </c>
      <c r="C816" s="2" t="str">
        <f t="shared" si="1"/>
        <v>May</v>
      </c>
      <c r="D816" s="1" t="s">
        <v>1428</v>
      </c>
      <c r="E816" s="1" t="s">
        <v>717</v>
      </c>
      <c r="F816" s="1" t="s">
        <v>1429</v>
      </c>
      <c r="G816" s="1" t="s">
        <v>1430</v>
      </c>
      <c r="H816" s="1" t="str">
        <f>IFERROR(__xludf.DUMMYFUNCTION("split(G816,"" "")"),"Pauline")</f>
        <v>Pauline</v>
      </c>
      <c r="I816" s="1" t="str">
        <f>IFERROR(__xludf.DUMMYFUNCTION("""COMPUTED_VALUE"""),"Johnson")</f>
        <v>Johnson</v>
      </c>
      <c r="J816" s="1" t="s">
        <v>23</v>
      </c>
      <c r="K816" s="1" t="s">
        <v>1431</v>
      </c>
      <c r="L816" s="1" t="str">
        <f t="shared" si="2"/>
        <v>Santa Ana</v>
      </c>
      <c r="M816" s="1" t="s">
        <v>52</v>
      </c>
      <c r="N816" s="1" t="str">
        <f t="shared" si="3"/>
        <v>California</v>
      </c>
      <c r="O816" s="1">
        <v>92704.0</v>
      </c>
      <c r="P816" s="1" t="s">
        <v>37</v>
      </c>
      <c r="Q816" s="1" t="s">
        <v>51</v>
      </c>
      <c r="R816" s="3">
        <v>1399.93</v>
      </c>
      <c r="S816" s="1">
        <v>9.0</v>
      </c>
      <c r="T816" s="4">
        <v>1399.32</v>
      </c>
    </row>
    <row r="817">
      <c r="A817" s="1" t="s">
        <v>1432</v>
      </c>
      <c r="B817" s="2">
        <v>42449.0</v>
      </c>
      <c r="C817" s="2" t="str">
        <f t="shared" si="1"/>
        <v>Mar</v>
      </c>
      <c r="D817" s="1" t="s">
        <v>1433</v>
      </c>
      <c r="E817" s="1" t="s">
        <v>121</v>
      </c>
      <c r="F817" s="1" t="s">
        <v>1434</v>
      </c>
      <c r="G817" s="1" t="s">
        <v>1435</v>
      </c>
      <c r="H817" s="1" t="str">
        <f>IFERROR(__xludf.DUMMYFUNCTION("split(G817,"" "")"),"Bart")</f>
        <v>Bart</v>
      </c>
      <c r="I817" s="1" t="str">
        <f>IFERROR(__xludf.DUMMYFUNCTION("""COMPUTED_VALUE"""),"Watters")</f>
        <v>Watters</v>
      </c>
      <c r="J817" s="1" t="s">
        <v>34</v>
      </c>
      <c r="K817" s="1" t="s">
        <v>1436</v>
      </c>
      <c r="L817" s="1" t="str">
        <f t="shared" si="2"/>
        <v>Milwaukee</v>
      </c>
      <c r="M817" s="1" t="s">
        <v>77</v>
      </c>
      <c r="N817" s="1" t="str">
        <f t="shared" si="3"/>
        <v>Wisconsin</v>
      </c>
      <c r="O817" s="1">
        <v>53209.0</v>
      </c>
      <c r="P817" s="1" t="s">
        <v>71</v>
      </c>
      <c r="Q817" s="1" t="s">
        <v>38</v>
      </c>
      <c r="R817" s="3">
        <v>51.84</v>
      </c>
      <c r="S817" s="1">
        <v>5.0</v>
      </c>
      <c r="T817" s="4">
        <v>51.11</v>
      </c>
    </row>
    <row r="818">
      <c r="A818" s="1" t="s">
        <v>1437</v>
      </c>
      <c r="B818" s="2">
        <v>42993.0</v>
      </c>
      <c r="C818" s="2" t="str">
        <f t="shared" si="1"/>
        <v>Sep</v>
      </c>
      <c r="D818" s="1" t="s">
        <v>1203</v>
      </c>
      <c r="E818" s="1" t="s">
        <v>41</v>
      </c>
      <c r="F818" s="1" t="s">
        <v>976</v>
      </c>
      <c r="G818" s="1" t="s">
        <v>977</v>
      </c>
      <c r="H818" s="1" t="str">
        <f>IFERROR(__xludf.DUMMYFUNCTION("split(G818,"" "")"),"Dean")</f>
        <v>Dean</v>
      </c>
      <c r="I818" s="1" t="str">
        <f>IFERROR(__xludf.DUMMYFUNCTION("""COMPUTED_VALUE"""),"Braden")</f>
        <v>Braden</v>
      </c>
      <c r="J818" s="1" t="s">
        <v>23</v>
      </c>
      <c r="K818" s="1" t="s">
        <v>98</v>
      </c>
      <c r="L818" s="1" t="str">
        <f t="shared" si="2"/>
        <v>Philadelphia</v>
      </c>
      <c r="M818" s="1" t="s">
        <v>99</v>
      </c>
      <c r="N818" s="1" t="str">
        <f t="shared" si="3"/>
        <v>Pennsylvania</v>
      </c>
      <c r="O818" s="1">
        <v>19140.0</v>
      </c>
      <c r="P818" s="1" t="s">
        <v>100</v>
      </c>
      <c r="Q818" s="1" t="s">
        <v>38</v>
      </c>
      <c r="R818" s="3">
        <v>5.344</v>
      </c>
      <c r="S818" s="1">
        <v>1.0</v>
      </c>
      <c r="T818" s="4">
        <v>4.97</v>
      </c>
    </row>
    <row r="819">
      <c r="A819" s="1" t="s">
        <v>1438</v>
      </c>
      <c r="B819" s="2">
        <v>42183.0</v>
      </c>
      <c r="C819" s="2" t="str">
        <f t="shared" si="1"/>
        <v>Jun</v>
      </c>
      <c r="D819" s="6">
        <v>42042.0</v>
      </c>
      <c r="E819" s="1" t="s">
        <v>41</v>
      </c>
      <c r="F819" s="1" t="s">
        <v>1055</v>
      </c>
      <c r="G819" s="1" t="s">
        <v>1056</v>
      </c>
      <c r="H819" s="1" t="str">
        <f>IFERROR(__xludf.DUMMYFUNCTION("split(G819,"" "")"),"Cynthia")</f>
        <v>Cynthia</v>
      </c>
      <c r="I819" s="1" t="str">
        <f>IFERROR(__xludf.DUMMYFUNCTION("""COMPUTED_VALUE"""),"Arntzen")</f>
        <v>Arntzen</v>
      </c>
      <c r="J819" s="1" t="s">
        <v>23</v>
      </c>
      <c r="K819" s="1" t="s">
        <v>98</v>
      </c>
      <c r="L819" s="1" t="str">
        <f t="shared" si="2"/>
        <v>Philadelphia</v>
      </c>
      <c r="M819" s="1" t="s">
        <v>99</v>
      </c>
      <c r="N819" s="1" t="str">
        <f t="shared" si="3"/>
        <v>Pennsylvania</v>
      </c>
      <c r="O819" s="1">
        <v>19140.0</v>
      </c>
      <c r="P819" s="1" t="s">
        <v>100</v>
      </c>
      <c r="Q819" s="1" t="s">
        <v>38</v>
      </c>
      <c r="R819" s="3">
        <v>41.472</v>
      </c>
      <c r="S819" s="1">
        <v>1.0</v>
      </c>
      <c r="T819" s="4">
        <v>41.33</v>
      </c>
    </row>
    <row r="820">
      <c r="A820" s="1" t="s">
        <v>1438</v>
      </c>
      <c r="B820" s="2">
        <v>42183.0</v>
      </c>
      <c r="C820" s="2" t="str">
        <f t="shared" si="1"/>
        <v>Jun</v>
      </c>
      <c r="D820" s="6">
        <v>42042.0</v>
      </c>
      <c r="E820" s="1" t="s">
        <v>41</v>
      </c>
      <c r="F820" s="1" t="s">
        <v>1055</v>
      </c>
      <c r="G820" s="1" t="s">
        <v>1056</v>
      </c>
      <c r="H820" s="1" t="str">
        <f>IFERROR(__xludf.DUMMYFUNCTION("split(G820,"" "")"),"Cynthia")</f>
        <v>Cynthia</v>
      </c>
      <c r="I820" s="1" t="str">
        <f>IFERROR(__xludf.DUMMYFUNCTION("""COMPUTED_VALUE"""),"Arntzen")</f>
        <v>Arntzen</v>
      </c>
      <c r="J820" s="1" t="s">
        <v>23</v>
      </c>
      <c r="K820" s="1" t="s">
        <v>98</v>
      </c>
      <c r="L820" s="1" t="str">
        <f t="shared" si="2"/>
        <v>Philadelphia</v>
      </c>
      <c r="M820" s="1" t="s">
        <v>99</v>
      </c>
      <c r="N820" s="1" t="str">
        <f t="shared" si="3"/>
        <v>Pennsylvania</v>
      </c>
      <c r="O820" s="1">
        <v>19140.0</v>
      </c>
      <c r="P820" s="1" t="s">
        <v>100</v>
      </c>
      <c r="Q820" s="1" t="s">
        <v>38</v>
      </c>
      <c r="R820" s="3">
        <v>3.168</v>
      </c>
      <c r="S820" s="1">
        <v>1.0</v>
      </c>
      <c r="T820" s="4">
        <v>2.59</v>
      </c>
    </row>
    <row r="821">
      <c r="A821" s="1" t="s">
        <v>1438</v>
      </c>
      <c r="B821" s="2">
        <v>42183.0</v>
      </c>
      <c r="C821" s="2" t="str">
        <f t="shared" si="1"/>
        <v>Jun</v>
      </c>
      <c r="D821" s="6">
        <v>42042.0</v>
      </c>
      <c r="E821" s="1" t="s">
        <v>41</v>
      </c>
      <c r="F821" s="1" t="s">
        <v>1055</v>
      </c>
      <c r="G821" s="1" t="s">
        <v>1056</v>
      </c>
      <c r="H821" s="1" t="str">
        <f>IFERROR(__xludf.DUMMYFUNCTION("split(G821,"" "")"),"Cynthia")</f>
        <v>Cynthia</v>
      </c>
      <c r="I821" s="1" t="str">
        <f>IFERROR(__xludf.DUMMYFUNCTION("""COMPUTED_VALUE"""),"Arntzen")</f>
        <v>Arntzen</v>
      </c>
      <c r="J821" s="1" t="s">
        <v>23</v>
      </c>
      <c r="K821" s="1" t="s">
        <v>98</v>
      </c>
      <c r="L821" s="1" t="str">
        <f t="shared" si="2"/>
        <v>Philadelphia</v>
      </c>
      <c r="M821" s="1" t="s">
        <v>99</v>
      </c>
      <c r="N821" s="1" t="str">
        <f t="shared" si="3"/>
        <v>Pennsylvania</v>
      </c>
      <c r="O821" s="1">
        <v>19140.0</v>
      </c>
      <c r="P821" s="1" t="s">
        <v>100</v>
      </c>
      <c r="Q821" s="1" t="s">
        <v>27</v>
      </c>
      <c r="R821" s="3">
        <v>1228.465</v>
      </c>
      <c r="S821" s="1">
        <v>1.0</v>
      </c>
      <c r="T821" s="4">
        <v>1227.98</v>
      </c>
    </row>
    <row r="822">
      <c r="A822" s="1" t="s">
        <v>1438</v>
      </c>
      <c r="B822" s="2">
        <v>42183.0</v>
      </c>
      <c r="C822" s="2" t="str">
        <f t="shared" si="1"/>
        <v>Jun</v>
      </c>
      <c r="D822" s="6">
        <v>42042.0</v>
      </c>
      <c r="E822" s="1" t="s">
        <v>41</v>
      </c>
      <c r="F822" s="1" t="s">
        <v>1055</v>
      </c>
      <c r="G822" s="1" t="s">
        <v>1056</v>
      </c>
      <c r="H822" s="1" t="str">
        <f>IFERROR(__xludf.DUMMYFUNCTION("split(G822,"" "")"),"Cynthia")</f>
        <v>Cynthia</v>
      </c>
      <c r="I822" s="1" t="str">
        <f>IFERROR(__xludf.DUMMYFUNCTION("""COMPUTED_VALUE"""),"Arntzen")</f>
        <v>Arntzen</v>
      </c>
      <c r="J822" s="1" t="s">
        <v>23</v>
      </c>
      <c r="K822" s="1" t="s">
        <v>98</v>
      </c>
      <c r="L822" s="1" t="str">
        <f t="shared" si="2"/>
        <v>Philadelphia</v>
      </c>
      <c r="M822" s="1" t="s">
        <v>99</v>
      </c>
      <c r="N822" s="1" t="str">
        <f t="shared" si="3"/>
        <v>Pennsylvania</v>
      </c>
      <c r="O822" s="1">
        <v>19140.0</v>
      </c>
      <c r="P822" s="1" t="s">
        <v>100</v>
      </c>
      <c r="Q822" s="1" t="s">
        <v>38</v>
      </c>
      <c r="R822" s="3">
        <v>31.086</v>
      </c>
      <c r="S822" s="1">
        <v>1.0</v>
      </c>
      <c r="T822" s="4">
        <v>31.06</v>
      </c>
    </row>
    <row r="823">
      <c r="A823" s="1" t="s">
        <v>1438</v>
      </c>
      <c r="B823" s="2">
        <v>42183.0</v>
      </c>
      <c r="C823" s="2" t="str">
        <f t="shared" si="1"/>
        <v>Jun</v>
      </c>
      <c r="D823" s="6">
        <v>42042.0</v>
      </c>
      <c r="E823" s="1" t="s">
        <v>41</v>
      </c>
      <c r="F823" s="1" t="s">
        <v>1055</v>
      </c>
      <c r="G823" s="1" t="s">
        <v>1056</v>
      </c>
      <c r="H823" s="1" t="str">
        <f>IFERROR(__xludf.DUMMYFUNCTION("split(G823,"" "")"),"Cynthia")</f>
        <v>Cynthia</v>
      </c>
      <c r="I823" s="1" t="str">
        <f>IFERROR(__xludf.DUMMYFUNCTION("""COMPUTED_VALUE"""),"Arntzen")</f>
        <v>Arntzen</v>
      </c>
      <c r="J823" s="1" t="s">
        <v>23</v>
      </c>
      <c r="K823" s="1" t="s">
        <v>98</v>
      </c>
      <c r="L823" s="1" t="str">
        <f t="shared" si="2"/>
        <v>Philadelphia</v>
      </c>
      <c r="M823" s="1" t="s">
        <v>99</v>
      </c>
      <c r="N823" s="1" t="str">
        <f t="shared" si="3"/>
        <v>Pennsylvania</v>
      </c>
      <c r="O823" s="1">
        <v>19140.0</v>
      </c>
      <c r="P823" s="1" t="s">
        <v>100</v>
      </c>
      <c r="Q823" s="1" t="s">
        <v>38</v>
      </c>
      <c r="R823" s="3">
        <v>335.52</v>
      </c>
      <c r="S823" s="1">
        <v>1.0</v>
      </c>
      <c r="T823" s="4">
        <v>335.44</v>
      </c>
    </row>
    <row r="824">
      <c r="A824" s="1" t="s">
        <v>1439</v>
      </c>
      <c r="B824" s="2">
        <v>43271.0</v>
      </c>
      <c r="C824" s="2" t="str">
        <f t="shared" si="1"/>
        <v>Jun</v>
      </c>
      <c r="D824" s="1" t="s">
        <v>1440</v>
      </c>
      <c r="E824" s="1" t="s">
        <v>41</v>
      </c>
      <c r="F824" s="1" t="s">
        <v>1441</v>
      </c>
      <c r="G824" s="1" t="s">
        <v>1442</v>
      </c>
      <c r="H824" s="1" t="str">
        <f>IFERROR(__xludf.DUMMYFUNCTION("split(G824,"" "")"),"Toby")</f>
        <v>Toby</v>
      </c>
      <c r="I824" s="1" t="str">
        <f>IFERROR(__xludf.DUMMYFUNCTION("""COMPUTED_VALUE"""),"Ritter")</f>
        <v>Ritter</v>
      </c>
      <c r="J824" s="1" t="s">
        <v>23</v>
      </c>
      <c r="K824" s="1" t="s">
        <v>612</v>
      </c>
      <c r="L824" s="1" t="str">
        <f t="shared" si="2"/>
        <v>Belleville</v>
      </c>
      <c r="M824" s="1" t="s">
        <v>462</v>
      </c>
      <c r="N824" s="1" t="str">
        <f t="shared" si="3"/>
        <v>New Jersey</v>
      </c>
      <c r="O824" s="1">
        <v>7109.0</v>
      </c>
      <c r="P824" s="1" t="s">
        <v>100</v>
      </c>
      <c r="Q824" s="1" t="s">
        <v>51</v>
      </c>
      <c r="R824" s="3">
        <v>239.97</v>
      </c>
      <c r="S824" s="1">
        <v>7.0</v>
      </c>
      <c r="T824" s="4">
        <v>239.15</v>
      </c>
    </row>
    <row r="825">
      <c r="A825" s="1" t="s">
        <v>1439</v>
      </c>
      <c r="B825" s="2">
        <v>43271.0</v>
      </c>
      <c r="C825" s="2" t="str">
        <f t="shared" si="1"/>
        <v>Jun</v>
      </c>
      <c r="D825" s="1" t="s">
        <v>1440</v>
      </c>
      <c r="E825" s="1" t="s">
        <v>41</v>
      </c>
      <c r="F825" s="1" t="s">
        <v>1441</v>
      </c>
      <c r="G825" s="1" t="s">
        <v>1442</v>
      </c>
      <c r="H825" s="1" t="str">
        <f>IFERROR(__xludf.DUMMYFUNCTION("split(G825,"" "")"),"Toby")</f>
        <v>Toby</v>
      </c>
      <c r="I825" s="1" t="str">
        <f>IFERROR(__xludf.DUMMYFUNCTION("""COMPUTED_VALUE"""),"Ritter")</f>
        <v>Ritter</v>
      </c>
      <c r="J825" s="1" t="s">
        <v>23</v>
      </c>
      <c r="K825" s="1" t="s">
        <v>612</v>
      </c>
      <c r="L825" s="1" t="str">
        <f t="shared" si="2"/>
        <v>Belleville</v>
      </c>
      <c r="M825" s="1" t="s">
        <v>462</v>
      </c>
      <c r="N825" s="1" t="str">
        <f t="shared" si="3"/>
        <v>New Jersey</v>
      </c>
      <c r="O825" s="1">
        <v>7109.0</v>
      </c>
      <c r="P825" s="1" t="s">
        <v>100</v>
      </c>
      <c r="Q825" s="1" t="s">
        <v>38</v>
      </c>
      <c r="R825" s="3">
        <v>9.82</v>
      </c>
      <c r="S825" s="1">
        <v>7.0</v>
      </c>
      <c r="T825" s="4">
        <v>9.82</v>
      </c>
    </row>
    <row r="826">
      <c r="A826" s="1" t="s">
        <v>1443</v>
      </c>
      <c r="B826" s="2">
        <v>42252.0</v>
      </c>
      <c r="C826" s="2" t="str">
        <f t="shared" si="1"/>
        <v>Sep</v>
      </c>
      <c r="D826" s="1" t="s">
        <v>79</v>
      </c>
      <c r="E826" s="1" t="s">
        <v>41</v>
      </c>
      <c r="F826" s="1" t="s">
        <v>1444</v>
      </c>
      <c r="G826" s="1" t="s">
        <v>1445</v>
      </c>
      <c r="H826" s="1" t="str">
        <f>IFERROR(__xludf.DUMMYFUNCTION("split(G826,"" "")"),"Patrick")</f>
        <v>Patrick</v>
      </c>
      <c r="I826" s="1" t="str">
        <f>IFERROR(__xludf.DUMMYFUNCTION("""COMPUTED_VALUE"""),"Gardner")</f>
        <v>Gardner</v>
      </c>
      <c r="J826" s="1" t="s">
        <v>23</v>
      </c>
      <c r="K826" s="1" t="s">
        <v>87</v>
      </c>
      <c r="L826" s="1" t="str">
        <f t="shared" si="2"/>
        <v>San Francisco</v>
      </c>
      <c r="M826" s="1" t="s">
        <v>52</v>
      </c>
      <c r="N826" s="1" t="str">
        <f t="shared" si="3"/>
        <v>California</v>
      </c>
      <c r="O826" s="1">
        <v>94110.0</v>
      </c>
      <c r="P826" s="1" t="s">
        <v>37</v>
      </c>
      <c r="Q826" s="1" t="s">
        <v>51</v>
      </c>
      <c r="R826" s="3">
        <v>67.8</v>
      </c>
      <c r="S826" s="1">
        <v>9.0</v>
      </c>
      <c r="T826" s="4">
        <v>66.82</v>
      </c>
    </row>
    <row r="827">
      <c r="A827" s="1" t="s">
        <v>1443</v>
      </c>
      <c r="B827" s="2">
        <v>42252.0</v>
      </c>
      <c r="C827" s="2" t="str">
        <f t="shared" si="1"/>
        <v>Sep</v>
      </c>
      <c r="D827" s="1" t="s">
        <v>79</v>
      </c>
      <c r="E827" s="1" t="s">
        <v>41</v>
      </c>
      <c r="F827" s="1" t="s">
        <v>1444</v>
      </c>
      <c r="G827" s="1" t="s">
        <v>1445</v>
      </c>
      <c r="H827" s="1" t="str">
        <f>IFERROR(__xludf.DUMMYFUNCTION("split(G827,"" "")"),"Patrick")</f>
        <v>Patrick</v>
      </c>
      <c r="I827" s="1" t="str">
        <f>IFERROR(__xludf.DUMMYFUNCTION("""COMPUTED_VALUE"""),"Gardner")</f>
        <v>Gardner</v>
      </c>
      <c r="J827" s="1" t="s">
        <v>23</v>
      </c>
      <c r="K827" s="1" t="s">
        <v>87</v>
      </c>
      <c r="L827" s="1" t="str">
        <f t="shared" si="2"/>
        <v>San Francisco</v>
      </c>
      <c r="M827" s="1" t="s">
        <v>52</v>
      </c>
      <c r="N827" s="1" t="str">
        <f t="shared" si="3"/>
        <v>California</v>
      </c>
      <c r="O827" s="1">
        <v>94110.0</v>
      </c>
      <c r="P827" s="1" t="s">
        <v>37</v>
      </c>
      <c r="Q827" s="1" t="s">
        <v>51</v>
      </c>
      <c r="R827" s="3">
        <v>167.97</v>
      </c>
      <c r="S827" s="1">
        <v>9.0</v>
      </c>
      <c r="T827" s="4">
        <v>167.06</v>
      </c>
    </row>
    <row r="828">
      <c r="A828" s="1" t="s">
        <v>1446</v>
      </c>
      <c r="B828" s="2">
        <v>43333.0</v>
      </c>
      <c r="C828" s="2" t="str">
        <f t="shared" si="1"/>
        <v>Aug</v>
      </c>
      <c r="D828" s="1" t="s">
        <v>1447</v>
      </c>
      <c r="E828" s="1" t="s">
        <v>41</v>
      </c>
      <c r="F828" s="1" t="s">
        <v>1040</v>
      </c>
      <c r="G828" s="1" t="s">
        <v>1041</v>
      </c>
      <c r="H828" s="1" t="str">
        <f>IFERROR(__xludf.DUMMYFUNCTION("split(G828,"" "")"),"Greg")</f>
        <v>Greg</v>
      </c>
      <c r="I828" s="1" t="str">
        <f>IFERROR(__xludf.DUMMYFUNCTION("""COMPUTED_VALUE"""),"Tran")</f>
        <v>Tran</v>
      </c>
      <c r="J828" s="1" t="s">
        <v>23</v>
      </c>
      <c r="K828" s="1" t="s">
        <v>533</v>
      </c>
      <c r="L828" s="1" t="str">
        <f t="shared" si="2"/>
        <v>Lakeville</v>
      </c>
      <c r="M828" s="1" t="s">
        <v>151</v>
      </c>
      <c r="N828" s="1" t="str">
        <f t="shared" si="3"/>
        <v>Minnesota</v>
      </c>
      <c r="O828" s="1">
        <v>55044.0</v>
      </c>
      <c r="P828" s="1" t="s">
        <v>71</v>
      </c>
      <c r="Q828" s="1" t="s">
        <v>38</v>
      </c>
      <c r="R828" s="3">
        <v>35.0</v>
      </c>
      <c r="S828" s="1">
        <v>5.0</v>
      </c>
      <c r="T828" s="4">
        <v>34.12</v>
      </c>
    </row>
    <row r="829">
      <c r="A829" s="1" t="s">
        <v>1446</v>
      </c>
      <c r="B829" s="2">
        <v>43333.0</v>
      </c>
      <c r="C829" s="2" t="str">
        <f t="shared" si="1"/>
        <v>Aug</v>
      </c>
      <c r="D829" s="1" t="s">
        <v>1447</v>
      </c>
      <c r="E829" s="1" t="s">
        <v>41</v>
      </c>
      <c r="F829" s="1" t="s">
        <v>1040</v>
      </c>
      <c r="G829" s="1" t="s">
        <v>1041</v>
      </c>
      <c r="H829" s="1" t="str">
        <f>IFERROR(__xludf.DUMMYFUNCTION("split(G829,"" "")"),"Greg")</f>
        <v>Greg</v>
      </c>
      <c r="I829" s="1" t="str">
        <f>IFERROR(__xludf.DUMMYFUNCTION("""COMPUTED_VALUE"""),"Tran")</f>
        <v>Tran</v>
      </c>
      <c r="J829" s="1" t="s">
        <v>23</v>
      </c>
      <c r="K829" s="1" t="s">
        <v>533</v>
      </c>
      <c r="L829" s="1" t="str">
        <f t="shared" si="2"/>
        <v>Lakeville</v>
      </c>
      <c r="M829" s="1" t="s">
        <v>151</v>
      </c>
      <c r="N829" s="1" t="str">
        <f t="shared" si="3"/>
        <v>Minnesota</v>
      </c>
      <c r="O829" s="1">
        <v>55044.0</v>
      </c>
      <c r="P829" s="1" t="s">
        <v>71</v>
      </c>
      <c r="Q829" s="1" t="s">
        <v>38</v>
      </c>
      <c r="R829" s="3">
        <v>37.24</v>
      </c>
      <c r="S829" s="1">
        <v>5.0</v>
      </c>
      <c r="T829" s="4">
        <v>37.15</v>
      </c>
    </row>
    <row r="830">
      <c r="A830" s="1" t="s">
        <v>1446</v>
      </c>
      <c r="B830" s="2">
        <v>43333.0</v>
      </c>
      <c r="C830" s="2" t="str">
        <f t="shared" si="1"/>
        <v>Aug</v>
      </c>
      <c r="D830" s="1" t="s">
        <v>1447</v>
      </c>
      <c r="E830" s="1" t="s">
        <v>41</v>
      </c>
      <c r="F830" s="1" t="s">
        <v>1040</v>
      </c>
      <c r="G830" s="1" t="s">
        <v>1041</v>
      </c>
      <c r="H830" s="1" t="str">
        <f>IFERROR(__xludf.DUMMYFUNCTION("split(G830,"" "")"),"Greg")</f>
        <v>Greg</v>
      </c>
      <c r="I830" s="1" t="str">
        <f>IFERROR(__xludf.DUMMYFUNCTION("""COMPUTED_VALUE"""),"Tran")</f>
        <v>Tran</v>
      </c>
      <c r="J830" s="1" t="s">
        <v>23</v>
      </c>
      <c r="K830" s="1" t="s">
        <v>533</v>
      </c>
      <c r="L830" s="1" t="str">
        <f t="shared" si="2"/>
        <v>Lakeville</v>
      </c>
      <c r="M830" s="1" t="s">
        <v>151</v>
      </c>
      <c r="N830" s="1" t="str">
        <f t="shared" si="3"/>
        <v>Minnesota</v>
      </c>
      <c r="O830" s="1">
        <v>55044.0</v>
      </c>
      <c r="P830" s="1" t="s">
        <v>71</v>
      </c>
      <c r="Q830" s="1" t="s">
        <v>38</v>
      </c>
      <c r="R830" s="3">
        <v>15.28</v>
      </c>
      <c r="S830" s="1">
        <v>5.0</v>
      </c>
      <c r="T830" s="4">
        <v>14.83</v>
      </c>
    </row>
    <row r="831">
      <c r="A831" s="1" t="s">
        <v>1448</v>
      </c>
      <c r="B831" s="2">
        <v>43267.0</v>
      </c>
      <c r="C831" s="2" t="str">
        <f t="shared" si="1"/>
        <v>Jun</v>
      </c>
      <c r="D831" s="1" t="s">
        <v>1449</v>
      </c>
      <c r="E831" s="1" t="s">
        <v>20</v>
      </c>
      <c r="F831" s="1" t="s">
        <v>207</v>
      </c>
      <c r="G831" s="1" t="s">
        <v>208</v>
      </c>
      <c r="H831" s="1" t="str">
        <f>IFERROR(__xludf.DUMMYFUNCTION("split(G831,"" "")"),"Joel")</f>
        <v>Joel</v>
      </c>
      <c r="I831" s="1" t="str">
        <f>IFERROR(__xludf.DUMMYFUNCTION("""COMPUTED_VALUE"""),"Eaton")</f>
        <v>Eaton</v>
      </c>
      <c r="J831" s="1" t="s">
        <v>23</v>
      </c>
      <c r="K831" s="1" t="s">
        <v>1450</v>
      </c>
      <c r="L831" s="1" t="str">
        <f t="shared" si="2"/>
        <v>Florence</v>
      </c>
      <c r="M831" s="1" t="s">
        <v>25</v>
      </c>
      <c r="N831" s="1" t="str">
        <f t="shared" si="3"/>
        <v>Kentucky</v>
      </c>
      <c r="O831" s="1">
        <v>41042.0</v>
      </c>
      <c r="P831" s="1" t="s">
        <v>26</v>
      </c>
      <c r="Q831" s="1" t="s">
        <v>27</v>
      </c>
      <c r="R831" s="3">
        <v>301.96</v>
      </c>
      <c r="S831" s="1">
        <v>4.0</v>
      </c>
      <c r="T831" s="4">
        <v>301.63</v>
      </c>
    </row>
    <row r="832">
      <c r="A832" s="1" t="s">
        <v>1448</v>
      </c>
      <c r="B832" s="2">
        <v>43267.0</v>
      </c>
      <c r="C832" s="2" t="str">
        <f t="shared" si="1"/>
        <v>Jun</v>
      </c>
      <c r="D832" s="1" t="s">
        <v>1449</v>
      </c>
      <c r="E832" s="1" t="s">
        <v>20</v>
      </c>
      <c r="F832" s="1" t="s">
        <v>207</v>
      </c>
      <c r="G832" s="1" t="s">
        <v>208</v>
      </c>
      <c r="H832" s="1" t="str">
        <f>IFERROR(__xludf.DUMMYFUNCTION("split(G832,"" "")"),"Joel")</f>
        <v>Joel</v>
      </c>
      <c r="I832" s="1" t="str">
        <f>IFERROR(__xludf.DUMMYFUNCTION("""COMPUTED_VALUE"""),"Eaton")</f>
        <v>Eaton</v>
      </c>
      <c r="J832" s="1" t="s">
        <v>23</v>
      </c>
      <c r="K832" s="1" t="s">
        <v>1450</v>
      </c>
      <c r="L832" s="1" t="str">
        <f t="shared" si="2"/>
        <v>Florence</v>
      </c>
      <c r="M832" s="1" t="s">
        <v>25</v>
      </c>
      <c r="N832" s="1" t="str">
        <f t="shared" si="3"/>
        <v>Kentucky</v>
      </c>
      <c r="O832" s="1">
        <v>41042.0</v>
      </c>
      <c r="P832" s="1" t="s">
        <v>26</v>
      </c>
      <c r="Q832" s="1" t="s">
        <v>38</v>
      </c>
      <c r="R832" s="3">
        <v>180.66</v>
      </c>
      <c r="S832" s="1">
        <v>4.0</v>
      </c>
      <c r="T832" s="4">
        <v>180.35</v>
      </c>
    </row>
    <row r="833">
      <c r="A833" s="1" t="s">
        <v>1448</v>
      </c>
      <c r="B833" s="2">
        <v>43267.0</v>
      </c>
      <c r="C833" s="2" t="str">
        <f t="shared" si="1"/>
        <v>Jun</v>
      </c>
      <c r="D833" s="1" t="s">
        <v>1449</v>
      </c>
      <c r="E833" s="1" t="s">
        <v>20</v>
      </c>
      <c r="F833" s="1" t="s">
        <v>207</v>
      </c>
      <c r="G833" s="1" t="s">
        <v>208</v>
      </c>
      <c r="H833" s="1" t="str">
        <f>IFERROR(__xludf.DUMMYFUNCTION("split(G833,"" "")"),"Joel")</f>
        <v>Joel</v>
      </c>
      <c r="I833" s="1" t="str">
        <f>IFERROR(__xludf.DUMMYFUNCTION("""COMPUTED_VALUE"""),"Eaton")</f>
        <v>Eaton</v>
      </c>
      <c r="J833" s="1" t="s">
        <v>23</v>
      </c>
      <c r="K833" s="1" t="s">
        <v>1450</v>
      </c>
      <c r="L833" s="1" t="str">
        <f t="shared" si="2"/>
        <v>Florence</v>
      </c>
      <c r="M833" s="1" t="s">
        <v>25</v>
      </c>
      <c r="N833" s="1" t="str">
        <f t="shared" si="3"/>
        <v>Kentucky</v>
      </c>
      <c r="O833" s="1">
        <v>41042.0</v>
      </c>
      <c r="P833" s="1" t="s">
        <v>26</v>
      </c>
      <c r="Q833" s="1" t="s">
        <v>51</v>
      </c>
      <c r="R833" s="3">
        <v>191.98</v>
      </c>
      <c r="S833" s="1">
        <v>4.0</v>
      </c>
      <c r="T833" s="4">
        <v>191.97</v>
      </c>
    </row>
    <row r="834">
      <c r="A834" s="1" t="s">
        <v>1448</v>
      </c>
      <c r="B834" s="2">
        <v>43267.0</v>
      </c>
      <c r="C834" s="2" t="str">
        <f t="shared" si="1"/>
        <v>Jun</v>
      </c>
      <c r="D834" s="1" t="s">
        <v>1449</v>
      </c>
      <c r="E834" s="1" t="s">
        <v>20</v>
      </c>
      <c r="F834" s="1" t="s">
        <v>207</v>
      </c>
      <c r="G834" s="1" t="s">
        <v>208</v>
      </c>
      <c r="H834" s="1" t="str">
        <f>IFERROR(__xludf.DUMMYFUNCTION("split(G834,"" "")"),"Joel")</f>
        <v>Joel</v>
      </c>
      <c r="I834" s="1" t="str">
        <f>IFERROR(__xludf.DUMMYFUNCTION("""COMPUTED_VALUE"""),"Eaton")</f>
        <v>Eaton</v>
      </c>
      <c r="J834" s="1" t="s">
        <v>23</v>
      </c>
      <c r="K834" s="1" t="s">
        <v>1450</v>
      </c>
      <c r="L834" s="1" t="str">
        <f t="shared" si="2"/>
        <v>Florence</v>
      </c>
      <c r="M834" s="1" t="s">
        <v>25</v>
      </c>
      <c r="N834" s="1" t="str">
        <f t="shared" si="3"/>
        <v>Kentucky</v>
      </c>
      <c r="O834" s="1">
        <v>41042.0</v>
      </c>
      <c r="P834" s="1" t="s">
        <v>26</v>
      </c>
      <c r="Q834" s="1" t="s">
        <v>51</v>
      </c>
      <c r="R834" s="3">
        <v>65.99</v>
      </c>
      <c r="S834" s="1">
        <v>4.0</v>
      </c>
      <c r="T834" s="4">
        <v>65.98</v>
      </c>
    </row>
    <row r="835">
      <c r="A835" s="1" t="s">
        <v>1451</v>
      </c>
      <c r="B835" s="2">
        <v>42939.0</v>
      </c>
      <c r="C835" s="2" t="str">
        <f t="shared" si="1"/>
        <v>Jul</v>
      </c>
      <c r="D835" s="1" t="s">
        <v>1452</v>
      </c>
      <c r="E835" s="1" t="s">
        <v>41</v>
      </c>
      <c r="F835" s="1" t="s">
        <v>410</v>
      </c>
      <c r="G835" s="1" t="s">
        <v>411</v>
      </c>
      <c r="H835" s="1" t="str">
        <f>IFERROR(__xludf.DUMMYFUNCTION("split(G835,"" "")"),"Jennifer")</f>
        <v>Jennifer</v>
      </c>
      <c r="I835" s="1" t="str">
        <f>IFERROR(__xludf.DUMMYFUNCTION("""COMPUTED_VALUE"""),"Braxton")</f>
        <v>Braxton</v>
      </c>
      <c r="J835" s="1" t="s">
        <v>34</v>
      </c>
      <c r="K835" s="1" t="s">
        <v>522</v>
      </c>
      <c r="L835" s="1" t="str">
        <f t="shared" si="2"/>
        <v>Tampa</v>
      </c>
      <c r="M835" s="1" t="s">
        <v>145</v>
      </c>
      <c r="N835" s="1" t="str">
        <f t="shared" si="3"/>
        <v>Florida</v>
      </c>
      <c r="O835" s="1">
        <v>33614.0</v>
      </c>
      <c r="P835" s="1" t="s">
        <v>26</v>
      </c>
      <c r="Q835" s="1" t="s">
        <v>38</v>
      </c>
      <c r="R835" s="3">
        <v>35.216</v>
      </c>
      <c r="S835" s="1">
        <v>3.0</v>
      </c>
      <c r="T835" s="4">
        <v>34.32</v>
      </c>
    </row>
    <row r="836">
      <c r="A836" s="1" t="s">
        <v>1451</v>
      </c>
      <c r="B836" s="2">
        <v>42939.0</v>
      </c>
      <c r="C836" s="2" t="str">
        <f t="shared" si="1"/>
        <v>Jul</v>
      </c>
      <c r="D836" s="1" t="s">
        <v>1452</v>
      </c>
      <c r="E836" s="1" t="s">
        <v>41</v>
      </c>
      <c r="F836" s="1" t="s">
        <v>410</v>
      </c>
      <c r="G836" s="1" t="s">
        <v>411</v>
      </c>
      <c r="H836" s="1" t="str">
        <f>IFERROR(__xludf.DUMMYFUNCTION("split(G836,"" "")"),"Jennifer")</f>
        <v>Jennifer</v>
      </c>
      <c r="I836" s="1" t="str">
        <f>IFERROR(__xludf.DUMMYFUNCTION("""COMPUTED_VALUE"""),"Braxton")</f>
        <v>Braxton</v>
      </c>
      <c r="J836" s="1" t="s">
        <v>34</v>
      </c>
      <c r="K836" s="1" t="s">
        <v>522</v>
      </c>
      <c r="L836" s="1" t="str">
        <f t="shared" si="2"/>
        <v>Tampa</v>
      </c>
      <c r="M836" s="1" t="s">
        <v>145</v>
      </c>
      <c r="N836" s="1" t="str">
        <f t="shared" si="3"/>
        <v>Florida</v>
      </c>
      <c r="O836" s="1">
        <v>33614.0</v>
      </c>
      <c r="P836" s="1" t="s">
        <v>26</v>
      </c>
      <c r="Q836" s="1" t="s">
        <v>38</v>
      </c>
      <c r="R836" s="3">
        <v>23.696</v>
      </c>
      <c r="S836" s="1">
        <v>3.0</v>
      </c>
      <c r="T836" s="4">
        <v>23.08</v>
      </c>
    </row>
    <row r="837">
      <c r="A837" s="1" t="s">
        <v>1451</v>
      </c>
      <c r="B837" s="2">
        <v>42939.0</v>
      </c>
      <c r="C837" s="2" t="str">
        <f t="shared" si="1"/>
        <v>Jul</v>
      </c>
      <c r="D837" s="1" t="s">
        <v>1452</v>
      </c>
      <c r="E837" s="1" t="s">
        <v>41</v>
      </c>
      <c r="F837" s="1" t="s">
        <v>410</v>
      </c>
      <c r="G837" s="1" t="s">
        <v>411</v>
      </c>
      <c r="H837" s="1" t="str">
        <f>IFERROR(__xludf.DUMMYFUNCTION("split(G837,"" "")"),"Jennifer")</f>
        <v>Jennifer</v>
      </c>
      <c r="I837" s="1" t="str">
        <f>IFERROR(__xludf.DUMMYFUNCTION("""COMPUTED_VALUE"""),"Braxton")</f>
        <v>Braxton</v>
      </c>
      <c r="J837" s="1" t="s">
        <v>34</v>
      </c>
      <c r="K837" s="1" t="s">
        <v>522</v>
      </c>
      <c r="L837" s="1" t="str">
        <f t="shared" si="2"/>
        <v>Tampa</v>
      </c>
      <c r="M837" s="1" t="s">
        <v>145</v>
      </c>
      <c r="N837" s="1" t="str">
        <f t="shared" si="3"/>
        <v>Florida</v>
      </c>
      <c r="O837" s="1">
        <v>33614.0</v>
      </c>
      <c r="P837" s="1" t="s">
        <v>26</v>
      </c>
      <c r="Q837" s="1" t="s">
        <v>51</v>
      </c>
      <c r="R837" s="3">
        <v>265.475</v>
      </c>
      <c r="S837" s="1">
        <v>3.0</v>
      </c>
      <c r="T837" s="4">
        <v>265.15</v>
      </c>
    </row>
    <row r="838">
      <c r="A838" s="1" t="s">
        <v>1453</v>
      </c>
      <c r="B838" s="2">
        <v>42225.0</v>
      </c>
      <c r="C838" s="2" t="str">
        <f t="shared" si="1"/>
        <v>Aug</v>
      </c>
      <c r="D838" s="1" t="s">
        <v>832</v>
      </c>
      <c r="E838" s="1" t="s">
        <v>20</v>
      </c>
      <c r="F838" s="1" t="s">
        <v>1354</v>
      </c>
      <c r="G838" s="1" t="s">
        <v>1355</v>
      </c>
      <c r="H838" s="1" t="str">
        <f>IFERROR(__xludf.DUMMYFUNCTION("split(G838,"" "")"),"Lisa")</f>
        <v>Lisa</v>
      </c>
      <c r="I838" s="1" t="str">
        <f>IFERROR(__xludf.DUMMYFUNCTION("""COMPUTED_VALUE"""),"Hazard")</f>
        <v>Hazard</v>
      </c>
      <c r="J838" s="1" t="s">
        <v>23</v>
      </c>
      <c r="K838" s="1" t="s">
        <v>1230</v>
      </c>
      <c r="L838" s="1" t="str">
        <f t="shared" si="2"/>
        <v>Tyler</v>
      </c>
      <c r="M838" s="1" t="s">
        <v>70</v>
      </c>
      <c r="N838" s="1" t="str">
        <f t="shared" si="3"/>
        <v>Texas</v>
      </c>
      <c r="O838" s="1">
        <v>75701.0</v>
      </c>
      <c r="P838" s="1" t="s">
        <v>71</v>
      </c>
      <c r="Q838" s="1" t="s">
        <v>38</v>
      </c>
      <c r="R838" s="3">
        <v>51.184</v>
      </c>
      <c r="S838" s="1">
        <v>7.0</v>
      </c>
      <c r="T838" s="4">
        <v>51.02</v>
      </c>
    </row>
    <row r="839">
      <c r="A839" s="1" t="s">
        <v>1454</v>
      </c>
      <c r="B839" s="2">
        <v>43201.0</v>
      </c>
      <c r="C839" s="2" t="str">
        <f t="shared" si="1"/>
        <v>Apr</v>
      </c>
      <c r="D839" s="5">
        <v>43415.0</v>
      </c>
      <c r="E839" s="1" t="s">
        <v>41</v>
      </c>
      <c r="F839" s="1" t="s">
        <v>1455</v>
      </c>
      <c r="G839" s="1" t="s">
        <v>1456</v>
      </c>
      <c r="H839" s="1" t="str">
        <f>IFERROR(__xludf.DUMMYFUNCTION("split(G839,"" "")"),"James")</f>
        <v>James</v>
      </c>
      <c r="I839" s="1" t="str">
        <f>IFERROR(__xludf.DUMMYFUNCTION("""COMPUTED_VALUE"""),"Lanier")</f>
        <v>Lanier</v>
      </c>
      <c r="J839" s="1" t="s">
        <v>68</v>
      </c>
      <c r="K839" s="1" t="s">
        <v>235</v>
      </c>
      <c r="L839" s="1" t="str">
        <f t="shared" si="2"/>
        <v>Columbia</v>
      </c>
      <c r="M839" s="1" t="s">
        <v>210</v>
      </c>
      <c r="N839" s="1" t="str">
        <f t="shared" si="3"/>
        <v>Tennessee</v>
      </c>
      <c r="O839" s="1">
        <v>38401.0</v>
      </c>
      <c r="P839" s="1" t="s">
        <v>26</v>
      </c>
      <c r="Q839" s="1" t="s">
        <v>38</v>
      </c>
      <c r="R839" s="3">
        <v>9.664</v>
      </c>
      <c r="S839" s="1">
        <v>3.0</v>
      </c>
      <c r="T839" s="4">
        <v>9.37</v>
      </c>
    </row>
    <row r="840">
      <c r="A840" s="1" t="s">
        <v>1457</v>
      </c>
      <c r="B840" s="2">
        <v>42919.0</v>
      </c>
      <c r="C840" s="2" t="str">
        <f t="shared" si="1"/>
        <v>Jul</v>
      </c>
      <c r="D840" s="6">
        <v>43072.0</v>
      </c>
      <c r="E840" s="1" t="s">
        <v>41</v>
      </c>
      <c r="F840" s="1" t="s">
        <v>871</v>
      </c>
      <c r="G840" s="1" t="s">
        <v>872</v>
      </c>
      <c r="H840" s="1" t="str">
        <f>IFERROR(__xludf.DUMMYFUNCTION("split(G840,"" "")"),"Ed")</f>
        <v>Ed</v>
      </c>
      <c r="I840" s="1" t="str">
        <f>IFERROR(__xludf.DUMMYFUNCTION("""COMPUTED_VALUE"""),"Braxton")</f>
        <v>Braxton</v>
      </c>
      <c r="J840" s="1" t="s">
        <v>34</v>
      </c>
      <c r="K840" s="1" t="s">
        <v>69</v>
      </c>
      <c r="L840" s="1" t="str">
        <f t="shared" si="2"/>
        <v>Fort Worth</v>
      </c>
      <c r="M840" s="1" t="s">
        <v>70</v>
      </c>
      <c r="N840" s="1" t="str">
        <f t="shared" si="3"/>
        <v>Texas</v>
      </c>
      <c r="O840" s="1">
        <v>76106.0</v>
      </c>
      <c r="P840" s="1" t="s">
        <v>71</v>
      </c>
      <c r="Q840" s="1" t="s">
        <v>51</v>
      </c>
      <c r="R840" s="3">
        <v>21.072</v>
      </c>
      <c r="S840" s="1">
        <v>7.0</v>
      </c>
      <c r="T840" s="4">
        <v>20.89</v>
      </c>
    </row>
    <row r="841">
      <c r="A841" s="1" t="s">
        <v>1458</v>
      </c>
      <c r="B841" s="2">
        <v>42694.0</v>
      </c>
      <c r="C841" s="2" t="str">
        <f t="shared" si="1"/>
        <v>Nov</v>
      </c>
      <c r="D841" s="1" t="s">
        <v>1459</v>
      </c>
      <c r="E841" s="1" t="s">
        <v>41</v>
      </c>
      <c r="F841" s="1" t="s">
        <v>1460</v>
      </c>
      <c r="G841" s="1" t="s">
        <v>1461</v>
      </c>
      <c r="H841" s="1" t="str">
        <f>IFERROR(__xludf.DUMMYFUNCTION("split(G841,"" "")"),"Brian")</f>
        <v>Brian</v>
      </c>
      <c r="I841" s="1" t="str">
        <f>IFERROR(__xludf.DUMMYFUNCTION("""COMPUTED_VALUE"""),"Moss")</f>
        <v>Moss</v>
      </c>
      <c r="J841" s="1" t="s">
        <v>34</v>
      </c>
      <c r="K841" s="1" t="s">
        <v>174</v>
      </c>
      <c r="L841" s="1" t="str">
        <f t="shared" si="2"/>
        <v>New York City</v>
      </c>
      <c r="M841" s="1" t="s">
        <v>175</v>
      </c>
      <c r="N841" s="1" t="str">
        <f t="shared" si="3"/>
        <v>New York</v>
      </c>
      <c r="O841" s="1">
        <v>10035.0</v>
      </c>
      <c r="P841" s="1" t="s">
        <v>100</v>
      </c>
      <c r="Q841" s="1" t="s">
        <v>38</v>
      </c>
      <c r="R841" s="3">
        <v>60.45</v>
      </c>
      <c r="S841" s="1">
        <v>1.0</v>
      </c>
      <c r="T841" s="4">
        <v>60.25</v>
      </c>
    </row>
    <row r="842">
      <c r="A842" s="1" t="s">
        <v>1458</v>
      </c>
      <c r="B842" s="2">
        <v>42694.0</v>
      </c>
      <c r="C842" s="2" t="str">
        <f t="shared" si="1"/>
        <v>Nov</v>
      </c>
      <c r="D842" s="1" t="s">
        <v>1459</v>
      </c>
      <c r="E842" s="1" t="s">
        <v>41</v>
      </c>
      <c r="F842" s="1" t="s">
        <v>1460</v>
      </c>
      <c r="G842" s="1" t="s">
        <v>1461</v>
      </c>
      <c r="H842" s="1" t="str">
        <f>IFERROR(__xludf.DUMMYFUNCTION("split(G842,"" "")"),"Brian")</f>
        <v>Brian</v>
      </c>
      <c r="I842" s="1" t="str">
        <f>IFERROR(__xludf.DUMMYFUNCTION("""COMPUTED_VALUE"""),"Moss")</f>
        <v>Moss</v>
      </c>
      <c r="J842" s="1" t="s">
        <v>34</v>
      </c>
      <c r="K842" s="1" t="s">
        <v>174</v>
      </c>
      <c r="L842" s="1" t="str">
        <f t="shared" si="2"/>
        <v>New York City</v>
      </c>
      <c r="M842" s="1" t="s">
        <v>175</v>
      </c>
      <c r="N842" s="1" t="str">
        <f t="shared" si="3"/>
        <v>New York</v>
      </c>
      <c r="O842" s="1">
        <v>10035.0</v>
      </c>
      <c r="P842" s="1" t="s">
        <v>100</v>
      </c>
      <c r="Q842" s="1" t="s">
        <v>38</v>
      </c>
      <c r="R842" s="3">
        <v>11.52</v>
      </c>
      <c r="S842" s="1">
        <v>1.0</v>
      </c>
      <c r="T842" s="4">
        <v>11.19</v>
      </c>
    </row>
    <row r="843">
      <c r="A843" s="1" t="s">
        <v>1458</v>
      </c>
      <c r="B843" s="2">
        <v>42694.0</v>
      </c>
      <c r="C843" s="2" t="str">
        <f t="shared" si="1"/>
        <v>Nov</v>
      </c>
      <c r="D843" s="1" t="s">
        <v>1459</v>
      </c>
      <c r="E843" s="1" t="s">
        <v>41</v>
      </c>
      <c r="F843" s="1" t="s">
        <v>1460</v>
      </c>
      <c r="G843" s="1" t="s">
        <v>1461</v>
      </c>
      <c r="H843" s="1" t="str">
        <f>IFERROR(__xludf.DUMMYFUNCTION("split(G843,"" "")"),"Brian")</f>
        <v>Brian</v>
      </c>
      <c r="I843" s="1" t="str">
        <f>IFERROR(__xludf.DUMMYFUNCTION("""COMPUTED_VALUE"""),"Moss")</f>
        <v>Moss</v>
      </c>
      <c r="J843" s="1" t="s">
        <v>34</v>
      </c>
      <c r="K843" s="1" t="s">
        <v>174</v>
      </c>
      <c r="L843" s="1" t="str">
        <f t="shared" si="2"/>
        <v>New York City</v>
      </c>
      <c r="M843" s="1" t="s">
        <v>175</v>
      </c>
      <c r="N843" s="1" t="str">
        <f t="shared" si="3"/>
        <v>New York</v>
      </c>
      <c r="O843" s="1">
        <v>10035.0</v>
      </c>
      <c r="P843" s="1" t="s">
        <v>100</v>
      </c>
      <c r="Q843" s="1" t="s">
        <v>27</v>
      </c>
      <c r="R843" s="3">
        <v>186.048</v>
      </c>
      <c r="S843" s="1">
        <v>1.0</v>
      </c>
      <c r="T843" s="4">
        <v>185.91</v>
      </c>
    </row>
    <row r="844">
      <c r="A844" s="1" t="s">
        <v>1462</v>
      </c>
      <c r="B844" s="2">
        <v>42927.0</v>
      </c>
      <c r="C844" s="2" t="str">
        <f t="shared" si="1"/>
        <v>Jul</v>
      </c>
      <c r="D844" s="6">
        <v>42989.0</v>
      </c>
      <c r="E844" s="1" t="s">
        <v>121</v>
      </c>
      <c r="F844" s="1" t="s">
        <v>1463</v>
      </c>
      <c r="G844" s="1" t="s">
        <v>1464</v>
      </c>
      <c r="H844" s="1" t="str">
        <f>IFERROR(__xludf.DUMMYFUNCTION("split(G844,"" "")"),"Eudokia")</f>
        <v>Eudokia</v>
      </c>
      <c r="I844" s="1" t="str">
        <f>IFERROR(__xludf.DUMMYFUNCTION("""COMPUTED_VALUE"""),"Martin")</f>
        <v>Martin</v>
      </c>
      <c r="J844" s="1" t="s">
        <v>34</v>
      </c>
      <c r="K844" s="1" t="s">
        <v>35</v>
      </c>
      <c r="L844" s="1" t="str">
        <f t="shared" si="2"/>
        <v>Los Angeles</v>
      </c>
      <c r="M844" s="1" t="s">
        <v>52</v>
      </c>
      <c r="N844" s="1" t="str">
        <f t="shared" si="3"/>
        <v>California</v>
      </c>
      <c r="O844" s="1">
        <v>90036.0</v>
      </c>
      <c r="P844" s="1" t="s">
        <v>37</v>
      </c>
      <c r="Q844" s="1" t="s">
        <v>38</v>
      </c>
      <c r="R844" s="3">
        <v>37.44</v>
      </c>
      <c r="S844" s="1">
        <v>9.0</v>
      </c>
      <c r="T844" s="4">
        <v>37.17</v>
      </c>
    </row>
    <row r="845">
      <c r="A845" s="1" t="s">
        <v>1462</v>
      </c>
      <c r="B845" s="2">
        <v>42927.0</v>
      </c>
      <c r="C845" s="2" t="str">
        <f t="shared" si="1"/>
        <v>Jul</v>
      </c>
      <c r="D845" s="6">
        <v>42989.0</v>
      </c>
      <c r="E845" s="1" t="s">
        <v>121</v>
      </c>
      <c r="F845" s="1" t="s">
        <v>1463</v>
      </c>
      <c r="G845" s="1" t="s">
        <v>1464</v>
      </c>
      <c r="H845" s="1" t="str">
        <f>IFERROR(__xludf.DUMMYFUNCTION("split(G845,"" "")"),"Eudokia")</f>
        <v>Eudokia</v>
      </c>
      <c r="I845" s="1" t="str">
        <f>IFERROR(__xludf.DUMMYFUNCTION("""COMPUTED_VALUE"""),"Martin")</f>
        <v>Martin</v>
      </c>
      <c r="J845" s="1" t="s">
        <v>34</v>
      </c>
      <c r="K845" s="1" t="s">
        <v>35</v>
      </c>
      <c r="L845" s="1" t="str">
        <f t="shared" si="2"/>
        <v>Los Angeles</v>
      </c>
      <c r="M845" s="1" t="s">
        <v>52</v>
      </c>
      <c r="N845" s="1" t="str">
        <f t="shared" si="3"/>
        <v>California</v>
      </c>
      <c r="O845" s="1">
        <v>90036.0</v>
      </c>
      <c r="P845" s="1" t="s">
        <v>37</v>
      </c>
      <c r="Q845" s="1" t="s">
        <v>38</v>
      </c>
      <c r="R845" s="3">
        <v>26.976</v>
      </c>
      <c r="S845" s="1">
        <v>9.0</v>
      </c>
      <c r="T845" s="4">
        <v>26.22</v>
      </c>
    </row>
    <row r="846">
      <c r="A846" s="1" t="s">
        <v>1462</v>
      </c>
      <c r="B846" s="2">
        <v>42927.0</v>
      </c>
      <c r="C846" s="2" t="str">
        <f t="shared" si="1"/>
        <v>Jul</v>
      </c>
      <c r="D846" s="6">
        <v>42989.0</v>
      </c>
      <c r="E846" s="1" t="s">
        <v>121</v>
      </c>
      <c r="F846" s="1" t="s">
        <v>1463</v>
      </c>
      <c r="G846" s="1" t="s">
        <v>1464</v>
      </c>
      <c r="H846" s="1" t="str">
        <f>IFERROR(__xludf.DUMMYFUNCTION("split(G846,"" "")"),"Eudokia")</f>
        <v>Eudokia</v>
      </c>
      <c r="I846" s="1" t="str">
        <f>IFERROR(__xludf.DUMMYFUNCTION("""COMPUTED_VALUE"""),"Martin")</f>
        <v>Martin</v>
      </c>
      <c r="J846" s="1" t="s">
        <v>34</v>
      </c>
      <c r="K846" s="1" t="s">
        <v>35</v>
      </c>
      <c r="L846" s="1" t="str">
        <f t="shared" si="2"/>
        <v>Los Angeles</v>
      </c>
      <c r="M846" s="1" t="s">
        <v>52</v>
      </c>
      <c r="N846" s="1" t="str">
        <f t="shared" si="3"/>
        <v>California</v>
      </c>
      <c r="O846" s="1">
        <v>90036.0</v>
      </c>
      <c r="P846" s="1" t="s">
        <v>37</v>
      </c>
      <c r="Q846" s="1" t="s">
        <v>38</v>
      </c>
      <c r="R846" s="3">
        <v>11.36</v>
      </c>
      <c r="S846" s="1">
        <v>9.0</v>
      </c>
      <c r="T846" s="4">
        <v>11.28</v>
      </c>
    </row>
    <row r="847">
      <c r="A847" s="1" t="s">
        <v>1462</v>
      </c>
      <c r="B847" s="2">
        <v>42927.0</v>
      </c>
      <c r="C847" s="2" t="str">
        <f t="shared" si="1"/>
        <v>Jul</v>
      </c>
      <c r="D847" s="6">
        <v>42989.0</v>
      </c>
      <c r="E847" s="1" t="s">
        <v>121</v>
      </c>
      <c r="F847" s="1" t="s">
        <v>1463</v>
      </c>
      <c r="G847" s="1" t="s">
        <v>1464</v>
      </c>
      <c r="H847" s="1" t="str">
        <f>IFERROR(__xludf.DUMMYFUNCTION("split(G847,"" "")"),"Eudokia")</f>
        <v>Eudokia</v>
      </c>
      <c r="I847" s="1" t="str">
        <f>IFERROR(__xludf.DUMMYFUNCTION("""COMPUTED_VALUE"""),"Martin")</f>
        <v>Martin</v>
      </c>
      <c r="J847" s="1" t="s">
        <v>34</v>
      </c>
      <c r="K847" s="1" t="s">
        <v>35</v>
      </c>
      <c r="L847" s="1" t="str">
        <f t="shared" si="2"/>
        <v>Los Angeles</v>
      </c>
      <c r="M847" s="1" t="s">
        <v>52</v>
      </c>
      <c r="N847" s="1" t="str">
        <f t="shared" si="3"/>
        <v>California</v>
      </c>
      <c r="O847" s="1">
        <v>90036.0</v>
      </c>
      <c r="P847" s="1" t="s">
        <v>37</v>
      </c>
      <c r="Q847" s="1" t="s">
        <v>38</v>
      </c>
      <c r="R847" s="3">
        <v>14.62</v>
      </c>
      <c r="S847" s="1">
        <v>9.0</v>
      </c>
      <c r="T847" s="4">
        <v>14.55</v>
      </c>
    </row>
    <row r="848">
      <c r="A848" s="1" t="s">
        <v>1465</v>
      </c>
      <c r="B848" s="2">
        <v>42656.0</v>
      </c>
      <c r="C848" s="2" t="str">
        <f t="shared" si="1"/>
        <v>Oct</v>
      </c>
      <c r="D848" s="1" t="s">
        <v>1466</v>
      </c>
      <c r="E848" s="1" t="s">
        <v>41</v>
      </c>
      <c r="F848" s="1" t="s">
        <v>1467</v>
      </c>
      <c r="G848" s="1" t="s">
        <v>1468</v>
      </c>
      <c r="H848" s="1" t="str">
        <f>IFERROR(__xludf.DUMMYFUNCTION("split(G848,"" "")"),"Art")</f>
        <v>Art</v>
      </c>
      <c r="I848" s="1" t="str">
        <f>IFERROR(__xludf.DUMMYFUNCTION("""COMPUTED_VALUE"""),"Foster")</f>
        <v>Foster</v>
      </c>
      <c r="J848" s="1" t="s">
        <v>23</v>
      </c>
      <c r="K848" s="1" t="s">
        <v>818</v>
      </c>
      <c r="L848" s="1" t="str">
        <f t="shared" si="2"/>
        <v>Louisville</v>
      </c>
      <c r="M848" s="1" t="s">
        <v>25</v>
      </c>
      <c r="N848" s="1" t="str">
        <f t="shared" si="3"/>
        <v>Kentucky</v>
      </c>
      <c r="O848" s="1">
        <v>40214.0</v>
      </c>
      <c r="P848" s="1" t="s">
        <v>26</v>
      </c>
      <c r="Q848" s="1" t="s">
        <v>51</v>
      </c>
      <c r="R848" s="3">
        <v>83.72</v>
      </c>
      <c r="S848" s="1">
        <v>4.0</v>
      </c>
      <c r="T848" s="4">
        <v>83.34</v>
      </c>
    </row>
    <row r="849">
      <c r="A849" s="1" t="s">
        <v>1465</v>
      </c>
      <c r="B849" s="2">
        <v>42656.0</v>
      </c>
      <c r="C849" s="2" t="str">
        <f t="shared" si="1"/>
        <v>Oct</v>
      </c>
      <c r="D849" s="1" t="s">
        <v>1466</v>
      </c>
      <c r="E849" s="1" t="s">
        <v>41</v>
      </c>
      <c r="F849" s="1" t="s">
        <v>1467</v>
      </c>
      <c r="G849" s="1" t="s">
        <v>1468</v>
      </c>
      <c r="H849" s="1" t="str">
        <f>IFERROR(__xludf.DUMMYFUNCTION("split(G849,"" "")"),"Art")</f>
        <v>Art</v>
      </c>
      <c r="I849" s="1" t="str">
        <f>IFERROR(__xludf.DUMMYFUNCTION("""COMPUTED_VALUE"""),"Foster")</f>
        <v>Foster</v>
      </c>
      <c r="J849" s="1" t="s">
        <v>23</v>
      </c>
      <c r="K849" s="1" t="s">
        <v>818</v>
      </c>
      <c r="L849" s="1" t="str">
        <f t="shared" si="2"/>
        <v>Louisville</v>
      </c>
      <c r="M849" s="1" t="s">
        <v>25</v>
      </c>
      <c r="N849" s="1" t="str">
        <f t="shared" si="3"/>
        <v>Kentucky</v>
      </c>
      <c r="O849" s="1">
        <v>40214.0</v>
      </c>
      <c r="P849" s="1" t="s">
        <v>26</v>
      </c>
      <c r="Q849" s="1" t="s">
        <v>27</v>
      </c>
      <c r="R849" s="3">
        <v>287.94</v>
      </c>
      <c r="S849" s="1">
        <v>4.0</v>
      </c>
      <c r="T849" s="4">
        <v>286.99</v>
      </c>
    </row>
    <row r="850">
      <c r="A850" s="1" t="s">
        <v>1469</v>
      </c>
      <c r="B850" s="2">
        <v>43101.0</v>
      </c>
      <c r="C850" s="2" t="str">
        <f t="shared" si="1"/>
        <v>Jan</v>
      </c>
      <c r="D850" s="6">
        <v>43252.0</v>
      </c>
      <c r="E850" s="1" t="s">
        <v>41</v>
      </c>
      <c r="F850" s="1" t="s">
        <v>1470</v>
      </c>
      <c r="G850" s="1" t="s">
        <v>1471</v>
      </c>
      <c r="H850" s="1" t="str">
        <f>IFERROR(__xludf.DUMMYFUNCTION("split(G850,"" "")"),"Guy")</f>
        <v>Guy</v>
      </c>
      <c r="I850" s="1" t="str">
        <f>IFERROR(__xludf.DUMMYFUNCTION("""COMPUTED_VALUE"""),"Armstrong")</f>
        <v>Armstrong</v>
      </c>
      <c r="J850" s="1" t="s">
        <v>23</v>
      </c>
      <c r="K850" s="1" t="s">
        <v>1472</v>
      </c>
      <c r="L850" s="1" t="str">
        <f t="shared" si="2"/>
        <v>Lorain</v>
      </c>
      <c r="M850" s="1" t="s">
        <v>304</v>
      </c>
      <c r="N850" s="1" t="str">
        <f t="shared" si="3"/>
        <v>Ohio</v>
      </c>
      <c r="O850" s="1">
        <v>44052.0</v>
      </c>
      <c r="P850" s="1" t="s">
        <v>100</v>
      </c>
      <c r="Q850" s="1" t="s">
        <v>27</v>
      </c>
      <c r="R850" s="3">
        <v>48.896</v>
      </c>
      <c r="S850" s="1">
        <v>4.0</v>
      </c>
      <c r="T850" s="4">
        <v>48.39</v>
      </c>
    </row>
    <row r="851">
      <c r="A851" s="1" t="s">
        <v>1473</v>
      </c>
      <c r="B851" s="2">
        <v>42187.0</v>
      </c>
      <c r="C851" s="2" t="str">
        <f t="shared" si="1"/>
        <v>Jul</v>
      </c>
      <c r="D851" s="6">
        <v>42340.0</v>
      </c>
      <c r="E851" s="1" t="s">
        <v>41</v>
      </c>
      <c r="F851" s="1" t="s">
        <v>1474</v>
      </c>
      <c r="G851" s="1" t="s">
        <v>1475</v>
      </c>
      <c r="H851" s="1" t="str">
        <f>IFERROR(__xludf.DUMMYFUNCTION("split(G851,"" "")"),"Cyma")</f>
        <v>Cyma</v>
      </c>
      <c r="I851" s="1" t="str">
        <f>IFERROR(__xludf.DUMMYFUNCTION("""COMPUTED_VALUE"""),"Kinney")</f>
        <v>Kinney</v>
      </c>
      <c r="J851" s="1" t="s">
        <v>34</v>
      </c>
      <c r="K851" s="1" t="s">
        <v>1476</v>
      </c>
      <c r="L851" s="1" t="str">
        <f t="shared" si="2"/>
        <v>Linden</v>
      </c>
      <c r="M851" s="1" t="s">
        <v>462</v>
      </c>
      <c r="N851" s="1" t="str">
        <f t="shared" si="3"/>
        <v>New Jersey</v>
      </c>
      <c r="O851" s="1">
        <v>7036.0</v>
      </c>
      <c r="P851" s="1" t="s">
        <v>100</v>
      </c>
      <c r="Q851" s="1" t="s">
        <v>51</v>
      </c>
      <c r="R851" s="3">
        <v>115.36</v>
      </c>
      <c r="S851" s="1">
        <v>7.0</v>
      </c>
      <c r="T851" s="4">
        <v>114.77</v>
      </c>
    </row>
    <row r="852">
      <c r="A852" s="1" t="s">
        <v>1477</v>
      </c>
      <c r="B852" s="2">
        <v>42906.0</v>
      </c>
      <c r="C852" s="2" t="str">
        <f t="shared" si="1"/>
        <v>Jun</v>
      </c>
      <c r="D852" s="1" t="s">
        <v>159</v>
      </c>
      <c r="E852" s="1" t="s">
        <v>20</v>
      </c>
      <c r="F852" s="1" t="s">
        <v>1478</v>
      </c>
      <c r="G852" s="1" t="s">
        <v>1479</v>
      </c>
      <c r="H852" s="1" t="str">
        <f>IFERROR(__xludf.DUMMYFUNCTION("split(G852,"" "")"),"Dave")</f>
        <v>Dave</v>
      </c>
      <c r="I852" s="1" t="str">
        <f>IFERROR(__xludf.DUMMYFUNCTION("""COMPUTED_VALUE"""),"Poirier")</f>
        <v>Poirier</v>
      </c>
      <c r="J852" s="1" t="s">
        <v>34</v>
      </c>
      <c r="K852" s="1" t="s">
        <v>1480</v>
      </c>
      <c r="L852" s="1" t="str">
        <f t="shared" si="2"/>
        <v>Salinas</v>
      </c>
      <c r="M852" s="1" t="s">
        <v>52</v>
      </c>
      <c r="N852" s="1" t="str">
        <f t="shared" si="3"/>
        <v>California</v>
      </c>
      <c r="O852" s="1">
        <v>93905.0</v>
      </c>
      <c r="P852" s="1" t="s">
        <v>37</v>
      </c>
      <c r="Q852" s="1" t="s">
        <v>38</v>
      </c>
      <c r="R852" s="3">
        <v>5.16</v>
      </c>
      <c r="S852" s="1">
        <v>9.0</v>
      </c>
      <c r="T852" s="4">
        <v>5.02</v>
      </c>
    </row>
    <row r="853">
      <c r="A853" s="1" t="s">
        <v>1477</v>
      </c>
      <c r="B853" s="2">
        <v>42906.0</v>
      </c>
      <c r="C853" s="2" t="str">
        <f t="shared" si="1"/>
        <v>Jun</v>
      </c>
      <c r="D853" s="1" t="s">
        <v>159</v>
      </c>
      <c r="E853" s="1" t="s">
        <v>20</v>
      </c>
      <c r="F853" s="1" t="s">
        <v>1478</v>
      </c>
      <c r="G853" s="1" t="s">
        <v>1479</v>
      </c>
      <c r="H853" s="1" t="str">
        <f>IFERROR(__xludf.DUMMYFUNCTION("split(G853,"" "")"),"Dave")</f>
        <v>Dave</v>
      </c>
      <c r="I853" s="1" t="str">
        <f>IFERROR(__xludf.DUMMYFUNCTION("""COMPUTED_VALUE"""),"Poirier")</f>
        <v>Poirier</v>
      </c>
      <c r="J853" s="1" t="s">
        <v>34</v>
      </c>
      <c r="K853" s="1" t="s">
        <v>1480</v>
      </c>
      <c r="L853" s="1" t="str">
        <f t="shared" si="2"/>
        <v>Salinas</v>
      </c>
      <c r="M853" s="1" t="s">
        <v>52</v>
      </c>
      <c r="N853" s="1" t="str">
        <f t="shared" si="3"/>
        <v>California</v>
      </c>
      <c r="O853" s="1">
        <v>93905.0</v>
      </c>
      <c r="P853" s="1" t="s">
        <v>37</v>
      </c>
      <c r="Q853" s="1" t="s">
        <v>38</v>
      </c>
      <c r="R853" s="3">
        <v>38.88</v>
      </c>
      <c r="S853" s="1">
        <v>9.0</v>
      </c>
      <c r="T853" s="4">
        <v>38.86</v>
      </c>
    </row>
    <row r="854">
      <c r="A854" s="1" t="s">
        <v>1481</v>
      </c>
      <c r="B854" s="2">
        <v>42883.0</v>
      </c>
      <c r="C854" s="2" t="str">
        <f t="shared" si="1"/>
        <v>May</v>
      </c>
      <c r="D854" s="6">
        <v>42831.0</v>
      </c>
      <c r="E854" s="1" t="s">
        <v>41</v>
      </c>
      <c r="F854" s="1" t="s">
        <v>515</v>
      </c>
      <c r="G854" s="1" t="s">
        <v>516</v>
      </c>
      <c r="H854" s="1" t="str">
        <f>IFERROR(__xludf.DUMMYFUNCTION("split(G854,"" "")"),"Valerie")</f>
        <v>Valerie</v>
      </c>
      <c r="I854" s="1" t="str">
        <f>IFERROR(__xludf.DUMMYFUNCTION("""COMPUTED_VALUE"""),"Dominguez")</f>
        <v>Dominguez</v>
      </c>
      <c r="J854" s="1" t="s">
        <v>23</v>
      </c>
      <c r="K854" s="1" t="s">
        <v>205</v>
      </c>
      <c r="L854" s="1" t="str">
        <f t="shared" si="2"/>
        <v>Jackson</v>
      </c>
      <c r="M854" s="1" t="s">
        <v>827</v>
      </c>
      <c r="N854" s="1" t="str">
        <f t="shared" si="3"/>
        <v>Mississippi</v>
      </c>
      <c r="O854" s="1">
        <v>39212.0</v>
      </c>
      <c r="P854" s="1" t="s">
        <v>26</v>
      </c>
      <c r="Q854" s="1" t="s">
        <v>38</v>
      </c>
      <c r="R854" s="3">
        <v>185.88</v>
      </c>
      <c r="S854" s="1">
        <v>3.0</v>
      </c>
      <c r="T854" s="4">
        <v>185.07</v>
      </c>
    </row>
    <row r="855">
      <c r="A855" s="1" t="s">
        <v>1482</v>
      </c>
      <c r="B855" s="2">
        <v>42785.0</v>
      </c>
      <c r="C855" s="2" t="str">
        <f t="shared" si="1"/>
        <v>Feb</v>
      </c>
      <c r="D855" s="1" t="s">
        <v>1483</v>
      </c>
      <c r="E855" s="1" t="s">
        <v>41</v>
      </c>
      <c r="F855" s="1" t="s">
        <v>1040</v>
      </c>
      <c r="G855" s="1" t="s">
        <v>1041</v>
      </c>
      <c r="H855" s="1" t="str">
        <f>IFERROR(__xludf.DUMMYFUNCTION("split(G855,"" "")"),"Greg")</f>
        <v>Greg</v>
      </c>
      <c r="I855" s="1" t="str">
        <f>IFERROR(__xludf.DUMMYFUNCTION("""COMPUTED_VALUE"""),"Tran")</f>
        <v>Tran</v>
      </c>
      <c r="J855" s="1" t="s">
        <v>23</v>
      </c>
      <c r="K855" s="1" t="s">
        <v>174</v>
      </c>
      <c r="L855" s="1" t="str">
        <f t="shared" si="2"/>
        <v>New York City</v>
      </c>
      <c r="M855" s="1" t="s">
        <v>175</v>
      </c>
      <c r="N855" s="1" t="str">
        <f t="shared" si="3"/>
        <v>New York</v>
      </c>
      <c r="O855" s="1">
        <v>10035.0</v>
      </c>
      <c r="P855" s="1" t="s">
        <v>100</v>
      </c>
      <c r="Q855" s="1" t="s">
        <v>27</v>
      </c>
      <c r="R855" s="3">
        <v>44.46</v>
      </c>
      <c r="S855" s="1">
        <v>1.0</v>
      </c>
      <c r="T855" s="4">
        <v>44.26</v>
      </c>
    </row>
    <row r="856">
      <c r="A856" s="1" t="s">
        <v>1482</v>
      </c>
      <c r="B856" s="2">
        <v>42785.0</v>
      </c>
      <c r="C856" s="2" t="str">
        <f t="shared" si="1"/>
        <v>Feb</v>
      </c>
      <c r="D856" s="1" t="s">
        <v>1483</v>
      </c>
      <c r="E856" s="1" t="s">
        <v>41</v>
      </c>
      <c r="F856" s="1" t="s">
        <v>1040</v>
      </c>
      <c r="G856" s="1" t="s">
        <v>1041</v>
      </c>
      <c r="H856" s="1" t="str">
        <f>IFERROR(__xludf.DUMMYFUNCTION("split(G856,"" "")"),"Greg")</f>
        <v>Greg</v>
      </c>
      <c r="I856" s="1" t="str">
        <f>IFERROR(__xludf.DUMMYFUNCTION("""COMPUTED_VALUE"""),"Tran")</f>
        <v>Tran</v>
      </c>
      <c r="J856" s="1" t="s">
        <v>23</v>
      </c>
      <c r="K856" s="1" t="s">
        <v>174</v>
      </c>
      <c r="L856" s="1" t="str">
        <f t="shared" si="2"/>
        <v>New York City</v>
      </c>
      <c r="M856" s="1" t="s">
        <v>175</v>
      </c>
      <c r="N856" s="1" t="str">
        <f t="shared" si="3"/>
        <v>New York</v>
      </c>
      <c r="O856" s="1">
        <v>10035.0</v>
      </c>
      <c r="P856" s="1" t="s">
        <v>100</v>
      </c>
      <c r="Q856" s="1" t="s">
        <v>38</v>
      </c>
      <c r="R856" s="3">
        <v>242.94</v>
      </c>
      <c r="S856" s="1">
        <v>1.0</v>
      </c>
      <c r="T856" s="4">
        <v>242.33</v>
      </c>
    </row>
    <row r="857">
      <c r="A857" s="1" t="s">
        <v>1484</v>
      </c>
      <c r="B857" s="2">
        <v>42071.0</v>
      </c>
      <c r="C857" s="2" t="str">
        <f t="shared" si="1"/>
        <v>Mar</v>
      </c>
      <c r="D857" s="6">
        <v>42224.0</v>
      </c>
      <c r="E857" s="1" t="s">
        <v>41</v>
      </c>
      <c r="F857" s="1" t="s">
        <v>1485</v>
      </c>
      <c r="G857" s="1" t="s">
        <v>1486</v>
      </c>
      <c r="H857" s="1" t="str">
        <f>IFERROR(__xludf.DUMMYFUNCTION("split(G857,"" "")"),"Berenike")</f>
        <v>Berenike</v>
      </c>
      <c r="I857" s="1" t="str">
        <f>IFERROR(__xludf.DUMMYFUNCTION("""COMPUTED_VALUE"""),"Kampe")</f>
        <v>Kampe</v>
      </c>
      <c r="J857" s="1" t="s">
        <v>23</v>
      </c>
      <c r="K857" s="1" t="s">
        <v>174</v>
      </c>
      <c r="L857" s="1" t="str">
        <f t="shared" si="2"/>
        <v>New York City</v>
      </c>
      <c r="M857" s="1" t="s">
        <v>175</v>
      </c>
      <c r="N857" s="1" t="str">
        <f t="shared" si="3"/>
        <v>New York</v>
      </c>
      <c r="O857" s="1">
        <v>10035.0</v>
      </c>
      <c r="P857" s="1" t="s">
        <v>100</v>
      </c>
      <c r="Q857" s="1" t="s">
        <v>38</v>
      </c>
      <c r="R857" s="3">
        <v>39.96</v>
      </c>
      <c r="S857" s="1">
        <v>1.0</v>
      </c>
      <c r="T857" s="4">
        <v>39.21</v>
      </c>
    </row>
    <row r="858">
      <c r="A858" s="1" t="s">
        <v>1484</v>
      </c>
      <c r="B858" s="2">
        <v>42071.0</v>
      </c>
      <c r="C858" s="2" t="str">
        <f t="shared" si="1"/>
        <v>Mar</v>
      </c>
      <c r="D858" s="6">
        <v>42224.0</v>
      </c>
      <c r="E858" s="1" t="s">
        <v>41</v>
      </c>
      <c r="F858" s="1" t="s">
        <v>1485</v>
      </c>
      <c r="G858" s="1" t="s">
        <v>1486</v>
      </c>
      <c r="H858" s="1" t="str">
        <f>IFERROR(__xludf.DUMMYFUNCTION("split(G858,"" "")"),"Berenike")</f>
        <v>Berenike</v>
      </c>
      <c r="I858" s="1" t="str">
        <f>IFERROR(__xludf.DUMMYFUNCTION("""COMPUTED_VALUE"""),"Kampe")</f>
        <v>Kampe</v>
      </c>
      <c r="J858" s="1" t="s">
        <v>23</v>
      </c>
      <c r="K858" s="1" t="s">
        <v>174</v>
      </c>
      <c r="L858" s="1" t="str">
        <f t="shared" si="2"/>
        <v>New York City</v>
      </c>
      <c r="M858" s="1" t="s">
        <v>175</v>
      </c>
      <c r="N858" s="1" t="str">
        <f t="shared" si="3"/>
        <v>New York</v>
      </c>
      <c r="O858" s="1">
        <v>10035.0</v>
      </c>
      <c r="P858" s="1" t="s">
        <v>100</v>
      </c>
      <c r="Q858" s="1" t="s">
        <v>38</v>
      </c>
      <c r="R858" s="3">
        <v>102.3</v>
      </c>
      <c r="S858" s="1">
        <v>1.0</v>
      </c>
      <c r="T858" s="4">
        <v>102.1</v>
      </c>
    </row>
    <row r="859">
      <c r="A859" s="1" t="s">
        <v>1484</v>
      </c>
      <c r="B859" s="2">
        <v>42071.0</v>
      </c>
      <c r="C859" s="2" t="str">
        <f t="shared" si="1"/>
        <v>Mar</v>
      </c>
      <c r="D859" s="6">
        <v>42224.0</v>
      </c>
      <c r="E859" s="1" t="s">
        <v>41</v>
      </c>
      <c r="F859" s="1" t="s">
        <v>1485</v>
      </c>
      <c r="G859" s="1" t="s">
        <v>1486</v>
      </c>
      <c r="H859" s="1" t="str">
        <f>IFERROR(__xludf.DUMMYFUNCTION("split(G859,"" "")"),"Berenike")</f>
        <v>Berenike</v>
      </c>
      <c r="I859" s="1" t="str">
        <f>IFERROR(__xludf.DUMMYFUNCTION("""COMPUTED_VALUE"""),"Kampe")</f>
        <v>Kampe</v>
      </c>
      <c r="J859" s="1" t="s">
        <v>23</v>
      </c>
      <c r="K859" s="1" t="s">
        <v>174</v>
      </c>
      <c r="L859" s="1" t="str">
        <f t="shared" si="2"/>
        <v>New York City</v>
      </c>
      <c r="M859" s="1" t="s">
        <v>175</v>
      </c>
      <c r="N859" s="1" t="str">
        <f t="shared" si="3"/>
        <v>New York</v>
      </c>
      <c r="O859" s="1">
        <v>10035.0</v>
      </c>
      <c r="P859" s="1" t="s">
        <v>100</v>
      </c>
      <c r="Q859" s="1" t="s">
        <v>38</v>
      </c>
      <c r="R859" s="3">
        <v>21.36</v>
      </c>
      <c r="S859" s="1">
        <v>1.0</v>
      </c>
      <c r="T859" s="4">
        <v>20.84</v>
      </c>
    </row>
    <row r="860">
      <c r="A860" s="1" t="s">
        <v>1487</v>
      </c>
      <c r="B860" s="2">
        <v>43377.0</v>
      </c>
      <c r="C860" s="2" t="str">
        <f t="shared" si="1"/>
        <v>Oct</v>
      </c>
      <c r="D860" s="1" t="s">
        <v>1488</v>
      </c>
      <c r="E860" s="1" t="s">
        <v>41</v>
      </c>
      <c r="F860" s="1" t="s">
        <v>1489</v>
      </c>
      <c r="G860" s="1" t="s">
        <v>1490</v>
      </c>
      <c r="H860" s="1" t="str">
        <f>IFERROR(__xludf.DUMMYFUNCTION("split(G860,"" "")"),"Sanjit")</f>
        <v>Sanjit</v>
      </c>
      <c r="I860" s="1" t="str">
        <f>IFERROR(__xludf.DUMMYFUNCTION("""COMPUTED_VALUE"""),"Jacobs")</f>
        <v>Jacobs</v>
      </c>
      <c r="J860" s="1" t="s">
        <v>68</v>
      </c>
      <c r="K860" s="1" t="s">
        <v>1491</v>
      </c>
      <c r="L860" s="1" t="str">
        <f t="shared" si="2"/>
        <v>New Brunswick</v>
      </c>
      <c r="M860" s="1" t="s">
        <v>462</v>
      </c>
      <c r="N860" s="1" t="str">
        <f t="shared" si="3"/>
        <v>New Jersey</v>
      </c>
      <c r="O860" s="1">
        <v>8901.0</v>
      </c>
      <c r="P860" s="1" t="s">
        <v>100</v>
      </c>
      <c r="Q860" s="1" t="s">
        <v>38</v>
      </c>
      <c r="R860" s="3">
        <v>7.61</v>
      </c>
      <c r="S860" s="1">
        <v>8.0</v>
      </c>
      <c r="T860" s="4">
        <v>7.6</v>
      </c>
    </row>
    <row r="861">
      <c r="A861" s="1" t="s">
        <v>1487</v>
      </c>
      <c r="B861" s="2">
        <v>43377.0</v>
      </c>
      <c r="C861" s="2" t="str">
        <f t="shared" si="1"/>
        <v>Oct</v>
      </c>
      <c r="D861" s="1" t="s">
        <v>1488</v>
      </c>
      <c r="E861" s="1" t="s">
        <v>41</v>
      </c>
      <c r="F861" s="1" t="s">
        <v>1489</v>
      </c>
      <c r="G861" s="1" t="s">
        <v>1490</v>
      </c>
      <c r="H861" s="1" t="str">
        <f>IFERROR(__xludf.DUMMYFUNCTION("split(G861,"" "")"),"Sanjit")</f>
        <v>Sanjit</v>
      </c>
      <c r="I861" s="1" t="str">
        <f>IFERROR(__xludf.DUMMYFUNCTION("""COMPUTED_VALUE"""),"Jacobs")</f>
        <v>Jacobs</v>
      </c>
      <c r="J861" s="1" t="s">
        <v>68</v>
      </c>
      <c r="K861" s="1" t="s">
        <v>1491</v>
      </c>
      <c r="L861" s="1" t="str">
        <f t="shared" si="2"/>
        <v>New Brunswick</v>
      </c>
      <c r="M861" s="1" t="s">
        <v>462</v>
      </c>
      <c r="N861" s="1" t="str">
        <f t="shared" si="3"/>
        <v>New Jersey</v>
      </c>
      <c r="O861" s="1">
        <v>8901.0</v>
      </c>
      <c r="P861" s="1" t="s">
        <v>100</v>
      </c>
      <c r="Q861" s="1" t="s">
        <v>38</v>
      </c>
      <c r="R861" s="3">
        <v>7.16</v>
      </c>
      <c r="S861" s="1">
        <v>8.0</v>
      </c>
      <c r="T861" s="4">
        <v>6.82</v>
      </c>
    </row>
    <row r="862">
      <c r="A862" s="1" t="s">
        <v>1492</v>
      </c>
      <c r="B862" s="2">
        <v>42253.0</v>
      </c>
      <c r="C862" s="2" t="str">
        <f t="shared" si="1"/>
        <v>Sep</v>
      </c>
      <c r="D862" s="1" t="s">
        <v>1493</v>
      </c>
      <c r="E862" s="1" t="s">
        <v>41</v>
      </c>
      <c r="F862" s="1" t="s">
        <v>1494</v>
      </c>
      <c r="G862" s="1" t="s">
        <v>1495</v>
      </c>
      <c r="H862" s="1" t="str">
        <f>IFERROR(__xludf.DUMMYFUNCTION("split(G862,"" "")"),"Chuck")</f>
        <v>Chuck</v>
      </c>
      <c r="I862" s="1" t="str">
        <f>IFERROR(__xludf.DUMMYFUNCTION("""COMPUTED_VALUE"""),"Magee")</f>
        <v>Magee</v>
      </c>
      <c r="J862" s="1" t="s">
        <v>23</v>
      </c>
      <c r="K862" s="1" t="s">
        <v>87</v>
      </c>
      <c r="L862" s="1" t="str">
        <f t="shared" si="2"/>
        <v>San Francisco</v>
      </c>
      <c r="M862" s="1" t="s">
        <v>52</v>
      </c>
      <c r="N862" s="1" t="str">
        <f t="shared" si="3"/>
        <v>California</v>
      </c>
      <c r="O862" s="1">
        <v>94122.0</v>
      </c>
      <c r="P862" s="1" t="s">
        <v>37</v>
      </c>
      <c r="Q862" s="1" t="s">
        <v>38</v>
      </c>
      <c r="R862" s="3">
        <v>7.36</v>
      </c>
      <c r="S862" s="1">
        <v>9.0</v>
      </c>
      <c r="T862" s="4">
        <v>6.7</v>
      </c>
    </row>
    <row r="863">
      <c r="A863" s="1" t="s">
        <v>1492</v>
      </c>
      <c r="B863" s="2">
        <v>42253.0</v>
      </c>
      <c r="C863" s="2" t="str">
        <f t="shared" si="1"/>
        <v>Sep</v>
      </c>
      <c r="D863" s="1" t="s">
        <v>1493</v>
      </c>
      <c r="E863" s="1" t="s">
        <v>41</v>
      </c>
      <c r="F863" s="1" t="s">
        <v>1494</v>
      </c>
      <c r="G863" s="1" t="s">
        <v>1495</v>
      </c>
      <c r="H863" s="1" t="str">
        <f>IFERROR(__xludf.DUMMYFUNCTION("split(G863,"" "")"),"Chuck")</f>
        <v>Chuck</v>
      </c>
      <c r="I863" s="1" t="str">
        <f>IFERROR(__xludf.DUMMYFUNCTION("""COMPUTED_VALUE"""),"Magee")</f>
        <v>Magee</v>
      </c>
      <c r="J863" s="1" t="s">
        <v>23</v>
      </c>
      <c r="K863" s="1" t="s">
        <v>87</v>
      </c>
      <c r="L863" s="1" t="str">
        <f t="shared" si="2"/>
        <v>San Francisco</v>
      </c>
      <c r="M863" s="1" t="s">
        <v>52</v>
      </c>
      <c r="N863" s="1" t="str">
        <f t="shared" si="3"/>
        <v>California</v>
      </c>
      <c r="O863" s="1">
        <v>94122.0</v>
      </c>
      <c r="P863" s="1" t="s">
        <v>37</v>
      </c>
      <c r="Q863" s="1" t="s">
        <v>38</v>
      </c>
      <c r="R863" s="3">
        <v>23.1</v>
      </c>
      <c r="S863" s="1">
        <v>9.0</v>
      </c>
      <c r="T863" s="4">
        <v>22.15</v>
      </c>
    </row>
    <row r="864">
      <c r="A864" s="1" t="s">
        <v>1496</v>
      </c>
      <c r="B864" s="2">
        <v>42856.0</v>
      </c>
      <c r="C864" s="2" t="str">
        <f t="shared" si="1"/>
        <v>May</v>
      </c>
      <c r="D864" s="6">
        <v>42917.0</v>
      </c>
      <c r="E864" s="1" t="s">
        <v>20</v>
      </c>
      <c r="F864" s="1" t="s">
        <v>1363</v>
      </c>
      <c r="G864" s="1" t="s">
        <v>1364</v>
      </c>
      <c r="H864" s="1" t="str">
        <f>IFERROR(__xludf.DUMMYFUNCTION("split(G864,"" "")"),"Anthony")</f>
        <v>Anthony</v>
      </c>
      <c r="I864" s="1" t="str">
        <f>IFERROR(__xludf.DUMMYFUNCTION("""COMPUTED_VALUE"""),"Johnson")</f>
        <v>Johnson</v>
      </c>
      <c r="J864" s="1" t="s">
        <v>34</v>
      </c>
      <c r="K864" s="1" t="s">
        <v>849</v>
      </c>
      <c r="L864" s="1" t="str">
        <f t="shared" si="2"/>
        <v>Jacksonville</v>
      </c>
      <c r="M864" s="1" t="s">
        <v>145</v>
      </c>
      <c r="N864" s="1" t="str">
        <f t="shared" si="3"/>
        <v>Florida</v>
      </c>
      <c r="O864" s="1">
        <v>32216.0</v>
      </c>
      <c r="P864" s="1" t="s">
        <v>26</v>
      </c>
      <c r="Q864" s="1" t="s">
        <v>51</v>
      </c>
      <c r="R864" s="3">
        <v>191.472</v>
      </c>
      <c r="S864" s="1">
        <v>3.0</v>
      </c>
      <c r="T864" s="4">
        <v>190.66</v>
      </c>
    </row>
    <row r="865">
      <c r="A865" s="1" t="s">
        <v>1496</v>
      </c>
      <c r="B865" s="2">
        <v>42856.0</v>
      </c>
      <c r="C865" s="2" t="str">
        <f t="shared" si="1"/>
        <v>May</v>
      </c>
      <c r="D865" s="6">
        <v>42917.0</v>
      </c>
      <c r="E865" s="1" t="s">
        <v>20</v>
      </c>
      <c r="F865" s="1" t="s">
        <v>1363</v>
      </c>
      <c r="G865" s="1" t="s">
        <v>1364</v>
      </c>
      <c r="H865" s="1" t="str">
        <f>IFERROR(__xludf.DUMMYFUNCTION("split(G865,"" "")"),"Anthony")</f>
        <v>Anthony</v>
      </c>
      <c r="I865" s="1" t="str">
        <f>IFERROR(__xludf.DUMMYFUNCTION("""COMPUTED_VALUE"""),"Johnson")</f>
        <v>Johnson</v>
      </c>
      <c r="J865" s="1" t="s">
        <v>34</v>
      </c>
      <c r="K865" s="1" t="s">
        <v>849</v>
      </c>
      <c r="L865" s="1" t="str">
        <f t="shared" si="2"/>
        <v>Jacksonville</v>
      </c>
      <c r="M865" s="1" t="s">
        <v>145</v>
      </c>
      <c r="N865" s="1" t="str">
        <f t="shared" si="3"/>
        <v>Florida</v>
      </c>
      <c r="O865" s="1">
        <v>32216.0</v>
      </c>
      <c r="P865" s="1" t="s">
        <v>26</v>
      </c>
      <c r="Q865" s="1" t="s">
        <v>38</v>
      </c>
      <c r="R865" s="3">
        <v>5.248</v>
      </c>
      <c r="S865" s="1">
        <v>3.0</v>
      </c>
      <c r="T865" s="4">
        <v>4.47</v>
      </c>
    </row>
    <row r="866">
      <c r="A866" s="1" t="s">
        <v>1496</v>
      </c>
      <c r="B866" s="2">
        <v>42856.0</v>
      </c>
      <c r="C866" s="2" t="str">
        <f t="shared" si="1"/>
        <v>May</v>
      </c>
      <c r="D866" s="6">
        <v>42917.0</v>
      </c>
      <c r="E866" s="1" t="s">
        <v>20</v>
      </c>
      <c r="F866" s="1" t="s">
        <v>1363</v>
      </c>
      <c r="G866" s="1" t="s">
        <v>1364</v>
      </c>
      <c r="H866" s="1" t="str">
        <f>IFERROR(__xludf.DUMMYFUNCTION("split(G866,"" "")"),"Anthony")</f>
        <v>Anthony</v>
      </c>
      <c r="I866" s="1" t="str">
        <f>IFERROR(__xludf.DUMMYFUNCTION("""COMPUTED_VALUE"""),"Johnson")</f>
        <v>Johnson</v>
      </c>
      <c r="J866" s="1" t="s">
        <v>34</v>
      </c>
      <c r="K866" s="1" t="s">
        <v>849</v>
      </c>
      <c r="L866" s="1" t="str">
        <f t="shared" si="2"/>
        <v>Jacksonville</v>
      </c>
      <c r="M866" s="1" t="s">
        <v>145</v>
      </c>
      <c r="N866" s="1" t="str">
        <f t="shared" si="3"/>
        <v>Florida</v>
      </c>
      <c r="O866" s="1">
        <v>32216.0</v>
      </c>
      <c r="P866" s="1" t="s">
        <v>26</v>
      </c>
      <c r="Q866" s="1" t="s">
        <v>51</v>
      </c>
      <c r="R866" s="3">
        <v>59.184</v>
      </c>
      <c r="S866" s="1">
        <v>3.0</v>
      </c>
      <c r="T866" s="4">
        <v>59.09</v>
      </c>
    </row>
    <row r="867">
      <c r="A867" s="1" t="s">
        <v>1497</v>
      </c>
      <c r="B867" s="2">
        <v>42278.0</v>
      </c>
      <c r="C867" s="2" t="str">
        <f t="shared" si="1"/>
        <v>Oct</v>
      </c>
      <c r="D867" s="1" t="s">
        <v>1357</v>
      </c>
      <c r="E867" s="1" t="s">
        <v>41</v>
      </c>
      <c r="F867" s="1" t="s">
        <v>1498</v>
      </c>
      <c r="G867" s="1" t="s">
        <v>1499</v>
      </c>
      <c r="H867" s="1" t="str">
        <f>IFERROR(__xludf.DUMMYFUNCTION("split(G867,"" "")"),"Anthony")</f>
        <v>Anthony</v>
      </c>
      <c r="I867" s="1" t="str">
        <f>IFERROR(__xludf.DUMMYFUNCTION("""COMPUTED_VALUE"""),"Jacobs")</f>
        <v>Jacobs</v>
      </c>
      <c r="J867" s="1" t="s">
        <v>34</v>
      </c>
      <c r="K867" s="1" t="s">
        <v>197</v>
      </c>
      <c r="L867" s="1" t="str">
        <f t="shared" si="2"/>
        <v>Springfield</v>
      </c>
      <c r="M867" s="1" t="s">
        <v>198</v>
      </c>
      <c r="N867" s="1" t="str">
        <f t="shared" si="3"/>
        <v>Virginia</v>
      </c>
      <c r="O867" s="1">
        <v>22153.0</v>
      </c>
      <c r="P867" s="1" t="s">
        <v>26</v>
      </c>
      <c r="Q867" s="1" t="s">
        <v>38</v>
      </c>
      <c r="R867" s="3">
        <v>2.89</v>
      </c>
      <c r="S867" s="1">
        <v>2.0</v>
      </c>
      <c r="T867" s="4">
        <v>2.46</v>
      </c>
    </row>
    <row r="868">
      <c r="A868" s="1" t="s">
        <v>1497</v>
      </c>
      <c r="B868" s="2">
        <v>42278.0</v>
      </c>
      <c r="C868" s="2" t="str">
        <f t="shared" si="1"/>
        <v>Oct</v>
      </c>
      <c r="D868" s="1" t="s">
        <v>1357</v>
      </c>
      <c r="E868" s="1" t="s">
        <v>41</v>
      </c>
      <c r="F868" s="1" t="s">
        <v>1498</v>
      </c>
      <c r="G868" s="1" t="s">
        <v>1499</v>
      </c>
      <c r="H868" s="1" t="str">
        <f>IFERROR(__xludf.DUMMYFUNCTION("split(G868,"" "")"),"Anthony")</f>
        <v>Anthony</v>
      </c>
      <c r="I868" s="1" t="str">
        <f>IFERROR(__xludf.DUMMYFUNCTION("""COMPUTED_VALUE"""),"Jacobs")</f>
        <v>Jacobs</v>
      </c>
      <c r="J868" s="1" t="s">
        <v>34</v>
      </c>
      <c r="K868" s="1" t="s">
        <v>197</v>
      </c>
      <c r="L868" s="1" t="str">
        <f t="shared" si="2"/>
        <v>Springfield</v>
      </c>
      <c r="M868" s="1" t="s">
        <v>198</v>
      </c>
      <c r="N868" s="1" t="str">
        <f t="shared" si="3"/>
        <v>Virginia</v>
      </c>
      <c r="O868" s="1">
        <v>22153.0</v>
      </c>
      <c r="P868" s="1" t="s">
        <v>26</v>
      </c>
      <c r="Q868" s="1" t="s">
        <v>27</v>
      </c>
      <c r="R868" s="3">
        <v>51.94</v>
      </c>
      <c r="S868" s="1">
        <v>2.0</v>
      </c>
      <c r="T868" s="4">
        <v>51.29</v>
      </c>
    </row>
    <row r="869">
      <c r="A869" s="1" t="s">
        <v>1500</v>
      </c>
      <c r="B869" s="2">
        <v>43007.0</v>
      </c>
      <c r="C869" s="2" t="str">
        <f t="shared" si="1"/>
        <v>Sep</v>
      </c>
      <c r="D869" s="6">
        <v>42776.0</v>
      </c>
      <c r="E869" s="1" t="s">
        <v>121</v>
      </c>
      <c r="F869" s="1" t="s">
        <v>1501</v>
      </c>
      <c r="G869" s="1" t="s">
        <v>1502</v>
      </c>
      <c r="H869" s="1" t="str">
        <f>IFERROR(__xludf.DUMMYFUNCTION("split(G869,"" "")"),"Linda")</f>
        <v>Linda</v>
      </c>
      <c r="I869" s="1" t="str">
        <f>IFERROR(__xludf.DUMMYFUNCTION("""COMPUTED_VALUE"""),"Southworth")</f>
        <v>Southworth</v>
      </c>
      <c r="J869" s="1" t="s">
        <v>34</v>
      </c>
      <c r="K869" s="1" t="s">
        <v>98</v>
      </c>
      <c r="L869" s="1" t="str">
        <f t="shared" si="2"/>
        <v>Philadelphia</v>
      </c>
      <c r="M869" s="1" t="s">
        <v>99</v>
      </c>
      <c r="N869" s="1" t="str">
        <f t="shared" si="3"/>
        <v>Pennsylvania</v>
      </c>
      <c r="O869" s="1">
        <v>19140.0</v>
      </c>
      <c r="P869" s="1" t="s">
        <v>100</v>
      </c>
      <c r="Q869" s="1" t="s">
        <v>38</v>
      </c>
      <c r="R869" s="3">
        <v>15.936</v>
      </c>
      <c r="S869" s="1">
        <v>1.0</v>
      </c>
      <c r="T869" s="4">
        <v>15.64</v>
      </c>
    </row>
    <row r="870">
      <c r="A870" s="1" t="s">
        <v>1503</v>
      </c>
      <c r="B870" s="2">
        <v>42159.0</v>
      </c>
      <c r="C870" s="2" t="str">
        <f t="shared" si="1"/>
        <v>Jun</v>
      </c>
      <c r="D870" s="6">
        <v>42281.0</v>
      </c>
      <c r="E870" s="1" t="s">
        <v>41</v>
      </c>
      <c r="F870" s="1" t="s">
        <v>1504</v>
      </c>
      <c r="G870" s="1" t="s">
        <v>1505</v>
      </c>
      <c r="H870" s="1" t="str">
        <f>IFERROR(__xludf.DUMMYFUNCTION("split(G870,"" "")"),"Guy")</f>
        <v>Guy</v>
      </c>
      <c r="I870" s="1" t="str">
        <f>IFERROR(__xludf.DUMMYFUNCTION("""COMPUTED_VALUE"""),"Phonely")</f>
        <v>Phonely</v>
      </c>
      <c r="J870" s="1" t="s">
        <v>34</v>
      </c>
      <c r="K870" s="1" t="s">
        <v>1382</v>
      </c>
      <c r="L870" s="1" t="str">
        <f t="shared" si="2"/>
        <v>Lancaster</v>
      </c>
      <c r="M870" s="1" t="s">
        <v>99</v>
      </c>
      <c r="N870" s="1" t="str">
        <f t="shared" si="3"/>
        <v>Pennsylvania</v>
      </c>
      <c r="O870" s="1">
        <v>17602.0</v>
      </c>
      <c r="P870" s="1" t="s">
        <v>100</v>
      </c>
      <c r="Q870" s="1" t="s">
        <v>38</v>
      </c>
      <c r="R870" s="3">
        <v>44.91</v>
      </c>
      <c r="S870" s="1">
        <v>1.0</v>
      </c>
      <c r="T870" s="4">
        <v>44.34</v>
      </c>
    </row>
    <row r="871">
      <c r="A871" s="1" t="s">
        <v>1506</v>
      </c>
      <c r="B871" s="2">
        <v>42803.0</v>
      </c>
      <c r="C871" s="2" t="str">
        <f t="shared" si="1"/>
        <v>Mar</v>
      </c>
      <c r="D871" s="6">
        <v>42864.0</v>
      </c>
      <c r="E871" s="1" t="s">
        <v>121</v>
      </c>
      <c r="F871" s="1" t="s">
        <v>1507</v>
      </c>
      <c r="G871" s="1" t="s">
        <v>1508</v>
      </c>
      <c r="H871" s="1" t="str">
        <f>IFERROR(__xludf.DUMMYFUNCTION("split(G871,"" "")"),"Paul")</f>
        <v>Paul</v>
      </c>
      <c r="I871" s="1" t="str">
        <f>IFERROR(__xludf.DUMMYFUNCTION("""COMPUTED_VALUE"""),"Knutson")</f>
        <v>Knutson</v>
      </c>
      <c r="J871" s="1" t="s">
        <v>68</v>
      </c>
      <c r="K871" s="1" t="s">
        <v>98</v>
      </c>
      <c r="L871" s="1" t="str">
        <f t="shared" si="2"/>
        <v>Philadelphia</v>
      </c>
      <c r="M871" s="1" t="s">
        <v>99</v>
      </c>
      <c r="N871" s="1" t="str">
        <f t="shared" si="3"/>
        <v>Pennsylvania</v>
      </c>
      <c r="O871" s="1">
        <v>19143.0</v>
      </c>
      <c r="P871" s="1" t="s">
        <v>100</v>
      </c>
      <c r="Q871" s="1" t="s">
        <v>38</v>
      </c>
      <c r="R871" s="3">
        <v>1141.47</v>
      </c>
      <c r="S871" s="1">
        <v>1.0</v>
      </c>
      <c r="T871" s="4">
        <v>1140.66</v>
      </c>
    </row>
    <row r="872">
      <c r="A872" s="1" t="s">
        <v>1506</v>
      </c>
      <c r="B872" s="2">
        <v>42803.0</v>
      </c>
      <c r="C872" s="2" t="str">
        <f t="shared" si="1"/>
        <v>Mar</v>
      </c>
      <c r="D872" s="6">
        <v>42864.0</v>
      </c>
      <c r="E872" s="1" t="s">
        <v>121</v>
      </c>
      <c r="F872" s="1" t="s">
        <v>1507</v>
      </c>
      <c r="G872" s="1" t="s">
        <v>1508</v>
      </c>
      <c r="H872" s="1" t="str">
        <f>IFERROR(__xludf.DUMMYFUNCTION("split(G872,"" "")"),"Paul")</f>
        <v>Paul</v>
      </c>
      <c r="I872" s="1" t="str">
        <f>IFERROR(__xludf.DUMMYFUNCTION("""COMPUTED_VALUE"""),"Knutson")</f>
        <v>Knutson</v>
      </c>
      <c r="J872" s="1" t="s">
        <v>68</v>
      </c>
      <c r="K872" s="1" t="s">
        <v>98</v>
      </c>
      <c r="L872" s="1" t="str">
        <f t="shared" si="2"/>
        <v>Philadelphia</v>
      </c>
      <c r="M872" s="1" t="s">
        <v>99</v>
      </c>
      <c r="N872" s="1" t="str">
        <f t="shared" si="3"/>
        <v>Pennsylvania</v>
      </c>
      <c r="O872" s="1">
        <v>19143.0</v>
      </c>
      <c r="P872" s="1" t="s">
        <v>100</v>
      </c>
      <c r="Q872" s="1" t="s">
        <v>51</v>
      </c>
      <c r="R872" s="3">
        <v>280.782</v>
      </c>
      <c r="S872" s="1">
        <v>1.0</v>
      </c>
      <c r="T872" s="4">
        <v>280.46</v>
      </c>
    </row>
    <row r="873">
      <c r="A873" s="1" t="s">
        <v>1509</v>
      </c>
      <c r="B873" s="2">
        <v>42662.0</v>
      </c>
      <c r="C873" s="2" t="str">
        <f t="shared" si="1"/>
        <v>Oct</v>
      </c>
      <c r="D873" s="1" t="s">
        <v>286</v>
      </c>
      <c r="E873" s="1" t="s">
        <v>121</v>
      </c>
      <c r="F873" s="1" t="s">
        <v>112</v>
      </c>
      <c r="G873" s="1" t="s">
        <v>113</v>
      </c>
      <c r="H873" s="1" t="str">
        <f>IFERROR(__xludf.DUMMYFUNCTION("split(G873,"" "")"),"Tracy")</f>
        <v>Tracy</v>
      </c>
      <c r="I873" s="1" t="str">
        <f>IFERROR(__xludf.DUMMYFUNCTION("""COMPUTED_VALUE"""),"Blumstein")</f>
        <v>Blumstein</v>
      </c>
      <c r="J873" s="1" t="s">
        <v>23</v>
      </c>
      <c r="K873" s="1" t="s">
        <v>57</v>
      </c>
      <c r="L873" s="1" t="str">
        <f t="shared" si="2"/>
        <v>Concord</v>
      </c>
      <c r="M873" s="1" t="s">
        <v>1510</v>
      </c>
      <c r="N873" s="1" t="str">
        <f t="shared" si="3"/>
        <v>New Hampshire</v>
      </c>
      <c r="O873" s="1">
        <v>3301.0</v>
      </c>
      <c r="P873" s="1" t="s">
        <v>100</v>
      </c>
      <c r="Q873" s="1" t="s">
        <v>38</v>
      </c>
      <c r="R873" s="3">
        <v>34.44</v>
      </c>
      <c r="S873" s="1">
        <v>3.0</v>
      </c>
      <c r="T873" s="4">
        <v>33.61</v>
      </c>
    </row>
    <row r="874">
      <c r="A874" s="1" t="s">
        <v>1511</v>
      </c>
      <c r="B874" s="2">
        <v>42289.0</v>
      </c>
      <c r="C874" s="2" t="str">
        <f t="shared" si="1"/>
        <v>Oct</v>
      </c>
      <c r="D874" s="1" t="s">
        <v>1512</v>
      </c>
      <c r="E874" s="1" t="s">
        <v>41</v>
      </c>
      <c r="F874" s="1" t="s">
        <v>1513</v>
      </c>
      <c r="G874" s="1" t="s">
        <v>1514</v>
      </c>
      <c r="H874" s="1" t="str">
        <f>IFERROR(__xludf.DUMMYFUNCTION("split(G874,"" "")"),"Sally")</f>
        <v>Sally</v>
      </c>
      <c r="I874" s="1" t="str">
        <f>IFERROR(__xludf.DUMMYFUNCTION("""COMPUTED_VALUE"""),"Matthias")</f>
        <v>Matthias</v>
      </c>
      <c r="J874" s="1" t="s">
        <v>23</v>
      </c>
      <c r="K874" s="1" t="s">
        <v>174</v>
      </c>
      <c r="L874" s="1" t="str">
        <f t="shared" si="2"/>
        <v>New York City</v>
      </c>
      <c r="M874" s="1" t="s">
        <v>175</v>
      </c>
      <c r="N874" s="1" t="str">
        <f t="shared" si="3"/>
        <v>New York</v>
      </c>
      <c r="O874" s="1">
        <v>10009.0</v>
      </c>
      <c r="P874" s="1" t="s">
        <v>100</v>
      </c>
      <c r="Q874" s="1" t="s">
        <v>38</v>
      </c>
      <c r="R874" s="3">
        <v>11.36</v>
      </c>
      <c r="S874" s="1">
        <v>1.0</v>
      </c>
      <c r="T874" s="4">
        <v>10.48</v>
      </c>
    </row>
    <row r="875">
      <c r="A875" s="1" t="s">
        <v>1511</v>
      </c>
      <c r="B875" s="2">
        <v>42289.0</v>
      </c>
      <c r="C875" s="2" t="str">
        <f t="shared" si="1"/>
        <v>Oct</v>
      </c>
      <c r="D875" s="1" t="s">
        <v>1512</v>
      </c>
      <c r="E875" s="1" t="s">
        <v>41</v>
      </c>
      <c r="F875" s="1" t="s">
        <v>1513</v>
      </c>
      <c r="G875" s="1" t="s">
        <v>1514</v>
      </c>
      <c r="H875" s="1" t="str">
        <f>IFERROR(__xludf.DUMMYFUNCTION("split(G875,"" "")"),"Sally")</f>
        <v>Sally</v>
      </c>
      <c r="I875" s="1" t="str">
        <f>IFERROR(__xludf.DUMMYFUNCTION("""COMPUTED_VALUE"""),"Matthias")</f>
        <v>Matthias</v>
      </c>
      <c r="J875" s="1" t="s">
        <v>23</v>
      </c>
      <c r="K875" s="1" t="s">
        <v>174</v>
      </c>
      <c r="L875" s="1" t="str">
        <f t="shared" si="2"/>
        <v>New York City</v>
      </c>
      <c r="M875" s="1" t="s">
        <v>175</v>
      </c>
      <c r="N875" s="1" t="str">
        <f t="shared" si="3"/>
        <v>New York</v>
      </c>
      <c r="O875" s="1">
        <v>10009.0</v>
      </c>
      <c r="P875" s="1" t="s">
        <v>100</v>
      </c>
      <c r="Q875" s="1" t="s">
        <v>38</v>
      </c>
      <c r="R875" s="3">
        <v>106.344</v>
      </c>
      <c r="S875" s="1">
        <v>1.0</v>
      </c>
      <c r="T875" s="4">
        <v>105.77</v>
      </c>
    </row>
    <row r="876">
      <c r="A876" s="1" t="s">
        <v>1515</v>
      </c>
      <c r="B876" s="2">
        <v>43337.0</v>
      </c>
      <c r="C876" s="2" t="str">
        <f t="shared" si="1"/>
        <v>Aug</v>
      </c>
      <c r="D876" s="1" t="s">
        <v>1516</v>
      </c>
      <c r="E876" s="1" t="s">
        <v>41</v>
      </c>
      <c r="F876" s="1" t="s">
        <v>1470</v>
      </c>
      <c r="G876" s="1" t="s">
        <v>1471</v>
      </c>
      <c r="H876" s="1" t="str">
        <f>IFERROR(__xludf.DUMMYFUNCTION("split(G876,"" "")"),"Guy")</f>
        <v>Guy</v>
      </c>
      <c r="I876" s="1" t="str">
        <f>IFERROR(__xludf.DUMMYFUNCTION("""COMPUTED_VALUE"""),"Armstrong")</f>
        <v>Armstrong</v>
      </c>
      <c r="J876" s="1" t="s">
        <v>23</v>
      </c>
      <c r="K876" s="1" t="s">
        <v>284</v>
      </c>
      <c r="L876" s="1" t="str">
        <f t="shared" si="2"/>
        <v>Charlotte</v>
      </c>
      <c r="M876" s="1" t="s">
        <v>58</v>
      </c>
      <c r="N876" s="1" t="str">
        <f t="shared" si="3"/>
        <v>North Carolina</v>
      </c>
      <c r="O876" s="1">
        <v>28205.0</v>
      </c>
      <c r="P876" s="1" t="s">
        <v>26</v>
      </c>
      <c r="Q876" s="1" t="s">
        <v>38</v>
      </c>
      <c r="R876" s="3">
        <v>192.16</v>
      </c>
      <c r="S876" s="1">
        <v>2.0</v>
      </c>
      <c r="T876" s="4">
        <v>191.21</v>
      </c>
    </row>
    <row r="877">
      <c r="A877" s="1" t="s">
        <v>1517</v>
      </c>
      <c r="B877" s="2">
        <v>42752.0</v>
      </c>
      <c r="C877" s="2" t="str">
        <f t="shared" si="1"/>
        <v>Jan</v>
      </c>
      <c r="D877" s="1" t="s">
        <v>1518</v>
      </c>
      <c r="E877" s="1" t="s">
        <v>41</v>
      </c>
      <c r="F877" s="1" t="s">
        <v>1184</v>
      </c>
      <c r="G877" s="1" t="s">
        <v>1185</v>
      </c>
      <c r="H877" s="1" t="str">
        <f>IFERROR(__xludf.DUMMYFUNCTION("split(G877,"" "")"),"Chuck")</f>
        <v>Chuck</v>
      </c>
      <c r="I877" s="1" t="str">
        <f>IFERROR(__xludf.DUMMYFUNCTION("""COMPUTED_VALUE"""),"Clark")</f>
        <v>Clark</v>
      </c>
      <c r="J877" s="1" t="s">
        <v>68</v>
      </c>
      <c r="K877" s="1" t="s">
        <v>57</v>
      </c>
      <c r="L877" s="1" t="str">
        <f t="shared" si="2"/>
        <v>Concord</v>
      </c>
      <c r="M877" s="1" t="s">
        <v>1510</v>
      </c>
      <c r="N877" s="1" t="str">
        <f t="shared" si="3"/>
        <v>New Hampshire</v>
      </c>
      <c r="O877" s="1">
        <v>3301.0</v>
      </c>
      <c r="P877" s="1" t="s">
        <v>100</v>
      </c>
      <c r="Q877" s="1" t="s">
        <v>27</v>
      </c>
      <c r="R877" s="3">
        <v>322.59</v>
      </c>
      <c r="S877" s="1">
        <v>3.0</v>
      </c>
      <c r="T877" s="4">
        <v>322.4</v>
      </c>
    </row>
    <row r="878">
      <c r="A878" s="1" t="s">
        <v>1517</v>
      </c>
      <c r="B878" s="2">
        <v>42752.0</v>
      </c>
      <c r="C878" s="2" t="str">
        <f t="shared" si="1"/>
        <v>Jan</v>
      </c>
      <c r="D878" s="1" t="s">
        <v>1518</v>
      </c>
      <c r="E878" s="1" t="s">
        <v>41</v>
      </c>
      <c r="F878" s="1" t="s">
        <v>1184</v>
      </c>
      <c r="G878" s="1" t="s">
        <v>1185</v>
      </c>
      <c r="H878" s="1" t="str">
        <f>IFERROR(__xludf.DUMMYFUNCTION("split(G878,"" "")"),"Chuck")</f>
        <v>Chuck</v>
      </c>
      <c r="I878" s="1" t="str">
        <f>IFERROR(__xludf.DUMMYFUNCTION("""COMPUTED_VALUE"""),"Clark")</f>
        <v>Clark</v>
      </c>
      <c r="J878" s="1" t="s">
        <v>68</v>
      </c>
      <c r="K878" s="1" t="s">
        <v>57</v>
      </c>
      <c r="L878" s="1" t="str">
        <f t="shared" si="2"/>
        <v>Concord</v>
      </c>
      <c r="M878" s="1" t="s">
        <v>1510</v>
      </c>
      <c r="N878" s="1" t="str">
        <f t="shared" si="3"/>
        <v>New Hampshire</v>
      </c>
      <c r="O878" s="1">
        <v>3301.0</v>
      </c>
      <c r="P878" s="1" t="s">
        <v>100</v>
      </c>
      <c r="Q878" s="1" t="s">
        <v>51</v>
      </c>
      <c r="R878" s="3">
        <v>29.99</v>
      </c>
      <c r="S878" s="1">
        <v>3.0</v>
      </c>
      <c r="T878" s="4">
        <v>29.34</v>
      </c>
    </row>
    <row r="879">
      <c r="A879" s="1" t="s">
        <v>1517</v>
      </c>
      <c r="B879" s="2">
        <v>42752.0</v>
      </c>
      <c r="C879" s="2" t="str">
        <f t="shared" si="1"/>
        <v>Jan</v>
      </c>
      <c r="D879" s="1" t="s">
        <v>1518</v>
      </c>
      <c r="E879" s="1" t="s">
        <v>41</v>
      </c>
      <c r="F879" s="1" t="s">
        <v>1184</v>
      </c>
      <c r="G879" s="1" t="s">
        <v>1185</v>
      </c>
      <c r="H879" s="1" t="str">
        <f>IFERROR(__xludf.DUMMYFUNCTION("split(G879,"" "")"),"Chuck")</f>
        <v>Chuck</v>
      </c>
      <c r="I879" s="1" t="str">
        <f>IFERROR(__xludf.DUMMYFUNCTION("""COMPUTED_VALUE"""),"Clark")</f>
        <v>Clark</v>
      </c>
      <c r="J879" s="1" t="s">
        <v>68</v>
      </c>
      <c r="K879" s="1" t="s">
        <v>57</v>
      </c>
      <c r="L879" s="1" t="str">
        <f t="shared" si="2"/>
        <v>Concord</v>
      </c>
      <c r="M879" s="1" t="s">
        <v>1510</v>
      </c>
      <c r="N879" s="1" t="str">
        <f t="shared" si="3"/>
        <v>New Hampshire</v>
      </c>
      <c r="O879" s="1">
        <v>3301.0</v>
      </c>
      <c r="P879" s="1" t="s">
        <v>100</v>
      </c>
      <c r="Q879" s="1" t="s">
        <v>51</v>
      </c>
      <c r="R879" s="3">
        <v>371.97</v>
      </c>
      <c r="S879" s="1">
        <v>3.0</v>
      </c>
      <c r="T879" s="4">
        <v>371.37</v>
      </c>
    </row>
    <row r="880">
      <c r="A880" s="1" t="s">
        <v>1519</v>
      </c>
      <c r="B880" s="2">
        <v>42264.0</v>
      </c>
      <c r="C880" s="2" t="str">
        <f t="shared" si="1"/>
        <v>Sep</v>
      </c>
      <c r="D880" s="1" t="s">
        <v>556</v>
      </c>
      <c r="E880" s="1" t="s">
        <v>41</v>
      </c>
      <c r="F880" s="1" t="s">
        <v>1520</v>
      </c>
      <c r="G880" s="1" t="s">
        <v>1521</v>
      </c>
      <c r="H880" s="1" t="str">
        <f>IFERROR(__xludf.DUMMYFUNCTION("split(G880,"" "")"),"Anthony")</f>
        <v>Anthony</v>
      </c>
      <c r="I880" s="1" t="str">
        <f>IFERROR(__xludf.DUMMYFUNCTION("""COMPUTED_VALUE"""),"Garverick")</f>
        <v>Garverick</v>
      </c>
      <c r="J880" s="1" t="s">
        <v>68</v>
      </c>
      <c r="K880" s="1" t="s">
        <v>98</v>
      </c>
      <c r="L880" s="1" t="str">
        <f t="shared" si="2"/>
        <v>Philadelphia</v>
      </c>
      <c r="M880" s="1" t="s">
        <v>99</v>
      </c>
      <c r="N880" s="1" t="str">
        <f t="shared" si="3"/>
        <v>Pennsylvania</v>
      </c>
      <c r="O880" s="1">
        <v>19120.0</v>
      </c>
      <c r="P880" s="1" t="s">
        <v>100</v>
      </c>
      <c r="Q880" s="1" t="s">
        <v>38</v>
      </c>
      <c r="R880" s="3">
        <v>5.892</v>
      </c>
      <c r="S880" s="1">
        <v>1.0</v>
      </c>
      <c r="T880" s="4">
        <v>5.78</v>
      </c>
    </row>
    <row r="881">
      <c r="A881" s="1" t="s">
        <v>1522</v>
      </c>
      <c r="B881" s="2">
        <v>43434.0</v>
      </c>
      <c r="C881" s="2" t="str">
        <f t="shared" si="1"/>
        <v>Nov</v>
      </c>
      <c r="D881" s="6">
        <v>43143.0</v>
      </c>
      <c r="E881" s="1" t="s">
        <v>20</v>
      </c>
      <c r="F881" s="1" t="s">
        <v>66</v>
      </c>
      <c r="G881" s="1" t="s">
        <v>67</v>
      </c>
      <c r="H881" s="1" t="str">
        <f>IFERROR(__xludf.DUMMYFUNCTION("split(G881,"" "")"),"Harold")</f>
        <v>Harold</v>
      </c>
      <c r="I881" s="1" t="str">
        <f>IFERROR(__xludf.DUMMYFUNCTION("""COMPUTED_VALUE"""),"Pawlan")</f>
        <v>Pawlan</v>
      </c>
      <c r="J881" s="1" t="s">
        <v>68</v>
      </c>
      <c r="K881" s="1" t="s">
        <v>174</v>
      </c>
      <c r="L881" s="1" t="str">
        <f t="shared" si="2"/>
        <v>New York City</v>
      </c>
      <c r="M881" s="1" t="s">
        <v>175</v>
      </c>
      <c r="N881" s="1" t="str">
        <f t="shared" si="3"/>
        <v>New York</v>
      </c>
      <c r="O881" s="1">
        <v>10024.0</v>
      </c>
      <c r="P881" s="1" t="s">
        <v>100</v>
      </c>
      <c r="Q881" s="1" t="s">
        <v>38</v>
      </c>
      <c r="R881" s="3">
        <v>68.472</v>
      </c>
      <c r="S881" s="1">
        <v>1.0</v>
      </c>
      <c r="T881" s="4">
        <v>68.14</v>
      </c>
    </row>
    <row r="882">
      <c r="A882" s="1" t="s">
        <v>1522</v>
      </c>
      <c r="B882" s="2">
        <v>43434.0</v>
      </c>
      <c r="C882" s="2" t="str">
        <f t="shared" si="1"/>
        <v>Nov</v>
      </c>
      <c r="D882" s="6">
        <v>43143.0</v>
      </c>
      <c r="E882" s="1" t="s">
        <v>20</v>
      </c>
      <c r="F882" s="1" t="s">
        <v>66</v>
      </c>
      <c r="G882" s="1" t="s">
        <v>67</v>
      </c>
      <c r="H882" s="1" t="str">
        <f>IFERROR(__xludf.DUMMYFUNCTION("split(G882,"" "")"),"Harold")</f>
        <v>Harold</v>
      </c>
      <c r="I882" s="1" t="str">
        <f>IFERROR(__xludf.DUMMYFUNCTION("""COMPUTED_VALUE"""),"Pawlan")</f>
        <v>Pawlan</v>
      </c>
      <c r="J882" s="1" t="s">
        <v>68</v>
      </c>
      <c r="K882" s="1" t="s">
        <v>174</v>
      </c>
      <c r="L882" s="1" t="str">
        <f t="shared" si="2"/>
        <v>New York City</v>
      </c>
      <c r="M882" s="1" t="s">
        <v>175</v>
      </c>
      <c r="N882" s="1" t="str">
        <f t="shared" si="3"/>
        <v>New York</v>
      </c>
      <c r="O882" s="1">
        <v>10024.0</v>
      </c>
      <c r="P882" s="1" t="s">
        <v>100</v>
      </c>
      <c r="Q882" s="1" t="s">
        <v>27</v>
      </c>
      <c r="R882" s="3">
        <v>1242.9</v>
      </c>
      <c r="S882" s="1">
        <v>1.0</v>
      </c>
      <c r="T882" s="4">
        <v>1242.58</v>
      </c>
    </row>
    <row r="883">
      <c r="A883" s="1" t="s">
        <v>1523</v>
      </c>
      <c r="B883" s="2">
        <v>42623.0</v>
      </c>
      <c r="C883" s="2" t="str">
        <f t="shared" si="1"/>
        <v>Sep</v>
      </c>
      <c r="D883" s="1" t="s">
        <v>1524</v>
      </c>
      <c r="E883" s="1" t="s">
        <v>41</v>
      </c>
      <c r="F883" s="1" t="s">
        <v>306</v>
      </c>
      <c r="G883" s="1" t="s">
        <v>307</v>
      </c>
      <c r="H883" s="1" t="str">
        <f>IFERROR(__xludf.DUMMYFUNCTION("split(G883,"" "")"),"Dave")</f>
        <v>Dave</v>
      </c>
      <c r="I883" s="1" t="str">
        <f>IFERROR(__xludf.DUMMYFUNCTION("""COMPUTED_VALUE"""),"Kipp")</f>
        <v>Kipp</v>
      </c>
      <c r="J883" s="1" t="s">
        <v>23</v>
      </c>
      <c r="K883" s="1" t="s">
        <v>197</v>
      </c>
      <c r="L883" s="1" t="str">
        <f t="shared" si="2"/>
        <v>Springfield</v>
      </c>
      <c r="M883" s="1" t="s">
        <v>198</v>
      </c>
      <c r="N883" s="1" t="str">
        <f t="shared" si="3"/>
        <v>Virginia</v>
      </c>
      <c r="O883" s="1">
        <v>22153.0</v>
      </c>
      <c r="P883" s="1" t="s">
        <v>26</v>
      </c>
      <c r="Q883" s="1" t="s">
        <v>38</v>
      </c>
      <c r="R883" s="3">
        <v>30.84</v>
      </c>
      <c r="S883" s="1">
        <v>2.0</v>
      </c>
      <c r="T883" s="4">
        <v>30.29</v>
      </c>
    </row>
    <row r="884">
      <c r="A884" s="1" t="s">
        <v>1525</v>
      </c>
      <c r="B884" s="2">
        <v>43457.0</v>
      </c>
      <c r="C884" s="2" t="str">
        <f t="shared" si="1"/>
        <v>Dec</v>
      </c>
      <c r="D884" s="1" t="s">
        <v>1526</v>
      </c>
      <c r="E884" s="1" t="s">
        <v>717</v>
      </c>
      <c r="F884" s="1" t="s">
        <v>272</v>
      </c>
      <c r="G884" s="1" t="s">
        <v>273</v>
      </c>
      <c r="H884" s="1" t="str">
        <f>IFERROR(__xludf.DUMMYFUNCTION("split(G884,"" "")"),"Gary")</f>
        <v>Gary</v>
      </c>
      <c r="I884" s="1" t="str">
        <f>IFERROR(__xludf.DUMMYFUNCTION("""COMPUTED_VALUE"""),"Zandusky")</f>
        <v>Zandusky</v>
      </c>
      <c r="J884" s="1" t="s">
        <v>23</v>
      </c>
      <c r="K884" s="1" t="s">
        <v>87</v>
      </c>
      <c r="L884" s="1" t="str">
        <f t="shared" si="2"/>
        <v>San Francisco</v>
      </c>
      <c r="M884" s="1" t="s">
        <v>52</v>
      </c>
      <c r="N884" s="1" t="str">
        <f t="shared" si="3"/>
        <v>California</v>
      </c>
      <c r="O884" s="1">
        <v>94109.0</v>
      </c>
      <c r="P884" s="1" t="s">
        <v>37</v>
      </c>
      <c r="Q884" s="1" t="s">
        <v>38</v>
      </c>
      <c r="R884" s="3">
        <v>13.48</v>
      </c>
      <c r="S884" s="1">
        <v>9.0</v>
      </c>
      <c r="T884" s="4">
        <v>12.5</v>
      </c>
    </row>
    <row r="885">
      <c r="A885" s="1" t="s">
        <v>1527</v>
      </c>
      <c r="B885" s="2">
        <v>43030.0</v>
      </c>
      <c r="C885" s="2" t="str">
        <f t="shared" si="1"/>
        <v>Oct</v>
      </c>
      <c r="D885" s="1" t="s">
        <v>1528</v>
      </c>
      <c r="E885" s="1" t="s">
        <v>121</v>
      </c>
      <c r="F885" s="1" t="s">
        <v>1529</v>
      </c>
      <c r="G885" s="1" t="s">
        <v>1530</v>
      </c>
      <c r="H885" s="1" t="str">
        <f>IFERROR(__xludf.DUMMYFUNCTION("split(G885,"" "")"),"Peter")</f>
        <v>Peter</v>
      </c>
      <c r="I885" s="1" t="str">
        <f>IFERROR(__xludf.DUMMYFUNCTION("""COMPUTED_VALUE"""),"McVee")</f>
        <v>McVee</v>
      </c>
      <c r="J885" s="1" t="s">
        <v>68</v>
      </c>
      <c r="K885" s="1" t="s">
        <v>513</v>
      </c>
      <c r="L885" s="1" t="str">
        <f t="shared" si="2"/>
        <v>Detroit</v>
      </c>
      <c r="M885" s="1" t="s">
        <v>157</v>
      </c>
      <c r="N885" s="1" t="str">
        <f t="shared" si="3"/>
        <v>Michigan</v>
      </c>
      <c r="O885" s="1">
        <v>48227.0</v>
      </c>
      <c r="P885" s="1" t="s">
        <v>71</v>
      </c>
      <c r="Q885" s="1" t="s">
        <v>27</v>
      </c>
      <c r="R885" s="3">
        <v>31.4</v>
      </c>
      <c r="S885" s="1">
        <v>4.0</v>
      </c>
      <c r="T885" s="4">
        <v>31.38</v>
      </c>
    </row>
    <row r="886">
      <c r="A886" s="1" t="s">
        <v>1531</v>
      </c>
      <c r="B886" s="2">
        <v>42123.0</v>
      </c>
      <c r="C886" s="2" t="str">
        <f t="shared" si="1"/>
        <v>Apr</v>
      </c>
      <c r="D886" s="6">
        <v>42099.0</v>
      </c>
      <c r="E886" s="1" t="s">
        <v>41</v>
      </c>
      <c r="F886" s="1" t="s">
        <v>1532</v>
      </c>
      <c r="G886" s="1" t="s">
        <v>1533</v>
      </c>
      <c r="H886" s="1" t="str">
        <f>IFERROR(__xludf.DUMMYFUNCTION("split(G886,"" "")"),"Lauren")</f>
        <v>Lauren</v>
      </c>
      <c r="I886" s="1" t="str">
        <f>IFERROR(__xludf.DUMMYFUNCTION("""COMPUTED_VALUE"""),"Leatherbury")</f>
        <v>Leatherbury</v>
      </c>
      <c r="J886" s="1" t="s">
        <v>23</v>
      </c>
      <c r="K886" s="1" t="s">
        <v>240</v>
      </c>
      <c r="L886" s="1" t="str">
        <f t="shared" si="2"/>
        <v>Rochester</v>
      </c>
      <c r="M886" s="1" t="s">
        <v>175</v>
      </c>
      <c r="N886" s="1" t="str">
        <f t="shared" si="3"/>
        <v>New York</v>
      </c>
      <c r="O886" s="1">
        <v>14609.0</v>
      </c>
      <c r="P886" s="1" t="s">
        <v>100</v>
      </c>
      <c r="Q886" s="1" t="s">
        <v>27</v>
      </c>
      <c r="R886" s="3">
        <v>17.46</v>
      </c>
      <c r="S886" s="1">
        <v>1.0</v>
      </c>
      <c r="T886" s="4">
        <v>16.59</v>
      </c>
    </row>
    <row r="887">
      <c r="A887" s="1" t="s">
        <v>1534</v>
      </c>
      <c r="B887" s="2">
        <v>42485.0</v>
      </c>
      <c r="C887" s="2" t="str">
        <f t="shared" si="1"/>
        <v>Apr</v>
      </c>
      <c r="D887" s="1" t="s">
        <v>1535</v>
      </c>
      <c r="E887" s="1" t="s">
        <v>20</v>
      </c>
      <c r="F887" s="1" t="s">
        <v>1536</v>
      </c>
      <c r="G887" s="1" t="s">
        <v>1537</v>
      </c>
      <c r="H887" s="1" t="str">
        <f>IFERROR(__xludf.DUMMYFUNCTION("split(G887,"" "")"),"Jill")</f>
        <v>Jill</v>
      </c>
      <c r="I887" s="1" t="str">
        <f>IFERROR(__xludf.DUMMYFUNCTION("""COMPUTED_VALUE"""),"Stevenson")</f>
        <v>Stevenson</v>
      </c>
      <c r="J887" s="1" t="s">
        <v>34</v>
      </c>
      <c r="K887" s="1" t="s">
        <v>35</v>
      </c>
      <c r="L887" s="1" t="str">
        <f t="shared" si="2"/>
        <v>Los Angeles</v>
      </c>
      <c r="M887" s="1" t="s">
        <v>52</v>
      </c>
      <c r="N887" s="1" t="str">
        <f t="shared" si="3"/>
        <v>California</v>
      </c>
      <c r="O887" s="1">
        <v>90045.0</v>
      </c>
      <c r="P887" s="1" t="s">
        <v>37</v>
      </c>
      <c r="Q887" s="1" t="s">
        <v>38</v>
      </c>
      <c r="R887" s="3">
        <v>13.944</v>
      </c>
      <c r="S887" s="1">
        <v>9.0</v>
      </c>
      <c r="T887" s="4">
        <v>13.63</v>
      </c>
    </row>
    <row r="888">
      <c r="A888" s="1" t="s">
        <v>1538</v>
      </c>
      <c r="B888" s="2">
        <v>43277.0</v>
      </c>
      <c r="C888" s="2" t="str">
        <f t="shared" si="1"/>
        <v>Jun</v>
      </c>
      <c r="D888" s="6">
        <v>43138.0</v>
      </c>
      <c r="E888" s="1" t="s">
        <v>41</v>
      </c>
      <c r="F888" s="1" t="s">
        <v>1048</v>
      </c>
      <c r="G888" s="1" t="s">
        <v>1049</v>
      </c>
      <c r="H888" s="1" t="str">
        <f>IFERROR(__xludf.DUMMYFUNCTION("split(G888,"" "")"),"Olvera")</f>
        <v>Olvera</v>
      </c>
      <c r="I888" s="1" t="str">
        <f>IFERROR(__xludf.DUMMYFUNCTION("""COMPUTED_VALUE"""),"Toch")</f>
        <v>Toch</v>
      </c>
      <c r="J888" s="1" t="s">
        <v>23</v>
      </c>
      <c r="K888" s="1" t="s">
        <v>542</v>
      </c>
      <c r="L888" s="1" t="str">
        <f t="shared" si="2"/>
        <v>San Diego</v>
      </c>
      <c r="M888" s="1" t="s">
        <v>52</v>
      </c>
      <c r="N888" s="1" t="str">
        <f t="shared" si="3"/>
        <v>California</v>
      </c>
      <c r="O888" s="1">
        <v>92105.0</v>
      </c>
      <c r="P888" s="1" t="s">
        <v>37</v>
      </c>
      <c r="Q888" s="1" t="s">
        <v>38</v>
      </c>
      <c r="R888" s="3">
        <v>83.76</v>
      </c>
      <c r="S888" s="1">
        <v>9.0</v>
      </c>
      <c r="T888" s="4">
        <v>83.49</v>
      </c>
    </row>
    <row r="889">
      <c r="A889" s="1" t="s">
        <v>1539</v>
      </c>
      <c r="B889" s="2">
        <v>43387.0</v>
      </c>
      <c r="C889" s="2" t="str">
        <f t="shared" si="1"/>
        <v>Oct</v>
      </c>
      <c r="D889" s="1" t="s">
        <v>778</v>
      </c>
      <c r="E889" s="1" t="s">
        <v>41</v>
      </c>
      <c r="F889" s="1" t="s">
        <v>1540</v>
      </c>
      <c r="G889" s="1" t="s">
        <v>1541</v>
      </c>
      <c r="H889" s="1" t="str">
        <f>IFERROR(__xludf.DUMMYFUNCTION("split(G889,"" "")"),"Ed")</f>
        <v>Ed</v>
      </c>
      <c r="I889" s="1" t="str">
        <f>IFERROR(__xludf.DUMMYFUNCTION("""COMPUTED_VALUE"""),"Ludwig")</f>
        <v>Ludwig</v>
      </c>
      <c r="J889" s="1" t="s">
        <v>68</v>
      </c>
      <c r="K889" s="1" t="s">
        <v>235</v>
      </c>
      <c r="L889" s="1" t="str">
        <f t="shared" si="2"/>
        <v>Columbia</v>
      </c>
      <c r="M889" s="1" t="s">
        <v>1542</v>
      </c>
      <c r="N889" s="1" t="str">
        <f t="shared" si="3"/>
        <v>Maryland</v>
      </c>
      <c r="O889" s="1">
        <v>21044.0</v>
      </c>
      <c r="P889" s="1" t="s">
        <v>100</v>
      </c>
      <c r="Q889" s="1" t="s">
        <v>38</v>
      </c>
      <c r="R889" s="3">
        <v>37.66</v>
      </c>
      <c r="S889" s="1">
        <v>2.0</v>
      </c>
      <c r="T889" s="4">
        <v>37.21</v>
      </c>
    </row>
    <row r="890">
      <c r="A890" s="1" t="s">
        <v>1543</v>
      </c>
      <c r="B890" s="2">
        <v>42259.0</v>
      </c>
      <c r="C890" s="2" t="str">
        <f t="shared" si="1"/>
        <v>Sep</v>
      </c>
      <c r="D890" s="1" t="s">
        <v>1544</v>
      </c>
      <c r="E890" s="1" t="s">
        <v>41</v>
      </c>
      <c r="F890" s="1" t="s">
        <v>1474</v>
      </c>
      <c r="G890" s="1" t="s">
        <v>1475</v>
      </c>
      <c r="H890" s="1" t="str">
        <f>IFERROR(__xludf.DUMMYFUNCTION("split(G890,"" "")"),"Cyma")</f>
        <v>Cyma</v>
      </c>
      <c r="I890" s="1" t="str">
        <f>IFERROR(__xludf.DUMMYFUNCTION("""COMPUTED_VALUE"""),"Kinney")</f>
        <v>Kinney</v>
      </c>
      <c r="J890" s="1" t="s">
        <v>34</v>
      </c>
      <c r="K890" s="1" t="s">
        <v>87</v>
      </c>
      <c r="L890" s="1" t="str">
        <f t="shared" si="2"/>
        <v>San Francisco</v>
      </c>
      <c r="M890" s="1" t="s">
        <v>52</v>
      </c>
      <c r="N890" s="1" t="str">
        <f t="shared" si="3"/>
        <v>California</v>
      </c>
      <c r="O890" s="1">
        <v>94122.0</v>
      </c>
      <c r="P890" s="1" t="s">
        <v>37</v>
      </c>
      <c r="Q890" s="1" t="s">
        <v>38</v>
      </c>
      <c r="R890" s="3">
        <v>34.68</v>
      </c>
      <c r="S890" s="1">
        <v>9.0</v>
      </c>
      <c r="T890" s="4">
        <v>33.87</v>
      </c>
    </row>
    <row r="891">
      <c r="A891" s="1" t="s">
        <v>1545</v>
      </c>
      <c r="B891" s="2">
        <v>43271.0</v>
      </c>
      <c r="C891" s="2" t="str">
        <f t="shared" si="1"/>
        <v>Jun</v>
      </c>
      <c r="D891" s="1" t="s">
        <v>1546</v>
      </c>
      <c r="E891" s="1" t="s">
        <v>41</v>
      </c>
      <c r="F891" s="1" t="s">
        <v>903</v>
      </c>
      <c r="G891" s="1" t="s">
        <v>904</v>
      </c>
      <c r="H891" s="1" t="str">
        <f>IFERROR(__xludf.DUMMYFUNCTION("split(G891,"" "")"),"Jeremy")</f>
        <v>Jeremy</v>
      </c>
      <c r="I891" s="1" t="str">
        <f>IFERROR(__xludf.DUMMYFUNCTION("""COMPUTED_VALUE"""),"Ellison")</f>
        <v>Ellison</v>
      </c>
      <c r="J891" s="1" t="s">
        <v>23</v>
      </c>
      <c r="K891" s="1" t="s">
        <v>835</v>
      </c>
      <c r="L891" s="1" t="str">
        <f t="shared" si="2"/>
        <v>New Rochelle</v>
      </c>
      <c r="M891" s="1" t="s">
        <v>175</v>
      </c>
      <c r="N891" s="1" t="str">
        <f t="shared" si="3"/>
        <v>New York</v>
      </c>
      <c r="O891" s="1">
        <v>10801.0</v>
      </c>
      <c r="P891" s="1" t="s">
        <v>100</v>
      </c>
      <c r="Q891" s="1" t="s">
        <v>51</v>
      </c>
      <c r="R891" s="3">
        <v>149.95</v>
      </c>
      <c r="S891" s="1">
        <v>1.0</v>
      </c>
      <c r="T891" s="4">
        <v>149.13</v>
      </c>
    </row>
    <row r="892">
      <c r="A892" s="1" t="s">
        <v>1545</v>
      </c>
      <c r="B892" s="2">
        <v>43271.0</v>
      </c>
      <c r="C892" s="2" t="str">
        <f t="shared" si="1"/>
        <v>Jun</v>
      </c>
      <c r="D892" s="1" t="s">
        <v>1546</v>
      </c>
      <c r="E892" s="1" t="s">
        <v>41</v>
      </c>
      <c r="F892" s="1" t="s">
        <v>903</v>
      </c>
      <c r="G892" s="1" t="s">
        <v>904</v>
      </c>
      <c r="H892" s="1" t="str">
        <f>IFERROR(__xludf.DUMMYFUNCTION("split(G892,"" "")"),"Jeremy")</f>
        <v>Jeremy</v>
      </c>
      <c r="I892" s="1" t="str">
        <f>IFERROR(__xludf.DUMMYFUNCTION("""COMPUTED_VALUE"""),"Ellison")</f>
        <v>Ellison</v>
      </c>
      <c r="J892" s="1" t="s">
        <v>23</v>
      </c>
      <c r="K892" s="1" t="s">
        <v>835</v>
      </c>
      <c r="L892" s="1" t="str">
        <f t="shared" si="2"/>
        <v>New Rochelle</v>
      </c>
      <c r="M892" s="1" t="s">
        <v>175</v>
      </c>
      <c r="N892" s="1" t="str">
        <f t="shared" si="3"/>
        <v>New York</v>
      </c>
      <c r="O892" s="1">
        <v>10801.0</v>
      </c>
      <c r="P892" s="1" t="s">
        <v>100</v>
      </c>
      <c r="Q892" s="1" t="s">
        <v>38</v>
      </c>
      <c r="R892" s="3">
        <v>51.312</v>
      </c>
      <c r="S892" s="1">
        <v>1.0</v>
      </c>
      <c r="T892" s="4">
        <v>50.91</v>
      </c>
    </row>
    <row r="893">
      <c r="A893" s="1" t="s">
        <v>1547</v>
      </c>
      <c r="B893" s="2">
        <v>43277.0</v>
      </c>
      <c r="C893" s="2" t="str">
        <f t="shared" si="1"/>
        <v>Jun</v>
      </c>
      <c r="D893" s="1" t="s">
        <v>1440</v>
      </c>
      <c r="E893" s="1" t="s">
        <v>121</v>
      </c>
      <c r="F893" s="1" t="s">
        <v>1271</v>
      </c>
      <c r="G893" s="1" t="s">
        <v>1272</v>
      </c>
      <c r="H893" s="1" t="str">
        <f>IFERROR(__xludf.DUMMYFUNCTION("split(G893,"" "")"),"Tracy")</f>
        <v>Tracy</v>
      </c>
      <c r="I893" s="1" t="str">
        <f>IFERROR(__xludf.DUMMYFUNCTION("""COMPUTED_VALUE"""),"Hopkins")</f>
        <v>Hopkins</v>
      </c>
      <c r="J893" s="1" t="s">
        <v>68</v>
      </c>
      <c r="K893" s="1" t="s">
        <v>513</v>
      </c>
      <c r="L893" s="1" t="str">
        <f t="shared" si="2"/>
        <v>Detroit</v>
      </c>
      <c r="M893" s="1" t="s">
        <v>157</v>
      </c>
      <c r="N893" s="1" t="str">
        <f t="shared" si="3"/>
        <v>Michigan</v>
      </c>
      <c r="O893" s="1">
        <v>48227.0</v>
      </c>
      <c r="P893" s="1" t="s">
        <v>71</v>
      </c>
      <c r="Q893" s="1" t="s">
        <v>38</v>
      </c>
      <c r="R893" s="3">
        <v>4.54</v>
      </c>
      <c r="S893" s="1">
        <v>4.0</v>
      </c>
      <c r="T893" s="4">
        <v>4.38</v>
      </c>
    </row>
    <row r="894">
      <c r="A894" s="1" t="s">
        <v>1547</v>
      </c>
      <c r="B894" s="2">
        <v>43277.0</v>
      </c>
      <c r="C894" s="2" t="str">
        <f t="shared" si="1"/>
        <v>Jun</v>
      </c>
      <c r="D894" s="1" t="s">
        <v>1440</v>
      </c>
      <c r="E894" s="1" t="s">
        <v>121</v>
      </c>
      <c r="F894" s="1" t="s">
        <v>1271</v>
      </c>
      <c r="G894" s="1" t="s">
        <v>1272</v>
      </c>
      <c r="H894" s="1" t="str">
        <f>IFERROR(__xludf.DUMMYFUNCTION("split(G894,"" "")"),"Tracy")</f>
        <v>Tracy</v>
      </c>
      <c r="I894" s="1" t="str">
        <f>IFERROR(__xludf.DUMMYFUNCTION("""COMPUTED_VALUE"""),"Hopkins")</f>
        <v>Hopkins</v>
      </c>
      <c r="J894" s="1" t="s">
        <v>68</v>
      </c>
      <c r="K894" s="1" t="s">
        <v>513</v>
      </c>
      <c r="L894" s="1" t="str">
        <f t="shared" si="2"/>
        <v>Detroit</v>
      </c>
      <c r="M894" s="1" t="s">
        <v>157</v>
      </c>
      <c r="N894" s="1" t="str">
        <f t="shared" si="3"/>
        <v>Michigan</v>
      </c>
      <c r="O894" s="1">
        <v>48227.0</v>
      </c>
      <c r="P894" s="1" t="s">
        <v>71</v>
      </c>
      <c r="Q894" s="1" t="s">
        <v>38</v>
      </c>
      <c r="R894" s="3">
        <v>15.92</v>
      </c>
      <c r="S894" s="1">
        <v>4.0</v>
      </c>
      <c r="T894" s="4">
        <v>15.36</v>
      </c>
    </row>
    <row r="895">
      <c r="A895" s="1" t="s">
        <v>1547</v>
      </c>
      <c r="B895" s="2">
        <v>43277.0</v>
      </c>
      <c r="C895" s="2" t="str">
        <f t="shared" si="1"/>
        <v>Jun</v>
      </c>
      <c r="D895" s="1" t="s">
        <v>1440</v>
      </c>
      <c r="E895" s="1" t="s">
        <v>121</v>
      </c>
      <c r="F895" s="1" t="s">
        <v>1271</v>
      </c>
      <c r="G895" s="1" t="s">
        <v>1272</v>
      </c>
      <c r="H895" s="1" t="str">
        <f>IFERROR(__xludf.DUMMYFUNCTION("split(G895,"" "")"),"Tracy")</f>
        <v>Tracy</v>
      </c>
      <c r="I895" s="1" t="str">
        <f>IFERROR(__xludf.DUMMYFUNCTION("""COMPUTED_VALUE"""),"Hopkins")</f>
        <v>Hopkins</v>
      </c>
      <c r="J895" s="1" t="s">
        <v>68</v>
      </c>
      <c r="K895" s="1" t="s">
        <v>513</v>
      </c>
      <c r="L895" s="1" t="str">
        <f t="shared" si="2"/>
        <v>Detroit</v>
      </c>
      <c r="M895" s="1" t="s">
        <v>157</v>
      </c>
      <c r="N895" s="1" t="str">
        <f t="shared" si="3"/>
        <v>Michigan</v>
      </c>
      <c r="O895" s="1">
        <v>48227.0</v>
      </c>
      <c r="P895" s="1" t="s">
        <v>71</v>
      </c>
      <c r="Q895" s="1" t="s">
        <v>51</v>
      </c>
      <c r="R895" s="3">
        <v>543.92</v>
      </c>
      <c r="S895" s="1">
        <v>4.0</v>
      </c>
      <c r="T895" s="4">
        <v>543.77</v>
      </c>
    </row>
    <row r="896">
      <c r="A896" s="1" t="s">
        <v>1548</v>
      </c>
      <c r="B896" s="2">
        <v>43019.0</v>
      </c>
      <c r="C896" s="2" t="str">
        <f t="shared" si="1"/>
        <v>Oct</v>
      </c>
      <c r="D896" s="5">
        <v>43080.0</v>
      </c>
      <c r="E896" s="1" t="s">
        <v>121</v>
      </c>
      <c r="F896" s="1" t="s">
        <v>1549</v>
      </c>
      <c r="G896" s="1" t="s">
        <v>1550</v>
      </c>
      <c r="H896" s="1" t="str">
        <f>IFERROR(__xludf.DUMMYFUNCTION("split(G896,"" "")"),"Pamela")</f>
        <v>Pamela</v>
      </c>
      <c r="I896" s="1" t="str">
        <f>IFERROR(__xludf.DUMMYFUNCTION("""COMPUTED_VALUE"""),"Coakley")</f>
        <v>Coakley</v>
      </c>
      <c r="J896" s="1" t="s">
        <v>34</v>
      </c>
      <c r="K896" s="1" t="s">
        <v>87</v>
      </c>
      <c r="L896" s="1" t="str">
        <f t="shared" si="2"/>
        <v>San Francisco</v>
      </c>
      <c r="M896" s="1" t="s">
        <v>52</v>
      </c>
      <c r="N896" s="1" t="str">
        <f t="shared" si="3"/>
        <v>California</v>
      </c>
      <c r="O896" s="1">
        <v>94122.0</v>
      </c>
      <c r="P896" s="1" t="s">
        <v>37</v>
      </c>
      <c r="Q896" s="1" t="s">
        <v>38</v>
      </c>
      <c r="R896" s="3">
        <v>155.82</v>
      </c>
      <c r="S896" s="1">
        <v>9.0</v>
      </c>
      <c r="T896" s="4">
        <v>155.11</v>
      </c>
    </row>
    <row r="897">
      <c r="A897" s="1" t="s">
        <v>1548</v>
      </c>
      <c r="B897" s="2">
        <v>43019.0</v>
      </c>
      <c r="C897" s="2" t="str">
        <f t="shared" si="1"/>
        <v>Oct</v>
      </c>
      <c r="D897" s="5">
        <v>43080.0</v>
      </c>
      <c r="E897" s="1" t="s">
        <v>121</v>
      </c>
      <c r="F897" s="1" t="s">
        <v>1549</v>
      </c>
      <c r="G897" s="1" t="s">
        <v>1550</v>
      </c>
      <c r="H897" s="1" t="str">
        <f>IFERROR(__xludf.DUMMYFUNCTION("split(G897,"" "")"),"Pamela")</f>
        <v>Pamela</v>
      </c>
      <c r="I897" s="1" t="str">
        <f>IFERROR(__xludf.DUMMYFUNCTION("""COMPUTED_VALUE"""),"Coakley")</f>
        <v>Coakley</v>
      </c>
      <c r="J897" s="1" t="s">
        <v>34</v>
      </c>
      <c r="K897" s="1" t="s">
        <v>87</v>
      </c>
      <c r="L897" s="1" t="str">
        <f t="shared" si="2"/>
        <v>San Francisco</v>
      </c>
      <c r="M897" s="1" t="s">
        <v>52</v>
      </c>
      <c r="N897" s="1" t="str">
        <f t="shared" si="3"/>
        <v>California</v>
      </c>
      <c r="O897" s="1">
        <v>94122.0</v>
      </c>
      <c r="P897" s="1" t="s">
        <v>37</v>
      </c>
      <c r="Q897" s="1" t="s">
        <v>38</v>
      </c>
      <c r="R897" s="3">
        <v>70.008</v>
      </c>
      <c r="S897" s="1">
        <v>9.0</v>
      </c>
      <c r="T897" s="4">
        <v>70.0</v>
      </c>
    </row>
    <row r="898">
      <c r="A898" s="1" t="s">
        <v>1551</v>
      </c>
      <c r="B898" s="2">
        <v>42804.0</v>
      </c>
      <c r="C898" s="2" t="str">
        <f t="shared" si="1"/>
        <v>Mar</v>
      </c>
      <c r="D898" s="6">
        <v>42896.0</v>
      </c>
      <c r="E898" s="1" t="s">
        <v>20</v>
      </c>
      <c r="F898" s="1" t="s">
        <v>1552</v>
      </c>
      <c r="G898" s="1" t="s">
        <v>1553</v>
      </c>
      <c r="H898" s="1" t="str">
        <f>IFERROR(__xludf.DUMMYFUNCTION("split(G898,"" "")"),"Hunter")</f>
        <v>Hunter</v>
      </c>
      <c r="I898" s="1" t="str">
        <f>IFERROR(__xludf.DUMMYFUNCTION("""COMPUTED_VALUE"""),"Lopez")</f>
        <v>Lopez</v>
      </c>
      <c r="J898" s="1" t="s">
        <v>23</v>
      </c>
      <c r="K898" s="1" t="s">
        <v>129</v>
      </c>
      <c r="L898" s="1" t="str">
        <f t="shared" si="2"/>
        <v>Houston</v>
      </c>
      <c r="M898" s="1" t="s">
        <v>70</v>
      </c>
      <c r="N898" s="1" t="str">
        <f t="shared" si="3"/>
        <v>Texas</v>
      </c>
      <c r="O898" s="1">
        <v>77095.0</v>
      </c>
      <c r="P898" s="1" t="s">
        <v>71</v>
      </c>
      <c r="Q898" s="1" t="s">
        <v>38</v>
      </c>
      <c r="R898" s="3">
        <v>15.648</v>
      </c>
      <c r="S898" s="1">
        <v>7.0</v>
      </c>
      <c r="T898" s="4">
        <v>14.69</v>
      </c>
    </row>
    <row r="899">
      <c r="A899" s="1" t="s">
        <v>1554</v>
      </c>
      <c r="B899" s="2">
        <v>42256.0</v>
      </c>
      <c r="C899" s="2" t="str">
        <f t="shared" si="1"/>
        <v>Sep</v>
      </c>
      <c r="D899" s="1" t="s">
        <v>1555</v>
      </c>
      <c r="E899" s="1" t="s">
        <v>41</v>
      </c>
      <c r="F899" s="1" t="s">
        <v>1556</v>
      </c>
      <c r="G899" s="1" t="s">
        <v>1557</v>
      </c>
      <c r="H899" s="1" t="str">
        <f>IFERROR(__xludf.DUMMYFUNCTION("split(G899,"" "")"),"Maribeth")</f>
        <v>Maribeth</v>
      </c>
      <c r="I899" s="1" t="str">
        <f>IFERROR(__xludf.DUMMYFUNCTION("""COMPUTED_VALUE"""),"Schnelling")</f>
        <v>Schnelling</v>
      </c>
      <c r="J899" s="1" t="s">
        <v>23</v>
      </c>
      <c r="K899" s="1" t="s">
        <v>513</v>
      </c>
      <c r="L899" s="1" t="str">
        <f t="shared" si="2"/>
        <v>Detroit</v>
      </c>
      <c r="M899" s="1" t="s">
        <v>157</v>
      </c>
      <c r="N899" s="1" t="str">
        <f t="shared" si="3"/>
        <v>Michigan</v>
      </c>
      <c r="O899" s="1">
        <v>48227.0</v>
      </c>
      <c r="P899" s="1" t="s">
        <v>71</v>
      </c>
      <c r="Q899" s="1" t="s">
        <v>38</v>
      </c>
      <c r="R899" s="3">
        <v>103.6</v>
      </c>
      <c r="S899" s="1">
        <v>4.0</v>
      </c>
      <c r="T899" s="4">
        <v>103.15</v>
      </c>
    </row>
    <row r="900">
      <c r="A900" s="1" t="s">
        <v>1558</v>
      </c>
      <c r="B900" s="2">
        <v>43402.0</v>
      </c>
      <c r="C900" s="2" t="str">
        <f t="shared" si="1"/>
        <v>Oct</v>
      </c>
      <c r="D900" s="1" t="s">
        <v>1559</v>
      </c>
      <c r="E900" s="1" t="s">
        <v>20</v>
      </c>
      <c r="F900" s="1" t="s">
        <v>1560</v>
      </c>
      <c r="G900" s="1" t="s">
        <v>1561</v>
      </c>
      <c r="H900" s="1" t="str">
        <f>IFERROR(__xludf.DUMMYFUNCTION("split(G900,"" "")"),"George")</f>
        <v>George</v>
      </c>
      <c r="I900" s="1" t="str">
        <f>IFERROR(__xludf.DUMMYFUNCTION("""COMPUTED_VALUE"""),"Bell")</f>
        <v>Bell</v>
      </c>
      <c r="J900" s="1" t="s">
        <v>34</v>
      </c>
      <c r="K900" s="1" t="s">
        <v>868</v>
      </c>
      <c r="L900" s="1" t="str">
        <f t="shared" si="2"/>
        <v>Auburn</v>
      </c>
      <c r="M900" s="1" t="s">
        <v>175</v>
      </c>
      <c r="N900" s="1" t="str">
        <f t="shared" si="3"/>
        <v>New York</v>
      </c>
      <c r="O900" s="1">
        <v>13021.0</v>
      </c>
      <c r="P900" s="1" t="s">
        <v>100</v>
      </c>
      <c r="Q900" s="1" t="s">
        <v>38</v>
      </c>
      <c r="R900" s="3">
        <v>46.96</v>
      </c>
      <c r="S900" s="1">
        <v>1.0</v>
      </c>
      <c r="T900" s="4">
        <v>46.9</v>
      </c>
    </row>
    <row r="901">
      <c r="A901" s="1" t="s">
        <v>1562</v>
      </c>
      <c r="B901" s="2">
        <v>43012.0</v>
      </c>
      <c r="C901" s="2" t="str">
        <f t="shared" si="1"/>
        <v>Oct</v>
      </c>
      <c r="D901" s="6">
        <v>43073.0</v>
      </c>
      <c r="E901" s="1" t="s">
        <v>121</v>
      </c>
      <c r="F901" s="1" t="s">
        <v>1563</v>
      </c>
      <c r="G901" s="1" t="s">
        <v>1564</v>
      </c>
      <c r="H901" s="1" t="str">
        <f>IFERROR(__xludf.DUMMYFUNCTION("split(G901,"" "")"),"Justin")</f>
        <v>Justin</v>
      </c>
      <c r="I901" s="1" t="str">
        <f>IFERROR(__xludf.DUMMYFUNCTION("""COMPUTED_VALUE"""),"Ritter")</f>
        <v>Ritter</v>
      </c>
      <c r="J901" s="1" t="s">
        <v>34</v>
      </c>
      <c r="K901" s="1" t="s">
        <v>197</v>
      </c>
      <c r="L901" s="1" t="str">
        <f t="shared" si="2"/>
        <v>Springfield</v>
      </c>
      <c r="M901" s="1" t="s">
        <v>304</v>
      </c>
      <c r="N901" s="1" t="str">
        <f t="shared" si="3"/>
        <v>Ohio</v>
      </c>
      <c r="O901" s="1">
        <v>45503.0</v>
      </c>
      <c r="P901" s="1" t="s">
        <v>100</v>
      </c>
      <c r="Q901" s="1" t="s">
        <v>38</v>
      </c>
      <c r="R901" s="3">
        <v>8.904</v>
      </c>
      <c r="S901" s="1">
        <v>4.0</v>
      </c>
      <c r="T901" s="4">
        <v>8.04</v>
      </c>
    </row>
    <row r="902">
      <c r="A902" s="1" t="s">
        <v>1565</v>
      </c>
      <c r="B902" s="2">
        <v>43415.0</v>
      </c>
      <c r="C902" s="2" t="str">
        <f t="shared" si="1"/>
        <v>Nov</v>
      </c>
      <c r="D902" s="1" t="s">
        <v>458</v>
      </c>
      <c r="E902" s="1" t="s">
        <v>121</v>
      </c>
      <c r="F902" s="1" t="s">
        <v>691</v>
      </c>
      <c r="G902" s="1" t="s">
        <v>692</v>
      </c>
      <c r="H902" s="1" t="str">
        <f>IFERROR(__xludf.DUMMYFUNCTION("split(G902,"" "")"),"Tamara")</f>
        <v>Tamara</v>
      </c>
      <c r="I902" s="1" t="str">
        <f>IFERROR(__xludf.DUMMYFUNCTION("""COMPUTED_VALUE"""),"Dahlen")</f>
        <v>Dahlen</v>
      </c>
      <c r="J902" s="1" t="s">
        <v>23</v>
      </c>
      <c r="K902" s="1" t="s">
        <v>1566</v>
      </c>
      <c r="L902" s="1" t="str">
        <f t="shared" si="2"/>
        <v>Garland</v>
      </c>
      <c r="M902" s="1" t="s">
        <v>70</v>
      </c>
      <c r="N902" s="1" t="str">
        <f t="shared" si="3"/>
        <v>Texas</v>
      </c>
      <c r="O902" s="1">
        <v>75043.0</v>
      </c>
      <c r="P902" s="1" t="s">
        <v>71</v>
      </c>
      <c r="Q902" s="1" t="s">
        <v>38</v>
      </c>
      <c r="R902" s="3">
        <v>10.44</v>
      </c>
      <c r="S902" s="1">
        <v>7.0</v>
      </c>
      <c r="T902" s="4">
        <v>9.91</v>
      </c>
    </row>
    <row r="903">
      <c r="A903" s="1" t="s">
        <v>1565</v>
      </c>
      <c r="B903" s="2">
        <v>43415.0</v>
      </c>
      <c r="C903" s="2" t="str">
        <f t="shared" si="1"/>
        <v>Nov</v>
      </c>
      <c r="D903" s="1" t="s">
        <v>458</v>
      </c>
      <c r="E903" s="1" t="s">
        <v>121</v>
      </c>
      <c r="F903" s="1" t="s">
        <v>691</v>
      </c>
      <c r="G903" s="1" t="s">
        <v>692</v>
      </c>
      <c r="H903" s="1" t="str">
        <f>IFERROR(__xludf.DUMMYFUNCTION("split(G903,"" "")"),"Tamara")</f>
        <v>Tamara</v>
      </c>
      <c r="I903" s="1" t="str">
        <f>IFERROR(__xludf.DUMMYFUNCTION("""COMPUTED_VALUE"""),"Dahlen")</f>
        <v>Dahlen</v>
      </c>
      <c r="J903" s="1" t="s">
        <v>23</v>
      </c>
      <c r="K903" s="1" t="s">
        <v>1566</v>
      </c>
      <c r="L903" s="1" t="str">
        <f t="shared" si="2"/>
        <v>Garland</v>
      </c>
      <c r="M903" s="1" t="s">
        <v>70</v>
      </c>
      <c r="N903" s="1" t="str">
        <f t="shared" si="3"/>
        <v>Texas</v>
      </c>
      <c r="O903" s="1">
        <v>75043.0</v>
      </c>
      <c r="P903" s="1" t="s">
        <v>71</v>
      </c>
      <c r="Q903" s="1" t="s">
        <v>38</v>
      </c>
      <c r="R903" s="3">
        <v>18.336</v>
      </c>
      <c r="S903" s="1">
        <v>7.0</v>
      </c>
      <c r="T903" s="4">
        <v>17.69</v>
      </c>
    </row>
    <row r="904">
      <c r="A904" s="1" t="s">
        <v>1567</v>
      </c>
      <c r="B904" s="2">
        <v>43358.0</v>
      </c>
      <c r="C904" s="2" t="str">
        <f t="shared" si="1"/>
        <v>Sep</v>
      </c>
      <c r="D904" s="1" t="s">
        <v>204</v>
      </c>
      <c r="E904" s="1" t="s">
        <v>121</v>
      </c>
      <c r="F904" s="1" t="s">
        <v>378</v>
      </c>
      <c r="G904" s="1" t="s">
        <v>379</v>
      </c>
      <c r="H904" s="1" t="str">
        <f>IFERROR(__xludf.DUMMYFUNCTION("split(G904,"" "")"),"Dave")</f>
        <v>Dave</v>
      </c>
      <c r="I904" s="1" t="str">
        <f>IFERROR(__xludf.DUMMYFUNCTION("""COMPUTED_VALUE"""),"Brooks")</f>
        <v>Brooks</v>
      </c>
      <c r="J904" s="1" t="s">
        <v>23</v>
      </c>
      <c r="K904" s="1" t="s">
        <v>188</v>
      </c>
      <c r="L904" s="1" t="str">
        <f t="shared" si="2"/>
        <v>Chicago</v>
      </c>
      <c r="M904" s="1" t="s">
        <v>135</v>
      </c>
      <c r="N904" s="1" t="str">
        <f t="shared" si="3"/>
        <v>Illinois</v>
      </c>
      <c r="O904" s="1">
        <v>60653.0</v>
      </c>
      <c r="P904" s="1" t="s">
        <v>71</v>
      </c>
      <c r="Q904" s="1" t="s">
        <v>51</v>
      </c>
      <c r="R904" s="3">
        <v>323.976</v>
      </c>
      <c r="S904" s="1">
        <v>6.0</v>
      </c>
      <c r="T904" s="4">
        <v>323.14</v>
      </c>
    </row>
    <row r="905">
      <c r="A905" s="1" t="s">
        <v>1568</v>
      </c>
      <c r="B905" s="2">
        <v>42951.0</v>
      </c>
      <c r="C905" s="2" t="str">
        <f t="shared" si="1"/>
        <v>Aug</v>
      </c>
      <c r="D905" s="6">
        <v>43073.0</v>
      </c>
      <c r="E905" s="1" t="s">
        <v>41</v>
      </c>
      <c r="F905" s="1" t="s">
        <v>478</v>
      </c>
      <c r="G905" s="1" t="s">
        <v>479</v>
      </c>
      <c r="H905" s="1" t="str">
        <f>IFERROR(__xludf.DUMMYFUNCTION("split(G905,"" "")"),"Logan")</f>
        <v>Logan</v>
      </c>
      <c r="I905" s="1" t="str">
        <f>IFERROR(__xludf.DUMMYFUNCTION("""COMPUTED_VALUE"""),"Currie")</f>
        <v>Currie</v>
      </c>
      <c r="J905" s="1" t="s">
        <v>23</v>
      </c>
      <c r="K905" s="1" t="s">
        <v>35</v>
      </c>
      <c r="L905" s="1" t="str">
        <f t="shared" si="2"/>
        <v>Los Angeles</v>
      </c>
      <c r="M905" s="1" t="s">
        <v>52</v>
      </c>
      <c r="N905" s="1" t="str">
        <f t="shared" si="3"/>
        <v>California</v>
      </c>
      <c r="O905" s="1">
        <v>90032.0</v>
      </c>
      <c r="P905" s="1" t="s">
        <v>37</v>
      </c>
      <c r="Q905" s="1" t="s">
        <v>38</v>
      </c>
      <c r="R905" s="3">
        <v>20.04</v>
      </c>
      <c r="S905" s="1">
        <v>9.0</v>
      </c>
      <c r="T905" s="4">
        <v>19.88</v>
      </c>
    </row>
    <row r="906">
      <c r="A906" s="1" t="s">
        <v>1568</v>
      </c>
      <c r="B906" s="2">
        <v>42951.0</v>
      </c>
      <c r="C906" s="2" t="str">
        <f t="shared" si="1"/>
        <v>Aug</v>
      </c>
      <c r="D906" s="6">
        <v>43073.0</v>
      </c>
      <c r="E906" s="1" t="s">
        <v>41</v>
      </c>
      <c r="F906" s="1" t="s">
        <v>478</v>
      </c>
      <c r="G906" s="1" t="s">
        <v>479</v>
      </c>
      <c r="H906" s="1" t="str">
        <f>IFERROR(__xludf.DUMMYFUNCTION("split(G906,"" "")"),"Logan")</f>
        <v>Logan</v>
      </c>
      <c r="I906" s="1" t="str">
        <f>IFERROR(__xludf.DUMMYFUNCTION("""COMPUTED_VALUE"""),"Currie")</f>
        <v>Currie</v>
      </c>
      <c r="J906" s="1" t="s">
        <v>23</v>
      </c>
      <c r="K906" s="1" t="s">
        <v>35</v>
      </c>
      <c r="L906" s="1" t="str">
        <f t="shared" si="2"/>
        <v>Los Angeles</v>
      </c>
      <c r="M906" s="1" t="s">
        <v>52</v>
      </c>
      <c r="N906" s="1" t="str">
        <f t="shared" si="3"/>
        <v>California</v>
      </c>
      <c r="O906" s="1">
        <v>90032.0</v>
      </c>
      <c r="P906" s="1" t="s">
        <v>37</v>
      </c>
      <c r="Q906" s="1" t="s">
        <v>38</v>
      </c>
      <c r="R906" s="3">
        <v>64.96</v>
      </c>
      <c r="S906" s="1">
        <v>9.0</v>
      </c>
      <c r="T906" s="4">
        <v>64.81</v>
      </c>
    </row>
    <row r="907">
      <c r="A907" s="1" t="s">
        <v>1568</v>
      </c>
      <c r="B907" s="2">
        <v>42951.0</v>
      </c>
      <c r="C907" s="2" t="str">
        <f t="shared" si="1"/>
        <v>Aug</v>
      </c>
      <c r="D907" s="6">
        <v>43073.0</v>
      </c>
      <c r="E907" s="1" t="s">
        <v>41</v>
      </c>
      <c r="F907" s="1" t="s">
        <v>478</v>
      </c>
      <c r="G907" s="1" t="s">
        <v>479</v>
      </c>
      <c r="H907" s="1" t="str">
        <f>IFERROR(__xludf.DUMMYFUNCTION("split(G907,"" "")"),"Logan")</f>
        <v>Logan</v>
      </c>
      <c r="I907" s="1" t="str">
        <f>IFERROR(__xludf.DUMMYFUNCTION("""COMPUTED_VALUE"""),"Currie")</f>
        <v>Currie</v>
      </c>
      <c r="J907" s="1" t="s">
        <v>23</v>
      </c>
      <c r="K907" s="1" t="s">
        <v>35</v>
      </c>
      <c r="L907" s="1" t="str">
        <f t="shared" si="2"/>
        <v>Los Angeles</v>
      </c>
      <c r="M907" s="1" t="s">
        <v>52</v>
      </c>
      <c r="N907" s="1" t="str">
        <f t="shared" si="3"/>
        <v>California</v>
      </c>
      <c r="O907" s="1">
        <v>90032.0</v>
      </c>
      <c r="P907" s="1" t="s">
        <v>37</v>
      </c>
      <c r="Q907" s="1" t="s">
        <v>38</v>
      </c>
      <c r="R907" s="3">
        <v>12.96</v>
      </c>
      <c r="S907" s="1">
        <v>9.0</v>
      </c>
      <c r="T907" s="4">
        <v>12.63</v>
      </c>
    </row>
    <row r="908">
      <c r="A908" s="1" t="s">
        <v>1569</v>
      </c>
      <c r="B908" s="2">
        <v>43464.0</v>
      </c>
      <c r="C908" s="2" t="str">
        <f t="shared" si="1"/>
        <v>Dec</v>
      </c>
      <c r="D908" s="6">
        <v>43525.0</v>
      </c>
      <c r="E908" s="1" t="s">
        <v>41</v>
      </c>
      <c r="F908" s="1" t="s">
        <v>154</v>
      </c>
      <c r="G908" s="1" t="s">
        <v>155</v>
      </c>
      <c r="H908" s="1" t="str">
        <f>IFERROR(__xludf.DUMMYFUNCTION("split(G908,"" "")"),"Patrick")</f>
        <v>Patrick</v>
      </c>
      <c r="I908" s="1" t="str">
        <f>IFERROR(__xludf.DUMMYFUNCTION("""COMPUTED_VALUE"""),"O'Donnell")</f>
        <v>O'Donnell</v>
      </c>
      <c r="J908" s="1" t="s">
        <v>23</v>
      </c>
      <c r="K908" s="1" t="s">
        <v>174</v>
      </c>
      <c r="L908" s="1" t="str">
        <f t="shared" si="2"/>
        <v>New York City</v>
      </c>
      <c r="M908" s="1" t="s">
        <v>175</v>
      </c>
      <c r="N908" s="1" t="str">
        <f t="shared" si="3"/>
        <v>New York</v>
      </c>
      <c r="O908" s="1">
        <v>10009.0</v>
      </c>
      <c r="P908" s="1" t="s">
        <v>100</v>
      </c>
      <c r="Q908" s="1" t="s">
        <v>27</v>
      </c>
      <c r="R908" s="3">
        <v>323.136</v>
      </c>
      <c r="S908" s="1">
        <v>1.0</v>
      </c>
      <c r="T908" s="4">
        <v>322.23</v>
      </c>
    </row>
    <row r="909">
      <c r="A909" s="1" t="s">
        <v>1569</v>
      </c>
      <c r="B909" s="2">
        <v>43464.0</v>
      </c>
      <c r="C909" s="2" t="str">
        <f t="shared" si="1"/>
        <v>Dec</v>
      </c>
      <c r="D909" s="6">
        <v>43525.0</v>
      </c>
      <c r="E909" s="1" t="s">
        <v>41</v>
      </c>
      <c r="F909" s="1" t="s">
        <v>154</v>
      </c>
      <c r="G909" s="1" t="s">
        <v>155</v>
      </c>
      <c r="H909" s="1" t="str">
        <f>IFERROR(__xludf.DUMMYFUNCTION("split(G909,"" "")"),"Patrick")</f>
        <v>Patrick</v>
      </c>
      <c r="I909" s="1" t="str">
        <f>IFERROR(__xludf.DUMMYFUNCTION("""COMPUTED_VALUE"""),"O'Donnell")</f>
        <v>O'Donnell</v>
      </c>
      <c r="J909" s="1" t="s">
        <v>23</v>
      </c>
      <c r="K909" s="1" t="s">
        <v>174</v>
      </c>
      <c r="L909" s="1" t="str">
        <f t="shared" si="2"/>
        <v>New York City</v>
      </c>
      <c r="M909" s="1" t="s">
        <v>175</v>
      </c>
      <c r="N909" s="1" t="str">
        <f t="shared" si="3"/>
        <v>New York</v>
      </c>
      <c r="O909" s="1">
        <v>10009.0</v>
      </c>
      <c r="P909" s="1" t="s">
        <v>100</v>
      </c>
      <c r="Q909" s="1" t="s">
        <v>51</v>
      </c>
      <c r="R909" s="3">
        <v>90.93</v>
      </c>
      <c r="S909" s="1">
        <v>1.0</v>
      </c>
      <c r="T909" s="4">
        <v>90.18</v>
      </c>
    </row>
    <row r="910">
      <c r="A910" s="1" t="s">
        <v>1569</v>
      </c>
      <c r="B910" s="2">
        <v>43464.0</v>
      </c>
      <c r="C910" s="2" t="str">
        <f t="shared" si="1"/>
        <v>Dec</v>
      </c>
      <c r="D910" s="6">
        <v>43525.0</v>
      </c>
      <c r="E910" s="1" t="s">
        <v>41</v>
      </c>
      <c r="F910" s="1" t="s">
        <v>154</v>
      </c>
      <c r="G910" s="1" t="s">
        <v>155</v>
      </c>
      <c r="H910" s="1" t="str">
        <f>IFERROR(__xludf.DUMMYFUNCTION("split(G910,"" "")"),"Patrick")</f>
        <v>Patrick</v>
      </c>
      <c r="I910" s="1" t="str">
        <f>IFERROR(__xludf.DUMMYFUNCTION("""COMPUTED_VALUE"""),"O'Donnell")</f>
        <v>O'Donnell</v>
      </c>
      <c r="J910" s="1" t="s">
        <v>23</v>
      </c>
      <c r="K910" s="1" t="s">
        <v>174</v>
      </c>
      <c r="L910" s="1" t="str">
        <f t="shared" si="2"/>
        <v>New York City</v>
      </c>
      <c r="M910" s="1" t="s">
        <v>175</v>
      </c>
      <c r="N910" s="1" t="str">
        <f t="shared" si="3"/>
        <v>New York</v>
      </c>
      <c r="O910" s="1">
        <v>10009.0</v>
      </c>
      <c r="P910" s="1" t="s">
        <v>100</v>
      </c>
      <c r="Q910" s="1" t="s">
        <v>38</v>
      </c>
      <c r="R910" s="3">
        <v>52.776</v>
      </c>
      <c r="S910" s="1">
        <v>1.0</v>
      </c>
      <c r="T910" s="4">
        <v>52.06</v>
      </c>
    </row>
    <row r="911">
      <c r="A911" s="1" t="s">
        <v>1570</v>
      </c>
      <c r="B911" s="2">
        <v>43140.0</v>
      </c>
      <c r="C911" s="2" t="str">
        <f t="shared" si="1"/>
        <v>Feb</v>
      </c>
      <c r="D911" s="6">
        <v>43290.0</v>
      </c>
      <c r="E911" s="1" t="s">
        <v>41</v>
      </c>
      <c r="F911" s="1" t="s">
        <v>1571</v>
      </c>
      <c r="G911" s="1" t="s">
        <v>1572</v>
      </c>
      <c r="H911" s="1" t="str">
        <f>IFERROR(__xludf.DUMMYFUNCTION("split(G911,"" "")"),"Bill")</f>
        <v>Bill</v>
      </c>
      <c r="I911" s="1" t="str">
        <f>IFERROR(__xludf.DUMMYFUNCTION("""COMPUTED_VALUE"""),"Eplett")</f>
        <v>Eplett</v>
      </c>
      <c r="J911" s="1" t="s">
        <v>68</v>
      </c>
      <c r="K911" s="1" t="s">
        <v>205</v>
      </c>
      <c r="L911" s="1" t="str">
        <f t="shared" si="2"/>
        <v>Jackson</v>
      </c>
      <c r="M911" s="1" t="s">
        <v>157</v>
      </c>
      <c r="N911" s="1" t="str">
        <f t="shared" si="3"/>
        <v>Michigan</v>
      </c>
      <c r="O911" s="1">
        <v>49201.0</v>
      </c>
      <c r="P911" s="1" t="s">
        <v>71</v>
      </c>
      <c r="Q911" s="1" t="s">
        <v>51</v>
      </c>
      <c r="R911" s="3">
        <v>1199.8</v>
      </c>
      <c r="S911" s="1">
        <v>4.0</v>
      </c>
      <c r="T911" s="4">
        <v>1199.52</v>
      </c>
    </row>
    <row r="912">
      <c r="A912" s="1" t="s">
        <v>1570</v>
      </c>
      <c r="B912" s="2">
        <v>43140.0</v>
      </c>
      <c r="C912" s="2" t="str">
        <f t="shared" si="1"/>
        <v>Feb</v>
      </c>
      <c r="D912" s="6">
        <v>43290.0</v>
      </c>
      <c r="E912" s="1" t="s">
        <v>41</v>
      </c>
      <c r="F912" s="1" t="s">
        <v>1571</v>
      </c>
      <c r="G912" s="1" t="s">
        <v>1572</v>
      </c>
      <c r="H912" s="1" t="str">
        <f>IFERROR(__xludf.DUMMYFUNCTION("split(G912,"" "")"),"Bill")</f>
        <v>Bill</v>
      </c>
      <c r="I912" s="1" t="str">
        <f>IFERROR(__xludf.DUMMYFUNCTION("""COMPUTED_VALUE"""),"Eplett")</f>
        <v>Eplett</v>
      </c>
      <c r="J912" s="1" t="s">
        <v>68</v>
      </c>
      <c r="K912" s="1" t="s">
        <v>205</v>
      </c>
      <c r="L912" s="1" t="str">
        <f t="shared" si="2"/>
        <v>Jackson</v>
      </c>
      <c r="M912" s="1" t="s">
        <v>157</v>
      </c>
      <c r="N912" s="1" t="str">
        <f t="shared" si="3"/>
        <v>Michigan</v>
      </c>
      <c r="O912" s="1">
        <v>49201.0</v>
      </c>
      <c r="P912" s="1" t="s">
        <v>71</v>
      </c>
      <c r="Q912" s="1" t="s">
        <v>51</v>
      </c>
      <c r="R912" s="3">
        <v>1928.78</v>
      </c>
      <c r="S912" s="1">
        <v>4.0</v>
      </c>
      <c r="T912" s="4">
        <v>1928.37</v>
      </c>
    </row>
    <row r="913">
      <c r="A913" s="1" t="s">
        <v>1570</v>
      </c>
      <c r="B913" s="2">
        <v>43140.0</v>
      </c>
      <c r="C913" s="2" t="str">
        <f t="shared" si="1"/>
        <v>Feb</v>
      </c>
      <c r="D913" s="6">
        <v>43290.0</v>
      </c>
      <c r="E913" s="1" t="s">
        <v>41</v>
      </c>
      <c r="F913" s="1" t="s">
        <v>1571</v>
      </c>
      <c r="G913" s="1" t="s">
        <v>1572</v>
      </c>
      <c r="H913" s="1" t="str">
        <f>IFERROR(__xludf.DUMMYFUNCTION("split(G913,"" "")"),"Bill")</f>
        <v>Bill</v>
      </c>
      <c r="I913" s="1" t="str">
        <f>IFERROR(__xludf.DUMMYFUNCTION("""COMPUTED_VALUE"""),"Eplett")</f>
        <v>Eplett</v>
      </c>
      <c r="J913" s="1" t="s">
        <v>68</v>
      </c>
      <c r="K913" s="1" t="s">
        <v>205</v>
      </c>
      <c r="L913" s="1" t="str">
        <f t="shared" si="2"/>
        <v>Jackson</v>
      </c>
      <c r="M913" s="1" t="s">
        <v>157</v>
      </c>
      <c r="N913" s="1" t="str">
        <f t="shared" si="3"/>
        <v>Michigan</v>
      </c>
      <c r="O913" s="1">
        <v>49201.0</v>
      </c>
      <c r="P913" s="1" t="s">
        <v>71</v>
      </c>
      <c r="Q913" s="1" t="s">
        <v>38</v>
      </c>
      <c r="R913" s="3">
        <v>352.38</v>
      </c>
      <c r="S913" s="1">
        <v>4.0</v>
      </c>
      <c r="T913" s="4">
        <v>352.29</v>
      </c>
    </row>
    <row r="914">
      <c r="A914" s="1" t="s">
        <v>1573</v>
      </c>
      <c r="B914" s="2">
        <v>43431.0</v>
      </c>
      <c r="C914" s="2" t="str">
        <f t="shared" si="1"/>
        <v>Nov</v>
      </c>
      <c r="D914" s="1" t="s">
        <v>1574</v>
      </c>
      <c r="E914" s="1" t="s">
        <v>121</v>
      </c>
      <c r="F914" s="1" t="s">
        <v>1460</v>
      </c>
      <c r="G914" s="1" t="s">
        <v>1461</v>
      </c>
      <c r="H914" s="1" t="str">
        <f>IFERROR(__xludf.DUMMYFUNCTION("split(G914,"" "")"),"Brian")</f>
        <v>Brian</v>
      </c>
      <c r="I914" s="1" t="str">
        <f>IFERROR(__xludf.DUMMYFUNCTION("""COMPUTED_VALUE"""),"Moss")</f>
        <v>Moss</v>
      </c>
      <c r="J914" s="1" t="s">
        <v>34</v>
      </c>
      <c r="K914" s="1" t="s">
        <v>1436</v>
      </c>
      <c r="L914" s="1" t="str">
        <f t="shared" si="2"/>
        <v>Milwaukee</v>
      </c>
      <c r="M914" s="1" t="s">
        <v>77</v>
      </c>
      <c r="N914" s="1" t="str">
        <f t="shared" si="3"/>
        <v>Wisconsin</v>
      </c>
      <c r="O914" s="1">
        <v>53209.0</v>
      </c>
      <c r="P914" s="1" t="s">
        <v>71</v>
      </c>
      <c r="Q914" s="1" t="s">
        <v>27</v>
      </c>
      <c r="R914" s="3">
        <v>46.94</v>
      </c>
      <c r="S914" s="1">
        <v>5.0</v>
      </c>
      <c r="T914" s="4">
        <v>46.19</v>
      </c>
    </row>
    <row r="915">
      <c r="A915" s="1" t="s">
        <v>1573</v>
      </c>
      <c r="B915" s="2">
        <v>43431.0</v>
      </c>
      <c r="C915" s="2" t="str">
        <f t="shared" si="1"/>
        <v>Nov</v>
      </c>
      <c r="D915" s="1" t="s">
        <v>1574</v>
      </c>
      <c r="E915" s="1" t="s">
        <v>121</v>
      </c>
      <c r="F915" s="1" t="s">
        <v>1460</v>
      </c>
      <c r="G915" s="1" t="s">
        <v>1461</v>
      </c>
      <c r="H915" s="1" t="str">
        <f>IFERROR(__xludf.DUMMYFUNCTION("split(G915,"" "")"),"Brian")</f>
        <v>Brian</v>
      </c>
      <c r="I915" s="1" t="str">
        <f>IFERROR(__xludf.DUMMYFUNCTION("""COMPUTED_VALUE"""),"Moss")</f>
        <v>Moss</v>
      </c>
      <c r="J915" s="1" t="s">
        <v>34</v>
      </c>
      <c r="K915" s="1" t="s">
        <v>1436</v>
      </c>
      <c r="L915" s="1" t="str">
        <f t="shared" si="2"/>
        <v>Milwaukee</v>
      </c>
      <c r="M915" s="1" t="s">
        <v>77</v>
      </c>
      <c r="N915" s="1" t="str">
        <f t="shared" si="3"/>
        <v>Wisconsin</v>
      </c>
      <c r="O915" s="1">
        <v>53209.0</v>
      </c>
      <c r="P915" s="1" t="s">
        <v>71</v>
      </c>
      <c r="Q915" s="1" t="s">
        <v>51</v>
      </c>
      <c r="R915" s="3">
        <v>143.73</v>
      </c>
      <c r="S915" s="1">
        <v>5.0</v>
      </c>
      <c r="T915" s="4">
        <v>143.67</v>
      </c>
    </row>
    <row r="916">
      <c r="A916" s="1" t="s">
        <v>1575</v>
      </c>
      <c r="B916" s="2">
        <v>42170.0</v>
      </c>
      <c r="C916" s="2" t="str">
        <f t="shared" si="1"/>
        <v>Jun</v>
      </c>
      <c r="D916" s="1" t="s">
        <v>1576</v>
      </c>
      <c r="E916" s="1" t="s">
        <v>41</v>
      </c>
      <c r="F916" s="1" t="s">
        <v>608</v>
      </c>
      <c r="G916" s="1" t="s">
        <v>609</v>
      </c>
      <c r="H916" s="1" t="str">
        <f>IFERROR(__xludf.DUMMYFUNCTION("split(G916,"" "")"),"Kelly")</f>
        <v>Kelly</v>
      </c>
      <c r="I916" s="1" t="str">
        <f>IFERROR(__xludf.DUMMYFUNCTION("""COMPUTED_VALUE"""),"Lampkin")</f>
        <v>Lampkin</v>
      </c>
      <c r="J916" s="1" t="s">
        <v>34</v>
      </c>
      <c r="K916" s="1" t="s">
        <v>404</v>
      </c>
      <c r="L916" s="1" t="str">
        <f t="shared" si="2"/>
        <v>San Antonio</v>
      </c>
      <c r="M916" s="1" t="s">
        <v>70</v>
      </c>
      <c r="N916" s="1" t="str">
        <f t="shared" si="3"/>
        <v>Texas</v>
      </c>
      <c r="O916" s="1">
        <v>78207.0</v>
      </c>
      <c r="P916" s="1" t="s">
        <v>71</v>
      </c>
      <c r="Q916" s="1" t="s">
        <v>27</v>
      </c>
      <c r="R916" s="3">
        <v>99.918</v>
      </c>
      <c r="S916" s="1">
        <v>7.0</v>
      </c>
      <c r="T916" s="4">
        <v>99.41</v>
      </c>
    </row>
    <row r="917">
      <c r="A917" s="1" t="s">
        <v>1575</v>
      </c>
      <c r="B917" s="2">
        <v>42170.0</v>
      </c>
      <c r="C917" s="2" t="str">
        <f t="shared" si="1"/>
        <v>Jun</v>
      </c>
      <c r="D917" s="1" t="s">
        <v>1576</v>
      </c>
      <c r="E917" s="1" t="s">
        <v>41</v>
      </c>
      <c r="F917" s="1" t="s">
        <v>608</v>
      </c>
      <c r="G917" s="1" t="s">
        <v>609</v>
      </c>
      <c r="H917" s="1" t="str">
        <f>IFERROR(__xludf.DUMMYFUNCTION("split(G917,"" "")"),"Kelly")</f>
        <v>Kelly</v>
      </c>
      <c r="I917" s="1" t="str">
        <f>IFERROR(__xludf.DUMMYFUNCTION("""COMPUTED_VALUE"""),"Lampkin")</f>
        <v>Lampkin</v>
      </c>
      <c r="J917" s="1" t="s">
        <v>34</v>
      </c>
      <c r="K917" s="1" t="s">
        <v>404</v>
      </c>
      <c r="L917" s="1" t="str">
        <f t="shared" si="2"/>
        <v>San Antonio</v>
      </c>
      <c r="M917" s="1" t="s">
        <v>70</v>
      </c>
      <c r="N917" s="1" t="str">
        <f t="shared" si="3"/>
        <v>Texas</v>
      </c>
      <c r="O917" s="1">
        <v>78207.0</v>
      </c>
      <c r="P917" s="1" t="s">
        <v>71</v>
      </c>
      <c r="Q917" s="1" t="s">
        <v>27</v>
      </c>
      <c r="R917" s="3">
        <v>797.944</v>
      </c>
      <c r="S917" s="1">
        <v>7.0</v>
      </c>
      <c r="T917" s="4">
        <v>797.92</v>
      </c>
    </row>
    <row r="918">
      <c r="A918" s="1" t="s">
        <v>1575</v>
      </c>
      <c r="B918" s="2">
        <v>42170.0</v>
      </c>
      <c r="C918" s="2" t="str">
        <f t="shared" si="1"/>
        <v>Jun</v>
      </c>
      <c r="D918" s="1" t="s">
        <v>1576</v>
      </c>
      <c r="E918" s="1" t="s">
        <v>41</v>
      </c>
      <c r="F918" s="1" t="s">
        <v>608</v>
      </c>
      <c r="G918" s="1" t="s">
        <v>609</v>
      </c>
      <c r="H918" s="1" t="str">
        <f>IFERROR(__xludf.DUMMYFUNCTION("split(G918,"" "")"),"Kelly")</f>
        <v>Kelly</v>
      </c>
      <c r="I918" s="1" t="str">
        <f>IFERROR(__xludf.DUMMYFUNCTION("""COMPUTED_VALUE"""),"Lampkin")</f>
        <v>Lampkin</v>
      </c>
      <c r="J918" s="1" t="s">
        <v>34</v>
      </c>
      <c r="K918" s="1" t="s">
        <v>404</v>
      </c>
      <c r="L918" s="1" t="str">
        <f t="shared" si="2"/>
        <v>San Antonio</v>
      </c>
      <c r="M918" s="1" t="s">
        <v>70</v>
      </c>
      <c r="N918" s="1" t="str">
        <f t="shared" si="3"/>
        <v>Texas</v>
      </c>
      <c r="O918" s="1">
        <v>78207.0</v>
      </c>
      <c r="P918" s="1" t="s">
        <v>71</v>
      </c>
      <c r="Q918" s="1" t="s">
        <v>38</v>
      </c>
      <c r="R918" s="3">
        <v>8.568</v>
      </c>
      <c r="S918" s="1">
        <v>7.0</v>
      </c>
      <c r="T918" s="4">
        <v>8.44</v>
      </c>
    </row>
    <row r="919">
      <c r="A919" s="1" t="s">
        <v>1577</v>
      </c>
      <c r="B919" s="2">
        <v>42858.0</v>
      </c>
      <c r="C919" s="2" t="str">
        <f t="shared" si="1"/>
        <v>May</v>
      </c>
      <c r="D919" s="6">
        <v>43042.0</v>
      </c>
      <c r="E919" s="1" t="s">
        <v>41</v>
      </c>
      <c r="F919" s="1" t="s">
        <v>1578</v>
      </c>
      <c r="G919" s="1" t="s">
        <v>1579</v>
      </c>
      <c r="H919" s="1" t="str">
        <f>IFERROR(__xludf.DUMMYFUNCTION("split(G919,"" "")"),"Rob")</f>
        <v>Rob</v>
      </c>
      <c r="I919" s="1" t="str">
        <f>IFERROR(__xludf.DUMMYFUNCTION("""COMPUTED_VALUE"""),"Williams")</f>
        <v>Williams</v>
      </c>
      <c r="J919" s="1" t="s">
        <v>34</v>
      </c>
      <c r="K919" s="1" t="s">
        <v>480</v>
      </c>
      <c r="L919" s="1" t="str">
        <f t="shared" si="2"/>
        <v>Dallas</v>
      </c>
      <c r="M919" s="1" t="s">
        <v>70</v>
      </c>
      <c r="N919" s="1" t="str">
        <f t="shared" si="3"/>
        <v>Texas</v>
      </c>
      <c r="O919" s="1">
        <v>75220.0</v>
      </c>
      <c r="P919" s="1" t="s">
        <v>71</v>
      </c>
      <c r="Q919" s="1" t="s">
        <v>38</v>
      </c>
      <c r="R919" s="3">
        <v>149.352</v>
      </c>
      <c r="S919" s="1">
        <v>7.0</v>
      </c>
      <c r="T919" s="4">
        <v>148.95</v>
      </c>
    </row>
    <row r="920">
      <c r="A920" s="1" t="s">
        <v>1577</v>
      </c>
      <c r="B920" s="2">
        <v>42858.0</v>
      </c>
      <c r="C920" s="2" t="str">
        <f t="shared" si="1"/>
        <v>May</v>
      </c>
      <c r="D920" s="6">
        <v>43042.0</v>
      </c>
      <c r="E920" s="1" t="s">
        <v>41</v>
      </c>
      <c r="F920" s="1" t="s">
        <v>1578</v>
      </c>
      <c r="G920" s="1" t="s">
        <v>1579</v>
      </c>
      <c r="H920" s="1" t="str">
        <f>IFERROR(__xludf.DUMMYFUNCTION("split(G920,"" "")"),"Rob")</f>
        <v>Rob</v>
      </c>
      <c r="I920" s="1" t="str">
        <f>IFERROR(__xludf.DUMMYFUNCTION("""COMPUTED_VALUE"""),"Williams")</f>
        <v>Williams</v>
      </c>
      <c r="J920" s="1" t="s">
        <v>34</v>
      </c>
      <c r="K920" s="1" t="s">
        <v>480</v>
      </c>
      <c r="L920" s="1" t="str">
        <f t="shared" si="2"/>
        <v>Dallas</v>
      </c>
      <c r="M920" s="1" t="s">
        <v>70</v>
      </c>
      <c r="N920" s="1" t="str">
        <f t="shared" si="3"/>
        <v>Texas</v>
      </c>
      <c r="O920" s="1">
        <v>75220.0</v>
      </c>
      <c r="P920" s="1" t="s">
        <v>71</v>
      </c>
      <c r="Q920" s="1" t="s">
        <v>38</v>
      </c>
      <c r="R920" s="3">
        <v>12.992</v>
      </c>
      <c r="S920" s="1">
        <v>7.0</v>
      </c>
      <c r="T920" s="4">
        <v>12.26</v>
      </c>
    </row>
    <row r="921">
      <c r="A921" s="1" t="s">
        <v>1580</v>
      </c>
      <c r="B921" s="2">
        <v>42136.0</v>
      </c>
      <c r="C921" s="2" t="str">
        <f t="shared" si="1"/>
        <v>May</v>
      </c>
      <c r="D921" s="5">
        <v>42350.0</v>
      </c>
      <c r="E921" s="1" t="s">
        <v>41</v>
      </c>
      <c r="F921" s="1" t="s">
        <v>561</v>
      </c>
      <c r="G921" s="1" t="s">
        <v>562</v>
      </c>
      <c r="H921" s="1" t="str">
        <f>IFERROR(__xludf.DUMMYFUNCTION("split(G921,"" "")"),"Roy")</f>
        <v>Roy</v>
      </c>
      <c r="I921" s="1" t="str">
        <f>IFERROR(__xludf.DUMMYFUNCTION("""COMPUTED_VALUE"""),"Collins")</f>
        <v>Collins</v>
      </c>
      <c r="J921" s="1" t="s">
        <v>23</v>
      </c>
      <c r="K921" s="1" t="s">
        <v>1581</v>
      </c>
      <c r="L921" s="1" t="str">
        <f t="shared" si="2"/>
        <v>Alexandria</v>
      </c>
      <c r="M921" s="1" t="s">
        <v>198</v>
      </c>
      <c r="N921" s="1" t="str">
        <f t="shared" si="3"/>
        <v>Virginia</v>
      </c>
      <c r="O921" s="1">
        <v>22304.0</v>
      </c>
      <c r="P921" s="1" t="s">
        <v>26</v>
      </c>
      <c r="Q921" s="1" t="s">
        <v>38</v>
      </c>
      <c r="R921" s="3">
        <v>24.56</v>
      </c>
      <c r="S921" s="1">
        <v>2.0</v>
      </c>
      <c r="T921" s="4">
        <v>24.01</v>
      </c>
    </row>
    <row r="922">
      <c r="A922" s="1" t="s">
        <v>1582</v>
      </c>
      <c r="B922" s="2">
        <v>42678.0</v>
      </c>
      <c r="C922" s="2" t="str">
        <f t="shared" si="1"/>
        <v>Nov</v>
      </c>
      <c r="D922" s="1" t="s">
        <v>1583</v>
      </c>
      <c r="E922" s="1" t="s">
        <v>41</v>
      </c>
      <c r="F922" s="1" t="s">
        <v>1584</v>
      </c>
      <c r="G922" s="1" t="s">
        <v>1585</v>
      </c>
      <c r="H922" s="1" t="str">
        <f>IFERROR(__xludf.DUMMYFUNCTION("split(G922,"" "")"),"Sanjit")</f>
        <v>Sanjit</v>
      </c>
      <c r="I922" s="1" t="str">
        <f>IFERROR(__xludf.DUMMYFUNCTION("""COMPUTED_VALUE"""),"Engle")</f>
        <v>Engle</v>
      </c>
      <c r="J922" s="1" t="s">
        <v>23</v>
      </c>
      <c r="K922" s="1" t="s">
        <v>174</v>
      </c>
      <c r="L922" s="1" t="str">
        <f t="shared" si="2"/>
        <v>New York City</v>
      </c>
      <c r="M922" s="1" t="s">
        <v>175</v>
      </c>
      <c r="N922" s="1" t="str">
        <f t="shared" si="3"/>
        <v>New York</v>
      </c>
      <c r="O922" s="1">
        <v>10009.0</v>
      </c>
      <c r="P922" s="1" t="s">
        <v>100</v>
      </c>
      <c r="Q922" s="1" t="s">
        <v>51</v>
      </c>
      <c r="R922" s="3">
        <v>85.14</v>
      </c>
      <c r="S922" s="1">
        <v>1.0</v>
      </c>
      <c r="T922" s="4">
        <v>85.04</v>
      </c>
    </row>
    <row r="923">
      <c r="A923" s="1" t="s">
        <v>1582</v>
      </c>
      <c r="B923" s="2">
        <v>42678.0</v>
      </c>
      <c r="C923" s="2" t="str">
        <f t="shared" si="1"/>
        <v>Nov</v>
      </c>
      <c r="D923" s="1" t="s">
        <v>1583</v>
      </c>
      <c r="E923" s="1" t="s">
        <v>41</v>
      </c>
      <c r="F923" s="1" t="s">
        <v>1584</v>
      </c>
      <c r="G923" s="1" t="s">
        <v>1585</v>
      </c>
      <c r="H923" s="1" t="str">
        <f>IFERROR(__xludf.DUMMYFUNCTION("split(G923,"" "")"),"Sanjit")</f>
        <v>Sanjit</v>
      </c>
      <c r="I923" s="1" t="str">
        <f>IFERROR(__xludf.DUMMYFUNCTION("""COMPUTED_VALUE"""),"Engle")</f>
        <v>Engle</v>
      </c>
      <c r="J923" s="1" t="s">
        <v>23</v>
      </c>
      <c r="K923" s="1" t="s">
        <v>174</v>
      </c>
      <c r="L923" s="1" t="str">
        <f t="shared" si="2"/>
        <v>New York City</v>
      </c>
      <c r="M923" s="1" t="s">
        <v>175</v>
      </c>
      <c r="N923" s="1" t="str">
        <f t="shared" si="3"/>
        <v>New York</v>
      </c>
      <c r="O923" s="1">
        <v>10009.0</v>
      </c>
      <c r="P923" s="1" t="s">
        <v>100</v>
      </c>
      <c r="Q923" s="1" t="s">
        <v>51</v>
      </c>
      <c r="R923" s="3">
        <v>21.99</v>
      </c>
      <c r="S923" s="1">
        <v>1.0</v>
      </c>
      <c r="T923" s="4">
        <v>21.1</v>
      </c>
    </row>
    <row r="924">
      <c r="A924" s="1" t="s">
        <v>1582</v>
      </c>
      <c r="B924" s="2">
        <v>42678.0</v>
      </c>
      <c r="C924" s="2" t="str">
        <f t="shared" si="1"/>
        <v>Nov</v>
      </c>
      <c r="D924" s="1" t="s">
        <v>1583</v>
      </c>
      <c r="E924" s="1" t="s">
        <v>41</v>
      </c>
      <c r="F924" s="1" t="s">
        <v>1584</v>
      </c>
      <c r="G924" s="1" t="s">
        <v>1585</v>
      </c>
      <c r="H924" s="1" t="str">
        <f>IFERROR(__xludf.DUMMYFUNCTION("split(G924,"" "")"),"Sanjit")</f>
        <v>Sanjit</v>
      </c>
      <c r="I924" s="1" t="str">
        <f>IFERROR(__xludf.DUMMYFUNCTION("""COMPUTED_VALUE"""),"Engle")</f>
        <v>Engle</v>
      </c>
      <c r="J924" s="1" t="s">
        <v>23</v>
      </c>
      <c r="K924" s="1" t="s">
        <v>174</v>
      </c>
      <c r="L924" s="1" t="str">
        <f t="shared" si="2"/>
        <v>New York City</v>
      </c>
      <c r="M924" s="1" t="s">
        <v>175</v>
      </c>
      <c r="N924" s="1" t="str">
        <f t="shared" si="3"/>
        <v>New York</v>
      </c>
      <c r="O924" s="1">
        <v>10009.0</v>
      </c>
      <c r="P924" s="1" t="s">
        <v>100</v>
      </c>
      <c r="Q924" s="1" t="s">
        <v>38</v>
      </c>
      <c r="R924" s="3">
        <v>406.6</v>
      </c>
      <c r="S924" s="1">
        <v>1.0</v>
      </c>
      <c r="T924" s="4">
        <v>405.67</v>
      </c>
    </row>
    <row r="925">
      <c r="A925" s="1" t="s">
        <v>1586</v>
      </c>
      <c r="B925" s="2">
        <v>42993.0</v>
      </c>
      <c r="C925" s="2" t="str">
        <f t="shared" si="1"/>
        <v>Sep</v>
      </c>
      <c r="D925" s="1" t="s">
        <v>1587</v>
      </c>
      <c r="E925" s="1" t="s">
        <v>41</v>
      </c>
      <c r="F925" s="1" t="s">
        <v>1588</v>
      </c>
      <c r="G925" s="1" t="s">
        <v>1589</v>
      </c>
      <c r="H925" s="1" t="str">
        <f>IFERROR(__xludf.DUMMYFUNCTION("split(G925,"" "")"),"Adam")</f>
        <v>Adam</v>
      </c>
      <c r="I925" s="1" t="str">
        <f>IFERROR(__xludf.DUMMYFUNCTION("""COMPUTED_VALUE"""),"Hart")</f>
        <v>Hart</v>
      </c>
      <c r="J925" s="1" t="s">
        <v>34</v>
      </c>
      <c r="K925" s="1" t="s">
        <v>174</v>
      </c>
      <c r="L925" s="1" t="str">
        <f t="shared" si="2"/>
        <v>New York City</v>
      </c>
      <c r="M925" s="1" t="s">
        <v>175</v>
      </c>
      <c r="N925" s="1" t="str">
        <f t="shared" si="3"/>
        <v>New York</v>
      </c>
      <c r="O925" s="1">
        <v>10011.0</v>
      </c>
      <c r="P925" s="1" t="s">
        <v>100</v>
      </c>
      <c r="Q925" s="1" t="s">
        <v>38</v>
      </c>
      <c r="R925" s="3">
        <v>841.568</v>
      </c>
      <c r="S925" s="1">
        <v>1.0</v>
      </c>
      <c r="T925" s="4">
        <v>841.57</v>
      </c>
    </row>
    <row r="926">
      <c r="A926" s="1" t="s">
        <v>1590</v>
      </c>
      <c r="B926" s="2">
        <v>42260.0</v>
      </c>
      <c r="C926" s="2" t="str">
        <f t="shared" si="1"/>
        <v>Sep</v>
      </c>
      <c r="D926" s="1" t="s">
        <v>1591</v>
      </c>
      <c r="E926" s="1" t="s">
        <v>121</v>
      </c>
      <c r="F926" s="1" t="s">
        <v>1592</v>
      </c>
      <c r="G926" s="1" t="s">
        <v>1593</v>
      </c>
      <c r="H926" s="1" t="str">
        <f>IFERROR(__xludf.DUMMYFUNCTION("split(G926,"" "")"),"Jessica")</f>
        <v>Jessica</v>
      </c>
      <c r="I926" s="1" t="str">
        <f>IFERROR(__xludf.DUMMYFUNCTION("""COMPUTED_VALUE"""),"Myrick")</f>
        <v>Myrick</v>
      </c>
      <c r="J926" s="1" t="s">
        <v>23</v>
      </c>
      <c r="K926" s="1" t="s">
        <v>98</v>
      </c>
      <c r="L926" s="1" t="str">
        <f t="shared" si="2"/>
        <v>Philadelphia</v>
      </c>
      <c r="M926" s="1" t="s">
        <v>99</v>
      </c>
      <c r="N926" s="1" t="str">
        <f t="shared" si="3"/>
        <v>Pennsylvania</v>
      </c>
      <c r="O926" s="1">
        <v>19143.0</v>
      </c>
      <c r="P926" s="1" t="s">
        <v>100</v>
      </c>
      <c r="Q926" s="1" t="s">
        <v>38</v>
      </c>
      <c r="R926" s="3">
        <v>15.552</v>
      </c>
      <c r="S926" s="1">
        <v>1.0</v>
      </c>
      <c r="T926" s="4">
        <v>14.8</v>
      </c>
    </row>
    <row r="927">
      <c r="A927" s="1" t="s">
        <v>1590</v>
      </c>
      <c r="B927" s="2">
        <v>42260.0</v>
      </c>
      <c r="C927" s="2" t="str">
        <f t="shared" si="1"/>
        <v>Sep</v>
      </c>
      <c r="D927" s="1" t="s">
        <v>1591</v>
      </c>
      <c r="E927" s="1" t="s">
        <v>121</v>
      </c>
      <c r="F927" s="1" t="s">
        <v>1592</v>
      </c>
      <c r="G927" s="1" t="s">
        <v>1593</v>
      </c>
      <c r="H927" s="1" t="str">
        <f>IFERROR(__xludf.DUMMYFUNCTION("split(G927,"" "")"),"Jessica")</f>
        <v>Jessica</v>
      </c>
      <c r="I927" s="1" t="str">
        <f>IFERROR(__xludf.DUMMYFUNCTION("""COMPUTED_VALUE"""),"Myrick")</f>
        <v>Myrick</v>
      </c>
      <c r="J927" s="1" t="s">
        <v>23</v>
      </c>
      <c r="K927" s="1" t="s">
        <v>98</v>
      </c>
      <c r="L927" s="1" t="str">
        <f t="shared" si="2"/>
        <v>Philadelphia</v>
      </c>
      <c r="M927" s="1" t="s">
        <v>99</v>
      </c>
      <c r="N927" s="1" t="str">
        <f t="shared" si="3"/>
        <v>Pennsylvania</v>
      </c>
      <c r="O927" s="1">
        <v>19143.0</v>
      </c>
      <c r="P927" s="1" t="s">
        <v>100</v>
      </c>
      <c r="Q927" s="1" t="s">
        <v>51</v>
      </c>
      <c r="R927" s="3">
        <v>252.0</v>
      </c>
      <c r="S927" s="1">
        <v>1.0</v>
      </c>
      <c r="T927" s="4">
        <v>251.41</v>
      </c>
    </row>
    <row r="928">
      <c r="A928" s="1" t="s">
        <v>1594</v>
      </c>
      <c r="B928" s="2">
        <v>42500.0</v>
      </c>
      <c r="C928" s="2" t="str">
        <f t="shared" si="1"/>
        <v>May</v>
      </c>
      <c r="D928" s="6">
        <v>42623.0</v>
      </c>
      <c r="E928" s="1" t="s">
        <v>41</v>
      </c>
      <c r="F928" s="1" t="s">
        <v>1595</v>
      </c>
      <c r="G928" s="1" t="s">
        <v>1596</v>
      </c>
      <c r="H928" s="1" t="str">
        <f>IFERROR(__xludf.DUMMYFUNCTION("split(G928,"" "")"),"Joel")</f>
        <v>Joel</v>
      </c>
      <c r="I928" s="1" t="str">
        <f>IFERROR(__xludf.DUMMYFUNCTION("""COMPUTED_VALUE"""),"Jenkins")</f>
        <v>Jenkins</v>
      </c>
      <c r="J928" s="1" t="s">
        <v>68</v>
      </c>
      <c r="K928" s="1" t="s">
        <v>197</v>
      </c>
      <c r="L928" s="1" t="str">
        <f t="shared" si="2"/>
        <v>Springfield</v>
      </c>
      <c r="M928" s="1" t="s">
        <v>198</v>
      </c>
      <c r="N928" s="1" t="str">
        <f t="shared" si="3"/>
        <v>Virginia</v>
      </c>
      <c r="O928" s="1">
        <v>22153.0</v>
      </c>
      <c r="P928" s="1" t="s">
        <v>26</v>
      </c>
      <c r="Q928" s="1" t="s">
        <v>38</v>
      </c>
      <c r="R928" s="3">
        <v>46.2</v>
      </c>
      <c r="S928" s="1">
        <v>2.0</v>
      </c>
      <c r="T928" s="4">
        <v>45.48</v>
      </c>
    </row>
    <row r="929">
      <c r="A929" s="1" t="s">
        <v>1594</v>
      </c>
      <c r="B929" s="2">
        <v>42500.0</v>
      </c>
      <c r="C929" s="2" t="str">
        <f t="shared" si="1"/>
        <v>May</v>
      </c>
      <c r="D929" s="6">
        <v>42623.0</v>
      </c>
      <c r="E929" s="1" t="s">
        <v>41</v>
      </c>
      <c r="F929" s="1" t="s">
        <v>1595</v>
      </c>
      <c r="G929" s="1" t="s">
        <v>1596</v>
      </c>
      <c r="H929" s="1" t="str">
        <f>IFERROR(__xludf.DUMMYFUNCTION("split(G929,"" "")"),"Joel")</f>
        <v>Joel</v>
      </c>
      <c r="I929" s="1" t="str">
        <f>IFERROR(__xludf.DUMMYFUNCTION("""COMPUTED_VALUE"""),"Jenkins")</f>
        <v>Jenkins</v>
      </c>
      <c r="J929" s="1" t="s">
        <v>68</v>
      </c>
      <c r="K929" s="1" t="s">
        <v>197</v>
      </c>
      <c r="L929" s="1" t="str">
        <f t="shared" si="2"/>
        <v>Springfield</v>
      </c>
      <c r="M929" s="1" t="s">
        <v>198</v>
      </c>
      <c r="N929" s="1" t="str">
        <f t="shared" si="3"/>
        <v>Virginia</v>
      </c>
      <c r="O929" s="1">
        <v>22153.0</v>
      </c>
      <c r="P929" s="1" t="s">
        <v>26</v>
      </c>
      <c r="Q929" s="1" t="s">
        <v>38</v>
      </c>
      <c r="R929" s="3">
        <v>28.84</v>
      </c>
      <c r="S929" s="1">
        <v>2.0</v>
      </c>
      <c r="T929" s="4">
        <v>28.67</v>
      </c>
    </row>
    <row r="930">
      <c r="A930" s="1" t="s">
        <v>1597</v>
      </c>
      <c r="B930" s="2">
        <v>43204.0</v>
      </c>
      <c r="C930" s="2" t="str">
        <f t="shared" si="1"/>
        <v>Apr</v>
      </c>
      <c r="D930" s="1" t="s">
        <v>625</v>
      </c>
      <c r="E930" s="1" t="s">
        <v>121</v>
      </c>
      <c r="F930" s="1" t="s">
        <v>1250</v>
      </c>
      <c r="G930" s="1" t="s">
        <v>1251</v>
      </c>
      <c r="H930" s="1" t="str">
        <f>IFERROR(__xludf.DUMMYFUNCTION("split(G930,"" "")"),"Alan")</f>
        <v>Alan</v>
      </c>
      <c r="I930" s="1" t="str">
        <f>IFERROR(__xludf.DUMMYFUNCTION("""COMPUTED_VALUE"""),"Barnes")</f>
        <v>Barnes</v>
      </c>
      <c r="J930" s="1" t="s">
        <v>23</v>
      </c>
      <c r="K930" s="1" t="s">
        <v>1598</v>
      </c>
      <c r="L930" s="1" t="str">
        <f t="shared" si="2"/>
        <v>Toledo</v>
      </c>
      <c r="M930" s="1" t="s">
        <v>304</v>
      </c>
      <c r="N930" s="1" t="str">
        <f t="shared" si="3"/>
        <v>Ohio</v>
      </c>
      <c r="O930" s="1">
        <v>43615.0</v>
      </c>
      <c r="P930" s="1" t="s">
        <v>100</v>
      </c>
      <c r="Q930" s="1" t="s">
        <v>38</v>
      </c>
      <c r="R930" s="3">
        <v>14.592</v>
      </c>
      <c r="S930" s="1">
        <v>4.0</v>
      </c>
      <c r="T930" s="4">
        <v>13.71</v>
      </c>
    </row>
    <row r="931">
      <c r="A931" s="1" t="s">
        <v>1597</v>
      </c>
      <c r="B931" s="2">
        <v>43204.0</v>
      </c>
      <c r="C931" s="2" t="str">
        <f t="shared" si="1"/>
        <v>Apr</v>
      </c>
      <c r="D931" s="1" t="s">
        <v>625</v>
      </c>
      <c r="E931" s="1" t="s">
        <v>121</v>
      </c>
      <c r="F931" s="1" t="s">
        <v>1250</v>
      </c>
      <c r="G931" s="1" t="s">
        <v>1251</v>
      </c>
      <c r="H931" s="1" t="str">
        <f>IFERROR(__xludf.DUMMYFUNCTION("split(G931,"" "")"),"Alan")</f>
        <v>Alan</v>
      </c>
      <c r="I931" s="1" t="str">
        <f>IFERROR(__xludf.DUMMYFUNCTION("""COMPUTED_VALUE"""),"Barnes")</f>
        <v>Barnes</v>
      </c>
      <c r="J931" s="1" t="s">
        <v>23</v>
      </c>
      <c r="K931" s="1" t="s">
        <v>1598</v>
      </c>
      <c r="L931" s="1" t="str">
        <f t="shared" si="2"/>
        <v>Toledo</v>
      </c>
      <c r="M931" s="1" t="s">
        <v>304</v>
      </c>
      <c r="N931" s="1" t="str">
        <f t="shared" si="3"/>
        <v>Ohio</v>
      </c>
      <c r="O931" s="1">
        <v>43615.0</v>
      </c>
      <c r="P931" s="1" t="s">
        <v>100</v>
      </c>
      <c r="Q931" s="1" t="s">
        <v>38</v>
      </c>
      <c r="R931" s="3">
        <v>89.856</v>
      </c>
      <c r="S931" s="1">
        <v>4.0</v>
      </c>
      <c r="T931" s="4">
        <v>88.89</v>
      </c>
    </row>
    <row r="932">
      <c r="A932" s="1" t="s">
        <v>1597</v>
      </c>
      <c r="B932" s="2">
        <v>43204.0</v>
      </c>
      <c r="C932" s="2" t="str">
        <f t="shared" si="1"/>
        <v>Apr</v>
      </c>
      <c r="D932" s="1" t="s">
        <v>625</v>
      </c>
      <c r="E932" s="1" t="s">
        <v>121</v>
      </c>
      <c r="F932" s="1" t="s">
        <v>1250</v>
      </c>
      <c r="G932" s="1" t="s">
        <v>1251</v>
      </c>
      <c r="H932" s="1" t="str">
        <f>IFERROR(__xludf.DUMMYFUNCTION("split(G932,"" "")"),"Alan")</f>
        <v>Alan</v>
      </c>
      <c r="I932" s="1" t="str">
        <f>IFERROR(__xludf.DUMMYFUNCTION("""COMPUTED_VALUE"""),"Barnes")</f>
        <v>Barnes</v>
      </c>
      <c r="J932" s="1" t="s">
        <v>23</v>
      </c>
      <c r="K932" s="1" t="s">
        <v>1598</v>
      </c>
      <c r="L932" s="1" t="str">
        <f t="shared" si="2"/>
        <v>Toledo</v>
      </c>
      <c r="M932" s="1" t="s">
        <v>304</v>
      </c>
      <c r="N932" s="1" t="str">
        <f t="shared" si="3"/>
        <v>Ohio</v>
      </c>
      <c r="O932" s="1">
        <v>43615.0</v>
      </c>
      <c r="P932" s="1" t="s">
        <v>100</v>
      </c>
      <c r="Q932" s="1" t="s">
        <v>38</v>
      </c>
      <c r="R932" s="3">
        <v>13.872</v>
      </c>
      <c r="S932" s="1">
        <v>4.0</v>
      </c>
      <c r="T932" s="4">
        <v>13.46</v>
      </c>
    </row>
    <row r="933">
      <c r="A933" s="1" t="s">
        <v>1599</v>
      </c>
      <c r="B933" s="2">
        <v>43140.0</v>
      </c>
      <c r="C933" s="2" t="str">
        <f t="shared" si="1"/>
        <v>Feb</v>
      </c>
      <c r="D933" s="6">
        <v>43260.0</v>
      </c>
      <c r="E933" s="1" t="s">
        <v>41</v>
      </c>
      <c r="F933" s="1" t="s">
        <v>1600</v>
      </c>
      <c r="G933" s="1" t="s">
        <v>1601</v>
      </c>
      <c r="H933" s="1" t="str">
        <f>IFERROR(__xludf.DUMMYFUNCTION("split(G933,"" "")"),"Ralph")</f>
        <v>Ralph</v>
      </c>
      <c r="I933" s="1" t="str">
        <f>IFERROR(__xludf.DUMMYFUNCTION("""COMPUTED_VALUE"""),"Kennedy")</f>
        <v>Kennedy</v>
      </c>
      <c r="J933" s="1" t="s">
        <v>23</v>
      </c>
      <c r="K933" s="1" t="s">
        <v>98</v>
      </c>
      <c r="L933" s="1" t="str">
        <f t="shared" si="2"/>
        <v>Philadelphia</v>
      </c>
      <c r="M933" s="1" t="s">
        <v>99</v>
      </c>
      <c r="N933" s="1" t="str">
        <f t="shared" si="3"/>
        <v>Pennsylvania</v>
      </c>
      <c r="O933" s="1">
        <v>19140.0</v>
      </c>
      <c r="P933" s="1" t="s">
        <v>100</v>
      </c>
      <c r="Q933" s="1" t="s">
        <v>38</v>
      </c>
      <c r="R933" s="3">
        <v>12.192</v>
      </c>
      <c r="S933" s="1">
        <v>1.0</v>
      </c>
      <c r="T933" s="4">
        <v>11.44</v>
      </c>
    </row>
    <row r="934">
      <c r="A934" s="1" t="s">
        <v>1602</v>
      </c>
      <c r="B934" s="2">
        <v>42906.0</v>
      </c>
      <c r="C934" s="2" t="str">
        <f t="shared" si="1"/>
        <v>Jun</v>
      </c>
      <c r="D934" s="1" t="s">
        <v>1603</v>
      </c>
      <c r="E934" s="1" t="s">
        <v>41</v>
      </c>
      <c r="F934" s="1" t="s">
        <v>1604</v>
      </c>
      <c r="G934" s="1" t="s">
        <v>1605</v>
      </c>
      <c r="H934" s="1" t="str">
        <f>IFERROR(__xludf.DUMMYFUNCTION("split(G934,"" "")"),"Catherine")</f>
        <v>Catherine</v>
      </c>
      <c r="I934" s="1" t="str">
        <f>IFERROR(__xludf.DUMMYFUNCTION("""COMPUTED_VALUE"""),"Glotzbach")</f>
        <v>Glotzbach</v>
      </c>
      <c r="J934" s="1" t="s">
        <v>68</v>
      </c>
      <c r="K934" s="1" t="s">
        <v>98</v>
      </c>
      <c r="L934" s="1" t="str">
        <f t="shared" si="2"/>
        <v>Philadelphia</v>
      </c>
      <c r="M934" s="1" t="s">
        <v>99</v>
      </c>
      <c r="N934" s="1" t="str">
        <f t="shared" si="3"/>
        <v>Pennsylvania</v>
      </c>
      <c r="O934" s="1">
        <v>19120.0</v>
      </c>
      <c r="P934" s="1" t="s">
        <v>100</v>
      </c>
      <c r="Q934" s="1" t="s">
        <v>38</v>
      </c>
      <c r="R934" s="3">
        <v>45.056</v>
      </c>
      <c r="S934" s="1">
        <v>1.0</v>
      </c>
      <c r="T934" s="4">
        <v>44.63</v>
      </c>
    </row>
    <row r="935">
      <c r="A935" s="1" t="s">
        <v>1602</v>
      </c>
      <c r="B935" s="2">
        <v>42906.0</v>
      </c>
      <c r="C935" s="2" t="str">
        <f t="shared" si="1"/>
        <v>Jun</v>
      </c>
      <c r="D935" s="1" t="s">
        <v>1603</v>
      </c>
      <c r="E935" s="1" t="s">
        <v>41</v>
      </c>
      <c r="F935" s="1" t="s">
        <v>1604</v>
      </c>
      <c r="G935" s="1" t="s">
        <v>1605</v>
      </c>
      <c r="H935" s="1" t="str">
        <f>IFERROR(__xludf.DUMMYFUNCTION("split(G935,"" "")"),"Catherine")</f>
        <v>Catherine</v>
      </c>
      <c r="I935" s="1" t="str">
        <f>IFERROR(__xludf.DUMMYFUNCTION("""COMPUTED_VALUE"""),"Glotzbach")</f>
        <v>Glotzbach</v>
      </c>
      <c r="J935" s="1" t="s">
        <v>68</v>
      </c>
      <c r="K935" s="1" t="s">
        <v>98</v>
      </c>
      <c r="L935" s="1" t="str">
        <f t="shared" si="2"/>
        <v>Philadelphia</v>
      </c>
      <c r="M935" s="1" t="s">
        <v>99</v>
      </c>
      <c r="N935" s="1" t="str">
        <f t="shared" si="3"/>
        <v>Pennsylvania</v>
      </c>
      <c r="O935" s="1">
        <v>19120.0</v>
      </c>
      <c r="P935" s="1" t="s">
        <v>100</v>
      </c>
      <c r="Q935" s="1" t="s">
        <v>38</v>
      </c>
      <c r="R935" s="3">
        <v>29.718</v>
      </c>
      <c r="S935" s="1">
        <v>1.0</v>
      </c>
      <c r="T935" s="4">
        <v>29.25</v>
      </c>
    </row>
    <row r="936">
      <c r="A936" s="1" t="s">
        <v>1602</v>
      </c>
      <c r="B936" s="2">
        <v>42906.0</v>
      </c>
      <c r="C936" s="2" t="str">
        <f t="shared" si="1"/>
        <v>Jun</v>
      </c>
      <c r="D936" s="1" t="s">
        <v>1603</v>
      </c>
      <c r="E936" s="1" t="s">
        <v>41</v>
      </c>
      <c r="F936" s="1" t="s">
        <v>1604</v>
      </c>
      <c r="G936" s="1" t="s">
        <v>1605</v>
      </c>
      <c r="H936" s="1" t="str">
        <f>IFERROR(__xludf.DUMMYFUNCTION("split(G936,"" "")"),"Catherine")</f>
        <v>Catherine</v>
      </c>
      <c r="I936" s="1" t="str">
        <f>IFERROR(__xludf.DUMMYFUNCTION("""COMPUTED_VALUE"""),"Glotzbach")</f>
        <v>Glotzbach</v>
      </c>
      <c r="J936" s="1" t="s">
        <v>68</v>
      </c>
      <c r="K936" s="1" t="s">
        <v>98</v>
      </c>
      <c r="L936" s="1" t="str">
        <f t="shared" si="2"/>
        <v>Philadelphia</v>
      </c>
      <c r="M936" s="1" t="s">
        <v>99</v>
      </c>
      <c r="N936" s="1" t="str">
        <f t="shared" si="3"/>
        <v>Pennsylvania</v>
      </c>
      <c r="O936" s="1">
        <v>19120.0</v>
      </c>
      <c r="P936" s="1" t="s">
        <v>100</v>
      </c>
      <c r="Q936" s="1" t="s">
        <v>38</v>
      </c>
      <c r="R936" s="3">
        <v>15.552</v>
      </c>
      <c r="S936" s="1">
        <v>1.0</v>
      </c>
      <c r="T936" s="4">
        <v>14.89</v>
      </c>
    </row>
    <row r="937">
      <c r="A937" s="1" t="s">
        <v>1602</v>
      </c>
      <c r="B937" s="2">
        <v>42906.0</v>
      </c>
      <c r="C937" s="2" t="str">
        <f t="shared" si="1"/>
        <v>Jun</v>
      </c>
      <c r="D937" s="1" t="s">
        <v>1603</v>
      </c>
      <c r="E937" s="1" t="s">
        <v>41</v>
      </c>
      <c r="F937" s="1" t="s">
        <v>1604</v>
      </c>
      <c r="G937" s="1" t="s">
        <v>1605</v>
      </c>
      <c r="H937" s="1" t="str">
        <f>IFERROR(__xludf.DUMMYFUNCTION("split(G937,"" "")"),"Catherine")</f>
        <v>Catherine</v>
      </c>
      <c r="I937" s="1" t="str">
        <f>IFERROR(__xludf.DUMMYFUNCTION("""COMPUTED_VALUE"""),"Glotzbach")</f>
        <v>Glotzbach</v>
      </c>
      <c r="J937" s="1" t="s">
        <v>68</v>
      </c>
      <c r="K937" s="1" t="s">
        <v>98</v>
      </c>
      <c r="L937" s="1" t="str">
        <f t="shared" si="2"/>
        <v>Philadelphia</v>
      </c>
      <c r="M937" s="1" t="s">
        <v>99</v>
      </c>
      <c r="N937" s="1" t="str">
        <f t="shared" si="3"/>
        <v>Pennsylvania</v>
      </c>
      <c r="O937" s="1">
        <v>19120.0</v>
      </c>
      <c r="P937" s="1" t="s">
        <v>100</v>
      </c>
      <c r="Q937" s="1" t="s">
        <v>38</v>
      </c>
      <c r="R937" s="3">
        <v>447.696</v>
      </c>
      <c r="S937" s="1">
        <v>1.0</v>
      </c>
      <c r="T937" s="4">
        <v>446.88</v>
      </c>
    </row>
    <row r="938">
      <c r="A938" s="1" t="s">
        <v>1606</v>
      </c>
      <c r="B938" s="2">
        <v>43231.0</v>
      </c>
      <c r="C938" s="2" t="str">
        <f t="shared" si="1"/>
        <v>May</v>
      </c>
      <c r="D938" s="6">
        <v>43262.0</v>
      </c>
      <c r="E938" s="1" t="s">
        <v>121</v>
      </c>
      <c r="F938" s="1" t="s">
        <v>138</v>
      </c>
      <c r="G938" s="1" t="s">
        <v>139</v>
      </c>
      <c r="H938" s="1" t="str">
        <f>IFERROR(__xludf.DUMMYFUNCTION("split(G938,"" "")"),"Ruben")</f>
        <v>Ruben</v>
      </c>
      <c r="I938" s="1" t="str">
        <f>IFERROR(__xludf.DUMMYFUNCTION("""COMPUTED_VALUE"""),"Ausman")</f>
        <v>Ausman</v>
      </c>
      <c r="J938" s="1" t="s">
        <v>34</v>
      </c>
      <c r="K938" s="1" t="s">
        <v>1607</v>
      </c>
      <c r="L938" s="1" t="str">
        <f t="shared" si="2"/>
        <v>Farmington</v>
      </c>
      <c r="M938" s="1" t="s">
        <v>397</v>
      </c>
      <c r="N938" s="1" t="str">
        <f t="shared" si="3"/>
        <v>New Mexico</v>
      </c>
      <c r="O938" s="1">
        <v>87401.0</v>
      </c>
      <c r="P938" s="1" t="s">
        <v>37</v>
      </c>
      <c r="Q938" s="1" t="s">
        <v>51</v>
      </c>
      <c r="R938" s="3">
        <v>159.99</v>
      </c>
      <c r="S938" s="1">
        <v>8.0</v>
      </c>
      <c r="T938" s="4">
        <v>159.36</v>
      </c>
    </row>
    <row r="939">
      <c r="A939" s="1" t="s">
        <v>1608</v>
      </c>
      <c r="B939" s="2">
        <v>42717.0</v>
      </c>
      <c r="C939" s="2" t="str">
        <f t="shared" si="1"/>
        <v>Dec</v>
      </c>
      <c r="D939" s="1" t="s">
        <v>1609</v>
      </c>
      <c r="E939" s="1" t="s">
        <v>41</v>
      </c>
      <c r="F939" s="1" t="s">
        <v>1610</v>
      </c>
      <c r="G939" s="1" t="s">
        <v>1611</v>
      </c>
      <c r="H939" s="1" t="str">
        <f>IFERROR(__xludf.DUMMYFUNCTION("split(G939,"" "")"),"Rachel")</f>
        <v>Rachel</v>
      </c>
      <c r="I939" s="1" t="str">
        <f>IFERROR(__xludf.DUMMYFUNCTION("""COMPUTED_VALUE"""),"Payne")</f>
        <v>Payne</v>
      </c>
      <c r="J939" s="1" t="s">
        <v>34</v>
      </c>
      <c r="K939" s="1" t="s">
        <v>1612</v>
      </c>
      <c r="L939" s="1" t="str">
        <f t="shared" si="2"/>
        <v>Riverside</v>
      </c>
      <c r="M939" s="1" t="s">
        <v>52</v>
      </c>
      <c r="N939" s="1" t="str">
        <f t="shared" si="3"/>
        <v>California</v>
      </c>
      <c r="O939" s="1">
        <v>92503.0</v>
      </c>
      <c r="P939" s="1" t="s">
        <v>37</v>
      </c>
      <c r="Q939" s="1" t="s">
        <v>38</v>
      </c>
      <c r="R939" s="3">
        <v>12.96</v>
      </c>
      <c r="S939" s="1">
        <v>9.0</v>
      </c>
      <c r="T939" s="4">
        <v>12.37</v>
      </c>
    </row>
    <row r="940">
      <c r="A940" s="1" t="s">
        <v>1608</v>
      </c>
      <c r="B940" s="2">
        <v>42717.0</v>
      </c>
      <c r="C940" s="2" t="str">
        <f t="shared" si="1"/>
        <v>Dec</v>
      </c>
      <c r="D940" s="1" t="s">
        <v>1609</v>
      </c>
      <c r="E940" s="1" t="s">
        <v>41</v>
      </c>
      <c r="F940" s="1" t="s">
        <v>1610</v>
      </c>
      <c r="G940" s="1" t="s">
        <v>1611</v>
      </c>
      <c r="H940" s="1" t="str">
        <f>IFERROR(__xludf.DUMMYFUNCTION("split(G940,"" "")"),"Rachel")</f>
        <v>Rachel</v>
      </c>
      <c r="I940" s="1" t="str">
        <f>IFERROR(__xludf.DUMMYFUNCTION("""COMPUTED_VALUE"""),"Payne")</f>
        <v>Payne</v>
      </c>
      <c r="J940" s="1" t="s">
        <v>34</v>
      </c>
      <c r="K940" s="1" t="s">
        <v>1612</v>
      </c>
      <c r="L940" s="1" t="str">
        <f t="shared" si="2"/>
        <v>Riverside</v>
      </c>
      <c r="M940" s="1" t="s">
        <v>52</v>
      </c>
      <c r="N940" s="1" t="str">
        <f t="shared" si="3"/>
        <v>California</v>
      </c>
      <c r="O940" s="1">
        <v>92503.0</v>
      </c>
      <c r="P940" s="1" t="s">
        <v>37</v>
      </c>
      <c r="Q940" s="1" t="s">
        <v>38</v>
      </c>
      <c r="R940" s="3">
        <v>134.48</v>
      </c>
      <c r="S940" s="1">
        <v>9.0</v>
      </c>
      <c r="T940" s="4">
        <v>134.18</v>
      </c>
    </row>
    <row r="941">
      <c r="A941" s="1" t="s">
        <v>1613</v>
      </c>
      <c r="B941" s="2">
        <v>42905.0</v>
      </c>
      <c r="C941" s="2" t="str">
        <f t="shared" si="1"/>
        <v>Jun</v>
      </c>
      <c r="D941" s="1" t="s">
        <v>1614</v>
      </c>
      <c r="E941" s="1" t="s">
        <v>121</v>
      </c>
      <c r="F941" s="1" t="s">
        <v>1615</v>
      </c>
      <c r="G941" s="1" t="s">
        <v>1616</v>
      </c>
      <c r="H941" s="1" t="str">
        <f>IFERROR(__xludf.DUMMYFUNCTION("split(G941,"" "")"),"Karen")</f>
        <v>Karen</v>
      </c>
      <c r="I941" s="1" t="str">
        <f>IFERROR(__xludf.DUMMYFUNCTION("""COMPUTED_VALUE"""),"Carlisle")</f>
        <v>Carlisle</v>
      </c>
      <c r="J941" s="1" t="s">
        <v>34</v>
      </c>
      <c r="K941" s="1" t="s">
        <v>87</v>
      </c>
      <c r="L941" s="1" t="str">
        <f t="shared" si="2"/>
        <v>San Francisco</v>
      </c>
      <c r="M941" s="1" t="s">
        <v>52</v>
      </c>
      <c r="N941" s="1" t="str">
        <f t="shared" si="3"/>
        <v>California</v>
      </c>
      <c r="O941" s="1">
        <v>94110.0</v>
      </c>
      <c r="P941" s="1" t="s">
        <v>37</v>
      </c>
      <c r="Q941" s="1" t="s">
        <v>38</v>
      </c>
      <c r="R941" s="3">
        <v>17.12</v>
      </c>
      <c r="S941" s="1">
        <v>9.0</v>
      </c>
      <c r="T941" s="4">
        <v>17.11</v>
      </c>
    </row>
    <row r="942">
      <c r="A942" s="1" t="s">
        <v>1617</v>
      </c>
      <c r="B942" s="2">
        <v>43082.0</v>
      </c>
      <c r="C942" s="2" t="str">
        <f t="shared" si="1"/>
        <v>Dec</v>
      </c>
      <c r="D942" s="1" t="s">
        <v>600</v>
      </c>
      <c r="E942" s="1" t="s">
        <v>41</v>
      </c>
      <c r="F942" s="1" t="s">
        <v>1578</v>
      </c>
      <c r="G942" s="1" t="s">
        <v>1579</v>
      </c>
      <c r="H942" s="1" t="str">
        <f>IFERROR(__xludf.DUMMYFUNCTION("split(G942,"" "")"),"Rob")</f>
        <v>Rob</v>
      </c>
      <c r="I942" s="1" t="str">
        <f>IFERROR(__xludf.DUMMYFUNCTION("""COMPUTED_VALUE"""),"Williams")</f>
        <v>Williams</v>
      </c>
      <c r="J942" s="1" t="s">
        <v>34</v>
      </c>
      <c r="K942" s="1" t="s">
        <v>1618</v>
      </c>
      <c r="L942" s="1" t="str">
        <f t="shared" si="2"/>
        <v>Torrance</v>
      </c>
      <c r="M942" s="1" t="s">
        <v>52</v>
      </c>
      <c r="N942" s="1" t="str">
        <f t="shared" si="3"/>
        <v>California</v>
      </c>
      <c r="O942" s="1">
        <v>90503.0</v>
      </c>
      <c r="P942" s="1" t="s">
        <v>37</v>
      </c>
      <c r="Q942" s="1" t="s">
        <v>38</v>
      </c>
      <c r="R942" s="3">
        <v>6.096</v>
      </c>
      <c r="S942" s="1">
        <v>9.0</v>
      </c>
      <c r="T942" s="4">
        <v>5.43</v>
      </c>
    </row>
    <row r="943">
      <c r="A943" s="1" t="s">
        <v>1617</v>
      </c>
      <c r="B943" s="2">
        <v>43082.0</v>
      </c>
      <c r="C943" s="2" t="str">
        <f t="shared" si="1"/>
        <v>Dec</v>
      </c>
      <c r="D943" s="1" t="s">
        <v>600</v>
      </c>
      <c r="E943" s="1" t="s">
        <v>41</v>
      </c>
      <c r="F943" s="1" t="s">
        <v>1578</v>
      </c>
      <c r="G943" s="1" t="s">
        <v>1579</v>
      </c>
      <c r="H943" s="1" t="str">
        <f>IFERROR(__xludf.DUMMYFUNCTION("split(G943,"" "")"),"Rob")</f>
        <v>Rob</v>
      </c>
      <c r="I943" s="1" t="str">
        <f>IFERROR(__xludf.DUMMYFUNCTION("""COMPUTED_VALUE"""),"Williams")</f>
        <v>Williams</v>
      </c>
      <c r="J943" s="1" t="s">
        <v>34</v>
      </c>
      <c r="K943" s="1" t="s">
        <v>1618</v>
      </c>
      <c r="L943" s="1" t="str">
        <f t="shared" si="2"/>
        <v>Torrance</v>
      </c>
      <c r="M943" s="1" t="s">
        <v>52</v>
      </c>
      <c r="N943" s="1" t="str">
        <f t="shared" si="3"/>
        <v>California</v>
      </c>
      <c r="O943" s="1">
        <v>90503.0</v>
      </c>
      <c r="P943" s="1" t="s">
        <v>37</v>
      </c>
      <c r="Q943" s="1" t="s">
        <v>27</v>
      </c>
      <c r="R943" s="3">
        <v>1114.272</v>
      </c>
      <c r="S943" s="1">
        <v>9.0</v>
      </c>
      <c r="T943" s="4">
        <v>1113.48</v>
      </c>
    </row>
    <row r="944">
      <c r="A944" s="1" t="s">
        <v>1619</v>
      </c>
      <c r="B944" s="2">
        <v>42519.0</v>
      </c>
      <c r="C944" s="2" t="str">
        <f t="shared" si="1"/>
        <v>May</v>
      </c>
      <c r="D944" s="6">
        <v>42435.0</v>
      </c>
      <c r="E944" s="1" t="s">
        <v>41</v>
      </c>
      <c r="F944" s="1" t="s">
        <v>669</v>
      </c>
      <c r="G944" s="1" t="s">
        <v>670</v>
      </c>
      <c r="H944" s="1" t="str">
        <f>IFERROR(__xludf.DUMMYFUNCTION("split(G944,"" "")"),"John")</f>
        <v>John</v>
      </c>
      <c r="I944" s="1" t="str">
        <f>IFERROR(__xludf.DUMMYFUNCTION("""COMPUTED_VALUE"""),"Lucas")</f>
        <v>Lucas</v>
      </c>
      <c r="J944" s="1" t="s">
        <v>23</v>
      </c>
      <c r="K944" s="1" t="s">
        <v>62</v>
      </c>
      <c r="L944" s="1" t="str">
        <f t="shared" si="2"/>
        <v>Seattle</v>
      </c>
      <c r="M944" s="1" t="s">
        <v>63</v>
      </c>
      <c r="N944" s="1" t="str">
        <f t="shared" si="3"/>
        <v>Washington</v>
      </c>
      <c r="O944" s="1">
        <v>98105.0</v>
      </c>
      <c r="P944" s="1" t="s">
        <v>37</v>
      </c>
      <c r="Q944" s="1" t="s">
        <v>38</v>
      </c>
      <c r="R944" s="3">
        <v>32.4</v>
      </c>
      <c r="S944" s="1">
        <v>9.0</v>
      </c>
      <c r="T944" s="4">
        <v>32.32</v>
      </c>
    </row>
    <row r="945">
      <c r="A945" s="1" t="s">
        <v>1619</v>
      </c>
      <c r="B945" s="2">
        <v>42519.0</v>
      </c>
      <c r="C945" s="2" t="str">
        <f t="shared" si="1"/>
        <v>May</v>
      </c>
      <c r="D945" s="6">
        <v>42435.0</v>
      </c>
      <c r="E945" s="1" t="s">
        <v>41</v>
      </c>
      <c r="F945" s="1" t="s">
        <v>669</v>
      </c>
      <c r="G945" s="1" t="s">
        <v>670</v>
      </c>
      <c r="H945" s="1" t="str">
        <f>IFERROR(__xludf.DUMMYFUNCTION("split(G945,"" "")"),"John")</f>
        <v>John</v>
      </c>
      <c r="I945" s="1" t="str">
        <f>IFERROR(__xludf.DUMMYFUNCTION("""COMPUTED_VALUE"""),"Lucas")</f>
        <v>Lucas</v>
      </c>
      <c r="J945" s="1" t="s">
        <v>23</v>
      </c>
      <c r="K945" s="1" t="s">
        <v>62</v>
      </c>
      <c r="L945" s="1" t="str">
        <f t="shared" si="2"/>
        <v>Seattle</v>
      </c>
      <c r="M945" s="1" t="s">
        <v>63</v>
      </c>
      <c r="N945" s="1" t="str">
        <f t="shared" si="3"/>
        <v>Washington</v>
      </c>
      <c r="O945" s="1">
        <v>98105.0</v>
      </c>
      <c r="P945" s="1" t="s">
        <v>37</v>
      </c>
      <c r="Q945" s="1" t="s">
        <v>38</v>
      </c>
      <c r="R945" s="3">
        <v>540.57</v>
      </c>
      <c r="S945" s="1">
        <v>9.0</v>
      </c>
      <c r="T945" s="4">
        <v>539.8</v>
      </c>
    </row>
    <row r="946">
      <c r="A946" s="1" t="s">
        <v>1619</v>
      </c>
      <c r="B946" s="2">
        <v>42519.0</v>
      </c>
      <c r="C946" s="2" t="str">
        <f t="shared" si="1"/>
        <v>May</v>
      </c>
      <c r="D946" s="6">
        <v>42435.0</v>
      </c>
      <c r="E946" s="1" t="s">
        <v>41</v>
      </c>
      <c r="F946" s="1" t="s">
        <v>669</v>
      </c>
      <c r="G946" s="1" t="s">
        <v>670</v>
      </c>
      <c r="H946" s="1" t="str">
        <f>IFERROR(__xludf.DUMMYFUNCTION("split(G946,"" "")"),"John")</f>
        <v>John</v>
      </c>
      <c r="I946" s="1" t="str">
        <f>IFERROR(__xludf.DUMMYFUNCTION("""COMPUTED_VALUE"""),"Lucas")</f>
        <v>Lucas</v>
      </c>
      <c r="J946" s="1" t="s">
        <v>23</v>
      </c>
      <c r="K946" s="1" t="s">
        <v>62</v>
      </c>
      <c r="L946" s="1" t="str">
        <f t="shared" si="2"/>
        <v>Seattle</v>
      </c>
      <c r="M946" s="1" t="s">
        <v>63</v>
      </c>
      <c r="N946" s="1" t="str">
        <f t="shared" si="3"/>
        <v>Washington</v>
      </c>
      <c r="O946" s="1">
        <v>98105.0</v>
      </c>
      <c r="P946" s="1" t="s">
        <v>37</v>
      </c>
      <c r="Q946" s="1" t="s">
        <v>38</v>
      </c>
      <c r="R946" s="3">
        <v>167.76</v>
      </c>
      <c r="S946" s="1">
        <v>9.0</v>
      </c>
      <c r="T946" s="4">
        <v>167.02</v>
      </c>
    </row>
    <row r="947">
      <c r="A947" s="1" t="s">
        <v>1620</v>
      </c>
      <c r="B947" s="2">
        <v>42577.0</v>
      </c>
      <c r="C947" s="2" t="str">
        <f t="shared" si="1"/>
        <v>Jul</v>
      </c>
      <c r="D947" s="1" t="s">
        <v>1621</v>
      </c>
      <c r="E947" s="1" t="s">
        <v>121</v>
      </c>
      <c r="F947" s="1" t="s">
        <v>1055</v>
      </c>
      <c r="G947" s="1" t="s">
        <v>1056</v>
      </c>
      <c r="H947" s="1" t="str">
        <f>IFERROR(__xludf.DUMMYFUNCTION("split(G947,"" "")"),"Cynthia")</f>
        <v>Cynthia</v>
      </c>
      <c r="I947" s="1" t="str">
        <f>IFERROR(__xludf.DUMMYFUNCTION("""COMPUTED_VALUE"""),"Arntzen")</f>
        <v>Arntzen</v>
      </c>
      <c r="J947" s="1" t="s">
        <v>23</v>
      </c>
      <c r="K947" s="1" t="s">
        <v>1009</v>
      </c>
      <c r="L947" s="1" t="str">
        <f t="shared" si="2"/>
        <v>Mesa</v>
      </c>
      <c r="M947" s="1" t="s">
        <v>193</v>
      </c>
      <c r="N947" s="1" t="str">
        <f t="shared" si="3"/>
        <v>Arizona</v>
      </c>
      <c r="O947" s="1">
        <v>85204.0</v>
      </c>
      <c r="P947" s="1" t="s">
        <v>37</v>
      </c>
      <c r="Q947" s="1" t="s">
        <v>27</v>
      </c>
      <c r="R947" s="3">
        <v>393.165</v>
      </c>
      <c r="S947" s="1">
        <v>8.0</v>
      </c>
      <c r="T947" s="4">
        <v>392.86</v>
      </c>
    </row>
    <row r="948">
      <c r="A948" s="1" t="s">
        <v>1622</v>
      </c>
      <c r="B948" s="2">
        <v>43432.0</v>
      </c>
      <c r="C948" s="2" t="str">
        <f t="shared" si="1"/>
        <v>Nov</v>
      </c>
      <c r="D948" s="6">
        <v>43143.0</v>
      </c>
      <c r="E948" s="1" t="s">
        <v>41</v>
      </c>
      <c r="F948" s="1" t="s">
        <v>841</v>
      </c>
      <c r="G948" s="1" t="s">
        <v>842</v>
      </c>
      <c r="H948" s="1" t="str">
        <f>IFERROR(__xludf.DUMMYFUNCTION("split(G948,"" "")"),"Ross")</f>
        <v>Ross</v>
      </c>
      <c r="I948" s="1" t="str">
        <f>IFERROR(__xludf.DUMMYFUNCTION("""COMPUTED_VALUE"""),"Baird")</f>
        <v>Baird</v>
      </c>
      <c r="J948" s="1" t="s">
        <v>68</v>
      </c>
      <c r="K948" s="1" t="s">
        <v>98</v>
      </c>
      <c r="L948" s="1" t="str">
        <f t="shared" si="2"/>
        <v>Philadelphia</v>
      </c>
      <c r="M948" s="1" t="s">
        <v>99</v>
      </c>
      <c r="N948" s="1" t="str">
        <f t="shared" si="3"/>
        <v>Pennsylvania</v>
      </c>
      <c r="O948" s="1">
        <v>19120.0</v>
      </c>
      <c r="P948" s="1" t="s">
        <v>100</v>
      </c>
      <c r="Q948" s="1" t="s">
        <v>27</v>
      </c>
      <c r="R948" s="3">
        <v>516.488</v>
      </c>
      <c r="S948" s="1">
        <v>1.0</v>
      </c>
      <c r="T948" s="4">
        <v>516.14</v>
      </c>
    </row>
    <row r="949">
      <c r="A949" s="1" t="s">
        <v>1622</v>
      </c>
      <c r="B949" s="2">
        <v>43432.0</v>
      </c>
      <c r="C949" s="2" t="str">
        <f t="shared" si="1"/>
        <v>Nov</v>
      </c>
      <c r="D949" s="6">
        <v>43143.0</v>
      </c>
      <c r="E949" s="1" t="s">
        <v>41</v>
      </c>
      <c r="F949" s="1" t="s">
        <v>841</v>
      </c>
      <c r="G949" s="1" t="s">
        <v>842</v>
      </c>
      <c r="H949" s="1" t="str">
        <f>IFERROR(__xludf.DUMMYFUNCTION("split(G949,"" "")"),"Ross")</f>
        <v>Ross</v>
      </c>
      <c r="I949" s="1" t="str">
        <f>IFERROR(__xludf.DUMMYFUNCTION("""COMPUTED_VALUE"""),"Baird")</f>
        <v>Baird</v>
      </c>
      <c r="J949" s="1" t="s">
        <v>68</v>
      </c>
      <c r="K949" s="1" t="s">
        <v>98</v>
      </c>
      <c r="L949" s="1" t="str">
        <f t="shared" si="2"/>
        <v>Philadelphia</v>
      </c>
      <c r="M949" s="1" t="s">
        <v>99</v>
      </c>
      <c r="N949" s="1" t="str">
        <f t="shared" si="3"/>
        <v>Pennsylvania</v>
      </c>
      <c r="O949" s="1">
        <v>19120.0</v>
      </c>
      <c r="P949" s="1" t="s">
        <v>100</v>
      </c>
      <c r="Q949" s="1" t="s">
        <v>27</v>
      </c>
      <c r="R949" s="3">
        <v>1007.232</v>
      </c>
      <c r="S949" s="1">
        <v>1.0</v>
      </c>
      <c r="T949" s="4">
        <v>1006.41</v>
      </c>
    </row>
    <row r="950">
      <c r="A950" s="1" t="s">
        <v>1622</v>
      </c>
      <c r="B950" s="2">
        <v>43432.0</v>
      </c>
      <c r="C950" s="2" t="str">
        <f t="shared" si="1"/>
        <v>Nov</v>
      </c>
      <c r="D950" s="6">
        <v>43143.0</v>
      </c>
      <c r="E950" s="1" t="s">
        <v>41</v>
      </c>
      <c r="F950" s="1" t="s">
        <v>841</v>
      </c>
      <c r="G950" s="1" t="s">
        <v>842</v>
      </c>
      <c r="H950" s="1" t="str">
        <f>IFERROR(__xludf.DUMMYFUNCTION("split(G950,"" "")"),"Ross")</f>
        <v>Ross</v>
      </c>
      <c r="I950" s="1" t="str">
        <f>IFERROR(__xludf.DUMMYFUNCTION("""COMPUTED_VALUE"""),"Baird")</f>
        <v>Baird</v>
      </c>
      <c r="J950" s="1" t="s">
        <v>68</v>
      </c>
      <c r="K950" s="1" t="s">
        <v>98</v>
      </c>
      <c r="L950" s="1" t="str">
        <f t="shared" si="2"/>
        <v>Philadelphia</v>
      </c>
      <c r="M950" s="1" t="s">
        <v>99</v>
      </c>
      <c r="N950" s="1" t="str">
        <f t="shared" si="3"/>
        <v>Pennsylvania</v>
      </c>
      <c r="O950" s="1">
        <v>19120.0</v>
      </c>
      <c r="P950" s="1" t="s">
        <v>100</v>
      </c>
      <c r="Q950" s="1" t="s">
        <v>27</v>
      </c>
      <c r="R950" s="3">
        <v>2065.32</v>
      </c>
      <c r="S950" s="1">
        <v>1.0</v>
      </c>
      <c r="T950" s="4">
        <v>2065.16</v>
      </c>
    </row>
    <row r="951">
      <c r="A951" s="1" t="s">
        <v>1622</v>
      </c>
      <c r="B951" s="2">
        <v>43432.0</v>
      </c>
      <c r="C951" s="2" t="str">
        <f t="shared" si="1"/>
        <v>Nov</v>
      </c>
      <c r="D951" s="6">
        <v>43143.0</v>
      </c>
      <c r="E951" s="1" t="s">
        <v>41</v>
      </c>
      <c r="F951" s="1" t="s">
        <v>841</v>
      </c>
      <c r="G951" s="1" t="s">
        <v>842</v>
      </c>
      <c r="H951" s="1" t="str">
        <f>IFERROR(__xludf.DUMMYFUNCTION("split(G951,"" "")"),"Ross")</f>
        <v>Ross</v>
      </c>
      <c r="I951" s="1" t="str">
        <f>IFERROR(__xludf.DUMMYFUNCTION("""COMPUTED_VALUE"""),"Baird")</f>
        <v>Baird</v>
      </c>
      <c r="J951" s="1" t="s">
        <v>68</v>
      </c>
      <c r="K951" s="1" t="s">
        <v>98</v>
      </c>
      <c r="L951" s="1" t="str">
        <f t="shared" si="2"/>
        <v>Philadelphia</v>
      </c>
      <c r="M951" s="1" t="s">
        <v>99</v>
      </c>
      <c r="N951" s="1" t="str">
        <f t="shared" si="3"/>
        <v>Pennsylvania</v>
      </c>
      <c r="O951" s="1">
        <v>19120.0</v>
      </c>
      <c r="P951" s="1" t="s">
        <v>100</v>
      </c>
      <c r="Q951" s="1" t="s">
        <v>38</v>
      </c>
      <c r="R951" s="3">
        <v>15.552</v>
      </c>
      <c r="S951" s="1">
        <v>1.0</v>
      </c>
      <c r="T951" s="4">
        <v>15.27</v>
      </c>
    </row>
    <row r="952">
      <c r="A952" s="1" t="s">
        <v>1622</v>
      </c>
      <c r="B952" s="2">
        <v>43432.0</v>
      </c>
      <c r="C952" s="2" t="str">
        <f t="shared" si="1"/>
        <v>Nov</v>
      </c>
      <c r="D952" s="6">
        <v>43143.0</v>
      </c>
      <c r="E952" s="1" t="s">
        <v>41</v>
      </c>
      <c r="F952" s="1" t="s">
        <v>841</v>
      </c>
      <c r="G952" s="1" t="s">
        <v>842</v>
      </c>
      <c r="H952" s="1" t="str">
        <f>IFERROR(__xludf.DUMMYFUNCTION("split(G952,"" "")"),"Ross")</f>
        <v>Ross</v>
      </c>
      <c r="I952" s="1" t="str">
        <f>IFERROR(__xludf.DUMMYFUNCTION("""COMPUTED_VALUE"""),"Baird")</f>
        <v>Baird</v>
      </c>
      <c r="J952" s="1" t="s">
        <v>68</v>
      </c>
      <c r="K952" s="1" t="s">
        <v>98</v>
      </c>
      <c r="L952" s="1" t="str">
        <f t="shared" si="2"/>
        <v>Philadelphia</v>
      </c>
      <c r="M952" s="1" t="s">
        <v>99</v>
      </c>
      <c r="N952" s="1" t="str">
        <f t="shared" si="3"/>
        <v>Pennsylvania</v>
      </c>
      <c r="O952" s="1">
        <v>19120.0</v>
      </c>
      <c r="P952" s="1" t="s">
        <v>100</v>
      </c>
      <c r="Q952" s="1" t="s">
        <v>38</v>
      </c>
      <c r="R952" s="3">
        <v>25.344</v>
      </c>
      <c r="S952" s="1">
        <v>1.0</v>
      </c>
      <c r="T952" s="4">
        <v>24.98</v>
      </c>
    </row>
    <row r="953">
      <c r="A953" s="1" t="s">
        <v>1623</v>
      </c>
      <c r="B953" s="2">
        <v>43163.0</v>
      </c>
      <c r="C953" s="2" t="str">
        <f t="shared" si="1"/>
        <v>Mar</v>
      </c>
      <c r="D953" s="6">
        <v>43285.0</v>
      </c>
      <c r="E953" s="1" t="s">
        <v>41</v>
      </c>
      <c r="F953" s="1" t="s">
        <v>1624</v>
      </c>
      <c r="G953" s="1" t="s">
        <v>1625</v>
      </c>
      <c r="H953" s="1" t="str">
        <f>IFERROR(__xludf.DUMMYFUNCTION("split(G953,"" "")"),"Katherine")</f>
        <v>Katherine</v>
      </c>
      <c r="I953" s="1" t="str">
        <f>IFERROR(__xludf.DUMMYFUNCTION("""COMPUTED_VALUE"""),"Hughes")</f>
        <v>Hughes</v>
      </c>
      <c r="J953" s="1" t="s">
        <v>23</v>
      </c>
      <c r="K953" s="1" t="s">
        <v>98</v>
      </c>
      <c r="L953" s="1" t="str">
        <f t="shared" si="2"/>
        <v>Philadelphia</v>
      </c>
      <c r="M953" s="1" t="s">
        <v>99</v>
      </c>
      <c r="N953" s="1" t="str">
        <f t="shared" si="3"/>
        <v>Pennsylvania</v>
      </c>
      <c r="O953" s="1">
        <v>19143.0</v>
      </c>
      <c r="P953" s="1" t="s">
        <v>100</v>
      </c>
      <c r="Q953" s="1" t="s">
        <v>27</v>
      </c>
      <c r="R953" s="3">
        <v>25.472</v>
      </c>
      <c r="S953" s="1">
        <v>1.0</v>
      </c>
      <c r="T953" s="4">
        <v>24.85</v>
      </c>
    </row>
    <row r="954">
      <c r="A954" s="1" t="s">
        <v>1626</v>
      </c>
      <c r="B954" s="2">
        <v>43462.0</v>
      </c>
      <c r="C954" s="2" t="str">
        <f t="shared" si="1"/>
        <v>Dec</v>
      </c>
      <c r="D954" s="6">
        <v>43466.0</v>
      </c>
      <c r="E954" s="1" t="s">
        <v>41</v>
      </c>
      <c r="F954" s="1" t="s">
        <v>1627</v>
      </c>
      <c r="G954" s="1" t="s">
        <v>1628</v>
      </c>
      <c r="H954" s="1" t="str">
        <f>IFERROR(__xludf.DUMMYFUNCTION("split(G954,"" "")"),"Greg")</f>
        <v>Greg</v>
      </c>
      <c r="I954" s="1" t="str">
        <f>IFERROR(__xludf.DUMMYFUNCTION("""COMPUTED_VALUE"""),"Hansen")</f>
        <v>Hansen</v>
      </c>
      <c r="J954" s="1" t="s">
        <v>23</v>
      </c>
      <c r="K954" s="1" t="s">
        <v>1629</v>
      </c>
      <c r="L954" s="1" t="str">
        <f t="shared" si="2"/>
        <v>Round Rock</v>
      </c>
      <c r="M954" s="1" t="s">
        <v>70</v>
      </c>
      <c r="N954" s="1" t="str">
        <f t="shared" si="3"/>
        <v>Texas</v>
      </c>
      <c r="O954" s="1">
        <v>78664.0</v>
      </c>
      <c r="P954" s="1" t="s">
        <v>71</v>
      </c>
      <c r="Q954" s="1" t="s">
        <v>38</v>
      </c>
      <c r="R954" s="3">
        <v>27.168</v>
      </c>
      <c r="S954" s="1">
        <v>7.0</v>
      </c>
      <c r="T954" s="4">
        <v>27.06</v>
      </c>
    </row>
    <row r="955">
      <c r="A955" s="1" t="s">
        <v>1626</v>
      </c>
      <c r="B955" s="2">
        <v>43462.0</v>
      </c>
      <c r="C955" s="2" t="str">
        <f t="shared" si="1"/>
        <v>Dec</v>
      </c>
      <c r="D955" s="6">
        <v>43466.0</v>
      </c>
      <c r="E955" s="1" t="s">
        <v>41</v>
      </c>
      <c r="F955" s="1" t="s">
        <v>1627</v>
      </c>
      <c r="G955" s="1" t="s">
        <v>1628</v>
      </c>
      <c r="H955" s="1" t="str">
        <f>IFERROR(__xludf.DUMMYFUNCTION("split(G955,"" "")"),"Greg")</f>
        <v>Greg</v>
      </c>
      <c r="I955" s="1" t="str">
        <f>IFERROR(__xludf.DUMMYFUNCTION("""COMPUTED_VALUE"""),"Hansen")</f>
        <v>Hansen</v>
      </c>
      <c r="J955" s="1" t="s">
        <v>23</v>
      </c>
      <c r="K955" s="1" t="s">
        <v>1629</v>
      </c>
      <c r="L955" s="1" t="str">
        <f t="shared" si="2"/>
        <v>Round Rock</v>
      </c>
      <c r="M955" s="1" t="s">
        <v>70</v>
      </c>
      <c r="N955" s="1" t="str">
        <f t="shared" si="3"/>
        <v>Texas</v>
      </c>
      <c r="O955" s="1">
        <v>78664.0</v>
      </c>
      <c r="P955" s="1" t="s">
        <v>71</v>
      </c>
      <c r="Q955" s="1" t="s">
        <v>27</v>
      </c>
      <c r="R955" s="3">
        <v>78.8528</v>
      </c>
      <c r="S955" s="1">
        <v>7.0</v>
      </c>
      <c r="T955" s="4">
        <v>78.51</v>
      </c>
    </row>
    <row r="956">
      <c r="A956" s="1" t="s">
        <v>1630</v>
      </c>
      <c r="B956" s="2">
        <v>43434.0</v>
      </c>
      <c r="C956" s="2" t="str">
        <f t="shared" si="1"/>
        <v>Nov</v>
      </c>
      <c r="D956" s="6">
        <v>43202.0</v>
      </c>
      <c r="E956" s="1" t="s">
        <v>41</v>
      </c>
      <c r="F956" s="1" t="s">
        <v>1631</v>
      </c>
      <c r="G956" s="1" t="s">
        <v>1632</v>
      </c>
      <c r="H956" s="1" t="str">
        <f>IFERROR(__xludf.DUMMYFUNCTION("split(G956,"" "")"),"Scott")</f>
        <v>Scott</v>
      </c>
      <c r="I956" s="1" t="str">
        <f>IFERROR(__xludf.DUMMYFUNCTION("""COMPUTED_VALUE"""),"Williamson")</f>
        <v>Williamson</v>
      </c>
      <c r="J956" s="1" t="s">
        <v>23</v>
      </c>
      <c r="K956" s="1" t="s">
        <v>205</v>
      </c>
      <c r="L956" s="1" t="str">
        <f t="shared" si="2"/>
        <v>Jackson</v>
      </c>
      <c r="M956" s="1" t="s">
        <v>827</v>
      </c>
      <c r="N956" s="1" t="str">
        <f t="shared" si="3"/>
        <v>Mississippi</v>
      </c>
      <c r="O956" s="1">
        <v>39212.0</v>
      </c>
      <c r="P956" s="1" t="s">
        <v>26</v>
      </c>
      <c r="Q956" s="1" t="s">
        <v>38</v>
      </c>
      <c r="R956" s="3">
        <v>173.8</v>
      </c>
      <c r="S956" s="1">
        <v>3.0</v>
      </c>
      <c r="T956" s="4">
        <v>173.33</v>
      </c>
    </row>
    <row r="957">
      <c r="A957" s="1" t="s">
        <v>1633</v>
      </c>
      <c r="B957" s="2">
        <v>43235.0</v>
      </c>
      <c r="C957" s="2" t="str">
        <f t="shared" si="1"/>
        <v>May</v>
      </c>
      <c r="D957" s="1" t="s">
        <v>1634</v>
      </c>
      <c r="E957" s="1" t="s">
        <v>20</v>
      </c>
      <c r="F957" s="1" t="s">
        <v>1635</v>
      </c>
      <c r="G957" s="1" t="s">
        <v>1636</v>
      </c>
      <c r="H957" s="1" t="str">
        <f>IFERROR(__xludf.DUMMYFUNCTION("split(G957,"" "")"),"Joseph")</f>
        <v>Joseph</v>
      </c>
      <c r="I957" s="1" t="str">
        <f>IFERROR(__xludf.DUMMYFUNCTION("""COMPUTED_VALUE"""),"Airdo")</f>
        <v>Airdo</v>
      </c>
      <c r="J957" s="1" t="s">
        <v>23</v>
      </c>
      <c r="K957" s="1" t="s">
        <v>328</v>
      </c>
      <c r="L957" s="1" t="str">
        <f t="shared" si="2"/>
        <v>Phoenix</v>
      </c>
      <c r="M957" s="1" t="s">
        <v>193</v>
      </c>
      <c r="N957" s="1" t="str">
        <f t="shared" si="3"/>
        <v>Arizona</v>
      </c>
      <c r="O957" s="1">
        <v>85023.0</v>
      </c>
      <c r="P957" s="1" t="s">
        <v>37</v>
      </c>
      <c r="Q957" s="1" t="s">
        <v>51</v>
      </c>
      <c r="R957" s="3">
        <v>29.592</v>
      </c>
      <c r="S957" s="1">
        <v>8.0</v>
      </c>
      <c r="T957" s="4">
        <v>28.89</v>
      </c>
    </row>
    <row r="958">
      <c r="A958" s="1" t="s">
        <v>1633</v>
      </c>
      <c r="B958" s="2">
        <v>43235.0</v>
      </c>
      <c r="C958" s="2" t="str">
        <f t="shared" si="1"/>
        <v>May</v>
      </c>
      <c r="D958" s="1" t="s">
        <v>1634</v>
      </c>
      <c r="E958" s="1" t="s">
        <v>20</v>
      </c>
      <c r="F958" s="1" t="s">
        <v>1635</v>
      </c>
      <c r="G958" s="1" t="s">
        <v>1636</v>
      </c>
      <c r="H958" s="1" t="str">
        <f>IFERROR(__xludf.DUMMYFUNCTION("split(G958,"" "")"),"Joseph")</f>
        <v>Joseph</v>
      </c>
      <c r="I958" s="1" t="str">
        <f>IFERROR(__xludf.DUMMYFUNCTION("""COMPUTED_VALUE"""),"Airdo")</f>
        <v>Airdo</v>
      </c>
      <c r="J958" s="1" t="s">
        <v>23</v>
      </c>
      <c r="K958" s="1" t="s">
        <v>328</v>
      </c>
      <c r="L958" s="1" t="str">
        <f t="shared" si="2"/>
        <v>Phoenix</v>
      </c>
      <c r="M958" s="1" t="s">
        <v>193</v>
      </c>
      <c r="N958" s="1" t="str">
        <f t="shared" si="3"/>
        <v>Arizona</v>
      </c>
      <c r="O958" s="1">
        <v>85023.0</v>
      </c>
      <c r="P958" s="1" t="s">
        <v>37</v>
      </c>
      <c r="Q958" s="1" t="s">
        <v>38</v>
      </c>
      <c r="R958" s="3">
        <v>4.752</v>
      </c>
      <c r="S958" s="1">
        <v>8.0</v>
      </c>
      <c r="T958" s="4">
        <v>3.8</v>
      </c>
    </row>
    <row r="959">
      <c r="A959" s="1" t="s">
        <v>1633</v>
      </c>
      <c r="B959" s="2">
        <v>43235.0</v>
      </c>
      <c r="C959" s="2" t="str">
        <f t="shared" si="1"/>
        <v>May</v>
      </c>
      <c r="D959" s="1" t="s">
        <v>1634</v>
      </c>
      <c r="E959" s="1" t="s">
        <v>20</v>
      </c>
      <c r="F959" s="1" t="s">
        <v>1635</v>
      </c>
      <c r="G959" s="1" t="s">
        <v>1636</v>
      </c>
      <c r="H959" s="1" t="str">
        <f>IFERROR(__xludf.DUMMYFUNCTION("split(G959,"" "")"),"Joseph")</f>
        <v>Joseph</v>
      </c>
      <c r="I959" s="1" t="str">
        <f>IFERROR(__xludf.DUMMYFUNCTION("""COMPUTED_VALUE"""),"Airdo")</f>
        <v>Airdo</v>
      </c>
      <c r="J959" s="1" t="s">
        <v>23</v>
      </c>
      <c r="K959" s="1" t="s">
        <v>328</v>
      </c>
      <c r="L959" s="1" t="str">
        <f t="shared" si="2"/>
        <v>Phoenix</v>
      </c>
      <c r="M959" s="1" t="s">
        <v>193</v>
      </c>
      <c r="N959" s="1" t="str">
        <f t="shared" si="3"/>
        <v>Arizona</v>
      </c>
      <c r="O959" s="1">
        <v>85023.0</v>
      </c>
      <c r="P959" s="1" t="s">
        <v>37</v>
      </c>
      <c r="Q959" s="1" t="s">
        <v>38</v>
      </c>
      <c r="R959" s="3">
        <v>15.552</v>
      </c>
      <c r="S959" s="1">
        <v>8.0</v>
      </c>
      <c r="T959" s="4">
        <v>15.55</v>
      </c>
    </row>
    <row r="960">
      <c r="A960" s="1" t="s">
        <v>1637</v>
      </c>
      <c r="B960" s="2">
        <v>42635.0</v>
      </c>
      <c r="C960" s="2" t="str">
        <f t="shared" si="1"/>
        <v>Sep</v>
      </c>
      <c r="D960" s="1" t="s">
        <v>1074</v>
      </c>
      <c r="E960" s="1" t="s">
        <v>717</v>
      </c>
      <c r="F960" s="1" t="s">
        <v>1638</v>
      </c>
      <c r="G960" s="1" t="s">
        <v>1639</v>
      </c>
      <c r="H960" s="1" t="str">
        <f>IFERROR(__xludf.DUMMYFUNCTION("split(G960,"" "")"),"Daniel")</f>
        <v>Daniel</v>
      </c>
      <c r="I960" s="1" t="str">
        <f>IFERROR(__xludf.DUMMYFUNCTION("""COMPUTED_VALUE"""),"Lacy")</f>
        <v>Lacy</v>
      </c>
      <c r="J960" s="1" t="s">
        <v>23</v>
      </c>
      <c r="K960" s="1" t="s">
        <v>1313</v>
      </c>
      <c r="L960" s="1" t="str">
        <f t="shared" si="2"/>
        <v>Oceanside</v>
      </c>
      <c r="M960" s="1" t="s">
        <v>52</v>
      </c>
      <c r="N960" s="1" t="str">
        <f t="shared" si="3"/>
        <v>California</v>
      </c>
      <c r="O960" s="1">
        <v>92054.0</v>
      </c>
      <c r="P960" s="1" t="s">
        <v>37</v>
      </c>
      <c r="Q960" s="1" t="s">
        <v>27</v>
      </c>
      <c r="R960" s="3">
        <v>204.6</v>
      </c>
      <c r="S960" s="1">
        <v>9.0</v>
      </c>
      <c r="T960" s="4">
        <v>204.29</v>
      </c>
    </row>
    <row r="961">
      <c r="A961" s="1" t="s">
        <v>1640</v>
      </c>
      <c r="B961" s="2">
        <v>43418.0</v>
      </c>
      <c r="C961" s="2" t="str">
        <f t="shared" si="1"/>
        <v>Nov</v>
      </c>
      <c r="D961" s="1" t="s">
        <v>1641</v>
      </c>
      <c r="E961" s="1" t="s">
        <v>41</v>
      </c>
      <c r="F961" s="1" t="s">
        <v>1642</v>
      </c>
      <c r="G961" s="1" t="s">
        <v>1643</v>
      </c>
      <c r="H961" s="1" t="str">
        <f>IFERROR(__xludf.DUMMYFUNCTION("split(G961,"" "")"),"Lindsay")</f>
        <v>Lindsay</v>
      </c>
      <c r="I961" s="1" t="str">
        <f>IFERROR(__xludf.DUMMYFUNCTION("""COMPUTED_VALUE"""),"Williams")</f>
        <v>Williams</v>
      </c>
      <c r="J961" s="1" t="s">
        <v>34</v>
      </c>
      <c r="K961" s="1" t="s">
        <v>87</v>
      </c>
      <c r="L961" s="1" t="str">
        <f t="shared" si="2"/>
        <v>San Francisco</v>
      </c>
      <c r="M961" s="1" t="s">
        <v>52</v>
      </c>
      <c r="N961" s="1" t="str">
        <f t="shared" si="3"/>
        <v>California</v>
      </c>
      <c r="O961" s="1">
        <v>94110.0</v>
      </c>
      <c r="P961" s="1" t="s">
        <v>37</v>
      </c>
      <c r="Q961" s="1" t="s">
        <v>27</v>
      </c>
      <c r="R961" s="3">
        <v>321.568</v>
      </c>
      <c r="S961" s="1">
        <v>9.0</v>
      </c>
      <c r="T961" s="4">
        <v>321.44</v>
      </c>
    </row>
    <row r="962">
      <c r="A962" s="1" t="s">
        <v>1644</v>
      </c>
      <c r="B962" s="2">
        <v>42701.0</v>
      </c>
      <c r="C962" s="2" t="str">
        <f t="shared" si="1"/>
        <v>Nov</v>
      </c>
      <c r="D962" s="6">
        <v>42381.0</v>
      </c>
      <c r="E962" s="1" t="s">
        <v>41</v>
      </c>
      <c r="F962" s="1" t="s">
        <v>1645</v>
      </c>
      <c r="G962" s="1" t="s">
        <v>1646</v>
      </c>
      <c r="H962" s="1" t="str">
        <f>IFERROR(__xludf.DUMMYFUNCTION("split(G962,"" "")"),"Thomas")</f>
        <v>Thomas</v>
      </c>
      <c r="I962" s="1" t="str">
        <f>IFERROR(__xludf.DUMMYFUNCTION("""COMPUTED_VALUE"""),"Brumley")</f>
        <v>Brumley</v>
      </c>
      <c r="J962" s="1" t="s">
        <v>68</v>
      </c>
      <c r="K962" s="1" t="s">
        <v>943</v>
      </c>
      <c r="L962" s="1" t="str">
        <f t="shared" si="2"/>
        <v>Fayetteville</v>
      </c>
      <c r="M962" s="1" t="s">
        <v>944</v>
      </c>
      <c r="N962" s="1" t="str">
        <f t="shared" si="3"/>
        <v>Arkansas</v>
      </c>
      <c r="O962" s="1">
        <v>72701.0</v>
      </c>
      <c r="P962" s="1" t="s">
        <v>26</v>
      </c>
      <c r="Q962" s="1" t="s">
        <v>38</v>
      </c>
      <c r="R962" s="3">
        <v>6.24</v>
      </c>
      <c r="S962" s="1">
        <v>7.0</v>
      </c>
      <c r="T962" s="4">
        <v>6.13</v>
      </c>
    </row>
    <row r="963">
      <c r="A963" s="1" t="s">
        <v>1647</v>
      </c>
      <c r="B963" s="2">
        <v>42744.0</v>
      </c>
      <c r="C963" s="2" t="str">
        <f t="shared" si="1"/>
        <v>Jan</v>
      </c>
      <c r="D963" s="6">
        <v>42834.0</v>
      </c>
      <c r="E963" s="1" t="s">
        <v>121</v>
      </c>
      <c r="F963" s="1" t="s">
        <v>292</v>
      </c>
      <c r="G963" s="1" t="s">
        <v>293</v>
      </c>
      <c r="H963" s="1" t="str">
        <f>IFERROR(__xludf.DUMMYFUNCTION("split(G963,"" "")"),"Cynthia")</f>
        <v>Cynthia</v>
      </c>
      <c r="I963" s="1" t="str">
        <f>IFERROR(__xludf.DUMMYFUNCTION("""COMPUTED_VALUE"""),"Voltz")</f>
        <v>Voltz</v>
      </c>
      <c r="J963" s="1" t="s">
        <v>34</v>
      </c>
      <c r="K963" s="1" t="s">
        <v>87</v>
      </c>
      <c r="L963" s="1" t="str">
        <f t="shared" si="2"/>
        <v>San Francisco</v>
      </c>
      <c r="M963" s="1" t="s">
        <v>52</v>
      </c>
      <c r="N963" s="1" t="str">
        <f t="shared" si="3"/>
        <v>California</v>
      </c>
      <c r="O963" s="1">
        <v>94110.0</v>
      </c>
      <c r="P963" s="1" t="s">
        <v>37</v>
      </c>
      <c r="Q963" s="1" t="s">
        <v>38</v>
      </c>
      <c r="R963" s="3">
        <v>21.88</v>
      </c>
      <c r="S963" s="1">
        <v>9.0</v>
      </c>
      <c r="T963" s="4">
        <v>21.28</v>
      </c>
    </row>
    <row r="964">
      <c r="A964" s="1" t="s">
        <v>1648</v>
      </c>
      <c r="B964" s="2">
        <v>42269.0</v>
      </c>
      <c r="C964" s="2" t="str">
        <f t="shared" si="1"/>
        <v>Sep</v>
      </c>
      <c r="D964" s="1" t="s">
        <v>651</v>
      </c>
      <c r="E964" s="1" t="s">
        <v>20</v>
      </c>
      <c r="F964" s="1" t="s">
        <v>1556</v>
      </c>
      <c r="G964" s="1" t="s">
        <v>1557</v>
      </c>
      <c r="H964" s="1" t="str">
        <f>IFERROR(__xludf.DUMMYFUNCTION("split(G964,"" "")"),"Maribeth")</f>
        <v>Maribeth</v>
      </c>
      <c r="I964" s="1" t="str">
        <f>IFERROR(__xludf.DUMMYFUNCTION("""COMPUTED_VALUE"""),"Schnelling")</f>
        <v>Schnelling</v>
      </c>
      <c r="J964" s="1" t="s">
        <v>23</v>
      </c>
      <c r="K964" s="1" t="s">
        <v>1649</v>
      </c>
      <c r="L964" s="1" t="str">
        <f t="shared" si="2"/>
        <v>Boca Raton</v>
      </c>
      <c r="M964" s="1" t="s">
        <v>145</v>
      </c>
      <c r="N964" s="1" t="str">
        <f t="shared" si="3"/>
        <v>Florida</v>
      </c>
      <c r="O964" s="1">
        <v>33433.0</v>
      </c>
      <c r="P964" s="1" t="s">
        <v>26</v>
      </c>
      <c r="Q964" s="1" t="s">
        <v>38</v>
      </c>
      <c r="R964" s="3">
        <v>4.608</v>
      </c>
      <c r="S964" s="1">
        <v>3.0</v>
      </c>
      <c r="T964" s="4">
        <v>3.7</v>
      </c>
    </row>
    <row r="965">
      <c r="A965" s="1" t="s">
        <v>1650</v>
      </c>
      <c r="B965" s="2">
        <v>43347.0</v>
      </c>
      <c r="C965" s="2" t="str">
        <f t="shared" si="1"/>
        <v>Sep</v>
      </c>
      <c r="D965" s="6">
        <v>43408.0</v>
      </c>
      <c r="E965" s="1" t="s">
        <v>121</v>
      </c>
      <c r="F965" s="1" t="s">
        <v>1651</v>
      </c>
      <c r="G965" s="1" t="s">
        <v>1652</v>
      </c>
      <c r="H965" s="1" t="str">
        <f>IFERROR(__xludf.DUMMYFUNCTION("split(G965,"" "")"),"Bryan")</f>
        <v>Bryan</v>
      </c>
      <c r="I965" s="1" t="str">
        <f>IFERROR(__xludf.DUMMYFUNCTION("""COMPUTED_VALUE"""),"Spruell")</f>
        <v>Spruell</v>
      </c>
      <c r="J965" s="1" t="s">
        <v>68</v>
      </c>
      <c r="K965" s="1" t="s">
        <v>174</v>
      </c>
      <c r="L965" s="1" t="str">
        <f t="shared" si="2"/>
        <v>New York City</v>
      </c>
      <c r="M965" s="1" t="s">
        <v>175</v>
      </c>
      <c r="N965" s="1" t="str">
        <f t="shared" si="3"/>
        <v>New York</v>
      </c>
      <c r="O965" s="1">
        <v>10011.0</v>
      </c>
      <c r="P965" s="1" t="s">
        <v>100</v>
      </c>
      <c r="Q965" s="1" t="s">
        <v>38</v>
      </c>
      <c r="R965" s="3">
        <v>9.82</v>
      </c>
      <c r="S965" s="1">
        <v>1.0</v>
      </c>
      <c r="T965" s="4">
        <v>9.0</v>
      </c>
    </row>
    <row r="966">
      <c r="A966" s="1" t="s">
        <v>1650</v>
      </c>
      <c r="B966" s="2">
        <v>43347.0</v>
      </c>
      <c r="C966" s="2" t="str">
        <f t="shared" si="1"/>
        <v>Sep</v>
      </c>
      <c r="D966" s="6">
        <v>43408.0</v>
      </c>
      <c r="E966" s="1" t="s">
        <v>121</v>
      </c>
      <c r="F966" s="1" t="s">
        <v>1651</v>
      </c>
      <c r="G966" s="1" t="s">
        <v>1652</v>
      </c>
      <c r="H966" s="1" t="str">
        <f>IFERROR(__xludf.DUMMYFUNCTION("split(G966,"" "")"),"Bryan")</f>
        <v>Bryan</v>
      </c>
      <c r="I966" s="1" t="str">
        <f>IFERROR(__xludf.DUMMYFUNCTION("""COMPUTED_VALUE"""),"Spruell")</f>
        <v>Spruell</v>
      </c>
      <c r="J966" s="1" t="s">
        <v>68</v>
      </c>
      <c r="K966" s="1" t="s">
        <v>174</v>
      </c>
      <c r="L966" s="1" t="str">
        <f t="shared" si="2"/>
        <v>New York City</v>
      </c>
      <c r="M966" s="1" t="s">
        <v>175</v>
      </c>
      <c r="N966" s="1" t="str">
        <f t="shared" si="3"/>
        <v>New York</v>
      </c>
      <c r="O966" s="1">
        <v>10011.0</v>
      </c>
      <c r="P966" s="1" t="s">
        <v>100</v>
      </c>
      <c r="Q966" s="1" t="s">
        <v>38</v>
      </c>
      <c r="R966" s="3">
        <v>35.97</v>
      </c>
      <c r="S966" s="1">
        <v>1.0</v>
      </c>
      <c r="T966" s="4">
        <v>35.61</v>
      </c>
    </row>
    <row r="967">
      <c r="A967" s="1" t="s">
        <v>1650</v>
      </c>
      <c r="B967" s="2">
        <v>43347.0</v>
      </c>
      <c r="C967" s="2" t="str">
        <f t="shared" si="1"/>
        <v>Sep</v>
      </c>
      <c r="D967" s="6">
        <v>43408.0</v>
      </c>
      <c r="E967" s="1" t="s">
        <v>121</v>
      </c>
      <c r="F967" s="1" t="s">
        <v>1651</v>
      </c>
      <c r="G967" s="1" t="s">
        <v>1652</v>
      </c>
      <c r="H967" s="1" t="str">
        <f>IFERROR(__xludf.DUMMYFUNCTION("split(G967,"" "")"),"Bryan")</f>
        <v>Bryan</v>
      </c>
      <c r="I967" s="1" t="str">
        <f>IFERROR(__xludf.DUMMYFUNCTION("""COMPUTED_VALUE"""),"Spruell")</f>
        <v>Spruell</v>
      </c>
      <c r="J967" s="1" t="s">
        <v>68</v>
      </c>
      <c r="K967" s="1" t="s">
        <v>174</v>
      </c>
      <c r="L967" s="1" t="str">
        <f t="shared" si="2"/>
        <v>New York City</v>
      </c>
      <c r="M967" s="1" t="s">
        <v>175</v>
      </c>
      <c r="N967" s="1" t="str">
        <f t="shared" si="3"/>
        <v>New York</v>
      </c>
      <c r="O967" s="1">
        <v>10011.0</v>
      </c>
      <c r="P967" s="1" t="s">
        <v>100</v>
      </c>
      <c r="Q967" s="1" t="s">
        <v>38</v>
      </c>
      <c r="R967" s="3">
        <v>12.96</v>
      </c>
      <c r="S967" s="1">
        <v>1.0</v>
      </c>
      <c r="T967" s="4">
        <v>12.91</v>
      </c>
    </row>
    <row r="968">
      <c r="A968" s="1" t="s">
        <v>1650</v>
      </c>
      <c r="B968" s="2">
        <v>43347.0</v>
      </c>
      <c r="C968" s="2" t="str">
        <f t="shared" si="1"/>
        <v>Sep</v>
      </c>
      <c r="D968" s="6">
        <v>43408.0</v>
      </c>
      <c r="E968" s="1" t="s">
        <v>121</v>
      </c>
      <c r="F968" s="1" t="s">
        <v>1651</v>
      </c>
      <c r="G968" s="1" t="s">
        <v>1652</v>
      </c>
      <c r="H968" s="1" t="str">
        <f>IFERROR(__xludf.DUMMYFUNCTION("split(G968,"" "")"),"Bryan")</f>
        <v>Bryan</v>
      </c>
      <c r="I968" s="1" t="str">
        <f>IFERROR(__xludf.DUMMYFUNCTION("""COMPUTED_VALUE"""),"Spruell")</f>
        <v>Spruell</v>
      </c>
      <c r="J968" s="1" t="s">
        <v>68</v>
      </c>
      <c r="K968" s="1" t="s">
        <v>174</v>
      </c>
      <c r="L968" s="1" t="str">
        <f t="shared" si="2"/>
        <v>New York City</v>
      </c>
      <c r="M968" s="1" t="s">
        <v>175</v>
      </c>
      <c r="N968" s="1" t="str">
        <f t="shared" si="3"/>
        <v>New York</v>
      </c>
      <c r="O968" s="1">
        <v>10011.0</v>
      </c>
      <c r="P968" s="1" t="s">
        <v>100</v>
      </c>
      <c r="Q968" s="1" t="s">
        <v>38</v>
      </c>
      <c r="R968" s="3">
        <v>191.6</v>
      </c>
      <c r="S968" s="1">
        <v>1.0</v>
      </c>
      <c r="T968" s="4">
        <v>191.09</v>
      </c>
    </row>
    <row r="969">
      <c r="A969" s="1" t="s">
        <v>1650</v>
      </c>
      <c r="B969" s="2">
        <v>43347.0</v>
      </c>
      <c r="C969" s="2" t="str">
        <f t="shared" si="1"/>
        <v>Sep</v>
      </c>
      <c r="D969" s="6">
        <v>43408.0</v>
      </c>
      <c r="E969" s="1" t="s">
        <v>121</v>
      </c>
      <c r="F969" s="1" t="s">
        <v>1651</v>
      </c>
      <c r="G969" s="1" t="s">
        <v>1652</v>
      </c>
      <c r="H969" s="1" t="str">
        <f>IFERROR(__xludf.DUMMYFUNCTION("split(G969,"" "")"),"Bryan")</f>
        <v>Bryan</v>
      </c>
      <c r="I969" s="1" t="str">
        <f>IFERROR(__xludf.DUMMYFUNCTION("""COMPUTED_VALUE"""),"Spruell")</f>
        <v>Spruell</v>
      </c>
      <c r="J969" s="1" t="s">
        <v>68</v>
      </c>
      <c r="K969" s="1" t="s">
        <v>174</v>
      </c>
      <c r="L969" s="1" t="str">
        <f t="shared" si="2"/>
        <v>New York City</v>
      </c>
      <c r="M969" s="1" t="s">
        <v>175</v>
      </c>
      <c r="N969" s="1" t="str">
        <f t="shared" si="3"/>
        <v>New York</v>
      </c>
      <c r="O969" s="1">
        <v>10011.0</v>
      </c>
      <c r="P969" s="1" t="s">
        <v>100</v>
      </c>
      <c r="Q969" s="1" t="s">
        <v>38</v>
      </c>
      <c r="R969" s="3">
        <v>8.64</v>
      </c>
      <c r="S969" s="1">
        <v>1.0</v>
      </c>
      <c r="T969" s="4">
        <v>7.67</v>
      </c>
    </row>
    <row r="970">
      <c r="A970" s="1" t="s">
        <v>1650</v>
      </c>
      <c r="B970" s="2">
        <v>43347.0</v>
      </c>
      <c r="C970" s="2" t="str">
        <f t="shared" si="1"/>
        <v>Sep</v>
      </c>
      <c r="D970" s="6">
        <v>43408.0</v>
      </c>
      <c r="E970" s="1" t="s">
        <v>121</v>
      </c>
      <c r="F970" s="1" t="s">
        <v>1651</v>
      </c>
      <c r="G970" s="1" t="s">
        <v>1652</v>
      </c>
      <c r="H970" s="1" t="str">
        <f>IFERROR(__xludf.DUMMYFUNCTION("split(G970,"" "")"),"Bryan")</f>
        <v>Bryan</v>
      </c>
      <c r="I970" s="1" t="str">
        <f>IFERROR(__xludf.DUMMYFUNCTION("""COMPUTED_VALUE"""),"Spruell")</f>
        <v>Spruell</v>
      </c>
      <c r="J970" s="1" t="s">
        <v>68</v>
      </c>
      <c r="K970" s="1" t="s">
        <v>174</v>
      </c>
      <c r="L970" s="1" t="str">
        <f t="shared" si="2"/>
        <v>New York City</v>
      </c>
      <c r="M970" s="1" t="s">
        <v>175</v>
      </c>
      <c r="N970" s="1" t="str">
        <f t="shared" si="3"/>
        <v>New York</v>
      </c>
      <c r="O970" s="1">
        <v>10011.0</v>
      </c>
      <c r="P970" s="1" t="s">
        <v>100</v>
      </c>
      <c r="Q970" s="1" t="s">
        <v>38</v>
      </c>
      <c r="R970" s="3">
        <v>501.81</v>
      </c>
      <c r="S970" s="1">
        <v>1.0</v>
      </c>
      <c r="T970" s="4">
        <v>501.68</v>
      </c>
    </row>
    <row r="971">
      <c r="A971" s="1" t="s">
        <v>1653</v>
      </c>
      <c r="B971" s="2">
        <v>42020.0</v>
      </c>
      <c r="C971" s="2" t="str">
        <f t="shared" si="1"/>
        <v>Jan</v>
      </c>
      <c r="D971" s="1" t="s">
        <v>1654</v>
      </c>
      <c r="E971" s="1" t="s">
        <v>20</v>
      </c>
      <c r="F971" s="1" t="s">
        <v>544</v>
      </c>
      <c r="G971" s="1" t="s">
        <v>545</v>
      </c>
      <c r="H971" s="1" t="str">
        <f>IFERROR(__xludf.DUMMYFUNCTION("split(G971,"" "")"),"Delfina")</f>
        <v>Delfina</v>
      </c>
      <c r="I971" s="1" t="str">
        <f>IFERROR(__xludf.DUMMYFUNCTION("""COMPUTED_VALUE"""),"Latchford")</f>
        <v>Latchford</v>
      </c>
      <c r="J971" s="1" t="s">
        <v>23</v>
      </c>
      <c r="K971" s="1" t="s">
        <v>98</v>
      </c>
      <c r="L971" s="1" t="str">
        <f t="shared" si="2"/>
        <v>Philadelphia</v>
      </c>
      <c r="M971" s="1" t="s">
        <v>99</v>
      </c>
      <c r="N971" s="1" t="str">
        <f t="shared" si="3"/>
        <v>Pennsylvania</v>
      </c>
      <c r="O971" s="1">
        <v>19134.0</v>
      </c>
      <c r="P971" s="1" t="s">
        <v>100</v>
      </c>
      <c r="Q971" s="1" t="s">
        <v>27</v>
      </c>
      <c r="R971" s="3">
        <v>127.104</v>
      </c>
      <c r="S971" s="1">
        <v>1.0</v>
      </c>
      <c r="T971" s="4">
        <v>126.74</v>
      </c>
    </row>
    <row r="972">
      <c r="A972" s="1" t="s">
        <v>1653</v>
      </c>
      <c r="B972" s="2">
        <v>42020.0</v>
      </c>
      <c r="C972" s="2" t="str">
        <f t="shared" si="1"/>
        <v>Jan</v>
      </c>
      <c r="D972" s="1" t="s">
        <v>1654</v>
      </c>
      <c r="E972" s="1" t="s">
        <v>20</v>
      </c>
      <c r="F972" s="1" t="s">
        <v>544</v>
      </c>
      <c r="G972" s="1" t="s">
        <v>545</v>
      </c>
      <c r="H972" s="1" t="str">
        <f>IFERROR(__xludf.DUMMYFUNCTION("split(G972,"" "")"),"Delfina")</f>
        <v>Delfina</v>
      </c>
      <c r="I972" s="1" t="str">
        <f>IFERROR(__xludf.DUMMYFUNCTION("""COMPUTED_VALUE"""),"Latchford")</f>
        <v>Latchford</v>
      </c>
      <c r="J972" s="1" t="s">
        <v>23</v>
      </c>
      <c r="K972" s="1" t="s">
        <v>98</v>
      </c>
      <c r="L972" s="1" t="str">
        <f t="shared" si="2"/>
        <v>Philadelphia</v>
      </c>
      <c r="M972" s="1" t="s">
        <v>99</v>
      </c>
      <c r="N972" s="1" t="str">
        <f t="shared" si="3"/>
        <v>Pennsylvania</v>
      </c>
      <c r="O972" s="1">
        <v>19134.0</v>
      </c>
      <c r="P972" s="1" t="s">
        <v>100</v>
      </c>
      <c r="Q972" s="1" t="s">
        <v>51</v>
      </c>
      <c r="R972" s="3">
        <v>124.2</v>
      </c>
      <c r="S972" s="1">
        <v>1.0</v>
      </c>
      <c r="T972" s="4">
        <v>123.49</v>
      </c>
    </row>
    <row r="973">
      <c r="A973" s="1" t="s">
        <v>1653</v>
      </c>
      <c r="B973" s="2">
        <v>42020.0</v>
      </c>
      <c r="C973" s="2" t="str">
        <f t="shared" si="1"/>
        <v>Jan</v>
      </c>
      <c r="D973" s="1" t="s">
        <v>1654</v>
      </c>
      <c r="E973" s="1" t="s">
        <v>20</v>
      </c>
      <c r="F973" s="1" t="s">
        <v>544</v>
      </c>
      <c r="G973" s="1" t="s">
        <v>545</v>
      </c>
      <c r="H973" s="1" t="str">
        <f>IFERROR(__xludf.DUMMYFUNCTION("split(G973,"" "")"),"Delfina")</f>
        <v>Delfina</v>
      </c>
      <c r="I973" s="1" t="str">
        <f>IFERROR(__xludf.DUMMYFUNCTION("""COMPUTED_VALUE"""),"Latchford")</f>
        <v>Latchford</v>
      </c>
      <c r="J973" s="1" t="s">
        <v>23</v>
      </c>
      <c r="K973" s="1" t="s">
        <v>98</v>
      </c>
      <c r="L973" s="1" t="str">
        <f t="shared" si="2"/>
        <v>Philadelphia</v>
      </c>
      <c r="M973" s="1" t="s">
        <v>99</v>
      </c>
      <c r="N973" s="1" t="str">
        <f t="shared" si="3"/>
        <v>Pennsylvania</v>
      </c>
      <c r="O973" s="1">
        <v>19134.0</v>
      </c>
      <c r="P973" s="1" t="s">
        <v>100</v>
      </c>
      <c r="Q973" s="1" t="s">
        <v>38</v>
      </c>
      <c r="R973" s="3">
        <v>18.588</v>
      </c>
      <c r="S973" s="1">
        <v>1.0</v>
      </c>
      <c r="T973" s="4">
        <v>18.21</v>
      </c>
    </row>
    <row r="974">
      <c r="A974" s="1" t="s">
        <v>1653</v>
      </c>
      <c r="B974" s="2">
        <v>42020.0</v>
      </c>
      <c r="C974" s="2" t="str">
        <f t="shared" si="1"/>
        <v>Jan</v>
      </c>
      <c r="D974" s="1" t="s">
        <v>1654</v>
      </c>
      <c r="E974" s="1" t="s">
        <v>20</v>
      </c>
      <c r="F974" s="1" t="s">
        <v>544</v>
      </c>
      <c r="G974" s="1" t="s">
        <v>545</v>
      </c>
      <c r="H974" s="1" t="str">
        <f>IFERROR(__xludf.DUMMYFUNCTION("split(G974,"" "")"),"Delfina")</f>
        <v>Delfina</v>
      </c>
      <c r="I974" s="1" t="str">
        <f>IFERROR(__xludf.DUMMYFUNCTION("""COMPUTED_VALUE"""),"Latchford")</f>
        <v>Latchford</v>
      </c>
      <c r="J974" s="1" t="s">
        <v>23</v>
      </c>
      <c r="K974" s="1" t="s">
        <v>98</v>
      </c>
      <c r="L974" s="1" t="str">
        <f t="shared" si="2"/>
        <v>Philadelphia</v>
      </c>
      <c r="M974" s="1" t="s">
        <v>99</v>
      </c>
      <c r="N974" s="1" t="str">
        <f t="shared" si="3"/>
        <v>Pennsylvania</v>
      </c>
      <c r="O974" s="1">
        <v>19134.0</v>
      </c>
      <c r="P974" s="1" t="s">
        <v>100</v>
      </c>
      <c r="Q974" s="1" t="s">
        <v>38</v>
      </c>
      <c r="R974" s="3">
        <v>30.072</v>
      </c>
      <c r="S974" s="1">
        <v>1.0</v>
      </c>
      <c r="T974" s="4">
        <v>29.51</v>
      </c>
    </row>
    <row r="975">
      <c r="A975" s="1" t="s">
        <v>1655</v>
      </c>
      <c r="B975" s="2">
        <v>43230.0</v>
      </c>
      <c r="C975" s="2" t="str">
        <f t="shared" si="1"/>
        <v>May</v>
      </c>
      <c r="D975" s="6">
        <v>43322.0</v>
      </c>
      <c r="E975" s="1" t="s">
        <v>20</v>
      </c>
      <c r="F975" s="1" t="s">
        <v>1319</v>
      </c>
      <c r="G975" s="1" t="s">
        <v>1320</v>
      </c>
      <c r="H975" s="1" t="str">
        <f>IFERROR(__xludf.DUMMYFUNCTION("split(G975,"" "")"),"Phillina")</f>
        <v>Phillina</v>
      </c>
      <c r="I975" s="1" t="str">
        <f>IFERROR(__xludf.DUMMYFUNCTION("""COMPUTED_VALUE"""),"Ober")</f>
        <v>Ober</v>
      </c>
      <c r="J975" s="1" t="s">
        <v>68</v>
      </c>
      <c r="K975" s="1" t="s">
        <v>174</v>
      </c>
      <c r="L975" s="1" t="str">
        <f t="shared" si="2"/>
        <v>New York City</v>
      </c>
      <c r="M975" s="1" t="s">
        <v>175</v>
      </c>
      <c r="N975" s="1" t="str">
        <f t="shared" si="3"/>
        <v>New York</v>
      </c>
      <c r="O975" s="1">
        <v>10011.0</v>
      </c>
      <c r="P975" s="1" t="s">
        <v>100</v>
      </c>
      <c r="Q975" s="1" t="s">
        <v>51</v>
      </c>
      <c r="R975" s="3">
        <v>160.93</v>
      </c>
      <c r="S975" s="1">
        <v>1.0</v>
      </c>
      <c r="T975" s="4">
        <v>160.25</v>
      </c>
    </row>
    <row r="976">
      <c r="A976" s="1" t="s">
        <v>1655</v>
      </c>
      <c r="B976" s="2">
        <v>43230.0</v>
      </c>
      <c r="C976" s="2" t="str">
        <f t="shared" si="1"/>
        <v>May</v>
      </c>
      <c r="D976" s="6">
        <v>43322.0</v>
      </c>
      <c r="E976" s="1" t="s">
        <v>20</v>
      </c>
      <c r="F976" s="1" t="s">
        <v>1319</v>
      </c>
      <c r="G976" s="1" t="s">
        <v>1320</v>
      </c>
      <c r="H976" s="1" t="str">
        <f>IFERROR(__xludf.DUMMYFUNCTION("split(G976,"" "")"),"Phillina")</f>
        <v>Phillina</v>
      </c>
      <c r="I976" s="1" t="str">
        <f>IFERROR(__xludf.DUMMYFUNCTION("""COMPUTED_VALUE"""),"Ober")</f>
        <v>Ober</v>
      </c>
      <c r="J976" s="1" t="s">
        <v>68</v>
      </c>
      <c r="K976" s="1" t="s">
        <v>174</v>
      </c>
      <c r="L976" s="1" t="str">
        <f t="shared" si="2"/>
        <v>New York City</v>
      </c>
      <c r="M976" s="1" t="s">
        <v>175</v>
      </c>
      <c r="N976" s="1" t="str">
        <f t="shared" si="3"/>
        <v>New York</v>
      </c>
      <c r="O976" s="1">
        <v>10011.0</v>
      </c>
      <c r="P976" s="1" t="s">
        <v>100</v>
      </c>
      <c r="Q976" s="1" t="s">
        <v>38</v>
      </c>
      <c r="R976" s="3">
        <v>75.792</v>
      </c>
      <c r="S976" s="1">
        <v>1.0</v>
      </c>
      <c r="T976" s="4">
        <v>75.6</v>
      </c>
    </row>
    <row r="977">
      <c r="A977" s="1" t="s">
        <v>1656</v>
      </c>
      <c r="B977" s="2">
        <v>43350.0</v>
      </c>
      <c r="C977" s="2" t="str">
        <f t="shared" si="1"/>
        <v>Sep</v>
      </c>
      <c r="D977" s="1" t="s">
        <v>1657</v>
      </c>
      <c r="E977" s="1" t="s">
        <v>41</v>
      </c>
      <c r="F977" s="1" t="s">
        <v>691</v>
      </c>
      <c r="G977" s="1" t="s">
        <v>692</v>
      </c>
      <c r="H977" s="1" t="str">
        <f>IFERROR(__xludf.DUMMYFUNCTION("split(G977,"" "")"),"Tamara")</f>
        <v>Tamara</v>
      </c>
      <c r="I977" s="1" t="str">
        <f>IFERROR(__xludf.DUMMYFUNCTION("""COMPUTED_VALUE"""),"Dahlen")</f>
        <v>Dahlen</v>
      </c>
      <c r="J977" s="1" t="s">
        <v>23</v>
      </c>
      <c r="K977" s="1" t="s">
        <v>255</v>
      </c>
      <c r="L977" s="1" t="str">
        <f t="shared" si="2"/>
        <v>Portland</v>
      </c>
      <c r="M977" s="1" t="s">
        <v>256</v>
      </c>
      <c r="N977" s="1" t="str">
        <f t="shared" si="3"/>
        <v>Oregon</v>
      </c>
      <c r="O977" s="1">
        <v>97206.0</v>
      </c>
      <c r="P977" s="1" t="s">
        <v>37</v>
      </c>
      <c r="Q977" s="1" t="s">
        <v>38</v>
      </c>
      <c r="R977" s="3">
        <v>1.08</v>
      </c>
      <c r="S977" s="1">
        <v>9.0</v>
      </c>
      <c r="T977" s="4">
        <v>0.62</v>
      </c>
    </row>
    <row r="978">
      <c r="A978" s="1" t="s">
        <v>1658</v>
      </c>
      <c r="B978" s="2">
        <v>43282.0</v>
      </c>
      <c r="C978" s="2" t="str">
        <f t="shared" si="1"/>
        <v>Jul</v>
      </c>
      <c r="D978" s="6">
        <v>43374.0</v>
      </c>
      <c r="E978" s="1" t="s">
        <v>121</v>
      </c>
      <c r="F978" s="1" t="s">
        <v>1434</v>
      </c>
      <c r="G978" s="1" t="s">
        <v>1435</v>
      </c>
      <c r="H978" s="1" t="str">
        <f>IFERROR(__xludf.DUMMYFUNCTION("split(G978,"" "")"),"Bart")</f>
        <v>Bart</v>
      </c>
      <c r="I978" s="1" t="str">
        <f>IFERROR(__xludf.DUMMYFUNCTION("""COMPUTED_VALUE"""),"Watters")</f>
        <v>Watters</v>
      </c>
      <c r="J978" s="1" t="s">
        <v>34</v>
      </c>
      <c r="K978" s="1" t="s">
        <v>513</v>
      </c>
      <c r="L978" s="1" t="str">
        <f t="shared" si="2"/>
        <v>Detroit</v>
      </c>
      <c r="M978" s="1" t="s">
        <v>157</v>
      </c>
      <c r="N978" s="1" t="str">
        <f t="shared" si="3"/>
        <v>Michigan</v>
      </c>
      <c r="O978" s="1">
        <v>48205.0</v>
      </c>
      <c r="P978" s="1" t="s">
        <v>71</v>
      </c>
      <c r="Q978" s="1" t="s">
        <v>51</v>
      </c>
      <c r="R978" s="3">
        <v>3059.982</v>
      </c>
      <c r="S978" s="1">
        <v>4.0</v>
      </c>
      <c r="T978" s="4">
        <v>3059.46</v>
      </c>
    </row>
    <row r="979">
      <c r="A979" s="1" t="s">
        <v>1659</v>
      </c>
      <c r="B979" s="2">
        <v>42885.0</v>
      </c>
      <c r="C979" s="2" t="str">
        <f t="shared" si="1"/>
        <v>May</v>
      </c>
      <c r="D979" s="1" t="s">
        <v>1660</v>
      </c>
      <c r="E979" s="1" t="s">
        <v>121</v>
      </c>
      <c r="F979" s="1" t="s">
        <v>1661</v>
      </c>
      <c r="G979" s="1" t="s">
        <v>1662</v>
      </c>
      <c r="H979" s="1" t="str">
        <f>IFERROR(__xludf.DUMMYFUNCTION("split(G979,"" "")"),"Robert")</f>
        <v>Robert</v>
      </c>
      <c r="I979" s="1" t="str">
        <f>IFERROR(__xludf.DUMMYFUNCTION("""COMPUTED_VALUE"""),"Waldorf")</f>
        <v>Waldorf</v>
      </c>
      <c r="J979" s="1" t="s">
        <v>23</v>
      </c>
      <c r="K979" s="1" t="s">
        <v>315</v>
      </c>
      <c r="L979" s="1" t="str">
        <f t="shared" si="2"/>
        <v>Wilmington</v>
      </c>
      <c r="M979" s="1" t="s">
        <v>58</v>
      </c>
      <c r="N979" s="1" t="str">
        <f t="shared" si="3"/>
        <v>North Carolina</v>
      </c>
      <c r="O979" s="1">
        <v>28403.0</v>
      </c>
      <c r="P979" s="1" t="s">
        <v>26</v>
      </c>
      <c r="Q979" s="1" t="s">
        <v>38</v>
      </c>
      <c r="R979" s="3">
        <v>3.282</v>
      </c>
      <c r="S979" s="1">
        <v>2.0</v>
      </c>
      <c r="T979" s="4">
        <v>2.42</v>
      </c>
    </row>
    <row r="980">
      <c r="A980" s="1" t="s">
        <v>1663</v>
      </c>
      <c r="B980" s="2">
        <v>42625.0</v>
      </c>
      <c r="C980" s="2" t="str">
        <f t="shared" si="1"/>
        <v>Sep</v>
      </c>
      <c r="D980" s="5">
        <v>42716.0</v>
      </c>
      <c r="E980" s="1" t="s">
        <v>121</v>
      </c>
      <c r="F980" s="1" t="s">
        <v>212</v>
      </c>
      <c r="G980" s="1" t="s">
        <v>213</v>
      </c>
      <c r="H980" s="1" t="str">
        <f>IFERROR(__xludf.DUMMYFUNCTION("split(G980,"" "")"),"Ken")</f>
        <v>Ken</v>
      </c>
      <c r="I980" s="1" t="str">
        <f>IFERROR(__xludf.DUMMYFUNCTION("""COMPUTED_VALUE"""),"Brennan")</f>
        <v>Brennan</v>
      </c>
      <c r="J980" s="1" t="s">
        <v>34</v>
      </c>
      <c r="K980" s="1" t="s">
        <v>303</v>
      </c>
      <c r="L980" s="1" t="str">
        <f t="shared" si="2"/>
        <v>Columbus</v>
      </c>
      <c r="M980" s="1" t="s">
        <v>169</v>
      </c>
      <c r="N980" s="1" t="str">
        <f t="shared" si="3"/>
        <v>Indiana</v>
      </c>
      <c r="O980" s="1">
        <v>47201.0</v>
      </c>
      <c r="P980" s="1" t="s">
        <v>71</v>
      </c>
      <c r="Q980" s="1" t="s">
        <v>38</v>
      </c>
      <c r="R980" s="3">
        <v>34.02</v>
      </c>
      <c r="S980" s="1">
        <v>4.0</v>
      </c>
      <c r="T980" s="4">
        <v>33.18</v>
      </c>
    </row>
    <row r="981">
      <c r="A981" s="1" t="s">
        <v>1664</v>
      </c>
      <c r="B981" s="2">
        <v>42804.0</v>
      </c>
      <c r="C981" s="2" t="str">
        <f t="shared" si="1"/>
        <v>Mar</v>
      </c>
      <c r="D981" s="6">
        <v>42957.0</v>
      </c>
      <c r="E981" s="1" t="s">
        <v>41</v>
      </c>
      <c r="F981" s="1" t="s">
        <v>103</v>
      </c>
      <c r="G981" s="1" t="s">
        <v>104</v>
      </c>
      <c r="H981" s="1" t="str">
        <f>IFERROR(__xludf.DUMMYFUNCTION("split(G981,"" "")"),"Emily")</f>
        <v>Emily</v>
      </c>
      <c r="I981" s="1" t="str">
        <f>IFERROR(__xludf.DUMMYFUNCTION("""COMPUTED_VALUE"""),"Burns")</f>
        <v>Burns</v>
      </c>
      <c r="J981" s="1" t="s">
        <v>23</v>
      </c>
      <c r="K981" s="1" t="s">
        <v>174</v>
      </c>
      <c r="L981" s="1" t="str">
        <f t="shared" si="2"/>
        <v>New York City</v>
      </c>
      <c r="M981" s="1" t="s">
        <v>175</v>
      </c>
      <c r="N981" s="1" t="str">
        <f t="shared" si="3"/>
        <v>New York</v>
      </c>
      <c r="O981" s="1">
        <v>10035.0</v>
      </c>
      <c r="P981" s="1" t="s">
        <v>100</v>
      </c>
      <c r="Q981" s="1" t="s">
        <v>27</v>
      </c>
      <c r="R981" s="3">
        <v>599.292</v>
      </c>
      <c r="S981" s="1">
        <v>1.0</v>
      </c>
      <c r="T981" s="4">
        <v>599.26</v>
      </c>
    </row>
    <row r="982">
      <c r="A982" s="1" t="s">
        <v>1665</v>
      </c>
      <c r="B982" s="2">
        <v>42319.0</v>
      </c>
      <c r="C982" s="2" t="str">
        <f t="shared" si="1"/>
        <v>Nov</v>
      </c>
      <c r="D982" s="1" t="s">
        <v>1666</v>
      </c>
      <c r="E982" s="1" t="s">
        <v>20</v>
      </c>
      <c r="F982" s="1" t="s">
        <v>1667</v>
      </c>
      <c r="G982" s="1" t="s">
        <v>1668</v>
      </c>
      <c r="H982" s="1" t="str">
        <f>IFERROR(__xludf.DUMMYFUNCTION("split(G982,"" "")"),"Tracy")</f>
        <v>Tracy</v>
      </c>
      <c r="I982" s="1" t="str">
        <f>IFERROR(__xludf.DUMMYFUNCTION("""COMPUTED_VALUE"""),"Zic")</f>
        <v>Zic</v>
      </c>
      <c r="J982" s="1" t="s">
        <v>23</v>
      </c>
      <c r="K982" s="1" t="s">
        <v>818</v>
      </c>
      <c r="L982" s="1" t="str">
        <f t="shared" si="2"/>
        <v>Louisville</v>
      </c>
      <c r="M982" s="1" t="s">
        <v>279</v>
      </c>
      <c r="N982" s="1" t="str">
        <f t="shared" si="3"/>
        <v>Colorado</v>
      </c>
      <c r="O982" s="1">
        <v>80027.0</v>
      </c>
      <c r="P982" s="1" t="s">
        <v>37</v>
      </c>
      <c r="Q982" s="1" t="s">
        <v>38</v>
      </c>
      <c r="R982" s="3">
        <v>3.392</v>
      </c>
      <c r="S982" s="1">
        <v>8.0</v>
      </c>
      <c r="T982" s="4">
        <v>3.21</v>
      </c>
    </row>
    <row r="983">
      <c r="A983" s="1" t="s">
        <v>1665</v>
      </c>
      <c r="B983" s="2">
        <v>42319.0</v>
      </c>
      <c r="C983" s="2" t="str">
        <f t="shared" si="1"/>
        <v>Nov</v>
      </c>
      <c r="D983" s="1" t="s">
        <v>1666</v>
      </c>
      <c r="E983" s="1" t="s">
        <v>20</v>
      </c>
      <c r="F983" s="1" t="s">
        <v>1667</v>
      </c>
      <c r="G983" s="1" t="s">
        <v>1668</v>
      </c>
      <c r="H983" s="1" t="str">
        <f>IFERROR(__xludf.DUMMYFUNCTION("split(G983,"" "")"),"Tracy")</f>
        <v>Tracy</v>
      </c>
      <c r="I983" s="1" t="str">
        <f>IFERROR(__xludf.DUMMYFUNCTION("""COMPUTED_VALUE"""),"Zic")</f>
        <v>Zic</v>
      </c>
      <c r="J983" s="1" t="s">
        <v>23</v>
      </c>
      <c r="K983" s="1" t="s">
        <v>818</v>
      </c>
      <c r="L983" s="1" t="str">
        <f t="shared" si="2"/>
        <v>Louisville</v>
      </c>
      <c r="M983" s="1" t="s">
        <v>279</v>
      </c>
      <c r="N983" s="1" t="str">
        <f t="shared" si="3"/>
        <v>Colorado</v>
      </c>
      <c r="O983" s="1">
        <v>80027.0</v>
      </c>
      <c r="P983" s="1" t="s">
        <v>37</v>
      </c>
      <c r="Q983" s="1" t="s">
        <v>51</v>
      </c>
      <c r="R983" s="3">
        <v>559.984</v>
      </c>
      <c r="S983" s="1">
        <v>8.0</v>
      </c>
      <c r="T983" s="4">
        <v>559.5</v>
      </c>
    </row>
    <row r="984">
      <c r="A984" s="1" t="s">
        <v>1665</v>
      </c>
      <c r="B984" s="2">
        <v>42319.0</v>
      </c>
      <c r="C984" s="2" t="str">
        <f t="shared" si="1"/>
        <v>Nov</v>
      </c>
      <c r="D984" s="1" t="s">
        <v>1666</v>
      </c>
      <c r="E984" s="1" t="s">
        <v>20</v>
      </c>
      <c r="F984" s="1" t="s">
        <v>1667</v>
      </c>
      <c r="G984" s="1" t="s">
        <v>1668</v>
      </c>
      <c r="H984" s="1" t="str">
        <f>IFERROR(__xludf.DUMMYFUNCTION("split(G984,"" "")"),"Tracy")</f>
        <v>Tracy</v>
      </c>
      <c r="I984" s="1" t="str">
        <f>IFERROR(__xludf.DUMMYFUNCTION("""COMPUTED_VALUE"""),"Zic")</f>
        <v>Zic</v>
      </c>
      <c r="J984" s="1" t="s">
        <v>23</v>
      </c>
      <c r="K984" s="1" t="s">
        <v>818</v>
      </c>
      <c r="L984" s="1" t="str">
        <f t="shared" si="2"/>
        <v>Louisville</v>
      </c>
      <c r="M984" s="1" t="s">
        <v>279</v>
      </c>
      <c r="N984" s="1" t="str">
        <f t="shared" si="3"/>
        <v>Colorado</v>
      </c>
      <c r="O984" s="1">
        <v>80027.0</v>
      </c>
      <c r="P984" s="1" t="s">
        <v>37</v>
      </c>
      <c r="Q984" s="1" t="s">
        <v>27</v>
      </c>
      <c r="R984" s="3">
        <v>603.92</v>
      </c>
      <c r="S984" s="1">
        <v>8.0</v>
      </c>
      <c r="T984" s="4">
        <v>603.59</v>
      </c>
    </row>
    <row r="985">
      <c r="A985" s="1" t="s">
        <v>1669</v>
      </c>
      <c r="B985" s="2">
        <v>43372.0</v>
      </c>
      <c r="C985" s="2" t="str">
        <f t="shared" si="1"/>
        <v>Sep</v>
      </c>
      <c r="D985" s="6">
        <v>43230.0</v>
      </c>
      <c r="E985" s="1" t="s">
        <v>41</v>
      </c>
      <c r="F985" s="1" t="s">
        <v>1670</v>
      </c>
      <c r="G985" s="1" t="s">
        <v>1671</v>
      </c>
      <c r="H985" s="1" t="str">
        <f>IFERROR(__xludf.DUMMYFUNCTION("split(G985,"" "")"),"Ann")</f>
        <v>Ann</v>
      </c>
      <c r="I985" s="1" t="str">
        <f>IFERROR(__xludf.DUMMYFUNCTION("""COMPUTED_VALUE"""),"Steele")</f>
        <v>Steele</v>
      </c>
      <c r="J985" s="1" t="s">
        <v>68</v>
      </c>
      <c r="K985" s="1" t="s">
        <v>355</v>
      </c>
      <c r="L985" s="1" t="str">
        <f t="shared" si="2"/>
        <v>Pasadena</v>
      </c>
      <c r="M985" s="1" t="s">
        <v>70</v>
      </c>
      <c r="N985" s="1" t="str">
        <f t="shared" si="3"/>
        <v>Texas</v>
      </c>
      <c r="O985" s="1">
        <v>77506.0</v>
      </c>
      <c r="P985" s="1" t="s">
        <v>71</v>
      </c>
      <c r="Q985" s="1" t="s">
        <v>38</v>
      </c>
      <c r="R985" s="3">
        <v>7.968</v>
      </c>
      <c r="S985" s="1">
        <v>7.0</v>
      </c>
      <c r="T985" s="4">
        <v>7.61</v>
      </c>
    </row>
    <row r="986">
      <c r="A986" s="1" t="s">
        <v>1669</v>
      </c>
      <c r="B986" s="2">
        <v>43372.0</v>
      </c>
      <c r="C986" s="2" t="str">
        <f t="shared" si="1"/>
        <v>Sep</v>
      </c>
      <c r="D986" s="6">
        <v>43230.0</v>
      </c>
      <c r="E986" s="1" t="s">
        <v>41</v>
      </c>
      <c r="F986" s="1" t="s">
        <v>1670</v>
      </c>
      <c r="G986" s="1" t="s">
        <v>1671</v>
      </c>
      <c r="H986" s="1" t="str">
        <f>IFERROR(__xludf.DUMMYFUNCTION("split(G986,"" "")"),"Ann")</f>
        <v>Ann</v>
      </c>
      <c r="I986" s="1" t="str">
        <f>IFERROR(__xludf.DUMMYFUNCTION("""COMPUTED_VALUE"""),"Steele")</f>
        <v>Steele</v>
      </c>
      <c r="J986" s="1" t="s">
        <v>68</v>
      </c>
      <c r="K986" s="1" t="s">
        <v>355</v>
      </c>
      <c r="L986" s="1" t="str">
        <f t="shared" si="2"/>
        <v>Pasadena</v>
      </c>
      <c r="M986" s="1" t="s">
        <v>70</v>
      </c>
      <c r="N986" s="1" t="str">
        <f t="shared" si="3"/>
        <v>Texas</v>
      </c>
      <c r="O986" s="1">
        <v>77506.0</v>
      </c>
      <c r="P986" s="1" t="s">
        <v>71</v>
      </c>
      <c r="Q986" s="1" t="s">
        <v>38</v>
      </c>
      <c r="R986" s="3">
        <v>27.968</v>
      </c>
      <c r="S986" s="1">
        <v>7.0</v>
      </c>
      <c r="T986" s="4">
        <v>27.75</v>
      </c>
    </row>
    <row r="987">
      <c r="A987" s="1" t="s">
        <v>1669</v>
      </c>
      <c r="B987" s="2">
        <v>43372.0</v>
      </c>
      <c r="C987" s="2" t="str">
        <f t="shared" si="1"/>
        <v>Sep</v>
      </c>
      <c r="D987" s="6">
        <v>43230.0</v>
      </c>
      <c r="E987" s="1" t="s">
        <v>41</v>
      </c>
      <c r="F987" s="1" t="s">
        <v>1670</v>
      </c>
      <c r="G987" s="1" t="s">
        <v>1671</v>
      </c>
      <c r="H987" s="1" t="str">
        <f>IFERROR(__xludf.DUMMYFUNCTION("split(G987,"" "")"),"Ann")</f>
        <v>Ann</v>
      </c>
      <c r="I987" s="1" t="str">
        <f>IFERROR(__xludf.DUMMYFUNCTION("""COMPUTED_VALUE"""),"Steele")</f>
        <v>Steele</v>
      </c>
      <c r="J987" s="1" t="s">
        <v>68</v>
      </c>
      <c r="K987" s="1" t="s">
        <v>355</v>
      </c>
      <c r="L987" s="1" t="str">
        <f t="shared" si="2"/>
        <v>Pasadena</v>
      </c>
      <c r="M987" s="1" t="s">
        <v>70</v>
      </c>
      <c r="N987" s="1" t="str">
        <f t="shared" si="3"/>
        <v>Texas</v>
      </c>
      <c r="O987" s="1">
        <v>77506.0</v>
      </c>
      <c r="P987" s="1" t="s">
        <v>71</v>
      </c>
      <c r="Q987" s="1" t="s">
        <v>51</v>
      </c>
      <c r="R987" s="3">
        <v>336.51</v>
      </c>
      <c r="S987" s="1">
        <v>7.0</v>
      </c>
      <c r="T987" s="4">
        <v>336.1</v>
      </c>
    </row>
    <row r="988">
      <c r="A988" s="1" t="s">
        <v>1672</v>
      </c>
      <c r="B988" s="2">
        <v>42646.0</v>
      </c>
      <c r="C988" s="2" t="str">
        <f t="shared" si="1"/>
        <v>Oct</v>
      </c>
      <c r="D988" s="6">
        <v>42646.0</v>
      </c>
      <c r="E988" s="1" t="s">
        <v>717</v>
      </c>
      <c r="F988" s="1" t="s">
        <v>1673</v>
      </c>
      <c r="G988" s="1" t="s">
        <v>1674</v>
      </c>
      <c r="H988" s="1" t="str">
        <f>IFERROR(__xludf.DUMMYFUNCTION("split(G988,"" "")"),"Toby")</f>
        <v>Toby</v>
      </c>
      <c r="I988" s="1" t="str">
        <f>IFERROR(__xludf.DUMMYFUNCTION("""COMPUTED_VALUE"""),"Swindell")</f>
        <v>Swindell</v>
      </c>
      <c r="J988" s="1" t="s">
        <v>23</v>
      </c>
      <c r="K988" s="1" t="s">
        <v>129</v>
      </c>
      <c r="L988" s="1" t="str">
        <f t="shared" si="2"/>
        <v>Houston</v>
      </c>
      <c r="M988" s="1" t="s">
        <v>70</v>
      </c>
      <c r="N988" s="1" t="str">
        <f t="shared" si="3"/>
        <v>Texas</v>
      </c>
      <c r="O988" s="1">
        <v>77041.0</v>
      </c>
      <c r="P988" s="1" t="s">
        <v>71</v>
      </c>
      <c r="Q988" s="1" t="s">
        <v>38</v>
      </c>
      <c r="R988" s="3">
        <v>1.112</v>
      </c>
      <c r="S988" s="1">
        <v>7.0</v>
      </c>
      <c r="T988" s="4">
        <v>0.28</v>
      </c>
    </row>
    <row r="989">
      <c r="A989" s="1" t="s">
        <v>1675</v>
      </c>
      <c r="B989" s="2">
        <v>43241.0</v>
      </c>
      <c r="C989" s="2" t="str">
        <f t="shared" si="1"/>
        <v>May</v>
      </c>
      <c r="D989" s="1" t="s">
        <v>1676</v>
      </c>
      <c r="E989" s="1" t="s">
        <v>41</v>
      </c>
      <c r="F989" s="1" t="s">
        <v>906</v>
      </c>
      <c r="G989" s="1" t="s">
        <v>907</v>
      </c>
      <c r="H989" s="1" t="str">
        <f>IFERROR(__xludf.DUMMYFUNCTION("split(G989,"" "")"),"John")</f>
        <v>John</v>
      </c>
      <c r="I989" s="1" t="str">
        <f>IFERROR(__xludf.DUMMYFUNCTION("""COMPUTED_VALUE"""),"Grady")</f>
        <v>Grady</v>
      </c>
      <c r="J989" s="1" t="s">
        <v>34</v>
      </c>
      <c r="K989" s="1" t="s">
        <v>868</v>
      </c>
      <c r="L989" s="1" t="str">
        <f t="shared" si="2"/>
        <v>Auburn</v>
      </c>
      <c r="M989" s="1" t="s">
        <v>175</v>
      </c>
      <c r="N989" s="1" t="str">
        <f t="shared" si="3"/>
        <v>New York</v>
      </c>
      <c r="O989" s="1">
        <v>13021.0</v>
      </c>
      <c r="P989" s="1" t="s">
        <v>100</v>
      </c>
      <c r="Q989" s="1" t="s">
        <v>27</v>
      </c>
      <c r="R989" s="3">
        <v>520.05</v>
      </c>
      <c r="S989" s="1">
        <v>1.0</v>
      </c>
      <c r="T989" s="4">
        <v>519.68</v>
      </c>
    </row>
    <row r="990">
      <c r="A990" s="1" t="s">
        <v>1675</v>
      </c>
      <c r="B990" s="2">
        <v>43241.0</v>
      </c>
      <c r="C990" s="2" t="str">
        <f t="shared" si="1"/>
        <v>May</v>
      </c>
      <c r="D990" s="1" t="s">
        <v>1676</v>
      </c>
      <c r="E990" s="1" t="s">
        <v>41</v>
      </c>
      <c r="F990" s="1" t="s">
        <v>906</v>
      </c>
      <c r="G990" s="1" t="s">
        <v>907</v>
      </c>
      <c r="H990" s="1" t="str">
        <f>IFERROR(__xludf.DUMMYFUNCTION("split(G990,"" "")"),"John")</f>
        <v>John</v>
      </c>
      <c r="I990" s="1" t="str">
        <f>IFERROR(__xludf.DUMMYFUNCTION("""COMPUTED_VALUE"""),"Grady")</f>
        <v>Grady</v>
      </c>
      <c r="J990" s="1" t="s">
        <v>34</v>
      </c>
      <c r="K990" s="1" t="s">
        <v>868</v>
      </c>
      <c r="L990" s="1" t="str">
        <f t="shared" si="2"/>
        <v>Auburn</v>
      </c>
      <c r="M990" s="1" t="s">
        <v>175</v>
      </c>
      <c r="N990" s="1" t="str">
        <f t="shared" si="3"/>
        <v>New York</v>
      </c>
      <c r="O990" s="1">
        <v>13021.0</v>
      </c>
      <c r="P990" s="1" t="s">
        <v>100</v>
      </c>
      <c r="Q990" s="1" t="s">
        <v>38</v>
      </c>
      <c r="R990" s="3">
        <v>17.97</v>
      </c>
      <c r="S990" s="1">
        <v>1.0</v>
      </c>
      <c r="T990" s="4">
        <v>17.52</v>
      </c>
    </row>
    <row r="991">
      <c r="A991" s="1" t="s">
        <v>1677</v>
      </c>
      <c r="B991" s="2">
        <v>42458.0</v>
      </c>
      <c r="C991" s="2" t="str">
        <f t="shared" si="1"/>
        <v>Mar</v>
      </c>
      <c r="D991" s="1" t="s">
        <v>1678</v>
      </c>
      <c r="E991" s="1" t="s">
        <v>20</v>
      </c>
      <c r="F991" s="1" t="s">
        <v>1679</v>
      </c>
      <c r="G991" s="1" t="s">
        <v>1680</v>
      </c>
      <c r="H991" s="1" t="str">
        <f>IFERROR(__xludf.DUMMYFUNCTION("split(G991,"" "")"),"Sara")</f>
        <v>Sara</v>
      </c>
      <c r="I991" s="1" t="str">
        <f>IFERROR(__xludf.DUMMYFUNCTION("""COMPUTED_VALUE"""),"Luxemburg")</f>
        <v>Luxemburg</v>
      </c>
      <c r="J991" s="1" t="s">
        <v>68</v>
      </c>
      <c r="K991" s="1" t="s">
        <v>849</v>
      </c>
      <c r="L991" s="1" t="str">
        <f t="shared" si="2"/>
        <v>Jacksonville</v>
      </c>
      <c r="M991" s="1" t="s">
        <v>145</v>
      </c>
      <c r="N991" s="1" t="str">
        <f t="shared" si="3"/>
        <v>Florida</v>
      </c>
      <c r="O991" s="1">
        <v>32216.0</v>
      </c>
      <c r="P991" s="1" t="s">
        <v>26</v>
      </c>
      <c r="Q991" s="1" t="s">
        <v>27</v>
      </c>
      <c r="R991" s="3">
        <v>1166.92</v>
      </c>
      <c r="S991" s="1">
        <v>3.0</v>
      </c>
      <c r="T991" s="4">
        <v>1166.52</v>
      </c>
    </row>
    <row r="992">
      <c r="A992" s="1" t="s">
        <v>1681</v>
      </c>
      <c r="B992" s="2">
        <v>42987.0</v>
      </c>
      <c r="C992" s="2" t="str">
        <f t="shared" si="1"/>
        <v>Sep</v>
      </c>
      <c r="D992" s="6">
        <v>43048.0</v>
      </c>
      <c r="E992" s="1" t="s">
        <v>121</v>
      </c>
      <c r="F992" s="1" t="s">
        <v>326</v>
      </c>
      <c r="G992" s="1" t="s">
        <v>327</v>
      </c>
      <c r="H992" s="1" t="str">
        <f>IFERROR(__xludf.DUMMYFUNCTION("split(G992,"" "")"),"Troy")</f>
        <v>Troy</v>
      </c>
      <c r="I992" s="1" t="str">
        <f>IFERROR(__xludf.DUMMYFUNCTION("""COMPUTED_VALUE"""),"Staebel")</f>
        <v>Staebel</v>
      </c>
      <c r="J992" s="1" t="s">
        <v>23</v>
      </c>
      <c r="K992" s="1" t="s">
        <v>174</v>
      </c>
      <c r="L992" s="1" t="str">
        <f t="shared" si="2"/>
        <v>New York City</v>
      </c>
      <c r="M992" s="1" t="s">
        <v>175</v>
      </c>
      <c r="N992" s="1" t="str">
        <f t="shared" si="3"/>
        <v>New York</v>
      </c>
      <c r="O992" s="1">
        <v>10024.0</v>
      </c>
      <c r="P992" s="1" t="s">
        <v>100</v>
      </c>
      <c r="Q992" s="1" t="s">
        <v>38</v>
      </c>
      <c r="R992" s="3">
        <v>14.624</v>
      </c>
      <c r="S992" s="1">
        <v>1.0</v>
      </c>
      <c r="T992" s="4">
        <v>14.58</v>
      </c>
    </row>
    <row r="993">
      <c r="A993" s="1" t="s">
        <v>1682</v>
      </c>
      <c r="B993" s="2">
        <v>42973.0</v>
      </c>
      <c r="C993" s="2" t="str">
        <f t="shared" si="1"/>
        <v>Aug</v>
      </c>
      <c r="D993" s="1" t="s">
        <v>1683</v>
      </c>
      <c r="E993" s="1" t="s">
        <v>121</v>
      </c>
      <c r="F993" s="1" t="s">
        <v>1331</v>
      </c>
      <c r="G993" s="1" t="s">
        <v>1332</v>
      </c>
      <c r="H993" s="1" t="str">
        <f>IFERROR(__xludf.DUMMYFUNCTION("split(G993,"" "")"),"Roland")</f>
        <v>Roland</v>
      </c>
      <c r="I993" s="1" t="str">
        <f>IFERROR(__xludf.DUMMYFUNCTION("""COMPUTED_VALUE"""),"Fjeld")</f>
        <v>Fjeld</v>
      </c>
      <c r="J993" s="1" t="s">
        <v>23</v>
      </c>
      <c r="K993" s="1" t="s">
        <v>373</v>
      </c>
      <c r="L993" s="1" t="str">
        <f t="shared" si="2"/>
        <v>San Jose</v>
      </c>
      <c r="M993" s="1" t="s">
        <v>52</v>
      </c>
      <c r="N993" s="1" t="str">
        <f t="shared" si="3"/>
        <v>California</v>
      </c>
      <c r="O993" s="1">
        <v>95123.0</v>
      </c>
      <c r="P993" s="1" t="s">
        <v>37</v>
      </c>
      <c r="Q993" s="1" t="s">
        <v>38</v>
      </c>
      <c r="R993" s="3">
        <v>10.23</v>
      </c>
      <c r="S993" s="1">
        <v>9.0</v>
      </c>
      <c r="T993" s="4">
        <v>9.92</v>
      </c>
    </row>
    <row r="994">
      <c r="A994" s="1" t="s">
        <v>1682</v>
      </c>
      <c r="B994" s="2">
        <v>42973.0</v>
      </c>
      <c r="C994" s="2" t="str">
        <f t="shared" si="1"/>
        <v>Aug</v>
      </c>
      <c r="D994" s="1" t="s">
        <v>1683</v>
      </c>
      <c r="E994" s="1" t="s">
        <v>121</v>
      </c>
      <c r="F994" s="1" t="s">
        <v>1331</v>
      </c>
      <c r="G994" s="1" t="s">
        <v>1332</v>
      </c>
      <c r="H994" s="1" t="str">
        <f>IFERROR(__xludf.DUMMYFUNCTION("split(G994,"" "")"),"Roland")</f>
        <v>Roland</v>
      </c>
      <c r="I994" s="1" t="str">
        <f>IFERROR(__xludf.DUMMYFUNCTION("""COMPUTED_VALUE"""),"Fjeld")</f>
        <v>Fjeld</v>
      </c>
      <c r="J994" s="1" t="s">
        <v>23</v>
      </c>
      <c r="K994" s="1" t="s">
        <v>373</v>
      </c>
      <c r="L994" s="1" t="str">
        <f t="shared" si="2"/>
        <v>San Jose</v>
      </c>
      <c r="M994" s="1" t="s">
        <v>52</v>
      </c>
      <c r="N994" s="1" t="str">
        <f t="shared" si="3"/>
        <v>California</v>
      </c>
      <c r="O994" s="1">
        <v>95123.0</v>
      </c>
      <c r="P994" s="1" t="s">
        <v>37</v>
      </c>
      <c r="Q994" s="1" t="s">
        <v>38</v>
      </c>
      <c r="R994" s="3">
        <v>154.9</v>
      </c>
      <c r="S994" s="1">
        <v>9.0</v>
      </c>
      <c r="T994" s="4">
        <v>154.33</v>
      </c>
    </row>
    <row r="995">
      <c r="A995" s="1" t="s">
        <v>1684</v>
      </c>
      <c r="B995" s="2">
        <v>42145.0</v>
      </c>
      <c r="C995" s="2" t="str">
        <f t="shared" si="1"/>
        <v>May</v>
      </c>
      <c r="D995" s="1" t="s">
        <v>1685</v>
      </c>
      <c r="E995" s="1" t="s">
        <v>41</v>
      </c>
      <c r="F995" s="1" t="s">
        <v>1686</v>
      </c>
      <c r="G995" s="1" t="s">
        <v>1687</v>
      </c>
      <c r="H995" s="1" t="str">
        <f>IFERROR(__xludf.DUMMYFUNCTION("split(G995,"" "")"),"Mitch")</f>
        <v>Mitch</v>
      </c>
      <c r="I995" s="1" t="str">
        <f>IFERROR(__xludf.DUMMYFUNCTION("""COMPUTED_VALUE"""),"Willingham")</f>
        <v>Willingham</v>
      </c>
      <c r="J995" s="1" t="s">
        <v>34</v>
      </c>
      <c r="K995" s="1" t="s">
        <v>1688</v>
      </c>
      <c r="L995" s="1" t="str">
        <f t="shared" si="2"/>
        <v>Virginia Beach</v>
      </c>
      <c r="M995" s="1" t="s">
        <v>198</v>
      </c>
      <c r="N995" s="1" t="str">
        <f t="shared" si="3"/>
        <v>Virginia</v>
      </c>
      <c r="O995" s="1">
        <v>23464.0</v>
      </c>
      <c r="P995" s="1" t="s">
        <v>26</v>
      </c>
      <c r="Q995" s="1" t="s">
        <v>38</v>
      </c>
      <c r="R995" s="3">
        <v>2715.93</v>
      </c>
      <c r="S995" s="1">
        <v>2.0</v>
      </c>
      <c r="T995" s="4">
        <v>2715.43</v>
      </c>
    </row>
    <row r="996">
      <c r="A996" s="1" t="s">
        <v>1684</v>
      </c>
      <c r="B996" s="2">
        <v>42145.0</v>
      </c>
      <c r="C996" s="2" t="str">
        <f t="shared" si="1"/>
        <v>May</v>
      </c>
      <c r="D996" s="1" t="s">
        <v>1685</v>
      </c>
      <c r="E996" s="1" t="s">
        <v>41</v>
      </c>
      <c r="F996" s="1" t="s">
        <v>1686</v>
      </c>
      <c r="G996" s="1" t="s">
        <v>1687</v>
      </c>
      <c r="H996" s="1" t="str">
        <f>IFERROR(__xludf.DUMMYFUNCTION("split(G996,"" "")"),"Mitch")</f>
        <v>Mitch</v>
      </c>
      <c r="I996" s="1" t="str">
        <f>IFERROR(__xludf.DUMMYFUNCTION("""COMPUTED_VALUE"""),"Willingham")</f>
        <v>Willingham</v>
      </c>
      <c r="J996" s="1" t="s">
        <v>34</v>
      </c>
      <c r="K996" s="1" t="s">
        <v>1688</v>
      </c>
      <c r="L996" s="1" t="str">
        <f t="shared" si="2"/>
        <v>Virginia Beach</v>
      </c>
      <c r="M996" s="1" t="s">
        <v>198</v>
      </c>
      <c r="N996" s="1" t="str">
        <f t="shared" si="3"/>
        <v>Virginia</v>
      </c>
      <c r="O996" s="1">
        <v>23464.0</v>
      </c>
      <c r="P996" s="1" t="s">
        <v>26</v>
      </c>
      <c r="Q996" s="1" t="s">
        <v>51</v>
      </c>
      <c r="R996" s="3">
        <v>617.97</v>
      </c>
      <c r="S996" s="1">
        <v>2.0</v>
      </c>
      <c r="T996" s="4">
        <v>617.11</v>
      </c>
    </row>
    <row r="997">
      <c r="A997" s="1" t="s">
        <v>1689</v>
      </c>
      <c r="B997" s="2">
        <v>42671.0</v>
      </c>
      <c r="C997" s="2" t="str">
        <f t="shared" si="1"/>
        <v>Oct</v>
      </c>
      <c r="D997" s="6">
        <v>42440.0</v>
      </c>
      <c r="E997" s="1" t="s">
        <v>41</v>
      </c>
      <c r="F997" s="1" t="s">
        <v>1690</v>
      </c>
      <c r="G997" s="1" t="s">
        <v>1691</v>
      </c>
      <c r="H997" s="1" t="str">
        <f>IFERROR(__xludf.DUMMYFUNCTION("split(G997,"" "")"),"Rob")</f>
        <v>Rob</v>
      </c>
      <c r="I997" s="1" t="str">
        <f>IFERROR(__xludf.DUMMYFUNCTION("""COMPUTED_VALUE"""),"Dowd")</f>
        <v>Dowd</v>
      </c>
      <c r="J997" s="1" t="s">
        <v>23</v>
      </c>
      <c r="K997" s="1" t="s">
        <v>24</v>
      </c>
      <c r="L997" s="1" t="str">
        <f t="shared" si="2"/>
        <v>Henderson</v>
      </c>
      <c r="M997" s="1" t="s">
        <v>25</v>
      </c>
      <c r="N997" s="1" t="str">
        <f t="shared" si="3"/>
        <v>Kentucky</v>
      </c>
      <c r="O997" s="1">
        <v>42420.0</v>
      </c>
      <c r="P997" s="1" t="s">
        <v>26</v>
      </c>
      <c r="Q997" s="1" t="s">
        <v>38</v>
      </c>
      <c r="R997" s="3">
        <v>10.67</v>
      </c>
      <c r="S997" s="1">
        <v>4.0</v>
      </c>
      <c r="T997" s="4">
        <v>10.0</v>
      </c>
    </row>
    <row r="998">
      <c r="A998" s="1" t="s">
        <v>1689</v>
      </c>
      <c r="B998" s="2">
        <v>42671.0</v>
      </c>
      <c r="C998" s="2" t="str">
        <f t="shared" si="1"/>
        <v>Oct</v>
      </c>
      <c r="D998" s="6">
        <v>42440.0</v>
      </c>
      <c r="E998" s="1" t="s">
        <v>41</v>
      </c>
      <c r="F998" s="1" t="s">
        <v>1690</v>
      </c>
      <c r="G998" s="1" t="s">
        <v>1691</v>
      </c>
      <c r="H998" s="1" t="str">
        <f>IFERROR(__xludf.DUMMYFUNCTION("split(G998,"" "")"),"Rob")</f>
        <v>Rob</v>
      </c>
      <c r="I998" s="1" t="str">
        <f>IFERROR(__xludf.DUMMYFUNCTION("""COMPUTED_VALUE"""),"Dowd")</f>
        <v>Dowd</v>
      </c>
      <c r="J998" s="1" t="s">
        <v>23</v>
      </c>
      <c r="K998" s="1" t="s">
        <v>24</v>
      </c>
      <c r="L998" s="1" t="str">
        <f t="shared" si="2"/>
        <v>Henderson</v>
      </c>
      <c r="M998" s="1" t="s">
        <v>25</v>
      </c>
      <c r="N998" s="1" t="str">
        <f t="shared" si="3"/>
        <v>Kentucky</v>
      </c>
      <c r="O998" s="1">
        <v>42420.0</v>
      </c>
      <c r="P998" s="1" t="s">
        <v>26</v>
      </c>
      <c r="Q998" s="1" t="s">
        <v>38</v>
      </c>
      <c r="R998" s="3">
        <v>36.63</v>
      </c>
      <c r="S998" s="1">
        <v>4.0</v>
      </c>
      <c r="T998" s="4">
        <v>36.44</v>
      </c>
    </row>
    <row r="999">
      <c r="A999" s="1" t="s">
        <v>1689</v>
      </c>
      <c r="B999" s="2">
        <v>42671.0</v>
      </c>
      <c r="C999" s="2" t="str">
        <f t="shared" si="1"/>
        <v>Oct</v>
      </c>
      <c r="D999" s="6">
        <v>42440.0</v>
      </c>
      <c r="E999" s="1" t="s">
        <v>41</v>
      </c>
      <c r="F999" s="1" t="s">
        <v>1690</v>
      </c>
      <c r="G999" s="1" t="s">
        <v>1691</v>
      </c>
      <c r="H999" s="1" t="str">
        <f>IFERROR(__xludf.DUMMYFUNCTION("split(G999,"" "")"),"Rob")</f>
        <v>Rob</v>
      </c>
      <c r="I999" s="1" t="str">
        <f>IFERROR(__xludf.DUMMYFUNCTION("""COMPUTED_VALUE"""),"Dowd")</f>
        <v>Dowd</v>
      </c>
      <c r="J999" s="1" t="s">
        <v>23</v>
      </c>
      <c r="K999" s="1" t="s">
        <v>24</v>
      </c>
      <c r="L999" s="1" t="str">
        <f t="shared" si="2"/>
        <v>Henderson</v>
      </c>
      <c r="M999" s="1" t="s">
        <v>25</v>
      </c>
      <c r="N999" s="1" t="str">
        <f t="shared" si="3"/>
        <v>Kentucky</v>
      </c>
      <c r="O999" s="1">
        <v>42420.0</v>
      </c>
      <c r="P999" s="1" t="s">
        <v>26</v>
      </c>
      <c r="Q999" s="1" t="s">
        <v>27</v>
      </c>
      <c r="R999" s="3">
        <v>24.1</v>
      </c>
      <c r="S999" s="1">
        <v>4.0</v>
      </c>
      <c r="T999" s="4">
        <v>23.4</v>
      </c>
    </row>
    <row r="1000">
      <c r="A1000" s="1" t="s">
        <v>1689</v>
      </c>
      <c r="B1000" s="2">
        <v>42671.0</v>
      </c>
      <c r="C1000" s="2" t="str">
        <f t="shared" si="1"/>
        <v>Oct</v>
      </c>
      <c r="D1000" s="6">
        <v>42440.0</v>
      </c>
      <c r="E1000" s="1" t="s">
        <v>41</v>
      </c>
      <c r="F1000" s="1" t="s">
        <v>1690</v>
      </c>
      <c r="G1000" s="1" t="s">
        <v>1691</v>
      </c>
      <c r="H1000" s="1" t="str">
        <f>IFERROR(__xludf.DUMMYFUNCTION("split(G1000,"" "")"),"Rob")</f>
        <v>Rob</v>
      </c>
      <c r="I1000" s="1" t="str">
        <f>IFERROR(__xludf.DUMMYFUNCTION("""COMPUTED_VALUE"""),"Dowd")</f>
        <v>Dowd</v>
      </c>
      <c r="J1000" s="1" t="s">
        <v>23</v>
      </c>
      <c r="K1000" s="1" t="s">
        <v>24</v>
      </c>
      <c r="L1000" s="1" t="str">
        <f t="shared" si="2"/>
        <v>Henderson</v>
      </c>
      <c r="M1000" s="1" t="s">
        <v>25</v>
      </c>
      <c r="N1000" s="1" t="str">
        <f t="shared" si="3"/>
        <v>Kentucky</v>
      </c>
      <c r="O1000" s="1">
        <v>42420.0</v>
      </c>
      <c r="P1000" s="1" t="s">
        <v>26</v>
      </c>
      <c r="Q1000" s="1" t="s">
        <v>27</v>
      </c>
      <c r="R1000" s="3">
        <v>33.11</v>
      </c>
      <c r="S1000" s="1">
        <v>4.0</v>
      </c>
      <c r="T1000" s="4">
        <v>32.61</v>
      </c>
    </row>
    <row r="1001">
      <c r="A1001" s="1" t="s">
        <v>1692</v>
      </c>
      <c r="B1001" s="2">
        <v>43052.0</v>
      </c>
      <c r="C1001" s="2" t="str">
        <f t="shared" si="1"/>
        <v>Nov</v>
      </c>
      <c r="D1001" s="1" t="s">
        <v>1693</v>
      </c>
      <c r="E1001" s="1" t="s">
        <v>41</v>
      </c>
      <c r="F1001" s="1" t="s">
        <v>438</v>
      </c>
      <c r="G1001" s="1" t="s">
        <v>439</v>
      </c>
      <c r="H1001" s="1" t="str">
        <f>IFERROR(__xludf.DUMMYFUNCTION("split(G1001,"" "")"),"Frank")</f>
        <v>Frank</v>
      </c>
      <c r="I1001" s="1" t="str">
        <f>IFERROR(__xludf.DUMMYFUNCTION("""COMPUTED_VALUE"""),"Merwin")</f>
        <v>Merwin</v>
      </c>
      <c r="J1001" s="1" t="s">
        <v>68</v>
      </c>
      <c r="K1001" s="1" t="s">
        <v>1192</v>
      </c>
      <c r="L1001" s="1" t="str">
        <f t="shared" si="2"/>
        <v>Vancouver</v>
      </c>
      <c r="M1001" s="1" t="s">
        <v>63</v>
      </c>
      <c r="N1001" s="1" t="str">
        <f t="shared" si="3"/>
        <v>Washington</v>
      </c>
      <c r="O1001" s="1">
        <v>98661.0</v>
      </c>
      <c r="P1001" s="1" t="s">
        <v>37</v>
      </c>
      <c r="Q1001" s="1" t="s">
        <v>38</v>
      </c>
      <c r="R1001" s="3">
        <v>44.02</v>
      </c>
      <c r="S1001" s="1">
        <v>9.0</v>
      </c>
      <c r="T1001" s="4">
        <v>43.34</v>
      </c>
    </row>
    <row r="1002">
      <c r="A1002" s="1" t="s">
        <v>1694</v>
      </c>
      <c r="B1002" s="2">
        <v>42582.0</v>
      </c>
      <c r="C1002" s="2" t="str">
        <f t="shared" si="1"/>
        <v>Jul</v>
      </c>
      <c r="D1002" s="1" t="s">
        <v>584</v>
      </c>
      <c r="E1002" s="1" t="s">
        <v>717</v>
      </c>
      <c r="F1002" s="1" t="s">
        <v>1399</v>
      </c>
      <c r="G1002" s="1" t="s">
        <v>1400</v>
      </c>
      <c r="H1002" s="1" t="str">
        <f>IFERROR(__xludf.DUMMYFUNCTION("split(G1002,"" "")"),"Rick")</f>
        <v>Rick</v>
      </c>
      <c r="I1002" s="1" t="str">
        <f>IFERROR(__xludf.DUMMYFUNCTION("""COMPUTED_VALUE"""),"Hansen")</f>
        <v>Hansen</v>
      </c>
      <c r="J1002" s="1" t="s">
        <v>23</v>
      </c>
      <c r="K1002" s="1" t="s">
        <v>174</v>
      </c>
      <c r="L1002" s="1" t="str">
        <f t="shared" si="2"/>
        <v>New York City</v>
      </c>
      <c r="M1002" s="1" t="s">
        <v>175</v>
      </c>
      <c r="N1002" s="1" t="str">
        <f t="shared" si="3"/>
        <v>New York</v>
      </c>
      <c r="O1002" s="1">
        <v>10024.0</v>
      </c>
      <c r="P1002" s="1" t="s">
        <v>100</v>
      </c>
      <c r="Q1002" s="1" t="s">
        <v>51</v>
      </c>
      <c r="R1002" s="3">
        <v>2309.65</v>
      </c>
      <c r="S1002" s="1">
        <v>1.0</v>
      </c>
      <c r="T1002" s="4">
        <v>2308.89</v>
      </c>
    </row>
    <row r="1003">
      <c r="A1003" s="1" t="s">
        <v>1694</v>
      </c>
      <c r="B1003" s="2">
        <v>42582.0</v>
      </c>
      <c r="C1003" s="2" t="str">
        <f t="shared" si="1"/>
        <v>Jul</v>
      </c>
      <c r="D1003" s="1" t="s">
        <v>584</v>
      </c>
      <c r="E1003" s="1" t="s">
        <v>717</v>
      </c>
      <c r="F1003" s="1" t="s">
        <v>1399</v>
      </c>
      <c r="G1003" s="1" t="s">
        <v>1400</v>
      </c>
      <c r="H1003" s="1" t="str">
        <f>IFERROR(__xludf.DUMMYFUNCTION("split(G1003,"" "")"),"Rick")</f>
        <v>Rick</v>
      </c>
      <c r="I1003" s="1" t="str">
        <f>IFERROR(__xludf.DUMMYFUNCTION("""COMPUTED_VALUE"""),"Hansen")</f>
        <v>Hansen</v>
      </c>
      <c r="J1003" s="1" t="s">
        <v>23</v>
      </c>
      <c r="K1003" s="1" t="s">
        <v>174</v>
      </c>
      <c r="L1003" s="1" t="str">
        <f t="shared" si="2"/>
        <v>New York City</v>
      </c>
      <c r="M1003" s="1" t="s">
        <v>175</v>
      </c>
      <c r="N1003" s="1" t="str">
        <f t="shared" si="3"/>
        <v>New York</v>
      </c>
      <c r="O1003" s="1">
        <v>10024.0</v>
      </c>
      <c r="P1003" s="1" t="s">
        <v>100</v>
      </c>
      <c r="Q1003" s="1" t="s">
        <v>27</v>
      </c>
      <c r="R1003" s="3">
        <v>1090.782</v>
      </c>
      <c r="S1003" s="1">
        <v>1.0</v>
      </c>
      <c r="T1003" s="4">
        <v>1090.27</v>
      </c>
    </row>
    <row r="1004">
      <c r="A1004" s="1" t="s">
        <v>1694</v>
      </c>
      <c r="B1004" s="2">
        <v>42582.0</v>
      </c>
      <c r="C1004" s="2" t="str">
        <f t="shared" si="1"/>
        <v>Jul</v>
      </c>
      <c r="D1004" s="1" t="s">
        <v>584</v>
      </c>
      <c r="E1004" s="1" t="s">
        <v>717</v>
      </c>
      <c r="F1004" s="1" t="s">
        <v>1399</v>
      </c>
      <c r="G1004" s="1" t="s">
        <v>1400</v>
      </c>
      <c r="H1004" s="1" t="str">
        <f>IFERROR(__xludf.DUMMYFUNCTION("split(G1004,"" "")"),"Rick")</f>
        <v>Rick</v>
      </c>
      <c r="I1004" s="1" t="str">
        <f>IFERROR(__xludf.DUMMYFUNCTION("""COMPUTED_VALUE"""),"Hansen")</f>
        <v>Hansen</v>
      </c>
      <c r="J1004" s="1" t="s">
        <v>23</v>
      </c>
      <c r="K1004" s="1" t="s">
        <v>174</v>
      </c>
      <c r="L1004" s="1" t="str">
        <f t="shared" si="2"/>
        <v>New York City</v>
      </c>
      <c r="M1004" s="1" t="s">
        <v>175</v>
      </c>
      <c r="N1004" s="1" t="str">
        <f t="shared" si="3"/>
        <v>New York</v>
      </c>
      <c r="O1004" s="1">
        <v>10024.0</v>
      </c>
      <c r="P1004" s="1" t="s">
        <v>100</v>
      </c>
      <c r="Q1004" s="1" t="s">
        <v>38</v>
      </c>
      <c r="R1004" s="3">
        <v>19.44</v>
      </c>
      <c r="S1004" s="1">
        <v>1.0</v>
      </c>
      <c r="T1004" s="4">
        <v>18.98</v>
      </c>
    </row>
    <row r="1005">
      <c r="A1005" s="1" t="s">
        <v>1695</v>
      </c>
      <c r="B1005" s="2">
        <v>42609.0</v>
      </c>
      <c r="C1005" s="2" t="str">
        <f t="shared" si="1"/>
        <v>Aug</v>
      </c>
      <c r="D1005" s="1" t="s">
        <v>1696</v>
      </c>
      <c r="E1005" s="1" t="s">
        <v>41</v>
      </c>
      <c r="F1005" s="1" t="s">
        <v>1697</v>
      </c>
      <c r="G1005" s="1" t="s">
        <v>1698</v>
      </c>
      <c r="H1005" s="1" t="str">
        <f>IFERROR(__xludf.DUMMYFUNCTION("split(G1005,"" "")"),"Ryan")</f>
        <v>Ryan</v>
      </c>
      <c r="I1005" s="1" t="str">
        <f>IFERROR(__xludf.DUMMYFUNCTION("""COMPUTED_VALUE"""),"Akin")</f>
        <v>Akin</v>
      </c>
      <c r="J1005" s="1" t="s">
        <v>23</v>
      </c>
      <c r="K1005" s="1" t="s">
        <v>1699</v>
      </c>
      <c r="L1005" s="1" t="str">
        <f t="shared" si="2"/>
        <v>Murrieta</v>
      </c>
      <c r="M1005" s="1" t="s">
        <v>52</v>
      </c>
      <c r="N1005" s="1" t="str">
        <f t="shared" si="3"/>
        <v>California</v>
      </c>
      <c r="O1005" s="1">
        <v>92563.0</v>
      </c>
      <c r="P1005" s="1" t="s">
        <v>37</v>
      </c>
      <c r="Q1005" s="1" t="s">
        <v>38</v>
      </c>
      <c r="R1005" s="3">
        <v>484.65</v>
      </c>
      <c r="S1005" s="1">
        <v>9.0</v>
      </c>
      <c r="T1005" s="4">
        <v>484.04</v>
      </c>
    </row>
    <row r="1006">
      <c r="A1006" s="1" t="s">
        <v>1700</v>
      </c>
      <c r="B1006" s="2">
        <v>42687.0</v>
      </c>
      <c r="C1006" s="2" t="str">
        <f t="shared" si="1"/>
        <v>Nov</v>
      </c>
      <c r="D1006" s="1" t="s">
        <v>275</v>
      </c>
      <c r="E1006" s="1" t="s">
        <v>41</v>
      </c>
      <c r="F1006" s="1" t="s">
        <v>1391</v>
      </c>
      <c r="G1006" s="1" t="s">
        <v>1392</v>
      </c>
      <c r="H1006" s="1" t="str">
        <f>IFERROR(__xludf.DUMMYFUNCTION("split(G1006,"" "")"),"Joe")</f>
        <v>Joe</v>
      </c>
      <c r="I1006" s="1" t="str">
        <f>IFERROR(__xludf.DUMMYFUNCTION("""COMPUTED_VALUE"""),"Kamberova")</f>
        <v>Kamberova</v>
      </c>
      <c r="J1006" s="1" t="s">
        <v>23</v>
      </c>
      <c r="K1006" s="1" t="s">
        <v>849</v>
      </c>
      <c r="L1006" s="1" t="str">
        <f t="shared" si="2"/>
        <v>Jacksonville</v>
      </c>
      <c r="M1006" s="1" t="s">
        <v>58</v>
      </c>
      <c r="N1006" s="1" t="str">
        <f t="shared" si="3"/>
        <v>North Carolina</v>
      </c>
      <c r="O1006" s="1">
        <v>28540.0</v>
      </c>
      <c r="P1006" s="1" t="s">
        <v>26</v>
      </c>
      <c r="Q1006" s="1" t="s">
        <v>38</v>
      </c>
      <c r="R1006" s="3">
        <v>115.296</v>
      </c>
      <c r="S1006" s="1">
        <v>2.0</v>
      </c>
      <c r="T1006" s="4">
        <v>114.51</v>
      </c>
    </row>
    <row r="1007">
      <c r="A1007" s="1" t="s">
        <v>1701</v>
      </c>
      <c r="B1007" s="2">
        <v>42532.0</v>
      </c>
      <c r="C1007" s="2" t="str">
        <f t="shared" si="1"/>
        <v>Jun</v>
      </c>
      <c r="D1007" s="6">
        <v>42624.0</v>
      </c>
      <c r="E1007" s="1" t="s">
        <v>121</v>
      </c>
      <c r="F1007" s="1" t="s">
        <v>1702</v>
      </c>
      <c r="G1007" s="1" t="s">
        <v>1703</v>
      </c>
      <c r="H1007" s="1" t="str">
        <f>IFERROR(__xludf.DUMMYFUNCTION("split(G1007,"" "")"),"Meg")</f>
        <v>Meg</v>
      </c>
      <c r="I1007" s="1" t="str">
        <f>IFERROR(__xludf.DUMMYFUNCTION("""COMPUTED_VALUE"""),"Tillman")</f>
        <v>Tillman</v>
      </c>
      <c r="J1007" s="1" t="s">
        <v>23</v>
      </c>
      <c r="K1007" s="1" t="s">
        <v>369</v>
      </c>
      <c r="L1007" s="1" t="str">
        <f t="shared" si="2"/>
        <v>Scottsdale</v>
      </c>
      <c r="M1007" s="1" t="s">
        <v>193</v>
      </c>
      <c r="N1007" s="1" t="str">
        <f t="shared" si="3"/>
        <v>Arizona</v>
      </c>
      <c r="O1007" s="1">
        <v>85254.0</v>
      </c>
      <c r="P1007" s="1" t="s">
        <v>37</v>
      </c>
      <c r="Q1007" s="1" t="s">
        <v>38</v>
      </c>
      <c r="R1007" s="3">
        <v>7.08</v>
      </c>
      <c r="S1007" s="1">
        <v>8.0</v>
      </c>
      <c r="T1007" s="4">
        <v>6.22</v>
      </c>
    </row>
    <row r="1008">
      <c r="A1008" s="1" t="s">
        <v>1701</v>
      </c>
      <c r="B1008" s="2">
        <v>42532.0</v>
      </c>
      <c r="C1008" s="2" t="str">
        <f t="shared" si="1"/>
        <v>Jun</v>
      </c>
      <c r="D1008" s="6">
        <v>42624.0</v>
      </c>
      <c r="E1008" s="1" t="s">
        <v>121</v>
      </c>
      <c r="F1008" s="1" t="s">
        <v>1702</v>
      </c>
      <c r="G1008" s="1" t="s">
        <v>1703</v>
      </c>
      <c r="H1008" s="1" t="str">
        <f>IFERROR(__xludf.DUMMYFUNCTION("split(G1008,"" "")"),"Meg")</f>
        <v>Meg</v>
      </c>
      <c r="I1008" s="1" t="str">
        <f>IFERROR(__xludf.DUMMYFUNCTION("""COMPUTED_VALUE"""),"Tillman")</f>
        <v>Tillman</v>
      </c>
      <c r="J1008" s="1" t="s">
        <v>23</v>
      </c>
      <c r="K1008" s="1" t="s">
        <v>369</v>
      </c>
      <c r="L1008" s="1" t="str">
        <f t="shared" si="2"/>
        <v>Scottsdale</v>
      </c>
      <c r="M1008" s="1" t="s">
        <v>193</v>
      </c>
      <c r="N1008" s="1" t="str">
        <f t="shared" si="3"/>
        <v>Arizona</v>
      </c>
      <c r="O1008" s="1">
        <v>85254.0</v>
      </c>
      <c r="P1008" s="1" t="s">
        <v>37</v>
      </c>
      <c r="Q1008" s="1" t="s">
        <v>38</v>
      </c>
      <c r="R1008" s="3">
        <v>4.401</v>
      </c>
      <c r="S1008" s="1">
        <v>8.0</v>
      </c>
      <c r="T1008" s="4">
        <v>4.01</v>
      </c>
    </row>
    <row r="1009">
      <c r="A1009" s="1" t="s">
        <v>1704</v>
      </c>
      <c r="B1009" s="2">
        <v>43460.0</v>
      </c>
      <c r="C1009" s="2" t="str">
        <f t="shared" si="1"/>
        <v>Dec</v>
      </c>
      <c r="D1009" s="6">
        <v>43466.0</v>
      </c>
      <c r="E1009" s="1" t="s">
        <v>41</v>
      </c>
      <c r="F1009" s="1" t="s">
        <v>665</v>
      </c>
      <c r="G1009" s="1" t="s">
        <v>666</v>
      </c>
      <c r="H1009" s="1" t="str">
        <f>IFERROR(__xludf.DUMMYFUNCTION("split(G1009,"" "")"),"Patrick")</f>
        <v>Patrick</v>
      </c>
      <c r="I1009" s="1" t="str">
        <f>IFERROR(__xludf.DUMMYFUNCTION("""COMPUTED_VALUE"""),"O'Brill")</f>
        <v>O'Brill</v>
      </c>
      <c r="J1009" s="1" t="s">
        <v>23</v>
      </c>
      <c r="K1009" s="1" t="s">
        <v>1237</v>
      </c>
      <c r="L1009" s="1" t="str">
        <f t="shared" si="2"/>
        <v>Burlington</v>
      </c>
      <c r="M1009" s="1" t="s">
        <v>298</v>
      </c>
      <c r="N1009" s="1" t="str">
        <f t="shared" si="3"/>
        <v>Iowa</v>
      </c>
      <c r="O1009" s="1">
        <v>52601.0</v>
      </c>
      <c r="P1009" s="1" t="s">
        <v>71</v>
      </c>
      <c r="Q1009" s="1" t="s">
        <v>38</v>
      </c>
      <c r="R1009" s="3">
        <v>44.75</v>
      </c>
      <c r="S1009" s="1">
        <v>5.0</v>
      </c>
      <c r="T1009" s="4">
        <v>44.31</v>
      </c>
    </row>
    <row r="1010">
      <c r="A1010" s="1" t="s">
        <v>1705</v>
      </c>
      <c r="B1010" s="2">
        <v>43108.0</v>
      </c>
      <c r="C1010" s="2" t="str">
        <f t="shared" si="1"/>
        <v>Jan</v>
      </c>
      <c r="D1010" s="6">
        <v>43167.0</v>
      </c>
      <c r="E1010" s="1" t="s">
        <v>121</v>
      </c>
      <c r="F1010" s="1" t="s">
        <v>1148</v>
      </c>
      <c r="G1010" s="1" t="s">
        <v>1149</v>
      </c>
      <c r="H1010" s="1" t="str">
        <f>IFERROR(__xludf.DUMMYFUNCTION("split(G1010,"" "")"),"Annie")</f>
        <v>Annie</v>
      </c>
      <c r="I1010" s="1" t="str">
        <f>IFERROR(__xludf.DUMMYFUNCTION("""COMPUTED_VALUE"""),"Thurman")</f>
        <v>Thurman</v>
      </c>
      <c r="J1010" s="1" t="s">
        <v>23</v>
      </c>
      <c r="K1010" s="1" t="s">
        <v>188</v>
      </c>
      <c r="L1010" s="1" t="str">
        <f t="shared" si="2"/>
        <v>Chicago</v>
      </c>
      <c r="M1010" s="1" t="s">
        <v>135</v>
      </c>
      <c r="N1010" s="1" t="str">
        <f t="shared" si="3"/>
        <v>Illinois</v>
      </c>
      <c r="O1010" s="1">
        <v>60653.0</v>
      </c>
      <c r="P1010" s="1" t="s">
        <v>71</v>
      </c>
      <c r="Q1010" s="1" t="s">
        <v>51</v>
      </c>
      <c r="R1010" s="3">
        <v>95.984</v>
      </c>
      <c r="S1010" s="1">
        <v>6.0</v>
      </c>
      <c r="T1010" s="4">
        <v>95.29</v>
      </c>
    </row>
    <row r="1011">
      <c r="A1011" s="1" t="s">
        <v>1706</v>
      </c>
      <c r="B1011" s="2">
        <v>42332.0</v>
      </c>
      <c r="C1011" s="2" t="str">
        <f t="shared" si="1"/>
        <v>Nov</v>
      </c>
      <c r="D1011" s="1" t="s">
        <v>756</v>
      </c>
      <c r="E1011" s="1" t="s">
        <v>121</v>
      </c>
      <c r="F1011" s="1" t="s">
        <v>1707</v>
      </c>
      <c r="G1011" s="1" t="s">
        <v>1708</v>
      </c>
      <c r="H1011" s="1" t="str">
        <f>IFERROR(__xludf.DUMMYFUNCTION("split(G1011,"" "")"),"Vivek")</f>
        <v>Vivek</v>
      </c>
      <c r="I1011" s="1" t="str">
        <f>IFERROR(__xludf.DUMMYFUNCTION("""COMPUTED_VALUE"""),"Gonzalez")</f>
        <v>Gonzalez</v>
      </c>
      <c r="J1011" s="1" t="s">
        <v>23</v>
      </c>
      <c r="K1011" s="1" t="s">
        <v>542</v>
      </c>
      <c r="L1011" s="1" t="str">
        <f t="shared" si="2"/>
        <v>San Diego</v>
      </c>
      <c r="M1011" s="1" t="s">
        <v>52</v>
      </c>
      <c r="N1011" s="1" t="str">
        <f t="shared" si="3"/>
        <v>California</v>
      </c>
      <c r="O1011" s="1">
        <v>92037.0</v>
      </c>
      <c r="P1011" s="1" t="s">
        <v>37</v>
      </c>
      <c r="Q1011" s="1" t="s">
        <v>27</v>
      </c>
      <c r="R1011" s="3">
        <v>151.72</v>
      </c>
      <c r="S1011" s="1">
        <v>9.0</v>
      </c>
      <c r="T1011" s="4">
        <v>151.56</v>
      </c>
    </row>
    <row r="1012">
      <c r="A1012" s="1" t="s">
        <v>1709</v>
      </c>
      <c r="B1012" s="2">
        <v>43268.0</v>
      </c>
      <c r="C1012" s="2" t="str">
        <f t="shared" si="1"/>
        <v>Jun</v>
      </c>
      <c r="D1012" s="1" t="s">
        <v>1449</v>
      </c>
      <c r="E1012" s="1" t="s">
        <v>20</v>
      </c>
      <c r="F1012" s="1" t="s">
        <v>322</v>
      </c>
      <c r="G1012" s="1" t="s">
        <v>323</v>
      </c>
      <c r="H1012" s="1" t="str">
        <f>IFERROR(__xludf.DUMMYFUNCTION("split(G1012,"" "")"),"Philip")</f>
        <v>Philip</v>
      </c>
      <c r="I1012" s="1" t="str">
        <f>IFERROR(__xludf.DUMMYFUNCTION("""COMPUTED_VALUE"""),"Fox")</f>
        <v>Fox</v>
      </c>
      <c r="J1012" s="1" t="s">
        <v>23</v>
      </c>
      <c r="K1012" s="1" t="s">
        <v>1710</v>
      </c>
      <c r="L1012" s="1" t="str">
        <f t="shared" si="2"/>
        <v>Olympia</v>
      </c>
      <c r="M1012" s="1" t="s">
        <v>63</v>
      </c>
      <c r="N1012" s="1" t="str">
        <f t="shared" si="3"/>
        <v>Washington</v>
      </c>
      <c r="O1012" s="1">
        <v>98502.0</v>
      </c>
      <c r="P1012" s="1" t="s">
        <v>37</v>
      </c>
      <c r="Q1012" s="1" t="s">
        <v>27</v>
      </c>
      <c r="R1012" s="3">
        <v>155.25</v>
      </c>
      <c r="S1012" s="1">
        <v>9.0</v>
      </c>
      <c r="T1012" s="4">
        <v>155.14</v>
      </c>
    </row>
    <row r="1013">
      <c r="A1013" s="1" t="s">
        <v>1709</v>
      </c>
      <c r="B1013" s="2">
        <v>43268.0</v>
      </c>
      <c r="C1013" s="2" t="str">
        <f t="shared" si="1"/>
        <v>Jun</v>
      </c>
      <c r="D1013" s="1" t="s">
        <v>1449</v>
      </c>
      <c r="E1013" s="1" t="s">
        <v>20</v>
      </c>
      <c r="F1013" s="1" t="s">
        <v>322</v>
      </c>
      <c r="G1013" s="1" t="s">
        <v>323</v>
      </c>
      <c r="H1013" s="1" t="str">
        <f>IFERROR(__xludf.DUMMYFUNCTION("split(G1013,"" "")"),"Philip")</f>
        <v>Philip</v>
      </c>
      <c r="I1013" s="1" t="str">
        <f>IFERROR(__xludf.DUMMYFUNCTION("""COMPUTED_VALUE"""),"Fox")</f>
        <v>Fox</v>
      </c>
      <c r="J1013" s="1" t="s">
        <v>23</v>
      </c>
      <c r="K1013" s="1" t="s">
        <v>1710</v>
      </c>
      <c r="L1013" s="1" t="str">
        <f t="shared" si="2"/>
        <v>Olympia</v>
      </c>
      <c r="M1013" s="1" t="s">
        <v>63</v>
      </c>
      <c r="N1013" s="1" t="str">
        <f t="shared" si="3"/>
        <v>Washington</v>
      </c>
      <c r="O1013" s="1">
        <v>98502.0</v>
      </c>
      <c r="P1013" s="1" t="s">
        <v>37</v>
      </c>
      <c r="Q1013" s="1" t="s">
        <v>38</v>
      </c>
      <c r="R1013" s="3">
        <v>14.03</v>
      </c>
      <c r="S1013" s="1">
        <v>9.0</v>
      </c>
      <c r="T1013" s="4">
        <v>13.25</v>
      </c>
    </row>
    <row r="1014">
      <c r="A1014" s="1" t="s">
        <v>1711</v>
      </c>
      <c r="B1014" s="2">
        <v>42725.0</v>
      </c>
      <c r="C1014" s="2" t="str">
        <f t="shared" si="1"/>
        <v>Dec</v>
      </c>
      <c r="D1014" s="1" t="s">
        <v>684</v>
      </c>
      <c r="E1014" s="1" t="s">
        <v>20</v>
      </c>
      <c r="F1014" s="1" t="s">
        <v>1712</v>
      </c>
      <c r="G1014" s="1" t="s">
        <v>1713</v>
      </c>
      <c r="H1014" s="1" t="str">
        <f>IFERROR(__xludf.DUMMYFUNCTION("split(G1014,"" "")"),"John")</f>
        <v>John</v>
      </c>
      <c r="I1014" s="1" t="str">
        <f>IFERROR(__xludf.DUMMYFUNCTION("""COMPUTED_VALUE"""),"Stevenson")</f>
        <v>Stevenson</v>
      </c>
      <c r="J1014" s="1" t="s">
        <v>23</v>
      </c>
      <c r="K1014" s="1" t="s">
        <v>62</v>
      </c>
      <c r="L1014" s="1" t="str">
        <f t="shared" si="2"/>
        <v>Seattle</v>
      </c>
      <c r="M1014" s="1" t="s">
        <v>63</v>
      </c>
      <c r="N1014" s="1" t="str">
        <f t="shared" si="3"/>
        <v>Washington</v>
      </c>
      <c r="O1014" s="1">
        <v>98103.0</v>
      </c>
      <c r="P1014" s="1" t="s">
        <v>37</v>
      </c>
      <c r="Q1014" s="1" t="s">
        <v>27</v>
      </c>
      <c r="R1014" s="3">
        <v>1618.37</v>
      </c>
      <c r="S1014" s="1">
        <v>9.0</v>
      </c>
      <c r="T1014" s="4">
        <v>1618.18</v>
      </c>
    </row>
    <row r="1015">
      <c r="A1015" s="1" t="s">
        <v>1711</v>
      </c>
      <c r="B1015" s="2">
        <v>42725.0</v>
      </c>
      <c r="C1015" s="2" t="str">
        <f t="shared" si="1"/>
        <v>Dec</v>
      </c>
      <c r="D1015" s="1" t="s">
        <v>684</v>
      </c>
      <c r="E1015" s="1" t="s">
        <v>20</v>
      </c>
      <c r="F1015" s="1" t="s">
        <v>1712</v>
      </c>
      <c r="G1015" s="1" t="s">
        <v>1713</v>
      </c>
      <c r="H1015" s="1" t="str">
        <f>IFERROR(__xludf.DUMMYFUNCTION("split(G1015,"" "")"),"John")</f>
        <v>John</v>
      </c>
      <c r="I1015" s="1" t="str">
        <f>IFERROR(__xludf.DUMMYFUNCTION("""COMPUTED_VALUE"""),"Stevenson")</f>
        <v>Stevenson</v>
      </c>
      <c r="J1015" s="1" t="s">
        <v>23</v>
      </c>
      <c r="K1015" s="1" t="s">
        <v>62</v>
      </c>
      <c r="L1015" s="1" t="str">
        <f t="shared" si="2"/>
        <v>Seattle</v>
      </c>
      <c r="M1015" s="1" t="s">
        <v>63</v>
      </c>
      <c r="N1015" s="1" t="str">
        <f t="shared" si="3"/>
        <v>Washington</v>
      </c>
      <c r="O1015" s="1">
        <v>98103.0</v>
      </c>
      <c r="P1015" s="1" t="s">
        <v>37</v>
      </c>
      <c r="Q1015" s="1" t="s">
        <v>51</v>
      </c>
      <c r="R1015" s="3">
        <v>99.6</v>
      </c>
      <c r="S1015" s="1">
        <v>9.0</v>
      </c>
      <c r="T1015" s="4">
        <v>98.63</v>
      </c>
    </row>
    <row r="1016">
      <c r="A1016" s="1" t="s">
        <v>1714</v>
      </c>
      <c r="B1016" s="2">
        <v>42630.0</v>
      </c>
      <c r="C1016" s="2" t="str">
        <f t="shared" si="1"/>
        <v>Sep</v>
      </c>
      <c r="D1016" s="1" t="s">
        <v>1715</v>
      </c>
      <c r="E1016" s="1" t="s">
        <v>20</v>
      </c>
      <c r="F1016" s="1" t="s">
        <v>1144</v>
      </c>
      <c r="G1016" s="1" t="s">
        <v>1145</v>
      </c>
      <c r="H1016" s="1" t="str">
        <f>IFERROR(__xludf.DUMMYFUNCTION("split(G1016,"" "")"),"Meg")</f>
        <v>Meg</v>
      </c>
      <c r="I1016" s="1" t="str">
        <f>IFERROR(__xludf.DUMMYFUNCTION("""COMPUTED_VALUE"""),"O'Connel")</f>
        <v>O'Connel</v>
      </c>
      <c r="J1016" s="1" t="s">
        <v>68</v>
      </c>
      <c r="K1016" s="1" t="s">
        <v>35</v>
      </c>
      <c r="L1016" s="1" t="str">
        <f t="shared" si="2"/>
        <v>Los Angeles</v>
      </c>
      <c r="M1016" s="1" t="s">
        <v>52</v>
      </c>
      <c r="N1016" s="1" t="str">
        <f t="shared" si="3"/>
        <v>California</v>
      </c>
      <c r="O1016" s="1">
        <v>90036.0</v>
      </c>
      <c r="P1016" s="1" t="s">
        <v>37</v>
      </c>
      <c r="Q1016" s="1" t="s">
        <v>38</v>
      </c>
      <c r="R1016" s="3">
        <v>32.4</v>
      </c>
      <c r="S1016" s="1">
        <v>9.0</v>
      </c>
      <c r="T1016" s="4">
        <v>31.92</v>
      </c>
    </row>
    <row r="1017">
      <c r="A1017" s="1" t="s">
        <v>1716</v>
      </c>
      <c r="B1017" s="2">
        <v>42528.0</v>
      </c>
      <c r="C1017" s="2" t="str">
        <f t="shared" si="1"/>
        <v>Jun</v>
      </c>
      <c r="D1017" s="6">
        <v>42650.0</v>
      </c>
      <c r="E1017" s="1" t="s">
        <v>41</v>
      </c>
      <c r="F1017" s="1" t="s">
        <v>1717</v>
      </c>
      <c r="G1017" s="1" t="s">
        <v>1718</v>
      </c>
      <c r="H1017" s="1" t="str">
        <f>IFERROR(__xludf.DUMMYFUNCTION("split(G1017,"" "")"),"Kalyca")</f>
        <v>Kalyca</v>
      </c>
      <c r="I1017" s="1" t="str">
        <f>IFERROR(__xludf.DUMMYFUNCTION("""COMPUTED_VALUE"""),"Meade")</f>
        <v>Meade</v>
      </c>
      <c r="J1017" s="1" t="s">
        <v>34</v>
      </c>
      <c r="K1017" s="1" t="s">
        <v>174</v>
      </c>
      <c r="L1017" s="1" t="str">
        <f t="shared" si="2"/>
        <v>New York City</v>
      </c>
      <c r="M1017" s="1" t="s">
        <v>175</v>
      </c>
      <c r="N1017" s="1" t="str">
        <f t="shared" si="3"/>
        <v>New York</v>
      </c>
      <c r="O1017" s="1">
        <v>10011.0</v>
      </c>
      <c r="P1017" s="1" t="s">
        <v>100</v>
      </c>
      <c r="Q1017" s="1" t="s">
        <v>27</v>
      </c>
      <c r="R1017" s="3">
        <v>13.96</v>
      </c>
      <c r="S1017" s="1">
        <v>1.0</v>
      </c>
      <c r="T1017" s="4">
        <v>13.03</v>
      </c>
    </row>
    <row r="1018">
      <c r="A1018" s="1" t="s">
        <v>1716</v>
      </c>
      <c r="B1018" s="2">
        <v>42528.0</v>
      </c>
      <c r="C1018" s="2" t="str">
        <f t="shared" si="1"/>
        <v>Jun</v>
      </c>
      <c r="D1018" s="6">
        <v>42650.0</v>
      </c>
      <c r="E1018" s="1" t="s">
        <v>41</v>
      </c>
      <c r="F1018" s="1" t="s">
        <v>1717</v>
      </c>
      <c r="G1018" s="1" t="s">
        <v>1718</v>
      </c>
      <c r="H1018" s="1" t="str">
        <f>IFERROR(__xludf.DUMMYFUNCTION("split(G1018,"" "")"),"Kalyca")</f>
        <v>Kalyca</v>
      </c>
      <c r="I1018" s="1" t="str">
        <f>IFERROR(__xludf.DUMMYFUNCTION("""COMPUTED_VALUE"""),"Meade")</f>
        <v>Meade</v>
      </c>
      <c r="J1018" s="1" t="s">
        <v>34</v>
      </c>
      <c r="K1018" s="1" t="s">
        <v>174</v>
      </c>
      <c r="L1018" s="1" t="str">
        <f t="shared" si="2"/>
        <v>New York City</v>
      </c>
      <c r="M1018" s="1" t="s">
        <v>175</v>
      </c>
      <c r="N1018" s="1" t="str">
        <f t="shared" si="3"/>
        <v>New York</v>
      </c>
      <c r="O1018" s="1">
        <v>10011.0</v>
      </c>
      <c r="P1018" s="1" t="s">
        <v>100</v>
      </c>
      <c r="Q1018" s="1" t="s">
        <v>27</v>
      </c>
      <c r="R1018" s="3">
        <v>155.82</v>
      </c>
      <c r="S1018" s="1">
        <v>1.0</v>
      </c>
      <c r="T1018" s="4">
        <v>155.71</v>
      </c>
    </row>
    <row r="1019">
      <c r="A1019" s="1" t="s">
        <v>1716</v>
      </c>
      <c r="B1019" s="2">
        <v>42528.0</v>
      </c>
      <c r="C1019" s="2" t="str">
        <f t="shared" si="1"/>
        <v>Jun</v>
      </c>
      <c r="D1019" s="6">
        <v>42650.0</v>
      </c>
      <c r="E1019" s="1" t="s">
        <v>41</v>
      </c>
      <c r="F1019" s="1" t="s">
        <v>1717</v>
      </c>
      <c r="G1019" s="1" t="s">
        <v>1718</v>
      </c>
      <c r="H1019" s="1" t="str">
        <f>IFERROR(__xludf.DUMMYFUNCTION("split(G1019,"" "")"),"Kalyca")</f>
        <v>Kalyca</v>
      </c>
      <c r="I1019" s="1" t="str">
        <f>IFERROR(__xludf.DUMMYFUNCTION("""COMPUTED_VALUE"""),"Meade")</f>
        <v>Meade</v>
      </c>
      <c r="J1019" s="1" t="s">
        <v>34</v>
      </c>
      <c r="K1019" s="1" t="s">
        <v>174</v>
      </c>
      <c r="L1019" s="1" t="str">
        <f t="shared" si="2"/>
        <v>New York City</v>
      </c>
      <c r="M1019" s="1" t="s">
        <v>175</v>
      </c>
      <c r="N1019" s="1" t="str">
        <f t="shared" si="3"/>
        <v>New York</v>
      </c>
      <c r="O1019" s="1">
        <v>10011.0</v>
      </c>
      <c r="P1019" s="1" t="s">
        <v>100</v>
      </c>
      <c r="Q1019" s="1" t="s">
        <v>51</v>
      </c>
      <c r="R1019" s="3">
        <v>124.95</v>
      </c>
      <c r="S1019" s="1">
        <v>1.0</v>
      </c>
      <c r="T1019" s="4">
        <v>124.66</v>
      </c>
    </row>
    <row r="1020">
      <c r="A1020" s="1" t="s">
        <v>1716</v>
      </c>
      <c r="B1020" s="2">
        <v>42528.0</v>
      </c>
      <c r="C1020" s="2" t="str">
        <f t="shared" si="1"/>
        <v>Jun</v>
      </c>
      <c r="D1020" s="6">
        <v>42650.0</v>
      </c>
      <c r="E1020" s="1" t="s">
        <v>41</v>
      </c>
      <c r="F1020" s="1" t="s">
        <v>1717</v>
      </c>
      <c r="G1020" s="1" t="s">
        <v>1718</v>
      </c>
      <c r="H1020" s="1" t="str">
        <f>IFERROR(__xludf.DUMMYFUNCTION("split(G1020,"" "")"),"Kalyca")</f>
        <v>Kalyca</v>
      </c>
      <c r="I1020" s="1" t="str">
        <f>IFERROR(__xludf.DUMMYFUNCTION("""COMPUTED_VALUE"""),"Meade")</f>
        <v>Meade</v>
      </c>
      <c r="J1020" s="1" t="s">
        <v>34</v>
      </c>
      <c r="K1020" s="1" t="s">
        <v>174</v>
      </c>
      <c r="L1020" s="1" t="str">
        <f t="shared" si="2"/>
        <v>New York City</v>
      </c>
      <c r="M1020" s="1" t="s">
        <v>175</v>
      </c>
      <c r="N1020" s="1" t="str">
        <f t="shared" si="3"/>
        <v>New York</v>
      </c>
      <c r="O1020" s="1">
        <v>10011.0</v>
      </c>
      <c r="P1020" s="1" t="s">
        <v>100</v>
      </c>
      <c r="Q1020" s="1" t="s">
        <v>38</v>
      </c>
      <c r="R1020" s="3">
        <v>601.65</v>
      </c>
      <c r="S1020" s="1">
        <v>1.0</v>
      </c>
      <c r="T1020" s="4">
        <v>601.55</v>
      </c>
    </row>
    <row r="1021">
      <c r="A1021" s="1" t="s">
        <v>1719</v>
      </c>
      <c r="B1021" s="2">
        <v>42487.0</v>
      </c>
      <c r="C1021" s="2" t="str">
        <f t="shared" si="1"/>
        <v>Apr</v>
      </c>
      <c r="D1021" s="6">
        <v>42434.0</v>
      </c>
      <c r="E1021" s="1" t="s">
        <v>41</v>
      </c>
      <c r="F1021" s="1" t="s">
        <v>1040</v>
      </c>
      <c r="G1021" s="1" t="s">
        <v>1041</v>
      </c>
      <c r="H1021" s="1" t="str">
        <f>IFERROR(__xludf.DUMMYFUNCTION("split(G1021,"" "")"),"Greg")</f>
        <v>Greg</v>
      </c>
      <c r="I1021" s="1" t="str">
        <f>IFERROR(__xludf.DUMMYFUNCTION("""COMPUTED_VALUE"""),"Tran")</f>
        <v>Tran</v>
      </c>
      <c r="J1021" s="1" t="s">
        <v>23</v>
      </c>
      <c r="K1021" s="1" t="s">
        <v>63</v>
      </c>
      <c r="L1021" s="1" t="str">
        <f t="shared" si="2"/>
        <v>Washington</v>
      </c>
      <c r="M1021" s="1" t="s">
        <v>1720</v>
      </c>
      <c r="N1021" s="1" t="str">
        <f t="shared" si="3"/>
        <v>District Of Columbia</v>
      </c>
      <c r="O1021" s="1">
        <v>20016.0</v>
      </c>
      <c r="P1021" s="1" t="s">
        <v>100</v>
      </c>
      <c r="Q1021" s="1" t="s">
        <v>38</v>
      </c>
      <c r="R1021" s="3">
        <v>22.74</v>
      </c>
      <c r="S1021" s="1">
        <v>2.0</v>
      </c>
      <c r="T1021" s="4">
        <v>22.15</v>
      </c>
    </row>
    <row r="1022">
      <c r="A1022" s="1" t="s">
        <v>1719</v>
      </c>
      <c r="B1022" s="2">
        <v>42487.0</v>
      </c>
      <c r="C1022" s="2" t="str">
        <f t="shared" si="1"/>
        <v>Apr</v>
      </c>
      <c r="D1022" s="6">
        <v>42434.0</v>
      </c>
      <c r="E1022" s="1" t="s">
        <v>41</v>
      </c>
      <c r="F1022" s="1" t="s">
        <v>1040</v>
      </c>
      <c r="G1022" s="1" t="s">
        <v>1041</v>
      </c>
      <c r="H1022" s="1" t="str">
        <f>IFERROR(__xludf.DUMMYFUNCTION("split(G1022,"" "")"),"Greg")</f>
        <v>Greg</v>
      </c>
      <c r="I1022" s="1" t="str">
        <f>IFERROR(__xludf.DUMMYFUNCTION("""COMPUTED_VALUE"""),"Tran")</f>
        <v>Tran</v>
      </c>
      <c r="J1022" s="1" t="s">
        <v>23</v>
      </c>
      <c r="K1022" s="1" t="s">
        <v>63</v>
      </c>
      <c r="L1022" s="1" t="str">
        <f t="shared" si="2"/>
        <v>Washington</v>
      </c>
      <c r="M1022" s="1" t="s">
        <v>1720</v>
      </c>
      <c r="N1022" s="1" t="str">
        <f t="shared" si="3"/>
        <v>District Of Columbia</v>
      </c>
      <c r="O1022" s="1">
        <v>20016.0</v>
      </c>
      <c r="P1022" s="1" t="s">
        <v>100</v>
      </c>
      <c r="Q1022" s="1" t="s">
        <v>27</v>
      </c>
      <c r="R1022" s="3">
        <v>1267.53</v>
      </c>
      <c r="S1022" s="1">
        <v>2.0</v>
      </c>
      <c r="T1022" s="4">
        <v>1267.26</v>
      </c>
    </row>
    <row r="1023">
      <c r="A1023" s="1" t="s">
        <v>1719</v>
      </c>
      <c r="B1023" s="2">
        <v>42487.0</v>
      </c>
      <c r="C1023" s="2" t="str">
        <f t="shared" si="1"/>
        <v>Apr</v>
      </c>
      <c r="D1023" s="6">
        <v>42434.0</v>
      </c>
      <c r="E1023" s="1" t="s">
        <v>41</v>
      </c>
      <c r="F1023" s="1" t="s">
        <v>1040</v>
      </c>
      <c r="G1023" s="1" t="s">
        <v>1041</v>
      </c>
      <c r="H1023" s="1" t="str">
        <f>IFERROR(__xludf.DUMMYFUNCTION("split(G1023,"" "")"),"Greg")</f>
        <v>Greg</v>
      </c>
      <c r="I1023" s="1" t="str">
        <f>IFERROR(__xludf.DUMMYFUNCTION("""COMPUTED_VALUE"""),"Tran")</f>
        <v>Tran</v>
      </c>
      <c r="J1023" s="1" t="s">
        <v>23</v>
      </c>
      <c r="K1023" s="1" t="s">
        <v>63</v>
      </c>
      <c r="L1023" s="1" t="str">
        <f t="shared" si="2"/>
        <v>Washington</v>
      </c>
      <c r="M1023" s="1" t="s">
        <v>1720</v>
      </c>
      <c r="N1023" s="1" t="str">
        <f t="shared" si="3"/>
        <v>District Of Columbia</v>
      </c>
      <c r="O1023" s="1">
        <v>20016.0</v>
      </c>
      <c r="P1023" s="1" t="s">
        <v>100</v>
      </c>
      <c r="Q1023" s="1" t="s">
        <v>51</v>
      </c>
      <c r="R1023" s="3">
        <v>1379.92</v>
      </c>
      <c r="S1023" s="1">
        <v>2.0</v>
      </c>
      <c r="T1023" s="4">
        <v>1379.42</v>
      </c>
    </row>
    <row r="1024">
      <c r="A1024" s="1" t="s">
        <v>1721</v>
      </c>
      <c r="B1024" s="2">
        <v>42537.0</v>
      </c>
      <c r="C1024" s="2" t="str">
        <f t="shared" si="1"/>
        <v>Jun</v>
      </c>
      <c r="D1024" s="1" t="s">
        <v>1722</v>
      </c>
      <c r="E1024" s="1" t="s">
        <v>41</v>
      </c>
      <c r="F1024" s="1" t="s">
        <v>811</v>
      </c>
      <c r="G1024" s="1" t="s">
        <v>812</v>
      </c>
      <c r="H1024" s="1" t="str">
        <f>IFERROR(__xludf.DUMMYFUNCTION("split(G1024,"" "")"),"Philip")</f>
        <v>Philip</v>
      </c>
      <c r="I1024" s="1" t="str">
        <f>IFERROR(__xludf.DUMMYFUNCTION("""COMPUTED_VALUE"""),"Brown")</f>
        <v>Brown</v>
      </c>
      <c r="J1024" s="1" t="s">
        <v>23</v>
      </c>
      <c r="K1024" s="1" t="s">
        <v>98</v>
      </c>
      <c r="L1024" s="1" t="str">
        <f t="shared" si="2"/>
        <v>Philadelphia</v>
      </c>
      <c r="M1024" s="1" t="s">
        <v>99</v>
      </c>
      <c r="N1024" s="1" t="str">
        <f t="shared" si="3"/>
        <v>Pennsylvania</v>
      </c>
      <c r="O1024" s="1">
        <v>19134.0</v>
      </c>
      <c r="P1024" s="1" t="s">
        <v>100</v>
      </c>
      <c r="Q1024" s="1" t="s">
        <v>38</v>
      </c>
      <c r="R1024" s="3">
        <v>6.208</v>
      </c>
      <c r="S1024" s="1">
        <v>1.0</v>
      </c>
      <c r="T1024" s="4">
        <v>6.04</v>
      </c>
    </row>
    <row r="1025">
      <c r="A1025" s="1" t="s">
        <v>1723</v>
      </c>
      <c r="B1025" s="2">
        <v>43451.0</v>
      </c>
      <c r="C1025" s="2" t="str">
        <f t="shared" si="1"/>
        <v>Dec</v>
      </c>
      <c r="D1025" s="1" t="s">
        <v>1724</v>
      </c>
      <c r="E1025" s="1" t="s">
        <v>121</v>
      </c>
      <c r="F1025" s="1" t="s">
        <v>1725</v>
      </c>
      <c r="G1025" s="1" t="s">
        <v>1726</v>
      </c>
      <c r="H1025" s="1" t="str">
        <f>IFERROR(__xludf.DUMMYFUNCTION("split(G1025,"" "")"),"Hallie")</f>
        <v>Hallie</v>
      </c>
      <c r="I1025" s="1" t="str">
        <f>IFERROR(__xludf.DUMMYFUNCTION("""COMPUTED_VALUE"""),"Redmond")</f>
        <v>Redmond</v>
      </c>
      <c r="J1025" s="1" t="s">
        <v>68</v>
      </c>
      <c r="K1025" s="1" t="s">
        <v>35</v>
      </c>
      <c r="L1025" s="1" t="str">
        <f t="shared" si="2"/>
        <v>Los Angeles</v>
      </c>
      <c r="M1025" s="1" t="s">
        <v>52</v>
      </c>
      <c r="N1025" s="1" t="str">
        <f t="shared" si="3"/>
        <v>California</v>
      </c>
      <c r="O1025" s="1">
        <v>90045.0</v>
      </c>
      <c r="P1025" s="1" t="s">
        <v>37</v>
      </c>
      <c r="Q1025" s="1" t="s">
        <v>38</v>
      </c>
      <c r="R1025" s="3">
        <v>11.808</v>
      </c>
      <c r="S1025" s="1">
        <v>9.0</v>
      </c>
      <c r="T1025" s="4">
        <v>11.56</v>
      </c>
    </row>
    <row r="1026">
      <c r="A1026" s="1" t="s">
        <v>1727</v>
      </c>
      <c r="B1026" s="2">
        <v>43040.0</v>
      </c>
      <c r="C1026" s="2" t="str">
        <f t="shared" si="1"/>
        <v>Nov</v>
      </c>
      <c r="D1026" s="1" t="s">
        <v>1728</v>
      </c>
      <c r="E1026" s="1" t="s">
        <v>20</v>
      </c>
      <c r="F1026" s="1" t="s">
        <v>1729</v>
      </c>
      <c r="G1026" s="1" t="s">
        <v>1730</v>
      </c>
      <c r="H1026" s="1" t="str">
        <f>IFERROR(__xludf.DUMMYFUNCTION("split(G1026,"" "")"),"Deanra")</f>
        <v>Deanra</v>
      </c>
      <c r="I1026" s="1" t="str">
        <f>IFERROR(__xludf.DUMMYFUNCTION("""COMPUTED_VALUE"""),"Eno")</f>
        <v>Eno</v>
      </c>
      <c r="J1026" s="1" t="s">
        <v>68</v>
      </c>
      <c r="K1026" s="1" t="s">
        <v>197</v>
      </c>
      <c r="L1026" s="1" t="str">
        <f t="shared" si="2"/>
        <v>Springfield</v>
      </c>
      <c r="M1026" s="1" t="s">
        <v>304</v>
      </c>
      <c r="N1026" s="1" t="str">
        <f t="shared" si="3"/>
        <v>Ohio</v>
      </c>
      <c r="O1026" s="1">
        <v>45503.0</v>
      </c>
      <c r="P1026" s="1" t="s">
        <v>100</v>
      </c>
      <c r="Q1026" s="1" t="s">
        <v>38</v>
      </c>
      <c r="R1026" s="3">
        <v>15.552</v>
      </c>
      <c r="S1026" s="1">
        <v>4.0</v>
      </c>
      <c r="T1026" s="4">
        <v>15.04</v>
      </c>
    </row>
    <row r="1027">
      <c r="A1027" s="1" t="s">
        <v>1727</v>
      </c>
      <c r="B1027" s="2">
        <v>43040.0</v>
      </c>
      <c r="C1027" s="2" t="str">
        <f t="shared" si="1"/>
        <v>Nov</v>
      </c>
      <c r="D1027" s="1" t="s">
        <v>1728</v>
      </c>
      <c r="E1027" s="1" t="s">
        <v>20</v>
      </c>
      <c r="F1027" s="1" t="s">
        <v>1729</v>
      </c>
      <c r="G1027" s="1" t="s">
        <v>1730</v>
      </c>
      <c r="H1027" s="1" t="str">
        <f>IFERROR(__xludf.DUMMYFUNCTION("split(G1027,"" "")"),"Deanra")</f>
        <v>Deanra</v>
      </c>
      <c r="I1027" s="1" t="str">
        <f>IFERROR(__xludf.DUMMYFUNCTION("""COMPUTED_VALUE"""),"Eno")</f>
        <v>Eno</v>
      </c>
      <c r="J1027" s="1" t="s">
        <v>68</v>
      </c>
      <c r="K1027" s="1" t="s">
        <v>197</v>
      </c>
      <c r="L1027" s="1" t="str">
        <f t="shared" si="2"/>
        <v>Springfield</v>
      </c>
      <c r="M1027" s="1" t="s">
        <v>304</v>
      </c>
      <c r="N1027" s="1" t="str">
        <f t="shared" si="3"/>
        <v>Ohio</v>
      </c>
      <c r="O1027" s="1">
        <v>45503.0</v>
      </c>
      <c r="P1027" s="1" t="s">
        <v>100</v>
      </c>
      <c r="Q1027" s="1" t="s">
        <v>38</v>
      </c>
      <c r="R1027" s="3">
        <v>63.312</v>
      </c>
      <c r="S1027" s="1">
        <v>4.0</v>
      </c>
      <c r="T1027" s="4">
        <v>63.23</v>
      </c>
    </row>
    <row r="1028">
      <c r="A1028" s="1" t="s">
        <v>1727</v>
      </c>
      <c r="B1028" s="2">
        <v>43040.0</v>
      </c>
      <c r="C1028" s="2" t="str">
        <f t="shared" si="1"/>
        <v>Nov</v>
      </c>
      <c r="D1028" s="1" t="s">
        <v>1728</v>
      </c>
      <c r="E1028" s="1" t="s">
        <v>20</v>
      </c>
      <c r="F1028" s="1" t="s">
        <v>1729</v>
      </c>
      <c r="G1028" s="1" t="s">
        <v>1730</v>
      </c>
      <c r="H1028" s="1" t="str">
        <f>IFERROR(__xludf.DUMMYFUNCTION("split(G1028,"" "")"),"Deanra")</f>
        <v>Deanra</v>
      </c>
      <c r="I1028" s="1" t="str">
        <f>IFERROR(__xludf.DUMMYFUNCTION("""COMPUTED_VALUE"""),"Eno")</f>
        <v>Eno</v>
      </c>
      <c r="J1028" s="1" t="s">
        <v>68</v>
      </c>
      <c r="K1028" s="1" t="s">
        <v>197</v>
      </c>
      <c r="L1028" s="1" t="str">
        <f t="shared" si="2"/>
        <v>Springfield</v>
      </c>
      <c r="M1028" s="1" t="s">
        <v>304</v>
      </c>
      <c r="N1028" s="1" t="str">
        <f t="shared" si="3"/>
        <v>Ohio</v>
      </c>
      <c r="O1028" s="1">
        <v>45503.0</v>
      </c>
      <c r="P1028" s="1" t="s">
        <v>100</v>
      </c>
      <c r="Q1028" s="1" t="s">
        <v>51</v>
      </c>
      <c r="R1028" s="3">
        <v>15.588</v>
      </c>
      <c r="S1028" s="1">
        <v>4.0</v>
      </c>
      <c r="T1028" s="4">
        <v>15.5</v>
      </c>
    </row>
    <row r="1029">
      <c r="A1029" s="1" t="s">
        <v>1731</v>
      </c>
      <c r="B1029" s="2">
        <v>42315.0</v>
      </c>
      <c r="C1029" s="2" t="str">
        <f t="shared" si="1"/>
        <v>Nov</v>
      </c>
      <c r="D1029" s="1" t="s">
        <v>1732</v>
      </c>
      <c r="E1029" s="1" t="s">
        <v>41</v>
      </c>
      <c r="F1029" s="1" t="s">
        <v>746</v>
      </c>
      <c r="G1029" s="1" t="s">
        <v>747</v>
      </c>
      <c r="H1029" s="1" t="str">
        <f>IFERROR(__xludf.DUMMYFUNCTION("split(G1029,"" "")"),"Laura")</f>
        <v>Laura</v>
      </c>
      <c r="I1029" s="1" t="str">
        <f>IFERROR(__xludf.DUMMYFUNCTION("""COMPUTED_VALUE"""),"Armstrong")</f>
        <v>Armstrong</v>
      </c>
      <c r="J1029" s="1" t="s">
        <v>34</v>
      </c>
      <c r="K1029" s="1" t="s">
        <v>637</v>
      </c>
      <c r="L1029" s="1" t="str">
        <f t="shared" si="2"/>
        <v>Hackensack</v>
      </c>
      <c r="M1029" s="1" t="s">
        <v>462</v>
      </c>
      <c r="N1029" s="1" t="str">
        <f t="shared" si="3"/>
        <v>New Jersey</v>
      </c>
      <c r="O1029" s="1">
        <v>7601.0</v>
      </c>
      <c r="P1029" s="1" t="s">
        <v>100</v>
      </c>
      <c r="Q1029" s="1" t="s">
        <v>38</v>
      </c>
      <c r="R1029" s="3">
        <v>177.2</v>
      </c>
      <c r="S1029" s="1">
        <v>7.0</v>
      </c>
      <c r="T1029" s="4">
        <v>176.99</v>
      </c>
    </row>
    <row r="1030">
      <c r="A1030" s="1" t="s">
        <v>1731</v>
      </c>
      <c r="B1030" s="2">
        <v>42315.0</v>
      </c>
      <c r="C1030" s="2" t="str">
        <f t="shared" si="1"/>
        <v>Nov</v>
      </c>
      <c r="D1030" s="1" t="s">
        <v>1732</v>
      </c>
      <c r="E1030" s="1" t="s">
        <v>41</v>
      </c>
      <c r="F1030" s="1" t="s">
        <v>746</v>
      </c>
      <c r="G1030" s="1" t="s">
        <v>747</v>
      </c>
      <c r="H1030" s="1" t="str">
        <f>IFERROR(__xludf.DUMMYFUNCTION("split(G1030,"" "")"),"Laura")</f>
        <v>Laura</v>
      </c>
      <c r="I1030" s="1" t="str">
        <f>IFERROR(__xludf.DUMMYFUNCTION("""COMPUTED_VALUE"""),"Armstrong")</f>
        <v>Armstrong</v>
      </c>
      <c r="J1030" s="1" t="s">
        <v>34</v>
      </c>
      <c r="K1030" s="1" t="s">
        <v>637</v>
      </c>
      <c r="L1030" s="1" t="str">
        <f t="shared" si="2"/>
        <v>Hackensack</v>
      </c>
      <c r="M1030" s="1" t="s">
        <v>462</v>
      </c>
      <c r="N1030" s="1" t="str">
        <f t="shared" si="3"/>
        <v>New Jersey</v>
      </c>
      <c r="O1030" s="1">
        <v>7601.0</v>
      </c>
      <c r="P1030" s="1" t="s">
        <v>100</v>
      </c>
      <c r="Q1030" s="1" t="s">
        <v>51</v>
      </c>
      <c r="R1030" s="3">
        <v>197.97</v>
      </c>
      <c r="S1030" s="1">
        <v>7.0</v>
      </c>
      <c r="T1030" s="4">
        <v>197.65</v>
      </c>
    </row>
    <row r="1031">
      <c r="A1031" s="1" t="s">
        <v>1731</v>
      </c>
      <c r="B1031" s="2">
        <v>42315.0</v>
      </c>
      <c r="C1031" s="2" t="str">
        <f t="shared" si="1"/>
        <v>Nov</v>
      </c>
      <c r="D1031" s="1" t="s">
        <v>1732</v>
      </c>
      <c r="E1031" s="1" t="s">
        <v>41</v>
      </c>
      <c r="F1031" s="1" t="s">
        <v>746</v>
      </c>
      <c r="G1031" s="1" t="s">
        <v>747</v>
      </c>
      <c r="H1031" s="1" t="str">
        <f>IFERROR(__xludf.DUMMYFUNCTION("split(G1031,"" "")"),"Laura")</f>
        <v>Laura</v>
      </c>
      <c r="I1031" s="1" t="str">
        <f>IFERROR(__xludf.DUMMYFUNCTION("""COMPUTED_VALUE"""),"Armstrong")</f>
        <v>Armstrong</v>
      </c>
      <c r="J1031" s="1" t="s">
        <v>34</v>
      </c>
      <c r="K1031" s="1" t="s">
        <v>637</v>
      </c>
      <c r="L1031" s="1" t="str">
        <f t="shared" si="2"/>
        <v>Hackensack</v>
      </c>
      <c r="M1031" s="1" t="s">
        <v>462</v>
      </c>
      <c r="N1031" s="1" t="str">
        <f t="shared" si="3"/>
        <v>New Jersey</v>
      </c>
      <c r="O1031" s="1">
        <v>7601.0</v>
      </c>
      <c r="P1031" s="1" t="s">
        <v>100</v>
      </c>
      <c r="Q1031" s="1" t="s">
        <v>27</v>
      </c>
      <c r="R1031" s="3">
        <v>854.94</v>
      </c>
      <c r="S1031" s="1">
        <v>7.0</v>
      </c>
      <c r="T1031" s="4">
        <v>854.7</v>
      </c>
    </row>
    <row r="1032">
      <c r="A1032" s="1" t="s">
        <v>1731</v>
      </c>
      <c r="B1032" s="2">
        <v>42315.0</v>
      </c>
      <c r="C1032" s="2" t="str">
        <f t="shared" si="1"/>
        <v>Nov</v>
      </c>
      <c r="D1032" s="1" t="s">
        <v>1732</v>
      </c>
      <c r="E1032" s="1" t="s">
        <v>41</v>
      </c>
      <c r="F1032" s="1" t="s">
        <v>746</v>
      </c>
      <c r="G1032" s="1" t="s">
        <v>747</v>
      </c>
      <c r="H1032" s="1" t="str">
        <f>IFERROR(__xludf.DUMMYFUNCTION("split(G1032,"" "")"),"Laura")</f>
        <v>Laura</v>
      </c>
      <c r="I1032" s="1" t="str">
        <f>IFERROR(__xludf.DUMMYFUNCTION("""COMPUTED_VALUE"""),"Armstrong")</f>
        <v>Armstrong</v>
      </c>
      <c r="J1032" s="1" t="s">
        <v>34</v>
      </c>
      <c r="K1032" s="1" t="s">
        <v>637</v>
      </c>
      <c r="L1032" s="1" t="str">
        <f t="shared" si="2"/>
        <v>Hackensack</v>
      </c>
      <c r="M1032" s="1" t="s">
        <v>462</v>
      </c>
      <c r="N1032" s="1" t="str">
        <f t="shared" si="3"/>
        <v>New Jersey</v>
      </c>
      <c r="O1032" s="1">
        <v>7601.0</v>
      </c>
      <c r="P1032" s="1" t="s">
        <v>100</v>
      </c>
      <c r="Q1032" s="1" t="s">
        <v>27</v>
      </c>
      <c r="R1032" s="3">
        <v>124.11</v>
      </c>
      <c r="S1032" s="1">
        <v>7.0</v>
      </c>
      <c r="T1032" s="4">
        <v>123.48</v>
      </c>
    </row>
    <row r="1033">
      <c r="A1033" s="1" t="s">
        <v>1731</v>
      </c>
      <c r="B1033" s="2">
        <v>42315.0</v>
      </c>
      <c r="C1033" s="2" t="str">
        <f t="shared" si="1"/>
        <v>Nov</v>
      </c>
      <c r="D1033" s="1" t="s">
        <v>1732</v>
      </c>
      <c r="E1033" s="1" t="s">
        <v>41</v>
      </c>
      <c r="F1033" s="1" t="s">
        <v>746</v>
      </c>
      <c r="G1033" s="1" t="s">
        <v>747</v>
      </c>
      <c r="H1033" s="1" t="str">
        <f>IFERROR(__xludf.DUMMYFUNCTION("split(G1033,"" "")"),"Laura")</f>
        <v>Laura</v>
      </c>
      <c r="I1033" s="1" t="str">
        <f>IFERROR(__xludf.DUMMYFUNCTION("""COMPUTED_VALUE"""),"Armstrong")</f>
        <v>Armstrong</v>
      </c>
      <c r="J1033" s="1" t="s">
        <v>34</v>
      </c>
      <c r="K1033" s="1" t="s">
        <v>637</v>
      </c>
      <c r="L1033" s="1" t="str">
        <f t="shared" si="2"/>
        <v>Hackensack</v>
      </c>
      <c r="M1033" s="1" t="s">
        <v>462</v>
      </c>
      <c r="N1033" s="1" t="str">
        <f t="shared" si="3"/>
        <v>New Jersey</v>
      </c>
      <c r="O1033" s="1">
        <v>7601.0</v>
      </c>
      <c r="P1033" s="1" t="s">
        <v>100</v>
      </c>
      <c r="Q1033" s="1" t="s">
        <v>38</v>
      </c>
      <c r="R1033" s="3">
        <v>14.4</v>
      </c>
      <c r="S1033" s="1">
        <v>7.0</v>
      </c>
      <c r="T1033" s="4">
        <v>13.61</v>
      </c>
    </row>
    <row r="1034">
      <c r="A1034" s="1" t="s">
        <v>1733</v>
      </c>
      <c r="B1034" s="2">
        <v>43059.0</v>
      </c>
      <c r="C1034" s="2" t="str">
        <f t="shared" si="1"/>
        <v>Nov</v>
      </c>
      <c r="D1034" s="1" t="s">
        <v>1734</v>
      </c>
      <c r="E1034" s="1" t="s">
        <v>121</v>
      </c>
      <c r="F1034" s="1" t="s">
        <v>1735</v>
      </c>
      <c r="G1034" s="1" t="s">
        <v>1736</v>
      </c>
      <c r="H1034" s="1" t="str">
        <f>IFERROR(__xludf.DUMMYFUNCTION("split(G1034,"" "")"),"Allen")</f>
        <v>Allen</v>
      </c>
      <c r="I1034" s="1" t="str">
        <f>IFERROR(__xludf.DUMMYFUNCTION("""COMPUTED_VALUE"""),"Goldenen")</f>
        <v>Goldenen</v>
      </c>
      <c r="J1034" s="1" t="s">
        <v>23</v>
      </c>
      <c r="K1034" s="1" t="s">
        <v>579</v>
      </c>
      <c r="L1034" s="1" t="str">
        <f t="shared" si="2"/>
        <v>Cincinnati</v>
      </c>
      <c r="M1034" s="1" t="s">
        <v>304</v>
      </c>
      <c r="N1034" s="1" t="str">
        <f t="shared" si="3"/>
        <v>Ohio</v>
      </c>
      <c r="O1034" s="1">
        <v>45231.0</v>
      </c>
      <c r="P1034" s="1" t="s">
        <v>100</v>
      </c>
      <c r="Q1034" s="1" t="s">
        <v>38</v>
      </c>
      <c r="R1034" s="3">
        <v>15.696</v>
      </c>
      <c r="S1034" s="1">
        <v>4.0</v>
      </c>
      <c r="T1034" s="4">
        <v>15.49</v>
      </c>
    </row>
    <row r="1035">
      <c r="A1035" s="1" t="s">
        <v>1733</v>
      </c>
      <c r="B1035" s="2">
        <v>43059.0</v>
      </c>
      <c r="C1035" s="2" t="str">
        <f t="shared" si="1"/>
        <v>Nov</v>
      </c>
      <c r="D1035" s="1" t="s">
        <v>1734</v>
      </c>
      <c r="E1035" s="1" t="s">
        <v>121</v>
      </c>
      <c r="F1035" s="1" t="s">
        <v>1735</v>
      </c>
      <c r="G1035" s="1" t="s">
        <v>1736</v>
      </c>
      <c r="H1035" s="1" t="str">
        <f>IFERROR(__xludf.DUMMYFUNCTION("split(G1035,"" "")"),"Allen")</f>
        <v>Allen</v>
      </c>
      <c r="I1035" s="1" t="str">
        <f>IFERROR(__xludf.DUMMYFUNCTION("""COMPUTED_VALUE"""),"Goldenen")</f>
        <v>Goldenen</v>
      </c>
      <c r="J1035" s="1" t="s">
        <v>23</v>
      </c>
      <c r="K1035" s="1" t="s">
        <v>579</v>
      </c>
      <c r="L1035" s="1" t="str">
        <f t="shared" si="2"/>
        <v>Cincinnati</v>
      </c>
      <c r="M1035" s="1" t="s">
        <v>304</v>
      </c>
      <c r="N1035" s="1" t="str">
        <f t="shared" si="3"/>
        <v>Ohio</v>
      </c>
      <c r="O1035" s="1">
        <v>45231.0</v>
      </c>
      <c r="P1035" s="1" t="s">
        <v>100</v>
      </c>
      <c r="Q1035" s="1" t="s">
        <v>38</v>
      </c>
      <c r="R1035" s="3">
        <v>2.628</v>
      </c>
      <c r="S1035" s="1">
        <v>4.0</v>
      </c>
      <c r="T1035" s="4">
        <v>2.43</v>
      </c>
    </row>
    <row r="1036">
      <c r="A1036" s="1" t="s">
        <v>1733</v>
      </c>
      <c r="B1036" s="2">
        <v>43059.0</v>
      </c>
      <c r="C1036" s="2" t="str">
        <f t="shared" si="1"/>
        <v>Nov</v>
      </c>
      <c r="D1036" s="1" t="s">
        <v>1734</v>
      </c>
      <c r="E1036" s="1" t="s">
        <v>121</v>
      </c>
      <c r="F1036" s="1" t="s">
        <v>1735</v>
      </c>
      <c r="G1036" s="1" t="s">
        <v>1736</v>
      </c>
      <c r="H1036" s="1" t="str">
        <f>IFERROR(__xludf.DUMMYFUNCTION("split(G1036,"" "")"),"Allen")</f>
        <v>Allen</v>
      </c>
      <c r="I1036" s="1" t="str">
        <f>IFERROR(__xludf.DUMMYFUNCTION("""COMPUTED_VALUE"""),"Goldenen")</f>
        <v>Goldenen</v>
      </c>
      <c r="J1036" s="1" t="s">
        <v>23</v>
      </c>
      <c r="K1036" s="1" t="s">
        <v>579</v>
      </c>
      <c r="L1036" s="1" t="str">
        <f t="shared" si="2"/>
        <v>Cincinnati</v>
      </c>
      <c r="M1036" s="1" t="s">
        <v>304</v>
      </c>
      <c r="N1036" s="1" t="str">
        <f t="shared" si="3"/>
        <v>Ohio</v>
      </c>
      <c r="O1036" s="1">
        <v>45231.0</v>
      </c>
      <c r="P1036" s="1" t="s">
        <v>100</v>
      </c>
      <c r="Q1036" s="1" t="s">
        <v>38</v>
      </c>
      <c r="R1036" s="3">
        <v>14.427</v>
      </c>
      <c r="S1036" s="1">
        <v>4.0</v>
      </c>
      <c r="T1036" s="4">
        <v>13.89</v>
      </c>
    </row>
    <row r="1037">
      <c r="A1037" s="1" t="s">
        <v>1737</v>
      </c>
      <c r="B1037" s="2">
        <v>42847.0</v>
      </c>
      <c r="C1037" s="2" t="str">
        <f t="shared" si="1"/>
        <v>Apr</v>
      </c>
      <c r="D1037" s="1" t="s">
        <v>1738</v>
      </c>
      <c r="E1037" s="1" t="s">
        <v>41</v>
      </c>
      <c r="F1037" s="1" t="s">
        <v>1540</v>
      </c>
      <c r="G1037" s="1" t="s">
        <v>1541</v>
      </c>
      <c r="H1037" s="1" t="str">
        <f>IFERROR(__xludf.DUMMYFUNCTION("split(G1037,"" "")"),"Ed")</f>
        <v>Ed</v>
      </c>
      <c r="I1037" s="1" t="str">
        <f>IFERROR(__xludf.DUMMYFUNCTION("""COMPUTED_VALUE"""),"Ludwig")</f>
        <v>Ludwig</v>
      </c>
      <c r="J1037" s="1" t="s">
        <v>68</v>
      </c>
      <c r="K1037" s="1" t="s">
        <v>1739</v>
      </c>
      <c r="L1037" s="1" t="str">
        <f t="shared" si="2"/>
        <v>Jefferson City</v>
      </c>
      <c r="M1037" s="1" t="s">
        <v>351</v>
      </c>
      <c r="N1037" s="1" t="str">
        <f t="shared" si="3"/>
        <v>Missouri</v>
      </c>
      <c r="O1037" s="1">
        <v>65109.0</v>
      </c>
      <c r="P1037" s="1" t="s">
        <v>71</v>
      </c>
      <c r="Q1037" s="1" t="s">
        <v>27</v>
      </c>
      <c r="R1037" s="3">
        <v>86.62</v>
      </c>
      <c r="S1037" s="1">
        <v>6.0</v>
      </c>
      <c r="T1037" s="4">
        <v>86.12</v>
      </c>
    </row>
    <row r="1038">
      <c r="A1038" s="1" t="s">
        <v>1740</v>
      </c>
      <c r="B1038" s="2">
        <v>42534.0</v>
      </c>
      <c r="C1038" s="2" t="str">
        <f t="shared" si="1"/>
        <v>Jun</v>
      </c>
      <c r="D1038" s="1" t="s">
        <v>1741</v>
      </c>
      <c r="E1038" s="1" t="s">
        <v>121</v>
      </c>
      <c r="F1038" s="1" t="s">
        <v>1742</v>
      </c>
      <c r="G1038" s="1" t="s">
        <v>1743</v>
      </c>
      <c r="H1038" s="1" t="str">
        <f>IFERROR(__xludf.DUMMYFUNCTION("split(G1038,"" "")"),"Jennifer")</f>
        <v>Jennifer</v>
      </c>
      <c r="I1038" s="1" t="str">
        <f>IFERROR(__xludf.DUMMYFUNCTION("""COMPUTED_VALUE"""),"Jackson")</f>
        <v>Jackson</v>
      </c>
      <c r="J1038" s="1" t="s">
        <v>23</v>
      </c>
      <c r="K1038" s="1" t="s">
        <v>35</v>
      </c>
      <c r="L1038" s="1" t="str">
        <f t="shared" si="2"/>
        <v>Los Angeles</v>
      </c>
      <c r="M1038" s="1" t="s">
        <v>52</v>
      </c>
      <c r="N1038" s="1" t="str">
        <f t="shared" si="3"/>
        <v>California</v>
      </c>
      <c r="O1038" s="1">
        <v>90004.0</v>
      </c>
      <c r="P1038" s="1" t="s">
        <v>37</v>
      </c>
      <c r="Q1038" s="1" t="s">
        <v>38</v>
      </c>
      <c r="R1038" s="3">
        <v>36.624</v>
      </c>
      <c r="S1038" s="1">
        <v>9.0</v>
      </c>
      <c r="T1038" s="4">
        <v>35.71</v>
      </c>
    </row>
    <row r="1039">
      <c r="A1039" s="1" t="s">
        <v>1744</v>
      </c>
      <c r="B1039" s="2">
        <v>43424.0</v>
      </c>
      <c r="C1039" s="2" t="str">
        <f t="shared" si="1"/>
        <v>Nov</v>
      </c>
      <c r="D1039" s="1" t="s">
        <v>1745</v>
      </c>
      <c r="E1039" s="1" t="s">
        <v>121</v>
      </c>
      <c r="F1039" s="1" t="s">
        <v>1746</v>
      </c>
      <c r="G1039" s="1" t="s">
        <v>1747</v>
      </c>
      <c r="H1039" s="1" t="str">
        <f>IFERROR(__xludf.DUMMYFUNCTION("split(G1039,"" "")"),"Jennifer")</f>
        <v>Jennifer</v>
      </c>
      <c r="I1039" s="1" t="str">
        <f>IFERROR(__xludf.DUMMYFUNCTION("""COMPUTED_VALUE"""),"Halladay")</f>
        <v>Halladay</v>
      </c>
      <c r="J1039" s="1" t="s">
        <v>23</v>
      </c>
      <c r="K1039" s="1" t="s">
        <v>1237</v>
      </c>
      <c r="L1039" s="1" t="str">
        <f t="shared" si="2"/>
        <v>Burlington</v>
      </c>
      <c r="M1039" s="1" t="s">
        <v>58</v>
      </c>
      <c r="N1039" s="1" t="str">
        <f t="shared" si="3"/>
        <v>North Carolina</v>
      </c>
      <c r="O1039" s="1">
        <v>27217.0</v>
      </c>
      <c r="P1039" s="1" t="s">
        <v>26</v>
      </c>
      <c r="Q1039" s="1" t="s">
        <v>38</v>
      </c>
      <c r="R1039" s="3">
        <v>23.968</v>
      </c>
      <c r="S1039" s="1">
        <v>2.0</v>
      </c>
      <c r="T1039" s="4">
        <v>23.57</v>
      </c>
    </row>
    <row r="1040">
      <c r="A1040" s="1" t="s">
        <v>1744</v>
      </c>
      <c r="B1040" s="2">
        <v>43424.0</v>
      </c>
      <c r="C1040" s="2" t="str">
        <f t="shared" si="1"/>
        <v>Nov</v>
      </c>
      <c r="D1040" s="1" t="s">
        <v>1745</v>
      </c>
      <c r="E1040" s="1" t="s">
        <v>121</v>
      </c>
      <c r="F1040" s="1" t="s">
        <v>1746</v>
      </c>
      <c r="G1040" s="1" t="s">
        <v>1747</v>
      </c>
      <c r="H1040" s="1" t="str">
        <f>IFERROR(__xludf.DUMMYFUNCTION("split(G1040,"" "")"),"Jennifer")</f>
        <v>Jennifer</v>
      </c>
      <c r="I1040" s="1" t="str">
        <f>IFERROR(__xludf.DUMMYFUNCTION("""COMPUTED_VALUE"""),"Halladay")</f>
        <v>Halladay</v>
      </c>
      <c r="J1040" s="1" t="s">
        <v>23</v>
      </c>
      <c r="K1040" s="1" t="s">
        <v>1237</v>
      </c>
      <c r="L1040" s="1" t="str">
        <f t="shared" si="2"/>
        <v>Burlington</v>
      </c>
      <c r="M1040" s="1" t="s">
        <v>58</v>
      </c>
      <c r="N1040" s="1" t="str">
        <f t="shared" si="3"/>
        <v>North Carolina</v>
      </c>
      <c r="O1040" s="1">
        <v>27217.0</v>
      </c>
      <c r="P1040" s="1" t="s">
        <v>26</v>
      </c>
      <c r="Q1040" s="1" t="s">
        <v>38</v>
      </c>
      <c r="R1040" s="3">
        <v>28.728</v>
      </c>
      <c r="S1040" s="1">
        <v>2.0</v>
      </c>
      <c r="T1040" s="4">
        <v>28.47</v>
      </c>
    </row>
    <row r="1041">
      <c r="A1041" s="1" t="s">
        <v>1748</v>
      </c>
      <c r="B1041" s="2">
        <v>42814.0</v>
      </c>
      <c r="C1041" s="2" t="str">
        <f t="shared" si="1"/>
        <v>Mar</v>
      </c>
      <c r="D1041" s="1" t="s">
        <v>1092</v>
      </c>
      <c r="E1041" s="1" t="s">
        <v>41</v>
      </c>
      <c r="F1041" s="1" t="s">
        <v>1749</v>
      </c>
      <c r="G1041" s="1" t="s">
        <v>1750</v>
      </c>
      <c r="H1041" s="1" t="str">
        <f>IFERROR(__xludf.DUMMYFUNCTION("split(G1041,"" "")"),"Robert")</f>
        <v>Robert</v>
      </c>
      <c r="I1041" s="1" t="str">
        <f>IFERROR(__xludf.DUMMYFUNCTION("""COMPUTED_VALUE"""),"Dilbeck")</f>
        <v>Dilbeck</v>
      </c>
      <c r="J1041" s="1" t="s">
        <v>68</v>
      </c>
      <c r="K1041" s="1" t="s">
        <v>1751</v>
      </c>
      <c r="L1041" s="1" t="str">
        <f t="shared" si="2"/>
        <v>Saint Peters</v>
      </c>
      <c r="M1041" s="1" t="s">
        <v>351</v>
      </c>
      <c r="N1041" s="1" t="str">
        <f t="shared" si="3"/>
        <v>Missouri</v>
      </c>
      <c r="O1041" s="1">
        <v>63376.0</v>
      </c>
      <c r="P1041" s="1" t="s">
        <v>71</v>
      </c>
      <c r="Q1041" s="1" t="s">
        <v>27</v>
      </c>
      <c r="R1041" s="3">
        <v>697.16</v>
      </c>
      <c r="S1041" s="1">
        <v>6.0</v>
      </c>
      <c r="T1041" s="4">
        <v>697.14</v>
      </c>
    </row>
    <row r="1042">
      <c r="A1042" s="1" t="s">
        <v>1752</v>
      </c>
      <c r="B1042" s="2">
        <v>42895.0</v>
      </c>
      <c r="C1042" s="2" t="str">
        <f t="shared" si="1"/>
        <v>Jun</v>
      </c>
      <c r="D1042" s="6">
        <v>42987.0</v>
      </c>
      <c r="E1042" s="1" t="s">
        <v>20</v>
      </c>
      <c r="F1042" s="1" t="s">
        <v>1753</v>
      </c>
      <c r="G1042" s="1" t="s">
        <v>1754</v>
      </c>
      <c r="H1042" s="1" t="str">
        <f>IFERROR(__xludf.DUMMYFUNCTION("split(G1042,"" "")"),"Mary")</f>
        <v>Mary</v>
      </c>
      <c r="I1042" s="1" t="str">
        <f>IFERROR(__xludf.DUMMYFUNCTION("""COMPUTED_VALUE"""),"O'Rourke")</f>
        <v>O'Rourke</v>
      </c>
      <c r="J1042" s="1" t="s">
        <v>23</v>
      </c>
      <c r="K1042" s="1" t="s">
        <v>174</v>
      </c>
      <c r="L1042" s="1" t="str">
        <f t="shared" si="2"/>
        <v>New York City</v>
      </c>
      <c r="M1042" s="1" t="s">
        <v>175</v>
      </c>
      <c r="N1042" s="1" t="str">
        <f t="shared" si="3"/>
        <v>New York</v>
      </c>
      <c r="O1042" s="1">
        <v>10035.0</v>
      </c>
      <c r="P1042" s="1" t="s">
        <v>100</v>
      </c>
      <c r="Q1042" s="1" t="s">
        <v>51</v>
      </c>
      <c r="R1042" s="3">
        <v>31.86</v>
      </c>
      <c r="S1042" s="1">
        <v>1.0</v>
      </c>
      <c r="T1042" s="4">
        <v>31.06</v>
      </c>
    </row>
    <row r="1043">
      <c r="A1043" s="1" t="s">
        <v>1752</v>
      </c>
      <c r="B1043" s="2">
        <v>42895.0</v>
      </c>
      <c r="C1043" s="2" t="str">
        <f t="shared" si="1"/>
        <v>Jun</v>
      </c>
      <c r="D1043" s="6">
        <v>42987.0</v>
      </c>
      <c r="E1043" s="1" t="s">
        <v>20</v>
      </c>
      <c r="F1043" s="1" t="s">
        <v>1753</v>
      </c>
      <c r="G1043" s="1" t="s">
        <v>1754</v>
      </c>
      <c r="H1043" s="1" t="str">
        <f>IFERROR(__xludf.DUMMYFUNCTION("split(G1043,"" "")"),"Mary")</f>
        <v>Mary</v>
      </c>
      <c r="I1043" s="1" t="str">
        <f>IFERROR(__xludf.DUMMYFUNCTION("""COMPUTED_VALUE"""),"O'Rourke")</f>
        <v>O'Rourke</v>
      </c>
      <c r="J1043" s="1" t="s">
        <v>23</v>
      </c>
      <c r="K1043" s="1" t="s">
        <v>174</v>
      </c>
      <c r="L1043" s="1" t="str">
        <f t="shared" si="2"/>
        <v>New York City</v>
      </c>
      <c r="M1043" s="1" t="s">
        <v>175</v>
      </c>
      <c r="N1043" s="1" t="str">
        <f t="shared" si="3"/>
        <v>New York</v>
      </c>
      <c r="O1043" s="1">
        <v>10035.0</v>
      </c>
      <c r="P1043" s="1" t="s">
        <v>100</v>
      </c>
      <c r="Q1043" s="1" t="s">
        <v>27</v>
      </c>
      <c r="R1043" s="3">
        <v>722.352</v>
      </c>
      <c r="S1043" s="1">
        <v>1.0</v>
      </c>
      <c r="T1043" s="4">
        <v>721.86</v>
      </c>
    </row>
    <row r="1044">
      <c r="A1044" s="1" t="s">
        <v>1755</v>
      </c>
      <c r="B1044" s="2">
        <v>43350.0</v>
      </c>
      <c r="C1044" s="2" t="str">
        <f t="shared" si="1"/>
        <v>Sep</v>
      </c>
      <c r="D1044" s="6">
        <v>43441.0</v>
      </c>
      <c r="E1044" s="1" t="s">
        <v>121</v>
      </c>
      <c r="F1044" s="1" t="s">
        <v>1756</v>
      </c>
      <c r="G1044" s="1" t="s">
        <v>1757</v>
      </c>
      <c r="H1044" s="1" t="str">
        <f>IFERROR(__xludf.DUMMYFUNCTION("split(G1044,"" "")"),"Noel")</f>
        <v>Noel</v>
      </c>
      <c r="I1044" s="1" t="str">
        <f>IFERROR(__xludf.DUMMYFUNCTION("""COMPUTED_VALUE"""),"Staavos")</f>
        <v>Staavos</v>
      </c>
      <c r="J1044" s="1" t="s">
        <v>34</v>
      </c>
      <c r="K1044" s="1" t="s">
        <v>188</v>
      </c>
      <c r="L1044" s="1" t="str">
        <f t="shared" si="2"/>
        <v>Chicago</v>
      </c>
      <c r="M1044" s="1" t="s">
        <v>135</v>
      </c>
      <c r="N1044" s="1" t="str">
        <f t="shared" si="3"/>
        <v>Illinois</v>
      </c>
      <c r="O1044" s="1">
        <v>60610.0</v>
      </c>
      <c r="P1044" s="1" t="s">
        <v>71</v>
      </c>
      <c r="Q1044" s="1" t="s">
        <v>38</v>
      </c>
      <c r="R1044" s="3">
        <v>8.84</v>
      </c>
      <c r="S1044" s="1">
        <v>6.0</v>
      </c>
      <c r="T1044" s="4">
        <v>8.27</v>
      </c>
    </row>
    <row r="1045">
      <c r="A1045" s="1" t="s">
        <v>1755</v>
      </c>
      <c r="B1045" s="2">
        <v>43350.0</v>
      </c>
      <c r="C1045" s="2" t="str">
        <f t="shared" si="1"/>
        <v>Sep</v>
      </c>
      <c r="D1045" s="6">
        <v>43441.0</v>
      </c>
      <c r="E1045" s="1" t="s">
        <v>121</v>
      </c>
      <c r="F1045" s="1" t="s">
        <v>1756</v>
      </c>
      <c r="G1045" s="1" t="s">
        <v>1757</v>
      </c>
      <c r="H1045" s="1" t="str">
        <f>IFERROR(__xludf.DUMMYFUNCTION("split(G1045,"" "")"),"Noel")</f>
        <v>Noel</v>
      </c>
      <c r="I1045" s="1" t="str">
        <f>IFERROR(__xludf.DUMMYFUNCTION("""COMPUTED_VALUE"""),"Staavos")</f>
        <v>Staavos</v>
      </c>
      <c r="J1045" s="1" t="s">
        <v>34</v>
      </c>
      <c r="K1045" s="1" t="s">
        <v>188</v>
      </c>
      <c r="L1045" s="1" t="str">
        <f t="shared" si="2"/>
        <v>Chicago</v>
      </c>
      <c r="M1045" s="1" t="s">
        <v>135</v>
      </c>
      <c r="N1045" s="1" t="str">
        <f t="shared" si="3"/>
        <v>Illinois</v>
      </c>
      <c r="O1045" s="1">
        <v>60610.0</v>
      </c>
      <c r="P1045" s="1" t="s">
        <v>71</v>
      </c>
      <c r="Q1045" s="1" t="s">
        <v>38</v>
      </c>
      <c r="R1045" s="3">
        <v>58.464</v>
      </c>
      <c r="S1045" s="1">
        <v>6.0</v>
      </c>
      <c r="T1045" s="4">
        <v>58.24</v>
      </c>
    </row>
    <row r="1046">
      <c r="A1046" s="1" t="s">
        <v>1758</v>
      </c>
      <c r="B1046" s="2">
        <v>43444.0</v>
      </c>
      <c r="C1046" s="2" t="str">
        <f t="shared" si="1"/>
        <v>Dec</v>
      </c>
      <c r="D1046" s="1" t="s">
        <v>1759</v>
      </c>
      <c r="E1046" s="1" t="s">
        <v>41</v>
      </c>
      <c r="F1046" s="1" t="s">
        <v>127</v>
      </c>
      <c r="G1046" s="1" t="s">
        <v>128</v>
      </c>
      <c r="H1046" s="1" t="str">
        <f>IFERROR(__xludf.DUMMYFUNCTION("split(G1046,"" "")"),"Steve")</f>
        <v>Steve</v>
      </c>
      <c r="I1046" s="1" t="str">
        <f>IFERROR(__xludf.DUMMYFUNCTION("""COMPUTED_VALUE"""),"Nguyen")</f>
        <v>Nguyen</v>
      </c>
      <c r="J1046" s="1" t="s">
        <v>68</v>
      </c>
      <c r="K1046" s="1" t="s">
        <v>1760</v>
      </c>
      <c r="L1046" s="1" t="str">
        <f t="shared" si="2"/>
        <v>Rockford</v>
      </c>
      <c r="M1046" s="1" t="s">
        <v>135</v>
      </c>
      <c r="N1046" s="1" t="str">
        <f t="shared" si="3"/>
        <v>Illinois</v>
      </c>
      <c r="O1046" s="1">
        <v>61107.0</v>
      </c>
      <c r="P1046" s="1" t="s">
        <v>71</v>
      </c>
      <c r="Q1046" s="1" t="s">
        <v>27</v>
      </c>
      <c r="R1046" s="3">
        <v>254.604</v>
      </c>
      <c r="S1046" s="1">
        <v>6.0</v>
      </c>
      <c r="T1046" s="4">
        <v>254.22</v>
      </c>
    </row>
    <row r="1047">
      <c r="A1047" s="1" t="s">
        <v>1761</v>
      </c>
      <c r="B1047" s="2">
        <v>42950.0</v>
      </c>
      <c r="C1047" s="2" t="str">
        <f t="shared" si="1"/>
        <v>Aug</v>
      </c>
      <c r="D1047" s="1" t="s">
        <v>147</v>
      </c>
      <c r="E1047" s="1" t="s">
        <v>41</v>
      </c>
      <c r="F1047" s="1" t="s">
        <v>1093</v>
      </c>
      <c r="G1047" s="1" t="s">
        <v>1094</v>
      </c>
      <c r="H1047" s="1" t="str">
        <f>IFERROR(__xludf.DUMMYFUNCTION("split(G1047,"" "")"),"Zuschuss")</f>
        <v>Zuschuss</v>
      </c>
      <c r="I1047" s="1" t="str">
        <f>IFERROR(__xludf.DUMMYFUNCTION("""COMPUTED_VALUE"""),"Carroll")</f>
        <v>Carroll</v>
      </c>
      <c r="J1047" s="1" t="s">
        <v>23</v>
      </c>
      <c r="K1047" s="1" t="s">
        <v>791</v>
      </c>
      <c r="L1047" s="1" t="str">
        <f t="shared" si="2"/>
        <v>Miami</v>
      </c>
      <c r="M1047" s="1" t="s">
        <v>145</v>
      </c>
      <c r="N1047" s="1" t="str">
        <f t="shared" si="3"/>
        <v>Florida</v>
      </c>
      <c r="O1047" s="1">
        <v>33142.0</v>
      </c>
      <c r="P1047" s="1" t="s">
        <v>26</v>
      </c>
      <c r="Q1047" s="1" t="s">
        <v>51</v>
      </c>
      <c r="R1047" s="3">
        <v>1363.96</v>
      </c>
      <c r="S1047" s="1">
        <v>3.0</v>
      </c>
      <c r="T1047" s="4">
        <v>1363.84</v>
      </c>
    </row>
    <row r="1048">
      <c r="A1048" s="1" t="s">
        <v>1761</v>
      </c>
      <c r="B1048" s="2">
        <v>42950.0</v>
      </c>
      <c r="C1048" s="2" t="str">
        <f t="shared" si="1"/>
        <v>Aug</v>
      </c>
      <c r="D1048" s="1" t="s">
        <v>147</v>
      </c>
      <c r="E1048" s="1" t="s">
        <v>41</v>
      </c>
      <c r="F1048" s="1" t="s">
        <v>1093</v>
      </c>
      <c r="G1048" s="1" t="s">
        <v>1094</v>
      </c>
      <c r="H1048" s="1" t="str">
        <f>IFERROR(__xludf.DUMMYFUNCTION("split(G1048,"" "")"),"Zuschuss")</f>
        <v>Zuschuss</v>
      </c>
      <c r="I1048" s="1" t="str">
        <f>IFERROR(__xludf.DUMMYFUNCTION("""COMPUTED_VALUE"""),"Carroll")</f>
        <v>Carroll</v>
      </c>
      <c r="J1048" s="1" t="s">
        <v>23</v>
      </c>
      <c r="K1048" s="1" t="s">
        <v>791</v>
      </c>
      <c r="L1048" s="1" t="str">
        <f t="shared" si="2"/>
        <v>Miami</v>
      </c>
      <c r="M1048" s="1" t="s">
        <v>145</v>
      </c>
      <c r="N1048" s="1" t="str">
        <f t="shared" si="3"/>
        <v>Florida</v>
      </c>
      <c r="O1048" s="1">
        <v>33142.0</v>
      </c>
      <c r="P1048" s="1" t="s">
        <v>26</v>
      </c>
      <c r="Q1048" s="1" t="s">
        <v>27</v>
      </c>
      <c r="R1048" s="3">
        <v>102.36</v>
      </c>
      <c r="S1048" s="1">
        <v>3.0</v>
      </c>
      <c r="T1048" s="4">
        <v>101.47</v>
      </c>
    </row>
    <row r="1049">
      <c r="A1049" s="1" t="s">
        <v>1762</v>
      </c>
      <c r="B1049" s="2">
        <v>42151.0</v>
      </c>
      <c r="C1049" s="2" t="str">
        <f t="shared" si="1"/>
        <v>May</v>
      </c>
      <c r="D1049" s="6">
        <v>42010.0</v>
      </c>
      <c r="E1049" s="1" t="s">
        <v>20</v>
      </c>
      <c r="F1049" s="1" t="s">
        <v>337</v>
      </c>
      <c r="G1049" s="1" t="s">
        <v>338</v>
      </c>
      <c r="H1049" s="1" t="str">
        <f>IFERROR(__xludf.DUMMYFUNCTION("split(G1049,"" "")"),"Lena")</f>
        <v>Lena</v>
      </c>
      <c r="I1049" s="1" t="str">
        <f>IFERROR(__xludf.DUMMYFUNCTION("""COMPUTED_VALUE"""),"Creighton")</f>
        <v>Creighton</v>
      </c>
      <c r="J1049" s="1" t="s">
        <v>23</v>
      </c>
      <c r="K1049" s="1" t="s">
        <v>87</v>
      </c>
      <c r="L1049" s="1" t="str">
        <f t="shared" si="2"/>
        <v>San Francisco</v>
      </c>
      <c r="M1049" s="1" t="s">
        <v>52</v>
      </c>
      <c r="N1049" s="1" t="str">
        <f t="shared" si="3"/>
        <v>California</v>
      </c>
      <c r="O1049" s="1">
        <v>94109.0</v>
      </c>
      <c r="P1049" s="1" t="s">
        <v>37</v>
      </c>
      <c r="Q1049" s="1" t="s">
        <v>51</v>
      </c>
      <c r="R1049" s="3">
        <v>1113.504</v>
      </c>
      <c r="S1049" s="1">
        <v>9.0</v>
      </c>
      <c r="T1049" s="4">
        <v>1113.45</v>
      </c>
    </row>
    <row r="1050">
      <c r="A1050" s="1" t="s">
        <v>1762</v>
      </c>
      <c r="B1050" s="2">
        <v>42151.0</v>
      </c>
      <c r="C1050" s="2" t="str">
        <f t="shared" si="1"/>
        <v>May</v>
      </c>
      <c r="D1050" s="6">
        <v>42010.0</v>
      </c>
      <c r="E1050" s="1" t="s">
        <v>20</v>
      </c>
      <c r="F1050" s="1" t="s">
        <v>337</v>
      </c>
      <c r="G1050" s="1" t="s">
        <v>338</v>
      </c>
      <c r="H1050" s="1" t="str">
        <f>IFERROR(__xludf.DUMMYFUNCTION("split(G1050,"" "")"),"Lena")</f>
        <v>Lena</v>
      </c>
      <c r="I1050" s="1" t="str">
        <f>IFERROR(__xludf.DUMMYFUNCTION("""COMPUTED_VALUE"""),"Creighton")</f>
        <v>Creighton</v>
      </c>
      <c r="J1050" s="1" t="s">
        <v>23</v>
      </c>
      <c r="K1050" s="1" t="s">
        <v>87</v>
      </c>
      <c r="L1050" s="1" t="str">
        <f t="shared" si="2"/>
        <v>San Francisco</v>
      </c>
      <c r="M1050" s="1" t="s">
        <v>52</v>
      </c>
      <c r="N1050" s="1" t="str">
        <f t="shared" si="3"/>
        <v>California</v>
      </c>
      <c r="O1050" s="1">
        <v>94109.0</v>
      </c>
      <c r="P1050" s="1" t="s">
        <v>37</v>
      </c>
      <c r="Q1050" s="1" t="s">
        <v>51</v>
      </c>
      <c r="R1050" s="3">
        <v>99.99</v>
      </c>
      <c r="S1050" s="1">
        <v>9.0</v>
      </c>
      <c r="T1050" s="4">
        <v>99.38</v>
      </c>
    </row>
    <row r="1051">
      <c r="A1051" s="1" t="s">
        <v>1763</v>
      </c>
      <c r="B1051" s="2">
        <v>42436.0</v>
      </c>
      <c r="C1051" s="2" t="str">
        <f t="shared" si="1"/>
        <v>Mar</v>
      </c>
      <c r="D1051" s="6">
        <v>42497.0</v>
      </c>
      <c r="E1051" s="1" t="s">
        <v>121</v>
      </c>
      <c r="F1051" s="1" t="s">
        <v>1764</v>
      </c>
      <c r="G1051" s="1" t="s">
        <v>1765</v>
      </c>
      <c r="H1051" s="1" t="str">
        <f>IFERROR(__xludf.DUMMYFUNCTION("split(G1051,"" "")"),"Deirdre")</f>
        <v>Deirdre</v>
      </c>
      <c r="I1051" s="1" t="str">
        <f>IFERROR(__xludf.DUMMYFUNCTION("""COMPUTED_VALUE"""),"Greer")</f>
        <v>Greer</v>
      </c>
      <c r="J1051" s="1" t="s">
        <v>34</v>
      </c>
      <c r="K1051" s="1" t="s">
        <v>98</v>
      </c>
      <c r="L1051" s="1" t="str">
        <f t="shared" si="2"/>
        <v>Philadelphia</v>
      </c>
      <c r="M1051" s="1" t="s">
        <v>99</v>
      </c>
      <c r="N1051" s="1" t="str">
        <f t="shared" si="3"/>
        <v>Pennsylvania</v>
      </c>
      <c r="O1051" s="1">
        <v>19134.0</v>
      </c>
      <c r="P1051" s="1" t="s">
        <v>100</v>
      </c>
      <c r="Q1051" s="1" t="s">
        <v>27</v>
      </c>
      <c r="R1051" s="3">
        <v>168.464</v>
      </c>
      <c r="S1051" s="1">
        <v>1.0</v>
      </c>
      <c r="T1051" s="4">
        <v>168.38</v>
      </c>
    </row>
    <row r="1052">
      <c r="A1052" s="1" t="s">
        <v>1763</v>
      </c>
      <c r="B1052" s="2">
        <v>42436.0</v>
      </c>
      <c r="C1052" s="2" t="str">
        <f t="shared" si="1"/>
        <v>Mar</v>
      </c>
      <c r="D1052" s="6">
        <v>42497.0</v>
      </c>
      <c r="E1052" s="1" t="s">
        <v>121</v>
      </c>
      <c r="F1052" s="1" t="s">
        <v>1764</v>
      </c>
      <c r="G1052" s="1" t="s">
        <v>1765</v>
      </c>
      <c r="H1052" s="1" t="str">
        <f>IFERROR(__xludf.DUMMYFUNCTION("split(G1052,"" "")"),"Deirdre")</f>
        <v>Deirdre</v>
      </c>
      <c r="I1052" s="1" t="str">
        <f>IFERROR(__xludf.DUMMYFUNCTION("""COMPUTED_VALUE"""),"Greer")</f>
        <v>Greer</v>
      </c>
      <c r="J1052" s="1" t="s">
        <v>34</v>
      </c>
      <c r="K1052" s="1" t="s">
        <v>98</v>
      </c>
      <c r="L1052" s="1" t="str">
        <f t="shared" si="2"/>
        <v>Philadelphia</v>
      </c>
      <c r="M1052" s="1" t="s">
        <v>99</v>
      </c>
      <c r="N1052" s="1" t="str">
        <f t="shared" si="3"/>
        <v>Pennsylvania</v>
      </c>
      <c r="O1052" s="1">
        <v>19134.0</v>
      </c>
      <c r="P1052" s="1" t="s">
        <v>100</v>
      </c>
      <c r="Q1052" s="1" t="s">
        <v>38</v>
      </c>
      <c r="R1052" s="3">
        <v>6.72</v>
      </c>
      <c r="S1052" s="1">
        <v>1.0</v>
      </c>
      <c r="T1052" s="4">
        <v>6.39</v>
      </c>
    </row>
    <row r="1053">
      <c r="A1053" s="1" t="s">
        <v>1763</v>
      </c>
      <c r="B1053" s="2">
        <v>42436.0</v>
      </c>
      <c r="C1053" s="2" t="str">
        <f t="shared" si="1"/>
        <v>Mar</v>
      </c>
      <c r="D1053" s="6">
        <v>42497.0</v>
      </c>
      <c r="E1053" s="1" t="s">
        <v>121</v>
      </c>
      <c r="F1053" s="1" t="s">
        <v>1764</v>
      </c>
      <c r="G1053" s="1" t="s">
        <v>1765</v>
      </c>
      <c r="H1053" s="1" t="str">
        <f>IFERROR(__xludf.DUMMYFUNCTION("split(G1053,"" "")"),"Deirdre")</f>
        <v>Deirdre</v>
      </c>
      <c r="I1053" s="1" t="str">
        <f>IFERROR(__xludf.DUMMYFUNCTION("""COMPUTED_VALUE"""),"Greer")</f>
        <v>Greer</v>
      </c>
      <c r="J1053" s="1" t="s">
        <v>34</v>
      </c>
      <c r="K1053" s="1" t="s">
        <v>98</v>
      </c>
      <c r="L1053" s="1" t="str">
        <f t="shared" si="2"/>
        <v>Philadelphia</v>
      </c>
      <c r="M1053" s="1" t="s">
        <v>99</v>
      </c>
      <c r="N1053" s="1" t="str">
        <f t="shared" si="3"/>
        <v>Pennsylvania</v>
      </c>
      <c r="O1053" s="1">
        <v>19134.0</v>
      </c>
      <c r="P1053" s="1" t="s">
        <v>100</v>
      </c>
      <c r="Q1053" s="1" t="s">
        <v>27</v>
      </c>
      <c r="R1053" s="3">
        <v>282.888</v>
      </c>
      <c r="S1053" s="1">
        <v>1.0</v>
      </c>
      <c r="T1053" s="4">
        <v>282.12</v>
      </c>
    </row>
    <row r="1054">
      <c r="A1054" s="1" t="s">
        <v>1766</v>
      </c>
      <c r="B1054" s="2">
        <v>42464.0</v>
      </c>
      <c r="C1054" s="2" t="str">
        <f t="shared" si="1"/>
        <v>Apr</v>
      </c>
      <c r="D1054" s="6">
        <v>42586.0</v>
      </c>
      <c r="E1054" s="1" t="s">
        <v>41</v>
      </c>
      <c r="F1054" s="1" t="s">
        <v>1767</v>
      </c>
      <c r="G1054" s="1" t="s">
        <v>1768</v>
      </c>
      <c r="H1054" s="1" t="str">
        <f>IFERROR(__xludf.DUMMYFUNCTION("split(G1054,"" "")"),"Nicole")</f>
        <v>Nicole</v>
      </c>
      <c r="I1054" s="1" t="str">
        <f>IFERROR(__xludf.DUMMYFUNCTION("""COMPUTED_VALUE"""),"Fjeld")</f>
        <v>Fjeld</v>
      </c>
      <c r="J1054" s="1" t="s">
        <v>68</v>
      </c>
      <c r="K1054" s="1" t="s">
        <v>174</v>
      </c>
      <c r="L1054" s="1" t="str">
        <f t="shared" si="2"/>
        <v>New York City</v>
      </c>
      <c r="M1054" s="1" t="s">
        <v>175</v>
      </c>
      <c r="N1054" s="1" t="str">
        <f t="shared" si="3"/>
        <v>New York</v>
      </c>
      <c r="O1054" s="1">
        <v>10009.0</v>
      </c>
      <c r="P1054" s="1" t="s">
        <v>100</v>
      </c>
      <c r="Q1054" s="1" t="s">
        <v>38</v>
      </c>
      <c r="R1054" s="3">
        <v>11.16</v>
      </c>
      <c r="S1054" s="1">
        <v>1.0</v>
      </c>
      <c r="T1054" s="4">
        <v>10.72</v>
      </c>
    </row>
    <row r="1055">
      <c r="A1055" s="1" t="s">
        <v>1766</v>
      </c>
      <c r="B1055" s="2">
        <v>42464.0</v>
      </c>
      <c r="C1055" s="2" t="str">
        <f t="shared" si="1"/>
        <v>Apr</v>
      </c>
      <c r="D1055" s="6">
        <v>42586.0</v>
      </c>
      <c r="E1055" s="1" t="s">
        <v>41</v>
      </c>
      <c r="F1055" s="1" t="s">
        <v>1767</v>
      </c>
      <c r="G1055" s="1" t="s">
        <v>1768</v>
      </c>
      <c r="H1055" s="1" t="str">
        <f>IFERROR(__xludf.DUMMYFUNCTION("split(G1055,"" "")"),"Nicole")</f>
        <v>Nicole</v>
      </c>
      <c r="I1055" s="1" t="str">
        <f>IFERROR(__xludf.DUMMYFUNCTION("""COMPUTED_VALUE"""),"Fjeld")</f>
        <v>Fjeld</v>
      </c>
      <c r="J1055" s="1" t="s">
        <v>68</v>
      </c>
      <c r="K1055" s="1" t="s">
        <v>174</v>
      </c>
      <c r="L1055" s="1" t="str">
        <f t="shared" si="2"/>
        <v>New York City</v>
      </c>
      <c r="M1055" s="1" t="s">
        <v>175</v>
      </c>
      <c r="N1055" s="1" t="str">
        <f t="shared" si="3"/>
        <v>New York</v>
      </c>
      <c r="O1055" s="1">
        <v>10009.0</v>
      </c>
      <c r="P1055" s="1" t="s">
        <v>100</v>
      </c>
      <c r="Q1055" s="1" t="s">
        <v>27</v>
      </c>
      <c r="R1055" s="3">
        <v>108.4</v>
      </c>
      <c r="S1055" s="1">
        <v>1.0</v>
      </c>
      <c r="T1055" s="4">
        <v>107.97</v>
      </c>
    </row>
    <row r="1056">
      <c r="A1056" s="1" t="s">
        <v>1766</v>
      </c>
      <c r="B1056" s="2">
        <v>42464.0</v>
      </c>
      <c r="C1056" s="2" t="str">
        <f t="shared" si="1"/>
        <v>Apr</v>
      </c>
      <c r="D1056" s="6">
        <v>42586.0</v>
      </c>
      <c r="E1056" s="1" t="s">
        <v>41</v>
      </c>
      <c r="F1056" s="1" t="s">
        <v>1767</v>
      </c>
      <c r="G1056" s="1" t="s">
        <v>1768</v>
      </c>
      <c r="H1056" s="1" t="str">
        <f>IFERROR(__xludf.DUMMYFUNCTION("split(G1056,"" "")"),"Nicole")</f>
        <v>Nicole</v>
      </c>
      <c r="I1056" s="1" t="str">
        <f>IFERROR(__xludf.DUMMYFUNCTION("""COMPUTED_VALUE"""),"Fjeld")</f>
        <v>Fjeld</v>
      </c>
      <c r="J1056" s="1" t="s">
        <v>68</v>
      </c>
      <c r="K1056" s="1" t="s">
        <v>174</v>
      </c>
      <c r="L1056" s="1" t="str">
        <f t="shared" si="2"/>
        <v>New York City</v>
      </c>
      <c r="M1056" s="1" t="s">
        <v>175</v>
      </c>
      <c r="N1056" s="1" t="str">
        <f t="shared" si="3"/>
        <v>New York</v>
      </c>
      <c r="O1056" s="1">
        <v>10009.0</v>
      </c>
      <c r="P1056" s="1" t="s">
        <v>100</v>
      </c>
      <c r="Q1056" s="1" t="s">
        <v>38</v>
      </c>
      <c r="R1056" s="3">
        <v>82.344</v>
      </c>
      <c r="S1056" s="1">
        <v>1.0</v>
      </c>
      <c r="T1056" s="4">
        <v>82.25</v>
      </c>
    </row>
    <row r="1057">
      <c r="A1057" s="1" t="s">
        <v>1766</v>
      </c>
      <c r="B1057" s="2">
        <v>42464.0</v>
      </c>
      <c r="C1057" s="2" t="str">
        <f t="shared" si="1"/>
        <v>Apr</v>
      </c>
      <c r="D1057" s="6">
        <v>42586.0</v>
      </c>
      <c r="E1057" s="1" t="s">
        <v>41</v>
      </c>
      <c r="F1057" s="1" t="s">
        <v>1767</v>
      </c>
      <c r="G1057" s="1" t="s">
        <v>1768</v>
      </c>
      <c r="H1057" s="1" t="str">
        <f>IFERROR(__xludf.DUMMYFUNCTION("split(G1057,"" "")"),"Nicole")</f>
        <v>Nicole</v>
      </c>
      <c r="I1057" s="1" t="str">
        <f>IFERROR(__xludf.DUMMYFUNCTION("""COMPUTED_VALUE"""),"Fjeld")</f>
        <v>Fjeld</v>
      </c>
      <c r="J1057" s="1" t="s">
        <v>68</v>
      </c>
      <c r="K1057" s="1" t="s">
        <v>174</v>
      </c>
      <c r="L1057" s="1" t="str">
        <f t="shared" si="2"/>
        <v>New York City</v>
      </c>
      <c r="M1057" s="1" t="s">
        <v>175</v>
      </c>
      <c r="N1057" s="1" t="str">
        <f t="shared" si="3"/>
        <v>New York</v>
      </c>
      <c r="O1057" s="1">
        <v>10009.0</v>
      </c>
      <c r="P1057" s="1" t="s">
        <v>100</v>
      </c>
      <c r="Q1057" s="1" t="s">
        <v>38</v>
      </c>
      <c r="R1057" s="3">
        <v>9.088</v>
      </c>
      <c r="S1057" s="1">
        <v>1.0</v>
      </c>
      <c r="T1057" s="4">
        <v>8.58</v>
      </c>
    </row>
    <row r="1058">
      <c r="A1058" s="1" t="s">
        <v>1769</v>
      </c>
      <c r="B1058" s="2">
        <v>43385.0</v>
      </c>
      <c r="C1058" s="2" t="str">
        <f t="shared" si="1"/>
        <v>Oct</v>
      </c>
      <c r="D1058" s="1" t="s">
        <v>1770</v>
      </c>
      <c r="E1058" s="1" t="s">
        <v>41</v>
      </c>
      <c r="F1058" s="1" t="s">
        <v>631</v>
      </c>
      <c r="G1058" s="1" t="s">
        <v>632</v>
      </c>
      <c r="H1058" s="1" t="str">
        <f>IFERROR(__xludf.DUMMYFUNCTION("split(G1058,"" "")"),"Ben")</f>
        <v>Ben</v>
      </c>
      <c r="I1058" s="1" t="str">
        <f>IFERROR(__xludf.DUMMYFUNCTION("""COMPUTED_VALUE"""),"Peterman")</f>
        <v>Peterman</v>
      </c>
      <c r="J1058" s="1" t="s">
        <v>34</v>
      </c>
      <c r="K1058" s="1" t="s">
        <v>542</v>
      </c>
      <c r="L1058" s="1" t="str">
        <f t="shared" si="2"/>
        <v>San Diego</v>
      </c>
      <c r="M1058" s="1" t="s">
        <v>52</v>
      </c>
      <c r="N1058" s="1" t="str">
        <f t="shared" si="3"/>
        <v>California</v>
      </c>
      <c r="O1058" s="1">
        <v>92037.0</v>
      </c>
      <c r="P1058" s="1" t="s">
        <v>37</v>
      </c>
      <c r="Q1058" s="1" t="s">
        <v>38</v>
      </c>
      <c r="R1058" s="3">
        <v>19.936</v>
      </c>
      <c r="S1058" s="1">
        <v>9.0</v>
      </c>
      <c r="T1058" s="4">
        <v>19.71</v>
      </c>
    </row>
    <row r="1059">
      <c r="A1059" s="1" t="s">
        <v>1769</v>
      </c>
      <c r="B1059" s="2">
        <v>43385.0</v>
      </c>
      <c r="C1059" s="2" t="str">
        <f t="shared" si="1"/>
        <v>Oct</v>
      </c>
      <c r="D1059" s="1" t="s">
        <v>1770</v>
      </c>
      <c r="E1059" s="1" t="s">
        <v>41</v>
      </c>
      <c r="F1059" s="1" t="s">
        <v>631</v>
      </c>
      <c r="G1059" s="1" t="s">
        <v>632</v>
      </c>
      <c r="H1059" s="1" t="str">
        <f>IFERROR(__xludf.DUMMYFUNCTION("split(G1059,"" "")"),"Ben")</f>
        <v>Ben</v>
      </c>
      <c r="I1059" s="1" t="str">
        <f>IFERROR(__xludf.DUMMYFUNCTION("""COMPUTED_VALUE"""),"Peterman")</f>
        <v>Peterman</v>
      </c>
      <c r="J1059" s="1" t="s">
        <v>34</v>
      </c>
      <c r="K1059" s="1" t="s">
        <v>542</v>
      </c>
      <c r="L1059" s="1" t="str">
        <f t="shared" si="2"/>
        <v>San Diego</v>
      </c>
      <c r="M1059" s="1" t="s">
        <v>52</v>
      </c>
      <c r="N1059" s="1" t="str">
        <f t="shared" si="3"/>
        <v>California</v>
      </c>
      <c r="O1059" s="1">
        <v>92037.0</v>
      </c>
      <c r="P1059" s="1" t="s">
        <v>37</v>
      </c>
      <c r="Q1059" s="1" t="s">
        <v>38</v>
      </c>
      <c r="R1059" s="3">
        <v>65.568</v>
      </c>
      <c r="S1059" s="1">
        <v>9.0</v>
      </c>
      <c r="T1059" s="4">
        <v>65.56</v>
      </c>
    </row>
    <row r="1060">
      <c r="A1060" s="1" t="s">
        <v>1771</v>
      </c>
      <c r="B1060" s="2">
        <v>43063.0</v>
      </c>
      <c r="C1060" s="2" t="str">
        <f t="shared" si="1"/>
        <v>Nov</v>
      </c>
      <c r="D1060" s="6">
        <v>42747.0</v>
      </c>
      <c r="E1060" s="1" t="s">
        <v>41</v>
      </c>
      <c r="F1060" s="1" t="s">
        <v>1772</v>
      </c>
      <c r="G1060" s="1" t="s">
        <v>1773</v>
      </c>
      <c r="H1060" s="1" t="str">
        <f>IFERROR(__xludf.DUMMYFUNCTION("split(G1060,"" "")"),"Matthew")</f>
        <v>Matthew</v>
      </c>
      <c r="I1060" s="1" t="str">
        <f>IFERROR(__xludf.DUMMYFUNCTION("""COMPUTED_VALUE"""),"Grinstein")</f>
        <v>Grinstein</v>
      </c>
      <c r="J1060" s="1" t="s">
        <v>68</v>
      </c>
      <c r="K1060" s="1" t="s">
        <v>98</v>
      </c>
      <c r="L1060" s="1" t="str">
        <f t="shared" si="2"/>
        <v>Philadelphia</v>
      </c>
      <c r="M1060" s="1" t="s">
        <v>99</v>
      </c>
      <c r="N1060" s="1" t="str">
        <f t="shared" si="3"/>
        <v>Pennsylvania</v>
      </c>
      <c r="O1060" s="1">
        <v>19143.0</v>
      </c>
      <c r="P1060" s="1" t="s">
        <v>100</v>
      </c>
      <c r="Q1060" s="1" t="s">
        <v>38</v>
      </c>
      <c r="R1060" s="3">
        <v>4.416</v>
      </c>
      <c r="S1060" s="1">
        <v>1.0</v>
      </c>
      <c r="T1060" s="4">
        <v>3.72</v>
      </c>
    </row>
    <row r="1061">
      <c r="A1061" s="1" t="s">
        <v>1774</v>
      </c>
      <c r="B1061" s="2">
        <v>42452.0</v>
      </c>
      <c r="C1061" s="2" t="str">
        <f t="shared" si="1"/>
        <v>Mar</v>
      </c>
      <c r="D1061" s="1" t="s">
        <v>1775</v>
      </c>
      <c r="E1061" s="1" t="s">
        <v>41</v>
      </c>
      <c r="F1061" s="1" t="s">
        <v>713</v>
      </c>
      <c r="G1061" s="1" t="s">
        <v>714</v>
      </c>
      <c r="H1061" s="1" t="str">
        <f>IFERROR(__xludf.DUMMYFUNCTION("split(G1061,"" "")"),"Julia")</f>
        <v>Julia</v>
      </c>
      <c r="I1061" s="1" t="str">
        <f>IFERROR(__xludf.DUMMYFUNCTION("""COMPUTED_VALUE"""),"Dunbar")</f>
        <v>Dunbar</v>
      </c>
      <c r="J1061" s="1" t="s">
        <v>23</v>
      </c>
      <c r="K1061" s="1" t="s">
        <v>129</v>
      </c>
      <c r="L1061" s="1" t="str">
        <f t="shared" si="2"/>
        <v>Houston</v>
      </c>
      <c r="M1061" s="1" t="s">
        <v>70</v>
      </c>
      <c r="N1061" s="1" t="str">
        <f t="shared" si="3"/>
        <v>Texas</v>
      </c>
      <c r="O1061" s="1">
        <v>77095.0</v>
      </c>
      <c r="P1061" s="1" t="s">
        <v>71</v>
      </c>
      <c r="Q1061" s="1" t="s">
        <v>27</v>
      </c>
      <c r="R1061" s="3">
        <v>107.772</v>
      </c>
      <c r="S1061" s="1">
        <v>7.0</v>
      </c>
      <c r="T1061" s="4">
        <v>107.11</v>
      </c>
    </row>
    <row r="1062">
      <c r="A1062" s="1" t="s">
        <v>1776</v>
      </c>
      <c r="B1062" s="2">
        <v>42476.0</v>
      </c>
      <c r="C1062" s="2" t="str">
        <f t="shared" si="1"/>
        <v>Apr</v>
      </c>
      <c r="D1062" s="1" t="s">
        <v>1777</v>
      </c>
      <c r="E1062" s="1" t="s">
        <v>41</v>
      </c>
      <c r="F1062" s="1" t="s">
        <v>1778</v>
      </c>
      <c r="G1062" s="1" t="s">
        <v>1779</v>
      </c>
      <c r="H1062" s="1" t="str">
        <f>IFERROR(__xludf.DUMMYFUNCTION("split(G1062,"" "")"),"Theresa")</f>
        <v>Theresa</v>
      </c>
      <c r="I1062" s="1" t="str">
        <f>IFERROR(__xludf.DUMMYFUNCTION("""COMPUTED_VALUE"""),"Swint")</f>
        <v>Swint</v>
      </c>
      <c r="J1062" s="1" t="s">
        <v>34</v>
      </c>
      <c r="K1062" s="1" t="s">
        <v>1598</v>
      </c>
      <c r="L1062" s="1" t="str">
        <f t="shared" si="2"/>
        <v>Toledo</v>
      </c>
      <c r="M1062" s="1" t="s">
        <v>304</v>
      </c>
      <c r="N1062" s="1" t="str">
        <f t="shared" si="3"/>
        <v>Ohio</v>
      </c>
      <c r="O1062" s="1">
        <v>43615.0</v>
      </c>
      <c r="P1062" s="1" t="s">
        <v>100</v>
      </c>
      <c r="Q1062" s="1" t="s">
        <v>38</v>
      </c>
      <c r="R1062" s="3">
        <v>45.216</v>
      </c>
      <c r="S1062" s="1">
        <v>4.0</v>
      </c>
      <c r="T1062" s="4">
        <v>44.86</v>
      </c>
    </row>
    <row r="1063">
      <c r="A1063" s="1" t="s">
        <v>1776</v>
      </c>
      <c r="B1063" s="2">
        <v>42476.0</v>
      </c>
      <c r="C1063" s="2" t="str">
        <f t="shared" si="1"/>
        <v>Apr</v>
      </c>
      <c r="D1063" s="1" t="s">
        <v>1777</v>
      </c>
      <c r="E1063" s="1" t="s">
        <v>41</v>
      </c>
      <c r="F1063" s="1" t="s">
        <v>1778</v>
      </c>
      <c r="G1063" s="1" t="s">
        <v>1779</v>
      </c>
      <c r="H1063" s="1" t="str">
        <f>IFERROR(__xludf.DUMMYFUNCTION("split(G1063,"" "")"),"Theresa")</f>
        <v>Theresa</v>
      </c>
      <c r="I1063" s="1" t="str">
        <f>IFERROR(__xludf.DUMMYFUNCTION("""COMPUTED_VALUE"""),"Swint")</f>
        <v>Swint</v>
      </c>
      <c r="J1063" s="1" t="s">
        <v>34</v>
      </c>
      <c r="K1063" s="1" t="s">
        <v>1598</v>
      </c>
      <c r="L1063" s="1" t="str">
        <f t="shared" si="2"/>
        <v>Toledo</v>
      </c>
      <c r="M1063" s="1" t="s">
        <v>304</v>
      </c>
      <c r="N1063" s="1" t="str">
        <f t="shared" si="3"/>
        <v>Ohio</v>
      </c>
      <c r="O1063" s="1">
        <v>43615.0</v>
      </c>
      <c r="P1063" s="1" t="s">
        <v>100</v>
      </c>
      <c r="Q1063" s="1" t="s">
        <v>38</v>
      </c>
      <c r="R1063" s="3">
        <v>10.416</v>
      </c>
      <c r="S1063" s="1">
        <v>4.0</v>
      </c>
      <c r="T1063" s="4">
        <v>10.07</v>
      </c>
    </row>
    <row r="1064">
      <c r="A1064" s="1" t="s">
        <v>1776</v>
      </c>
      <c r="B1064" s="2">
        <v>42476.0</v>
      </c>
      <c r="C1064" s="2" t="str">
        <f t="shared" si="1"/>
        <v>Apr</v>
      </c>
      <c r="D1064" s="1" t="s">
        <v>1777</v>
      </c>
      <c r="E1064" s="1" t="s">
        <v>41</v>
      </c>
      <c r="F1064" s="1" t="s">
        <v>1778</v>
      </c>
      <c r="G1064" s="1" t="s">
        <v>1779</v>
      </c>
      <c r="H1064" s="1" t="str">
        <f>IFERROR(__xludf.DUMMYFUNCTION("split(G1064,"" "")"),"Theresa")</f>
        <v>Theresa</v>
      </c>
      <c r="I1064" s="1" t="str">
        <f>IFERROR(__xludf.DUMMYFUNCTION("""COMPUTED_VALUE"""),"Swint")</f>
        <v>Swint</v>
      </c>
      <c r="J1064" s="1" t="s">
        <v>34</v>
      </c>
      <c r="K1064" s="1" t="s">
        <v>1598</v>
      </c>
      <c r="L1064" s="1" t="str">
        <f t="shared" si="2"/>
        <v>Toledo</v>
      </c>
      <c r="M1064" s="1" t="s">
        <v>304</v>
      </c>
      <c r="N1064" s="1" t="str">
        <f t="shared" si="3"/>
        <v>Ohio</v>
      </c>
      <c r="O1064" s="1">
        <v>43615.0</v>
      </c>
      <c r="P1064" s="1" t="s">
        <v>100</v>
      </c>
      <c r="Q1064" s="1" t="s">
        <v>38</v>
      </c>
      <c r="R1064" s="3">
        <v>7.872</v>
      </c>
      <c r="S1064" s="1">
        <v>4.0</v>
      </c>
      <c r="T1064" s="4">
        <v>6.89</v>
      </c>
    </row>
    <row r="1065">
      <c r="A1065" s="1" t="s">
        <v>1776</v>
      </c>
      <c r="B1065" s="2">
        <v>42476.0</v>
      </c>
      <c r="C1065" s="2" t="str">
        <f t="shared" si="1"/>
        <v>Apr</v>
      </c>
      <c r="D1065" s="1" t="s">
        <v>1777</v>
      </c>
      <c r="E1065" s="1" t="s">
        <v>41</v>
      </c>
      <c r="F1065" s="1" t="s">
        <v>1778</v>
      </c>
      <c r="G1065" s="1" t="s">
        <v>1779</v>
      </c>
      <c r="H1065" s="1" t="str">
        <f>IFERROR(__xludf.DUMMYFUNCTION("split(G1065,"" "")"),"Theresa")</f>
        <v>Theresa</v>
      </c>
      <c r="I1065" s="1" t="str">
        <f>IFERROR(__xludf.DUMMYFUNCTION("""COMPUTED_VALUE"""),"Swint")</f>
        <v>Swint</v>
      </c>
      <c r="J1065" s="1" t="s">
        <v>34</v>
      </c>
      <c r="K1065" s="1" t="s">
        <v>1598</v>
      </c>
      <c r="L1065" s="1" t="str">
        <f t="shared" si="2"/>
        <v>Toledo</v>
      </c>
      <c r="M1065" s="1" t="s">
        <v>304</v>
      </c>
      <c r="N1065" s="1" t="str">
        <f t="shared" si="3"/>
        <v>Ohio</v>
      </c>
      <c r="O1065" s="1">
        <v>43615.0</v>
      </c>
      <c r="P1065" s="1" t="s">
        <v>100</v>
      </c>
      <c r="Q1065" s="1" t="s">
        <v>51</v>
      </c>
      <c r="R1065" s="3">
        <v>118.782</v>
      </c>
      <c r="S1065" s="1">
        <v>4.0</v>
      </c>
      <c r="T1065" s="4">
        <v>117.94</v>
      </c>
    </row>
    <row r="1066">
      <c r="A1066" s="1" t="s">
        <v>1776</v>
      </c>
      <c r="B1066" s="2">
        <v>42476.0</v>
      </c>
      <c r="C1066" s="2" t="str">
        <f t="shared" si="1"/>
        <v>Apr</v>
      </c>
      <c r="D1066" s="1" t="s">
        <v>1777</v>
      </c>
      <c r="E1066" s="1" t="s">
        <v>41</v>
      </c>
      <c r="F1066" s="1" t="s">
        <v>1778</v>
      </c>
      <c r="G1066" s="1" t="s">
        <v>1779</v>
      </c>
      <c r="H1066" s="1" t="str">
        <f>IFERROR(__xludf.DUMMYFUNCTION("split(G1066,"" "")"),"Theresa")</f>
        <v>Theresa</v>
      </c>
      <c r="I1066" s="1" t="str">
        <f>IFERROR(__xludf.DUMMYFUNCTION("""COMPUTED_VALUE"""),"Swint")</f>
        <v>Swint</v>
      </c>
      <c r="J1066" s="1" t="s">
        <v>34</v>
      </c>
      <c r="K1066" s="1" t="s">
        <v>1598</v>
      </c>
      <c r="L1066" s="1" t="str">
        <f t="shared" si="2"/>
        <v>Toledo</v>
      </c>
      <c r="M1066" s="1" t="s">
        <v>304</v>
      </c>
      <c r="N1066" s="1" t="str">
        <f t="shared" si="3"/>
        <v>Ohio</v>
      </c>
      <c r="O1066" s="1">
        <v>43615.0</v>
      </c>
      <c r="P1066" s="1" t="s">
        <v>100</v>
      </c>
      <c r="Q1066" s="1" t="s">
        <v>38</v>
      </c>
      <c r="R1066" s="3">
        <v>1.448</v>
      </c>
      <c r="S1066" s="1">
        <v>4.0</v>
      </c>
      <c r="T1066" s="4">
        <v>1.02</v>
      </c>
    </row>
    <row r="1067">
      <c r="A1067" s="1" t="s">
        <v>1776</v>
      </c>
      <c r="B1067" s="2">
        <v>42476.0</v>
      </c>
      <c r="C1067" s="2" t="str">
        <f t="shared" si="1"/>
        <v>Apr</v>
      </c>
      <c r="D1067" s="1" t="s">
        <v>1777</v>
      </c>
      <c r="E1067" s="1" t="s">
        <v>41</v>
      </c>
      <c r="F1067" s="1" t="s">
        <v>1778</v>
      </c>
      <c r="G1067" s="1" t="s">
        <v>1779</v>
      </c>
      <c r="H1067" s="1" t="str">
        <f>IFERROR(__xludf.DUMMYFUNCTION("split(G1067,"" "")"),"Theresa")</f>
        <v>Theresa</v>
      </c>
      <c r="I1067" s="1" t="str">
        <f>IFERROR(__xludf.DUMMYFUNCTION("""COMPUTED_VALUE"""),"Swint")</f>
        <v>Swint</v>
      </c>
      <c r="J1067" s="1" t="s">
        <v>34</v>
      </c>
      <c r="K1067" s="1" t="s">
        <v>1598</v>
      </c>
      <c r="L1067" s="1" t="str">
        <f t="shared" si="2"/>
        <v>Toledo</v>
      </c>
      <c r="M1067" s="1" t="s">
        <v>304</v>
      </c>
      <c r="N1067" s="1" t="str">
        <f t="shared" si="3"/>
        <v>Ohio</v>
      </c>
      <c r="O1067" s="1">
        <v>43615.0</v>
      </c>
      <c r="P1067" s="1" t="s">
        <v>100</v>
      </c>
      <c r="Q1067" s="1" t="s">
        <v>38</v>
      </c>
      <c r="R1067" s="3">
        <v>55.47</v>
      </c>
      <c r="S1067" s="1">
        <v>4.0</v>
      </c>
      <c r="T1067" s="4">
        <v>55.24</v>
      </c>
    </row>
    <row r="1068">
      <c r="A1068" s="1" t="s">
        <v>1780</v>
      </c>
      <c r="B1068" s="2">
        <v>42745.0</v>
      </c>
      <c r="C1068" s="2" t="str">
        <f t="shared" si="1"/>
        <v>Jan</v>
      </c>
      <c r="D1068" s="6">
        <v>42776.0</v>
      </c>
      <c r="E1068" s="1" t="s">
        <v>121</v>
      </c>
      <c r="F1068" s="1" t="s">
        <v>1781</v>
      </c>
      <c r="G1068" s="1" t="s">
        <v>1782</v>
      </c>
      <c r="H1068" s="1" t="str">
        <f>IFERROR(__xludf.DUMMYFUNCTION("split(G1068,"" "")"),"Brian")</f>
        <v>Brian</v>
      </c>
      <c r="I1068" s="1" t="str">
        <f>IFERROR(__xludf.DUMMYFUNCTION("""COMPUTED_VALUE"""),"DeCherney")</f>
        <v>DeCherney</v>
      </c>
      <c r="J1068" s="1" t="s">
        <v>23</v>
      </c>
      <c r="K1068" s="1" t="s">
        <v>87</v>
      </c>
      <c r="L1068" s="1" t="str">
        <f t="shared" si="2"/>
        <v>San Francisco</v>
      </c>
      <c r="M1068" s="1" t="s">
        <v>52</v>
      </c>
      <c r="N1068" s="1" t="str">
        <f t="shared" si="3"/>
        <v>California</v>
      </c>
      <c r="O1068" s="1">
        <v>94122.0</v>
      </c>
      <c r="P1068" s="1" t="s">
        <v>37</v>
      </c>
      <c r="Q1068" s="1" t="s">
        <v>27</v>
      </c>
      <c r="R1068" s="3">
        <v>194.848</v>
      </c>
      <c r="S1068" s="1">
        <v>9.0</v>
      </c>
      <c r="T1068" s="4">
        <v>194.79</v>
      </c>
    </row>
    <row r="1069">
      <c r="A1069" s="1" t="s">
        <v>1783</v>
      </c>
      <c r="B1069" s="2">
        <v>43371.0</v>
      </c>
      <c r="C1069" s="2" t="str">
        <f t="shared" si="1"/>
        <v>Sep</v>
      </c>
      <c r="D1069" s="1" t="s">
        <v>1784</v>
      </c>
      <c r="E1069" s="1" t="s">
        <v>20</v>
      </c>
      <c r="F1069" s="1" t="s">
        <v>1785</v>
      </c>
      <c r="G1069" s="1" t="s">
        <v>1786</v>
      </c>
      <c r="H1069" s="1" t="str">
        <f>IFERROR(__xludf.DUMMYFUNCTION("split(G1069,"" "")"),"Charles")</f>
        <v>Charles</v>
      </c>
      <c r="I1069" s="1" t="str">
        <f>IFERROR(__xludf.DUMMYFUNCTION("""COMPUTED_VALUE"""),"McCrossin")</f>
        <v>McCrossin</v>
      </c>
      <c r="J1069" s="1" t="s">
        <v>23</v>
      </c>
      <c r="K1069" s="1" t="s">
        <v>1787</v>
      </c>
      <c r="L1069" s="1" t="str">
        <f t="shared" si="2"/>
        <v>Brownsville</v>
      </c>
      <c r="M1069" s="1" t="s">
        <v>70</v>
      </c>
      <c r="N1069" s="1" t="str">
        <f t="shared" si="3"/>
        <v>Texas</v>
      </c>
      <c r="O1069" s="1">
        <v>78521.0</v>
      </c>
      <c r="P1069" s="1" t="s">
        <v>71</v>
      </c>
      <c r="Q1069" s="1" t="s">
        <v>38</v>
      </c>
      <c r="R1069" s="3">
        <v>1.744</v>
      </c>
      <c r="S1069" s="1">
        <v>7.0</v>
      </c>
      <c r="T1069" s="4">
        <v>0.85</v>
      </c>
    </row>
    <row r="1070">
      <c r="A1070" s="1" t="s">
        <v>1788</v>
      </c>
      <c r="B1070" s="2">
        <v>42576.0</v>
      </c>
      <c r="C1070" s="2" t="str">
        <f t="shared" si="1"/>
        <v>Jul</v>
      </c>
      <c r="D1070" s="1" t="s">
        <v>1789</v>
      </c>
      <c r="E1070" s="1" t="s">
        <v>41</v>
      </c>
      <c r="F1070" s="1" t="s">
        <v>841</v>
      </c>
      <c r="G1070" s="1" t="s">
        <v>842</v>
      </c>
      <c r="H1070" s="1" t="str">
        <f>IFERROR(__xludf.DUMMYFUNCTION("split(G1070,"" "")"),"Ross")</f>
        <v>Ross</v>
      </c>
      <c r="I1070" s="1" t="str">
        <f>IFERROR(__xludf.DUMMYFUNCTION("""COMPUTED_VALUE"""),"Baird")</f>
        <v>Baird</v>
      </c>
      <c r="J1070" s="1" t="s">
        <v>68</v>
      </c>
      <c r="K1070" s="1" t="s">
        <v>98</v>
      </c>
      <c r="L1070" s="1" t="str">
        <f t="shared" si="2"/>
        <v>Philadelphia</v>
      </c>
      <c r="M1070" s="1" t="s">
        <v>99</v>
      </c>
      <c r="N1070" s="1" t="str">
        <f t="shared" si="3"/>
        <v>Pennsylvania</v>
      </c>
      <c r="O1070" s="1">
        <v>19143.0</v>
      </c>
      <c r="P1070" s="1" t="s">
        <v>100</v>
      </c>
      <c r="Q1070" s="1" t="s">
        <v>38</v>
      </c>
      <c r="R1070" s="3">
        <v>25.176</v>
      </c>
      <c r="S1070" s="1">
        <v>1.0</v>
      </c>
      <c r="T1070" s="4">
        <v>24.35</v>
      </c>
    </row>
    <row r="1071">
      <c r="A1071" s="1" t="s">
        <v>1790</v>
      </c>
      <c r="B1071" s="2">
        <v>42694.0</v>
      </c>
      <c r="C1071" s="2" t="str">
        <f t="shared" si="1"/>
        <v>Nov</v>
      </c>
      <c r="D1071" s="1" t="s">
        <v>65</v>
      </c>
      <c r="E1071" s="1" t="s">
        <v>41</v>
      </c>
      <c r="F1071" s="1" t="s">
        <v>1791</v>
      </c>
      <c r="G1071" s="1" t="s">
        <v>1792</v>
      </c>
      <c r="H1071" s="1" t="str">
        <f>IFERROR(__xludf.DUMMYFUNCTION("split(G1071,"" "")"),"Skye")</f>
        <v>Skye</v>
      </c>
      <c r="I1071" s="1" t="str">
        <f>IFERROR(__xludf.DUMMYFUNCTION("""COMPUTED_VALUE"""),"Norling")</f>
        <v>Norling</v>
      </c>
      <c r="J1071" s="1" t="s">
        <v>68</v>
      </c>
      <c r="K1071" s="1" t="s">
        <v>35</v>
      </c>
      <c r="L1071" s="1" t="str">
        <f t="shared" si="2"/>
        <v>Los Angeles</v>
      </c>
      <c r="M1071" s="1" t="s">
        <v>52</v>
      </c>
      <c r="N1071" s="1" t="str">
        <f t="shared" si="3"/>
        <v>California</v>
      </c>
      <c r="O1071" s="1">
        <v>90008.0</v>
      </c>
      <c r="P1071" s="1" t="s">
        <v>37</v>
      </c>
      <c r="Q1071" s="1" t="s">
        <v>38</v>
      </c>
      <c r="R1071" s="3">
        <v>19.46</v>
      </c>
      <c r="S1071" s="1">
        <v>9.0</v>
      </c>
      <c r="T1071" s="4">
        <v>18.9</v>
      </c>
    </row>
    <row r="1072">
      <c r="A1072" s="1" t="s">
        <v>1793</v>
      </c>
      <c r="B1072" s="2">
        <v>42853.0</v>
      </c>
      <c r="C1072" s="2" t="str">
        <f t="shared" si="1"/>
        <v>Apr</v>
      </c>
      <c r="D1072" s="6">
        <v>42771.0</v>
      </c>
      <c r="E1072" s="1" t="s">
        <v>41</v>
      </c>
      <c r="F1072" s="1" t="s">
        <v>1794</v>
      </c>
      <c r="G1072" s="1" t="s">
        <v>1795</v>
      </c>
      <c r="H1072" s="1" t="str">
        <f>IFERROR(__xludf.DUMMYFUNCTION("split(G1072,"" "")"),"Erica")</f>
        <v>Erica</v>
      </c>
      <c r="I1072" s="1" t="str">
        <f>IFERROR(__xludf.DUMMYFUNCTION("""COMPUTED_VALUE"""),"Hernandez")</f>
        <v>Hernandez</v>
      </c>
      <c r="J1072" s="1" t="s">
        <v>68</v>
      </c>
      <c r="K1072" s="1" t="s">
        <v>475</v>
      </c>
      <c r="L1072" s="1" t="str">
        <f t="shared" si="2"/>
        <v>Denver</v>
      </c>
      <c r="M1072" s="1" t="s">
        <v>279</v>
      </c>
      <c r="N1072" s="1" t="str">
        <f t="shared" si="3"/>
        <v>Colorado</v>
      </c>
      <c r="O1072" s="1">
        <v>80219.0</v>
      </c>
      <c r="P1072" s="1" t="s">
        <v>37</v>
      </c>
      <c r="Q1072" s="1" t="s">
        <v>38</v>
      </c>
      <c r="R1072" s="3">
        <v>29.472</v>
      </c>
      <c r="S1072" s="1">
        <v>8.0</v>
      </c>
      <c r="T1072" s="4">
        <v>28.52</v>
      </c>
    </row>
    <row r="1073">
      <c r="A1073" s="1" t="s">
        <v>1796</v>
      </c>
      <c r="B1073" s="2">
        <v>43418.0</v>
      </c>
      <c r="C1073" s="2" t="str">
        <f t="shared" si="1"/>
        <v>Nov</v>
      </c>
      <c r="D1073" s="1" t="s">
        <v>1641</v>
      </c>
      <c r="E1073" s="1" t="s">
        <v>41</v>
      </c>
      <c r="F1073" s="1" t="s">
        <v>1797</v>
      </c>
      <c r="G1073" s="1" t="s">
        <v>1798</v>
      </c>
      <c r="H1073" s="1" t="str">
        <f>IFERROR(__xludf.DUMMYFUNCTION("split(G1073,"" "")"),"Frank")</f>
        <v>Frank</v>
      </c>
      <c r="I1073" s="1" t="str">
        <f>IFERROR(__xludf.DUMMYFUNCTION("""COMPUTED_VALUE"""),"Olsen")</f>
        <v>Olsen</v>
      </c>
      <c r="J1073" s="1" t="s">
        <v>23</v>
      </c>
      <c r="K1073" s="1" t="s">
        <v>174</v>
      </c>
      <c r="L1073" s="1" t="str">
        <f t="shared" si="2"/>
        <v>New York City</v>
      </c>
      <c r="M1073" s="1" t="s">
        <v>175</v>
      </c>
      <c r="N1073" s="1" t="str">
        <f t="shared" si="3"/>
        <v>New York</v>
      </c>
      <c r="O1073" s="1">
        <v>10035.0</v>
      </c>
      <c r="P1073" s="1" t="s">
        <v>100</v>
      </c>
      <c r="Q1073" s="1" t="s">
        <v>38</v>
      </c>
      <c r="R1073" s="3">
        <v>8.64</v>
      </c>
      <c r="S1073" s="1">
        <v>1.0</v>
      </c>
      <c r="T1073" s="4">
        <v>7.76</v>
      </c>
    </row>
    <row r="1074">
      <c r="A1074" s="1" t="s">
        <v>1799</v>
      </c>
      <c r="B1074" s="2">
        <v>43080.0</v>
      </c>
      <c r="C1074" s="2" t="str">
        <f t="shared" si="1"/>
        <v>Dec</v>
      </c>
      <c r="D1074" s="1" t="s">
        <v>1800</v>
      </c>
      <c r="E1074" s="1" t="s">
        <v>41</v>
      </c>
      <c r="F1074" s="1" t="s">
        <v>1801</v>
      </c>
      <c r="G1074" s="1" t="s">
        <v>1802</v>
      </c>
      <c r="H1074" s="1" t="str">
        <f>IFERROR(__xludf.DUMMYFUNCTION("split(G1074,"" "")"),"Maurice")</f>
        <v>Maurice</v>
      </c>
      <c r="I1074" s="1" t="str">
        <f>IFERROR(__xludf.DUMMYFUNCTION("""COMPUTED_VALUE"""),"Satty")</f>
        <v>Satty</v>
      </c>
      <c r="J1074" s="1" t="s">
        <v>23</v>
      </c>
      <c r="K1074" s="1" t="s">
        <v>1009</v>
      </c>
      <c r="L1074" s="1" t="str">
        <f t="shared" si="2"/>
        <v>Mesa</v>
      </c>
      <c r="M1074" s="1" t="s">
        <v>193</v>
      </c>
      <c r="N1074" s="1" t="str">
        <f t="shared" si="3"/>
        <v>Arizona</v>
      </c>
      <c r="O1074" s="1">
        <v>85204.0</v>
      </c>
      <c r="P1074" s="1" t="s">
        <v>37</v>
      </c>
      <c r="Q1074" s="1" t="s">
        <v>38</v>
      </c>
      <c r="R1074" s="3">
        <v>6.27</v>
      </c>
      <c r="S1074" s="1">
        <v>8.0</v>
      </c>
      <c r="T1074" s="4">
        <v>5.54</v>
      </c>
    </row>
    <row r="1075">
      <c r="A1075" s="1" t="s">
        <v>1799</v>
      </c>
      <c r="B1075" s="2">
        <v>43080.0</v>
      </c>
      <c r="C1075" s="2" t="str">
        <f t="shared" si="1"/>
        <v>Dec</v>
      </c>
      <c r="D1075" s="1" t="s">
        <v>1800</v>
      </c>
      <c r="E1075" s="1" t="s">
        <v>41</v>
      </c>
      <c r="F1075" s="1" t="s">
        <v>1801</v>
      </c>
      <c r="G1075" s="1" t="s">
        <v>1802</v>
      </c>
      <c r="H1075" s="1" t="str">
        <f>IFERROR(__xludf.DUMMYFUNCTION("split(G1075,"" "")"),"Maurice")</f>
        <v>Maurice</v>
      </c>
      <c r="I1075" s="1" t="str">
        <f>IFERROR(__xludf.DUMMYFUNCTION("""COMPUTED_VALUE"""),"Satty")</f>
        <v>Satty</v>
      </c>
      <c r="J1075" s="1" t="s">
        <v>23</v>
      </c>
      <c r="K1075" s="1" t="s">
        <v>1009</v>
      </c>
      <c r="L1075" s="1" t="str">
        <f t="shared" si="2"/>
        <v>Mesa</v>
      </c>
      <c r="M1075" s="1" t="s">
        <v>193</v>
      </c>
      <c r="N1075" s="1" t="str">
        <f t="shared" si="3"/>
        <v>Arizona</v>
      </c>
      <c r="O1075" s="1">
        <v>85204.0</v>
      </c>
      <c r="P1075" s="1" t="s">
        <v>37</v>
      </c>
      <c r="Q1075" s="1" t="s">
        <v>38</v>
      </c>
      <c r="R1075" s="3">
        <v>4.368</v>
      </c>
      <c r="S1075" s="1">
        <v>8.0</v>
      </c>
      <c r="T1075" s="4">
        <v>4.12</v>
      </c>
    </row>
    <row r="1076">
      <c r="A1076" s="1" t="s">
        <v>1799</v>
      </c>
      <c r="B1076" s="2">
        <v>43080.0</v>
      </c>
      <c r="C1076" s="2" t="str">
        <f t="shared" si="1"/>
        <v>Dec</v>
      </c>
      <c r="D1076" s="1" t="s">
        <v>1800</v>
      </c>
      <c r="E1076" s="1" t="s">
        <v>41</v>
      </c>
      <c r="F1076" s="1" t="s">
        <v>1801</v>
      </c>
      <c r="G1076" s="1" t="s">
        <v>1802</v>
      </c>
      <c r="H1076" s="1" t="str">
        <f>IFERROR(__xludf.DUMMYFUNCTION("split(G1076,"" "")"),"Maurice")</f>
        <v>Maurice</v>
      </c>
      <c r="I1076" s="1" t="str">
        <f>IFERROR(__xludf.DUMMYFUNCTION("""COMPUTED_VALUE"""),"Satty")</f>
        <v>Satty</v>
      </c>
      <c r="J1076" s="1" t="s">
        <v>23</v>
      </c>
      <c r="K1076" s="1" t="s">
        <v>1009</v>
      </c>
      <c r="L1076" s="1" t="str">
        <f t="shared" si="2"/>
        <v>Mesa</v>
      </c>
      <c r="M1076" s="1" t="s">
        <v>193</v>
      </c>
      <c r="N1076" s="1" t="str">
        <f t="shared" si="3"/>
        <v>Arizona</v>
      </c>
      <c r="O1076" s="1">
        <v>85204.0</v>
      </c>
      <c r="P1076" s="1" t="s">
        <v>37</v>
      </c>
      <c r="Q1076" s="1" t="s">
        <v>51</v>
      </c>
      <c r="R1076" s="3">
        <v>31.984</v>
      </c>
      <c r="S1076" s="1">
        <v>8.0</v>
      </c>
      <c r="T1076" s="4">
        <v>31.32</v>
      </c>
    </row>
    <row r="1077">
      <c r="A1077" s="1" t="s">
        <v>1803</v>
      </c>
      <c r="B1077" s="2">
        <v>43007.0</v>
      </c>
      <c r="C1077" s="2" t="str">
        <f t="shared" si="1"/>
        <v>Sep</v>
      </c>
      <c r="D1077" s="1" t="s">
        <v>1804</v>
      </c>
      <c r="E1077" s="1" t="s">
        <v>121</v>
      </c>
      <c r="F1077" s="1" t="s">
        <v>1805</v>
      </c>
      <c r="G1077" s="1" t="s">
        <v>1806</v>
      </c>
      <c r="H1077" s="1" t="str">
        <f>IFERROR(__xludf.DUMMYFUNCTION("split(G1077,"" "")"),"Chad")</f>
        <v>Chad</v>
      </c>
      <c r="I1077" s="1" t="str">
        <f>IFERROR(__xludf.DUMMYFUNCTION("""COMPUTED_VALUE"""),"Cunningham")</f>
        <v>Cunningham</v>
      </c>
      <c r="J1077" s="1" t="s">
        <v>68</v>
      </c>
      <c r="K1077" s="1" t="s">
        <v>303</v>
      </c>
      <c r="L1077" s="1" t="str">
        <f t="shared" si="2"/>
        <v>Columbus</v>
      </c>
      <c r="M1077" s="1" t="s">
        <v>169</v>
      </c>
      <c r="N1077" s="1" t="str">
        <f t="shared" si="3"/>
        <v>Indiana</v>
      </c>
      <c r="O1077" s="1">
        <v>47201.0</v>
      </c>
      <c r="P1077" s="1" t="s">
        <v>71</v>
      </c>
      <c r="Q1077" s="1" t="s">
        <v>38</v>
      </c>
      <c r="R1077" s="3">
        <v>40.88</v>
      </c>
      <c r="S1077" s="1">
        <v>4.0</v>
      </c>
      <c r="T1077" s="4">
        <v>40.83</v>
      </c>
    </row>
    <row r="1078">
      <c r="A1078" s="1" t="s">
        <v>1807</v>
      </c>
      <c r="B1078" s="2">
        <v>43366.0</v>
      </c>
      <c r="C1078" s="2" t="str">
        <f t="shared" si="1"/>
        <v>Sep</v>
      </c>
      <c r="D1078" s="1" t="s">
        <v>1808</v>
      </c>
      <c r="E1078" s="1" t="s">
        <v>20</v>
      </c>
      <c r="F1078" s="1" t="s">
        <v>1809</v>
      </c>
      <c r="G1078" s="1" t="s">
        <v>1810</v>
      </c>
      <c r="H1078" s="1" t="str">
        <f>IFERROR(__xludf.DUMMYFUNCTION("split(G1078,"" "")"),"Don")</f>
        <v>Don</v>
      </c>
      <c r="I1078" s="1" t="str">
        <f>IFERROR(__xludf.DUMMYFUNCTION("""COMPUTED_VALUE"""),"Weiss")</f>
        <v>Weiss</v>
      </c>
      <c r="J1078" s="1" t="s">
        <v>23</v>
      </c>
      <c r="K1078" s="1" t="s">
        <v>62</v>
      </c>
      <c r="L1078" s="1" t="str">
        <f t="shared" si="2"/>
        <v>Seattle</v>
      </c>
      <c r="M1078" s="1" t="s">
        <v>63</v>
      </c>
      <c r="N1078" s="1" t="str">
        <f t="shared" si="3"/>
        <v>Washington</v>
      </c>
      <c r="O1078" s="1">
        <v>98105.0</v>
      </c>
      <c r="P1078" s="1" t="s">
        <v>37</v>
      </c>
      <c r="Q1078" s="1" t="s">
        <v>38</v>
      </c>
      <c r="R1078" s="3">
        <v>119.96</v>
      </c>
      <c r="S1078" s="1">
        <v>9.0</v>
      </c>
      <c r="T1078" s="4">
        <v>119.86</v>
      </c>
    </row>
    <row r="1079">
      <c r="A1079" s="1" t="s">
        <v>1807</v>
      </c>
      <c r="B1079" s="2">
        <v>43366.0</v>
      </c>
      <c r="C1079" s="2" t="str">
        <f t="shared" si="1"/>
        <v>Sep</v>
      </c>
      <c r="D1079" s="1" t="s">
        <v>1808</v>
      </c>
      <c r="E1079" s="1" t="s">
        <v>20</v>
      </c>
      <c r="F1079" s="1" t="s">
        <v>1809</v>
      </c>
      <c r="G1079" s="1" t="s">
        <v>1810</v>
      </c>
      <c r="H1079" s="1" t="str">
        <f>IFERROR(__xludf.DUMMYFUNCTION("split(G1079,"" "")"),"Don")</f>
        <v>Don</v>
      </c>
      <c r="I1079" s="1" t="str">
        <f>IFERROR(__xludf.DUMMYFUNCTION("""COMPUTED_VALUE"""),"Weiss")</f>
        <v>Weiss</v>
      </c>
      <c r="J1079" s="1" t="s">
        <v>23</v>
      </c>
      <c r="K1079" s="1" t="s">
        <v>62</v>
      </c>
      <c r="L1079" s="1" t="str">
        <f t="shared" si="2"/>
        <v>Seattle</v>
      </c>
      <c r="M1079" s="1" t="s">
        <v>63</v>
      </c>
      <c r="N1079" s="1" t="str">
        <f t="shared" si="3"/>
        <v>Washington</v>
      </c>
      <c r="O1079" s="1">
        <v>98105.0</v>
      </c>
      <c r="P1079" s="1" t="s">
        <v>37</v>
      </c>
      <c r="Q1079" s="1" t="s">
        <v>38</v>
      </c>
      <c r="R1079" s="3">
        <v>31.44</v>
      </c>
      <c r="S1079" s="1">
        <v>9.0</v>
      </c>
      <c r="T1079" s="4">
        <v>30.57</v>
      </c>
    </row>
    <row r="1080">
      <c r="A1080" s="1" t="s">
        <v>1807</v>
      </c>
      <c r="B1080" s="2">
        <v>43366.0</v>
      </c>
      <c r="C1080" s="2" t="str">
        <f t="shared" si="1"/>
        <v>Sep</v>
      </c>
      <c r="D1080" s="1" t="s">
        <v>1808</v>
      </c>
      <c r="E1080" s="1" t="s">
        <v>20</v>
      </c>
      <c r="F1080" s="1" t="s">
        <v>1809</v>
      </c>
      <c r="G1080" s="1" t="s">
        <v>1810</v>
      </c>
      <c r="H1080" s="1" t="str">
        <f>IFERROR(__xludf.DUMMYFUNCTION("split(G1080,"" "")"),"Don")</f>
        <v>Don</v>
      </c>
      <c r="I1080" s="1" t="str">
        <f>IFERROR(__xludf.DUMMYFUNCTION("""COMPUTED_VALUE"""),"Weiss")</f>
        <v>Weiss</v>
      </c>
      <c r="J1080" s="1" t="s">
        <v>23</v>
      </c>
      <c r="K1080" s="1" t="s">
        <v>62</v>
      </c>
      <c r="L1080" s="1" t="str">
        <f t="shared" si="2"/>
        <v>Seattle</v>
      </c>
      <c r="M1080" s="1" t="s">
        <v>63</v>
      </c>
      <c r="N1080" s="1" t="str">
        <f t="shared" si="3"/>
        <v>Washington</v>
      </c>
      <c r="O1080" s="1">
        <v>98105.0</v>
      </c>
      <c r="P1080" s="1" t="s">
        <v>37</v>
      </c>
      <c r="Q1080" s="1" t="s">
        <v>38</v>
      </c>
      <c r="R1080" s="3">
        <v>6.88</v>
      </c>
      <c r="S1080" s="1">
        <v>9.0</v>
      </c>
      <c r="T1080" s="4">
        <v>6.42</v>
      </c>
    </row>
    <row r="1081">
      <c r="A1081" s="1" t="s">
        <v>1811</v>
      </c>
      <c r="B1081" s="2">
        <v>42703.0</v>
      </c>
      <c r="C1081" s="2" t="str">
        <f t="shared" si="1"/>
        <v>Nov</v>
      </c>
      <c r="D1081" s="6">
        <v>42472.0</v>
      </c>
      <c r="E1081" s="1" t="s">
        <v>41</v>
      </c>
      <c r="F1081" s="1" t="s">
        <v>1812</v>
      </c>
      <c r="G1081" s="1" t="s">
        <v>1813</v>
      </c>
      <c r="H1081" s="1" t="str">
        <f>IFERROR(__xludf.DUMMYFUNCTION("split(G1081,"" "")"),"Bill")</f>
        <v>Bill</v>
      </c>
      <c r="I1081" s="1" t="str">
        <f>IFERROR(__xludf.DUMMYFUNCTION("""COMPUTED_VALUE"""),"Tyler")</f>
        <v>Tyler</v>
      </c>
      <c r="J1081" s="1" t="s">
        <v>34</v>
      </c>
      <c r="K1081" s="1" t="s">
        <v>513</v>
      </c>
      <c r="L1081" s="1" t="str">
        <f t="shared" si="2"/>
        <v>Detroit</v>
      </c>
      <c r="M1081" s="1" t="s">
        <v>157</v>
      </c>
      <c r="N1081" s="1" t="str">
        <f t="shared" si="3"/>
        <v>Michigan</v>
      </c>
      <c r="O1081" s="1">
        <v>48227.0</v>
      </c>
      <c r="P1081" s="1" t="s">
        <v>71</v>
      </c>
      <c r="Q1081" s="1" t="s">
        <v>38</v>
      </c>
      <c r="R1081" s="3">
        <v>19.92</v>
      </c>
      <c r="S1081" s="1">
        <v>4.0</v>
      </c>
      <c r="T1081" s="4">
        <v>19.09</v>
      </c>
    </row>
    <row r="1082">
      <c r="A1082" s="1" t="s">
        <v>1811</v>
      </c>
      <c r="B1082" s="2">
        <v>42703.0</v>
      </c>
      <c r="C1082" s="2" t="str">
        <f t="shared" si="1"/>
        <v>Nov</v>
      </c>
      <c r="D1082" s="6">
        <v>42472.0</v>
      </c>
      <c r="E1082" s="1" t="s">
        <v>41</v>
      </c>
      <c r="F1082" s="1" t="s">
        <v>1812</v>
      </c>
      <c r="G1082" s="1" t="s">
        <v>1813</v>
      </c>
      <c r="H1082" s="1" t="str">
        <f>IFERROR(__xludf.DUMMYFUNCTION("split(G1082,"" "")"),"Bill")</f>
        <v>Bill</v>
      </c>
      <c r="I1082" s="1" t="str">
        <f>IFERROR(__xludf.DUMMYFUNCTION("""COMPUTED_VALUE"""),"Tyler")</f>
        <v>Tyler</v>
      </c>
      <c r="J1082" s="1" t="s">
        <v>34</v>
      </c>
      <c r="K1082" s="1" t="s">
        <v>513</v>
      </c>
      <c r="L1082" s="1" t="str">
        <f t="shared" si="2"/>
        <v>Detroit</v>
      </c>
      <c r="M1082" s="1" t="s">
        <v>157</v>
      </c>
      <c r="N1082" s="1" t="str">
        <f t="shared" si="3"/>
        <v>Michigan</v>
      </c>
      <c r="O1082" s="1">
        <v>48227.0</v>
      </c>
      <c r="P1082" s="1" t="s">
        <v>71</v>
      </c>
      <c r="Q1082" s="1" t="s">
        <v>27</v>
      </c>
      <c r="R1082" s="3">
        <v>1106.91</v>
      </c>
      <c r="S1082" s="1">
        <v>4.0</v>
      </c>
      <c r="T1082" s="4">
        <v>1106.48</v>
      </c>
    </row>
    <row r="1083">
      <c r="A1083" s="1" t="s">
        <v>1814</v>
      </c>
      <c r="B1083" s="2">
        <v>42738.0</v>
      </c>
      <c r="C1083" s="2" t="str">
        <f t="shared" si="1"/>
        <v>Jan</v>
      </c>
      <c r="D1083" s="6">
        <v>42858.0</v>
      </c>
      <c r="E1083" s="1" t="s">
        <v>41</v>
      </c>
      <c r="F1083" s="1" t="s">
        <v>195</v>
      </c>
      <c r="G1083" s="1" t="s">
        <v>196</v>
      </c>
      <c r="H1083" s="1" t="str">
        <f>IFERROR(__xludf.DUMMYFUNCTION("split(G1083,"" "")"),"Karen")</f>
        <v>Karen</v>
      </c>
      <c r="I1083" s="1" t="str">
        <f>IFERROR(__xludf.DUMMYFUNCTION("""COMPUTED_VALUE"""),"Daniels")</f>
        <v>Daniels</v>
      </c>
      <c r="J1083" s="1" t="s">
        <v>23</v>
      </c>
      <c r="K1083" s="1" t="s">
        <v>1815</v>
      </c>
      <c r="L1083" s="1" t="str">
        <f t="shared" si="2"/>
        <v>Yonkers</v>
      </c>
      <c r="M1083" s="1" t="s">
        <v>175</v>
      </c>
      <c r="N1083" s="1" t="str">
        <f t="shared" si="3"/>
        <v>New York</v>
      </c>
      <c r="O1083" s="1">
        <v>10701.0</v>
      </c>
      <c r="P1083" s="1" t="s">
        <v>100</v>
      </c>
      <c r="Q1083" s="1" t="s">
        <v>27</v>
      </c>
      <c r="R1083" s="3">
        <v>836.592</v>
      </c>
      <c r="S1083" s="1">
        <v>1.0</v>
      </c>
      <c r="T1083" s="4">
        <v>836.24</v>
      </c>
    </row>
    <row r="1084">
      <c r="A1084" s="1" t="s">
        <v>1814</v>
      </c>
      <c r="B1084" s="2">
        <v>42738.0</v>
      </c>
      <c r="C1084" s="2" t="str">
        <f t="shared" si="1"/>
        <v>Jan</v>
      </c>
      <c r="D1084" s="6">
        <v>42858.0</v>
      </c>
      <c r="E1084" s="1" t="s">
        <v>41</v>
      </c>
      <c r="F1084" s="1" t="s">
        <v>195</v>
      </c>
      <c r="G1084" s="1" t="s">
        <v>196</v>
      </c>
      <c r="H1084" s="1" t="str">
        <f>IFERROR(__xludf.DUMMYFUNCTION("split(G1084,"" "")"),"Karen")</f>
        <v>Karen</v>
      </c>
      <c r="I1084" s="1" t="str">
        <f>IFERROR(__xludf.DUMMYFUNCTION("""COMPUTED_VALUE"""),"Daniels")</f>
        <v>Daniels</v>
      </c>
      <c r="J1084" s="1" t="s">
        <v>23</v>
      </c>
      <c r="K1084" s="1" t="s">
        <v>1815</v>
      </c>
      <c r="L1084" s="1" t="str">
        <f t="shared" si="2"/>
        <v>Yonkers</v>
      </c>
      <c r="M1084" s="1" t="s">
        <v>175</v>
      </c>
      <c r="N1084" s="1" t="str">
        <f t="shared" si="3"/>
        <v>New York</v>
      </c>
      <c r="O1084" s="1">
        <v>10701.0</v>
      </c>
      <c r="P1084" s="1" t="s">
        <v>100</v>
      </c>
      <c r="Q1084" s="1" t="s">
        <v>38</v>
      </c>
      <c r="R1084" s="3">
        <v>26.38</v>
      </c>
      <c r="S1084" s="1">
        <v>1.0</v>
      </c>
      <c r="T1084" s="4">
        <v>26.13</v>
      </c>
    </row>
    <row r="1085">
      <c r="A1085" s="1" t="s">
        <v>1814</v>
      </c>
      <c r="B1085" s="2">
        <v>42738.0</v>
      </c>
      <c r="C1085" s="2" t="str">
        <f t="shared" si="1"/>
        <v>Jan</v>
      </c>
      <c r="D1085" s="6">
        <v>42858.0</v>
      </c>
      <c r="E1085" s="1" t="s">
        <v>41</v>
      </c>
      <c r="F1085" s="1" t="s">
        <v>195</v>
      </c>
      <c r="G1085" s="1" t="s">
        <v>196</v>
      </c>
      <c r="H1085" s="1" t="str">
        <f>IFERROR(__xludf.DUMMYFUNCTION("split(G1085,"" "")"),"Karen")</f>
        <v>Karen</v>
      </c>
      <c r="I1085" s="1" t="str">
        <f>IFERROR(__xludf.DUMMYFUNCTION("""COMPUTED_VALUE"""),"Daniels")</f>
        <v>Daniels</v>
      </c>
      <c r="J1085" s="1" t="s">
        <v>23</v>
      </c>
      <c r="K1085" s="1" t="s">
        <v>1815</v>
      </c>
      <c r="L1085" s="1" t="str">
        <f t="shared" si="2"/>
        <v>Yonkers</v>
      </c>
      <c r="M1085" s="1" t="s">
        <v>175</v>
      </c>
      <c r="N1085" s="1" t="str">
        <f t="shared" si="3"/>
        <v>New York</v>
      </c>
      <c r="O1085" s="1">
        <v>10701.0</v>
      </c>
      <c r="P1085" s="1" t="s">
        <v>100</v>
      </c>
      <c r="Q1085" s="1" t="s">
        <v>38</v>
      </c>
      <c r="R1085" s="3">
        <v>362.92</v>
      </c>
      <c r="S1085" s="1">
        <v>1.0</v>
      </c>
      <c r="T1085" s="4">
        <v>362.29</v>
      </c>
    </row>
    <row r="1086">
      <c r="A1086" s="1" t="s">
        <v>1814</v>
      </c>
      <c r="B1086" s="2">
        <v>42738.0</v>
      </c>
      <c r="C1086" s="2" t="str">
        <f t="shared" si="1"/>
        <v>Jan</v>
      </c>
      <c r="D1086" s="6">
        <v>42858.0</v>
      </c>
      <c r="E1086" s="1" t="s">
        <v>41</v>
      </c>
      <c r="F1086" s="1" t="s">
        <v>195</v>
      </c>
      <c r="G1086" s="1" t="s">
        <v>196</v>
      </c>
      <c r="H1086" s="1" t="str">
        <f>IFERROR(__xludf.DUMMYFUNCTION("split(G1086,"" "")"),"Karen")</f>
        <v>Karen</v>
      </c>
      <c r="I1086" s="1" t="str">
        <f>IFERROR(__xludf.DUMMYFUNCTION("""COMPUTED_VALUE"""),"Daniels")</f>
        <v>Daniels</v>
      </c>
      <c r="J1086" s="1" t="s">
        <v>23</v>
      </c>
      <c r="K1086" s="1" t="s">
        <v>1815</v>
      </c>
      <c r="L1086" s="1" t="str">
        <f t="shared" si="2"/>
        <v>Yonkers</v>
      </c>
      <c r="M1086" s="1" t="s">
        <v>175</v>
      </c>
      <c r="N1086" s="1" t="str">
        <f t="shared" si="3"/>
        <v>New York</v>
      </c>
      <c r="O1086" s="1">
        <v>10701.0</v>
      </c>
      <c r="P1086" s="1" t="s">
        <v>100</v>
      </c>
      <c r="Q1086" s="1" t="s">
        <v>51</v>
      </c>
      <c r="R1086" s="3">
        <v>4899.93</v>
      </c>
      <c r="S1086" s="1">
        <v>1.0</v>
      </c>
      <c r="T1086" s="4">
        <v>4899.48</v>
      </c>
    </row>
    <row r="1087">
      <c r="A1087" s="1" t="s">
        <v>1816</v>
      </c>
      <c r="B1087" s="2">
        <v>43077.0</v>
      </c>
      <c r="C1087" s="2" t="str">
        <f t="shared" si="1"/>
        <v>Dec</v>
      </c>
      <c r="D1087" s="6">
        <v>43077.0</v>
      </c>
      <c r="E1087" s="1" t="s">
        <v>717</v>
      </c>
      <c r="F1087" s="1" t="s">
        <v>276</v>
      </c>
      <c r="G1087" s="1" t="s">
        <v>277</v>
      </c>
      <c r="H1087" s="1" t="str">
        <f>IFERROR(__xludf.DUMMYFUNCTION("split(G1087,"" "")"),"Lena")</f>
        <v>Lena</v>
      </c>
      <c r="I1087" s="1" t="str">
        <f>IFERROR(__xludf.DUMMYFUNCTION("""COMPUTED_VALUE"""),"Cacioppo")</f>
        <v>Cacioppo</v>
      </c>
      <c r="J1087" s="1" t="s">
        <v>23</v>
      </c>
      <c r="K1087" s="1" t="s">
        <v>767</v>
      </c>
      <c r="L1087" s="1" t="str">
        <f t="shared" si="2"/>
        <v>Des Moines</v>
      </c>
      <c r="M1087" s="1" t="s">
        <v>298</v>
      </c>
      <c r="N1087" s="1" t="str">
        <f t="shared" si="3"/>
        <v>Iowa</v>
      </c>
      <c r="O1087" s="1">
        <v>50315.0</v>
      </c>
      <c r="P1087" s="1" t="s">
        <v>71</v>
      </c>
      <c r="Q1087" s="1" t="s">
        <v>38</v>
      </c>
      <c r="R1087" s="3">
        <v>6.48</v>
      </c>
      <c r="S1087" s="1">
        <v>5.0</v>
      </c>
      <c r="T1087" s="4">
        <v>6.48</v>
      </c>
    </row>
    <row r="1088">
      <c r="A1088" s="1" t="s">
        <v>1817</v>
      </c>
      <c r="B1088" s="2">
        <v>42962.0</v>
      </c>
      <c r="C1088" s="2" t="str">
        <f t="shared" si="1"/>
        <v>Aug</v>
      </c>
      <c r="D1088" s="1" t="s">
        <v>1818</v>
      </c>
      <c r="E1088" s="1" t="s">
        <v>20</v>
      </c>
      <c r="F1088" s="1" t="s">
        <v>1819</v>
      </c>
      <c r="G1088" s="1" t="s">
        <v>1820</v>
      </c>
      <c r="H1088" s="1" t="str">
        <f>IFERROR(__xludf.DUMMYFUNCTION("split(G1088,"" "")"),"Craig")</f>
        <v>Craig</v>
      </c>
      <c r="I1088" s="1" t="str">
        <f>IFERROR(__xludf.DUMMYFUNCTION("""COMPUTED_VALUE"""),"Yedwab")</f>
        <v>Yedwab</v>
      </c>
      <c r="J1088" s="1" t="s">
        <v>34</v>
      </c>
      <c r="K1088" s="1" t="s">
        <v>1821</v>
      </c>
      <c r="L1088" s="1" t="str">
        <f t="shared" si="2"/>
        <v>Oakland</v>
      </c>
      <c r="M1088" s="1" t="s">
        <v>52</v>
      </c>
      <c r="N1088" s="1" t="str">
        <f t="shared" si="3"/>
        <v>California</v>
      </c>
      <c r="O1088" s="1">
        <v>94601.0</v>
      </c>
      <c r="P1088" s="1" t="s">
        <v>37</v>
      </c>
      <c r="Q1088" s="1" t="s">
        <v>51</v>
      </c>
      <c r="R1088" s="3">
        <v>71.976</v>
      </c>
      <c r="S1088" s="1">
        <v>9.0</v>
      </c>
      <c r="T1088" s="4">
        <v>71.17</v>
      </c>
    </row>
    <row r="1089">
      <c r="A1089" s="1" t="s">
        <v>1817</v>
      </c>
      <c r="B1089" s="2">
        <v>42962.0</v>
      </c>
      <c r="C1089" s="2" t="str">
        <f t="shared" si="1"/>
        <v>Aug</v>
      </c>
      <c r="D1089" s="1" t="s">
        <v>1818</v>
      </c>
      <c r="E1089" s="1" t="s">
        <v>20</v>
      </c>
      <c r="F1089" s="1" t="s">
        <v>1819</v>
      </c>
      <c r="G1089" s="1" t="s">
        <v>1820</v>
      </c>
      <c r="H1089" s="1" t="str">
        <f>IFERROR(__xludf.DUMMYFUNCTION("split(G1089,"" "")"),"Craig")</f>
        <v>Craig</v>
      </c>
      <c r="I1089" s="1" t="str">
        <f>IFERROR(__xludf.DUMMYFUNCTION("""COMPUTED_VALUE"""),"Yedwab")</f>
        <v>Yedwab</v>
      </c>
      <c r="J1089" s="1" t="s">
        <v>34</v>
      </c>
      <c r="K1089" s="1" t="s">
        <v>1821</v>
      </c>
      <c r="L1089" s="1" t="str">
        <f t="shared" si="2"/>
        <v>Oakland</v>
      </c>
      <c r="M1089" s="1" t="s">
        <v>52</v>
      </c>
      <c r="N1089" s="1" t="str">
        <f t="shared" si="3"/>
        <v>California</v>
      </c>
      <c r="O1089" s="1">
        <v>94601.0</v>
      </c>
      <c r="P1089" s="1" t="s">
        <v>37</v>
      </c>
      <c r="Q1089" s="1" t="s">
        <v>38</v>
      </c>
      <c r="R1089" s="3">
        <v>3.15</v>
      </c>
      <c r="S1089" s="1">
        <v>9.0</v>
      </c>
      <c r="T1089" s="4">
        <v>2.16</v>
      </c>
    </row>
    <row r="1090">
      <c r="A1090" s="1" t="s">
        <v>1822</v>
      </c>
      <c r="B1090" s="2">
        <v>43196.0</v>
      </c>
      <c r="C1090" s="2" t="str">
        <f t="shared" si="1"/>
        <v>Apr</v>
      </c>
      <c r="D1090" s="6">
        <v>43379.0</v>
      </c>
      <c r="E1090" s="1" t="s">
        <v>41</v>
      </c>
      <c r="F1090" s="1" t="s">
        <v>1642</v>
      </c>
      <c r="G1090" s="1" t="s">
        <v>1643</v>
      </c>
      <c r="H1090" s="1" t="str">
        <f>IFERROR(__xludf.DUMMYFUNCTION("split(G1090,"" "")"),"Lindsay")</f>
        <v>Lindsay</v>
      </c>
      <c r="I1090" s="1" t="str">
        <f>IFERROR(__xludf.DUMMYFUNCTION("""COMPUTED_VALUE"""),"Williams")</f>
        <v>Williams</v>
      </c>
      <c r="J1090" s="1" t="s">
        <v>34</v>
      </c>
      <c r="K1090" s="1" t="s">
        <v>429</v>
      </c>
      <c r="L1090" s="1" t="str">
        <f t="shared" si="2"/>
        <v>Monroe</v>
      </c>
      <c r="M1090" s="1" t="s">
        <v>58</v>
      </c>
      <c r="N1090" s="1" t="str">
        <f t="shared" si="3"/>
        <v>North Carolina</v>
      </c>
      <c r="O1090" s="1">
        <v>28110.0</v>
      </c>
      <c r="P1090" s="1" t="s">
        <v>26</v>
      </c>
      <c r="Q1090" s="1" t="s">
        <v>27</v>
      </c>
      <c r="R1090" s="3">
        <v>31.984</v>
      </c>
      <c r="S1090" s="1">
        <v>2.0</v>
      </c>
      <c r="T1090" s="4">
        <v>31.25</v>
      </c>
    </row>
    <row r="1091">
      <c r="A1091" s="1" t="s">
        <v>1822</v>
      </c>
      <c r="B1091" s="2">
        <v>43196.0</v>
      </c>
      <c r="C1091" s="2" t="str">
        <f t="shared" si="1"/>
        <v>Apr</v>
      </c>
      <c r="D1091" s="6">
        <v>43379.0</v>
      </c>
      <c r="E1091" s="1" t="s">
        <v>41</v>
      </c>
      <c r="F1091" s="1" t="s">
        <v>1642</v>
      </c>
      <c r="G1091" s="1" t="s">
        <v>1643</v>
      </c>
      <c r="H1091" s="1" t="str">
        <f>IFERROR(__xludf.DUMMYFUNCTION("split(G1091,"" "")"),"Lindsay")</f>
        <v>Lindsay</v>
      </c>
      <c r="I1091" s="1" t="str">
        <f>IFERROR(__xludf.DUMMYFUNCTION("""COMPUTED_VALUE"""),"Williams")</f>
        <v>Williams</v>
      </c>
      <c r="J1091" s="1" t="s">
        <v>34</v>
      </c>
      <c r="K1091" s="1" t="s">
        <v>429</v>
      </c>
      <c r="L1091" s="1" t="str">
        <f t="shared" si="2"/>
        <v>Monroe</v>
      </c>
      <c r="M1091" s="1" t="s">
        <v>58</v>
      </c>
      <c r="N1091" s="1" t="str">
        <f t="shared" si="3"/>
        <v>North Carolina</v>
      </c>
      <c r="O1091" s="1">
        <v>28110.0</v>
      </c>
      <c r="P1091" s="1" t="s">
        <v>26</v>
      </c>
      <c r="Q1091" s="1" t="s">
        <v>51</v>
      </c>
      <c r="R1091" s="3">
        <v>71.984</v>
      </c>
      <c r="S1091" s="1">
        <v>2.0</v>
      </c>
      <c r="T1091" s="4">
        <v>71.13</v>
      </c>
    </row>
    <row r="1092">
      <c r="A1092" s="1" t="s">
        <v>1823</v>
      </c>
      <c r="B1092" s="2">
        <v>42533.0</v>
      </c>
      <c r="C1092" s="2" t="str">
        <f t="shared" si="1"/>
        <v>Jun</v>
      </c>
      <c r="D1092" s="1" t="s">
        <v>1824</v>
      </c>
      <c r="E1092" s="1" t="s">
        <v>41</v>
      </c>
      <c r="F1092" s="1" t="s">
        <v>1246</v>
      </c>
      <c r="G1092" s="1" t="s">
        <v>1247</v>
      </c>
      <c r="H1092" s="1" t="str">
        <f>IFERROR(__xludf.DUMMYFUNCTION("split(G1092,"" "")"),"Naresj")</f>
        <v>Naresj</v>
      </c>
      <c r="I1092" s="1" t="str">
        <f>IFERROR(__xludf.DUMMYFUNCTION("""COMPUTED_VALUE"""),"Patel")</f>
        <v>Patel</v>
      </c>
      <c r="J1092" s="1" t="s">
        <v>23</v>
      </c>
      <c r="K1092" s="1" t="s">
        <v>542</v>
      </c>
      <c r="L1092" s="1" t="str">
        <f t="shared" si="2"/>
        <v>San Diego</v>
      </c>
      <c r="M1092" s="1" t="s">
        <v>52</v>
      </c>
      <c r="N1092" s="1" t="str">
        <f t="shared" si="3"/>
        <v>California</v>
      </c>
      <c r="O1092" s="1">
        <v>92105.0</v>
      </c>
      <c r="P1092" s="1" t="s">
        <v>37</v>
      </c>
      <c r="Q1092" s="1" t="s">
        <v>38</v>
      </c>
      <c r="R1092" s="3">
        <v>120.15</v>
      </c>
      <c r="S1092" s="1">
        <v>9.0</v>
      </c>
      <c r="T1092" s="4">
        <v>119.85</v>
      </c>
    </row>
    <row r="1093">
      <c r="A1093" s="1" t="s">
        <v>1823</v>
      </c>
      <c r="B1093" s="2">
        <v>42533.0</v>
      </c>
      <c r="C1093" s="2" t="str">
        <f t="shared" si="1"/>
        <v>Jun</v>
      </c>
      <c r="D1093" s="1" t="s">
        <v>1824</v>
      </c>
      <c r="E1093" s="1" t="s">
        <v>41</v>
      </c>
      <c r="F1093" s="1" t="s">
        <v>1246</v>
      </c>
      <c r="G1093" s="1" t="s">
        <v>1247</v>
      </c>
      <c r="H1093" s="1" t="str">
        <f>IFERROR(__xludf.DUMMYFUNCTION("split(G1093,"" "")"),"Naresj")</f>
        <v>Naresj</v>
      </c>
      <c r="I1093" s="1" t="str">
        <f>IFERROR(__xludf.DUMMYFUNCTION("""COMPUTED_VALUE"""),"Patel")</f>
        <v>Patel</v>
      </c>
      <c r="J1093" s="1" t="s">
        <v>23</v>
      </c>
      <c r="K1093" s="1" t="s">
        <v>542</v>
      </c>
      <c r="L1093" s="1" t="str">
        <f t="shared" si="2"/>
        <v>San Diego</v>
      </c>
      <c r="M1093" s="1" t="s">
        <v>52</v>
      </c>
      <c r="N1093" s="1" t="str">
        <f t="shared" si="3"/>
        <v>California</v>
      </c>
      <c r="O1093" s="1">
        <v>92105.0</v>
      </c>
      <c r="P1093" s="1" t="s">
        <v>37</v>
      </c>
      <c r="Q1093" s="1" t="s">
        <v>51</v>
      </c>
      <c r="R1093" s="3">
        <v>219.184</v>
      </c>
      <c r="S1093" s="1">
        <v>9.0</v>
      </c>
      <c r="T1093" s="4">
        <v>218.69</v>
      </c>
    </row>
    <row r="1094">
      <c r="A1094" s="1" t="s">
        <v>1825</v>
      </c>
      <c r="B1094" s="2">
        <v>42731.0</v>
      </c>
      <c r="C1094" s="2" t="str">
        <f t="shared" si="1"/>
        <v>Dec</v>
      </c>
      <c r="D1094" s="1" t="s">
        <v>126</v>
      </c>
      <c r="E1094" s="1" t="s">
        <v>41</v>
      </c>
      <c r="F1094" s="1" t="s">
        <v>1826</v>
      </c>
      <c r="G1094" s="1" t="s">
        <v>1827</v>
      </c>
      <c r="H1094" s="1" t="str">
        <f>IFERROR(__xludf.DUMMYFUNCTION("split(G1094,"" "")"),"Brad")</f>
        <v>Brad</v>
      </c>
      <c r="I1094" s="1" t="str">
        <f>IFERROR(__xludf.DUMMYFUNCTION("""COMPUTED_VALUE"""),"Thomas")</f>
        <v>Thomas</v>
      </c>
      <c r="J1094" s="1" t="s">
        <v>68</v>
      </c>
      <c r="K1094" s="1" t="s">
        <v>1828</v>
      </c>
      <c r="L1094" s="1" t="str">
        <f t="shared" si="2"/>
        <v>Clinton</v>
      </c>
      <c r="M1094" s="1" t="s">
        <v>1542</v>
      </c>
      <c r="N1094" s="1" t="str">
        <f t="shared" si="3"/>
        <v>Maryland</v>
      </c>
      <c r="O1094" s="1">
        <v>20735.0</v>
      </c>
      <c r="P1094" s="1" t="s">
        <v>100</v>
      </c>
      <c r="Q1094" s="1" t="s">
        <v>38</v>
      </c>
      <c r="R1094" s="3">
        <v>28.9</v>
      </c>
      <c r="S1094" s="1">
        <v>2.0</v>
      </c>
      <c r="T1094" s="4">
        <v>27.9</v>
      </c>
    </row>
    <row r="1095">
      <c r="A1095" s="1" t="s">
        <v>1825</v>
      </c>
      <c r="B1095" s="2">
        <v>42731.0</v>
      </c>
      <c r="C1095" s="2" t="str">
        <f t="shared" si="1"/>
        <v>Dec</v>
      </c>
      <c r="D1095" s="1" t="s">
        <v>126</v>
      </c>
      <c r="E1095" s="1" t="s">
        <v>41</v>
      </c>
      <c r="F1095" s="1" t="s">
        <v>1826</v>
      </c>
      <c r="G1095" s="1" t="s">
        <v>1827</v>
      </c>
      <c r="H1095" s="1" t="str">
        <f>IFERROR(__xludf.DUMMYFUNCTION("split(G1095,"" "")"),"Brad")</f>
        <v>Brad</v>
      </c>
      <c r="I1095" s="1" t="str">
        <f>IFERROR(__xludf.DUMMYFUNCTION("""COMPUTED_VALUE"""),"Thomas")</f>
        <v>Thomas</v>
      </c>
      <c r="J1095" s="1" t="s">
        <v>68</v>
      </c>
      <c r="K1095" s="1" t="s">
        <v>1828</v>
      </c>
      <c r="L1095" s="1" t="str">
        <f t="shared" si="2"/>
        <v>Clinton</v>
      </c>
      <c r="M1095" s="1" t="s">
        <v>1542</v>
      </c>
      <c r="N1095" s="1" t="str">
        <f t="shared" si="3"/>
        <v>Maryland</v>
      </c>
      <c r="O1095" s="1">
        <v>20735.0</v>
      </c>
      <c r="P1095" s="1" t="s">
        <v>100</v>
      </c>
      <c r="Q1095" s="1" t="s">
        <v>38</v>
      </c>
      <c r="R1095" s="3">
        <v>355.96</v>
      </c>
      <c r="S1095" s="1">
        <v>2.0</v>
      </c>
      <c r="T1095" s="4">
        <v>355.72</v>
      </c>
    </row>
    <row r="1096">
      <c r="A1096" s="1" t="s">
        <v>1829</v>
      </c>
      <c r="B1096" s="2">
        <v>43121.0</v>
      </c>
      <c r="C1096" s="2" t="str">
        <f t="shared" si="1"/>
        <v>Jan</v>
      </c>
      <c r="D1096" s="1" t="s">
        <v>1830</v>
      </c>
      <c r="E1096" s="1" t="s">
        <v>41</v>
      </c>
      <c r="F1096" s="1" t="s">
        <v>1831</v>
      </c>
      <c r="G1096" s="1" t="s">
        <v>1832</v>
      </c>
      <c r="H1096" s="1" t="str">
        <f>IFERROR(__xludf.DUMMYFUNCTION("split(G1096,"" "")"),"Penelope")</f>
        <v>Penelope</v>
      </c>
      <c r="I1096" s="1" t="str">
        <f>IFERROR(__xludf.DUMMYFUNCTION("""COMPUTED_VALUE"""),"Sewall")</f>
        <v>Sewall</v>
      </c>
      <c r="J1096" s="1" t="s">
        <v>68</v>
      </c>
      <c r="K1096" s="1" t="s">
        <v>284</v>
      </c>
      <c r="L1096" s="1" t="str">
        <f t="shared" si="2"/>
        <v>Charlotte</v>
      </c>
      <c r="M1096" s="1" t="s">
        <v>58</v>
      </c>
      <c r="N1096" s="1" t="str">
        <f t="shared" si="3"/>
        <v>North Carolina</v>
      </c>
      <c r="O1096" s="1">
        <v>28205.0</v>
      </c>
      <c r="P1096" s="1" t="s">
        <v>26</v>
      </c>
      <c r="Q1096" s="1" t="s">
        <v>38</v>
      </c>
      <c r="R1096" s="3">
        <v>348.208</v>
      </c>
      <c r="S1096" s="1">
        <v>2.0</v>
      </c>
      <c r="T1096" s="4">
        <v>347.79</v>
      </c>
    </row>
    <row r="1097">
      <c r="A1097" s="1" t="s">
        <v>1829</v>
      </c>
      <c r="B1097" s="2">
        <v>43121.0</v>
      </c>
      <c r="C1097" s="2" t="str">
        <f t="shared" si="1"/>
        <v>Jan</v>
      </c>
      <c r="D1097" s="1" t="s">
        <v>1830</v>
      </c>
      <c r="E1097" s="1" t="s">
        <v>41</v>
      </c>
      <c r="F1097" s="1" t="s">
        <v>1831</v>
      </c>
      <c r="G1097" s="1" t="s">
        <v>1832</v>
      </c>
      <c r="H1097" s="1" t="str">
        <f>IFERROR(__xludf.DUMMYFUNCTION("split(G1097,"" "")"),"Penelope")</f>
        <v>Penelope</v>
      </c>
      <c r="I1097" s="1" t="str">
        <f>IFERROR(__xludf.DUMMYFUNCTION("""COMPUTED_VALUE"""),"Sewall")</f>
        <v>Sewall</v>
      </c>
      <c r="J1097" s="1" t="s">
        <v>68</v>
      </c>
      <c r="K1097" s="1" t="s">
        <v>284</v>
      </c>
      <c r="L1097" s="1" t="str">
        <f t="shared" si="2"/>
        <v>Charlotte</v>
      </c>
      <c r="M1097" s="1" t="s">
        <v>58</v>
      </c>
      <c r="N1097" s="1" t="str">
        <f t="shared" si="3"/>
        <v>North Carolina</v>
      </c>
      <c r="O1097" s="1">
        <v>28205.0</v>
      </c>
      <c r="P1097" s="1" t="s">
        <v>26</v>
      </c>
      <c r="Q1097" s="1" t="s">
        <v>38</v>
      </c>
      <c r="R1097" s="3">
        <v>35.784</v>
      </c>
      <c r="S1097" s="1">
        <v>2.0</v>
      </c>
      <c r="T1097" s="4">
        <v>35.78</v>
      </c>
    </row>
    <row r="1098">
      <c r="A1098" s="1" t="s">
        <v>1833</v>
      </c>
      <c r="B1098" s="2">
        <v>42180.0</v>
      </c>
      <c r="C1098" s="2" t="str">
        <f t="shared" si="1"/>
        <v>Jun</v>
      </c>
      <c r="D1098" s="1" t="s">
        <v>1834</v>
      </c>
      <c r="E1098" s="1" t="s">
        <v>121</v>
      </c>
      <c r="F1098" s="1" t="s">
        <v>1756</v>
      </c>
      <c r="G1098" s="1" t="s">
        <v>1757</v>
      </c>
      <c r="H1098" s="1" t="str">
        <f>IFERROR(__xludf.DUMMYFUNCTION("split(G1098,"" "")"),"Noel")</f>
        <v>Noel</v>
      </c>
      <c r="I1098" s="1" t="str">
        <f>IFERROR(__xludf.DUMMYFUNCTION("""COMPUTED_VALUE"""),"Staavos")</f>
        <v>Staavos</v>
      </c>
      <c r="J1098" s="1" t="s">
        <v>34</v>
      </c>
      <c r="K1098" s="1" t="s">
        <v>35</v>
      </c>
      <c r="L1098" s="1" t="str">
        <f t="shared" si="2"/>
        <v>Los Angeles</v>
      </c>
      <c r="M1098" s="1" t="s">
        <v>52</v>
      </c>
      <c r="N1098" s="1" t="str">
        <f t="shared" si="3"/>
        <v>California</v>
      </c>
      <c r="O1098" s="1">
        <v>90049.0</v>
      </c>
      <c r="P1098" s="1" t="s">
        <v>37</v>
      </c>
      <c r="Q1098" s="1" t="s">
        <v>27</v>
      </c>
      <c r="R1098" s="3">
        <v>447.84</v>
      </c>
      <c r="S1098" s="1">
        <v>9.0</v>
      </c>
      <c r="T1098" s="4">
        <v>447.43</v>
      </c>
    </row>
    <row r="1099">
      <c r="A1099" s="1" t="s">
        <v>1835</v>
      </c>
      <c r="B1099" s="2">
        <v>42900.0</v>
      </c>
      <c r="C1099" s="2" t="str">
        <f t="shared" si="1"/>
        <v>Jun</v>
      </c>
      <c r="D1099" s="1" t="s">
        <v>1836</v>
      </c>
      <c r="E1099" s="1" t="s">
        <v>121</v>
      </c>
      <c r="F1099" s="1" t="s">
        <v>1837</v>
      </c>
      <c r="G1099" s="1" t="s">
        <v>1838</v>
      </c>
      <c r="H1099" s="1" t="s">
        <v>1839</v>
      </c>
      <c r="I1099" s="1" t="s">
        <v>1840</v>
      </c>
      <c r="J1099" s="1" t="s">
        <v>68</v>
      </c>
      <c r="K1099" s="1" t="s">
        <v>87</v>
      </c>
      <c r="L1099" s="1" t="str">
        <f t="shared" si="2"/>
        <v>San Francisco</v>
      </c>
      <c r="M1099" s="1" t="s">
        <v>52</v>
      </c>
      <c r="N1099" s="1" t="str">
        <f t="shared" si="3"/>
        <v>California</v>
      </c>
      <c r="O1099" s="1">
        <v>94122.0</v>
      </c>
      <c r="P1099" s="1" t="s">
        <v>37</v>
      </c>
      <c r="Q1099" s="1" t="s">
        <v>38</v>
      </c>
      <c r="R1099" s="3">
        <v>7.04</v>
      </c>
      <c r="S1099" s="1">
        <v>9.0</v>
      </c>
      <c r="T1099" s="4">
        <v>6.24</v>
      </c>
    </row>
    <row r="1100">
      <c r="A1100" s="1" t="s">
        <v>1835</v>
      </c>
      <c r="B1100" s="2">
        <v>42900.0</v>
      </c>
      <c r="C1100" s="2" t="str">
        <f t="shared" si="1"/>
        <v>Jun</v>
      </c>
      <c r="D1100" s="1" t="s">
        <v>1836</v>
      </c>
      <c r="E1100" s="1" t="s">
        <v>121</v>
      </c>
      <c r="F1100" s="1" t="s">
        <v>1837</v>
      </c>
      <c r="G1100" s="1" t="s">
        <v>1838</v>
      </c>
      <c r="H1100" s="1" t="s">
        <v>1839</v>
      </c>
      <c r="I1100" s="1" t="s">
        <v>1840</v>
      </c>
      <c r="J1100" s="1" t="s">
        <v>68</v>
      </c>
      <c r="K1100" s="1" t="s">
        <v>87</v>
      </c>
      <c r="L1100" s="1" t="str">
        <f t="shared" si="2"/>
        <v>San Francisco</v>
      </c>
      <c r="M1100" s="1" t="s">
        <v>52</v>
      </c>
      <c r="N1100" s="1" t="str">
        <f t="shared" si="3"/>
        <v>California</v>
      </c>
      <c r="O1100" s="1">
        <v>94122.0</v>
      </c>
      <c r="P1100" s="1" t="s">
        <v>37</v>
      </c>
      <c r="Q1100" s="1" t="s">
        <v>27</v>
      </c>
      <c r="R1100" s="3">
        <v>8.73</v>
      </c>
      <c r="S1100" s="1">
        <v>9.0</v>
      </c>
      <c r="T1100" s="4">
        <v>7.75</v>
      </c>
    </row>
    <row r="1101">
      <c r="A1101" s="1" t="s">
        <v>1835</v>
      </c>
      <c r="B1101" s="2">
        <v>42900.0</v>
      </c>
      <c r="C1101" s="2" t="str">
        <f t="shared" si="1"/>
        <v>Jun</v>
      </c>
      <c r="D1101" s="1" t="s">
        <v>1836</v>
      </c>
      <c r="E1101" s="1" t="s">
        <v>121</v>
      </c>
      <c r="F1101" s="1" t="s">
        <v>1837</v>
      </c>
      <c r="G1101" s="1" t="s">
        <v>1838</v>
      </c>
      <c r="H1101" s="1" t="s">
        <v>1839</v>
      </c>
      <c r="I1101" s="1" t="s">
        <v>1840</v>
      </c>
      <c r="J1101" s="1" t="s">
        <v>68</v>
      </c>
      <c r="K1101" s="1" t="s">
        <v>87</v>
      </c>
      <c r="L1101" s="1" t="str">
        <f t="shared" si="2"/>
        <v>San Francisco</v>
      </c>
      <c r="M1101" s="1" t="s">
        <v>52</v>
      </c>
      <c r="N1101" s="1" t="str">
        <f t="shared" si="3"/>
        <v>California</v>
      </c>
      <c r="O1101" s="1">
        <v>94122.0</v>
      </c>
      <c r="P1101" s="1" t="s">
        <v>37</v>
      </c>
      <c r="Q1101" s="1" t="s">
        <v>51</v>
      </c>
      <c r="R1101" s="3">
        <v>29.29</v>
      </c>
      <c r="S1101" s="1">
        <v>9.0</v>
      </c>
      <c r="T1101" s="4">
        <v>29.09</v>
      </c>
    </row>
    <row r="1102">
      <c r="A1102" s="1" t="s">
        <v>1835</v>
      </c>
      <c r="B1102" s="2">
        <v>42900.0</v>
      </c>
      <c r="C1102" s="2" t="str">
        <f t="shared" si="1"/>
        <v>Jun</v>
      </c>
      <c r="D1102" s="1" t="s">
        <v>1836</v>
      </c>
      <c r="E1102" s="1" t="s">
        <v>121</v>
      </c>
      <c r="F1102" s="1" t="s">
        <v>1837</v>
      </c>
      <c r="G1102" s="1" t="s">
        <v>1838</v>
      </c>
      <c r="H1102" s="1" t="s">
        <v>1839</v>
      </c>
      <c r="I1102" s="1" t="s">
        <v>1840</v>
      </c>
      <c r="J1102" s="1" t="s">
        <v>68</v>
      </c>
      <c r="K1102" s="1" t="s">
        <v>87</v>
      </c>
      <c r="L1102" s="1" t="str">
        <f t="shared" si="2"/>
        <v>San Francisco</v>
      </c>
      <c r="M1102" s="1" t="s">
        <v>52</v>
      </c>
      <c r="N1102" s="1" t="str">
        <f t="shared" si="3"/>
        <v>California</v>
      </c>
      <c r="O1102" s="1">
        <v>94122.0</v>
      </c>
      <c r="P1102" s="1" t="s">
        <v>37</v>
      </c>
      <c r="Q1102" s="1" t="s">
        <v>38</v>
      </c>
      <c r="R1102" s="3">
        <v>8.64</v>
      </c>
      <c r="S1102" s="1">
        <v>9.0</v>
      </c>
      <c r="T1102" s="4">
        <v>7.79</v>
      </c>
    </row>
    <row r="1103">
      <c r="A1103" s="1" t="s">
        <v>1841</v>
      </c>
      <c r="B1103" s="2">
        <v>43211.0</v>
      </c>
      <c r="C1103" s="2" t="str">
        <f t="shared" si="1"/>
        <v>Apr</v>
      </c>
      <c r="D1103" s="1" t="s">
        <v>1842</v>
      </c>
      <c r="E1103" s="1" t="s">
        <v>41</v>
      </c>
      <c r="F1103" s="1" t="s">
        <v>1217</v>
      </c>
      <c r="G1103" s="1" t="s">
        <v>1218</v>
      </c>
      <c r="H1103" s="1" t="str">
        <f>IFERROR(__xludf.DUMMYFUNCTION("split(G1103,"" "")"),"Resi")</f>
        <v>Resi</v>
      </c>
      <c r="I1103" s="1" t="str">
        <f>IFERROR(__xludf.DUMMYFUNCTION("""COMPUTED_VALUE"""),"Pölking")</f>
        <v>Pölking</v>
      </c>
      <c r="J1103" s="1" t="s">
        <v>23</v>
      </c>
      <c r="K1103" s="1" t="s">
        <v>129</v>
      </c>
      <c r="L1103" s="1" t="str">
        <f t="shared" si="2"/>
        <v>Houston</v>
      </c>
      <c r="M1103" s="1" t="s">
        <v>70</v>
      </c>
      <c r="N1103" s="1" t="str">
        <f t="shared" si="3"/>
        <v>Texas</v>
      </c>
      <c r="O1103" s="1">
        <v>77041.0</v>
      </c>
      <c r="P1103" s="1" t="s">
        <v>71</v>
      </c>
      <c r="Q1103" s="1" t="s">
        <v>38</v>
      </c>
      <c r="R1103" s="3">
        <v>2.694</v>
      </c>
      <c r="S1103" s="1">
        <v>7.0</v>
      </c>
      <c r="T1103" s="4">
        <v>2.64</v>
      </c>
    </row>
    <row r="1104">
      <c r="A1104" s="1" t="s">
        <v>1841</v>
      </c>
      <c r="B1104" s="2">
        <v>43211.0</v>
      </c>
      <c r="C1104" s="2" t="str">
        <f t="shared" si="1"/>
        <v>Apr</v>
      </c>
      <c r="D1104" s="1" t="s">
        <v>1842</v>
      </c>
      <c r="E1104" s="1" t="s">
        <v>41</v>
      </c>
      <c r="F1104" s="1" t="s">
        <v>1217</v>
      </c>
      <c r="G1104" s="1" t="s">
        <v>1218</v>
      </c>
      <c r="H1104" s="1" t="str">
        <f>IFERROR(__xludf.DUMMYFUNCTION("split(G1104,"" "")"),"Resi")</f>
        <v>Resi</v>
      </c>
      <c r="I1104" s="1" t="str">
        <f>IFERROR(__xludf.DUMMYFUNCTION("""COMPUTED_VALUE"""),"Pölking")</f>
        <v>Pölking</v>
      </c>
      <c r="J1104" s="1" t="s">
        <v>23</v>
      </c>
      <c r="K1104" s="1" t="s">
        <v>129</v>
      </c>
      <c r="L1104" s="1" t="str">
        <f t="shared" si="2"/>
        <v>Houston</v>
      </c>
      <c r="M1104" s="1" t="s">
        <v>70</v>
      </c>
      <c r="N1104" s="1" t="str">
        <f t="shared" si="3"/>
        <v>Texas</v>
      </c>
      <c r="O1104" s="1">
        <v>77041.0</v>
      </c>
      <c r="P1104" s="1" t="s">
        <v>71</v>
      </c>
      <c r="Q1104" s="1" t="s">
        <v>38</v>
      </c>
      <c r="R1104" s="3">
        <v>2.934</v>
      </c>
      <c r="S1104" s="1">
        <v>7.0</v>
      </c>
      <c r="T1104" s="4">
        <v>2.77</v>
      </c>
    </row>
    <row r="1105">
      <c r="A1105" s="1" t="s">
        <v>1843</v>
      </c>
      <c r="B1105" s="2">
        <v>43029.0</v>
      </c>
      <c r="C1105" s="2" t="str">
        <f t="shared" si="1"/>
        <v>Oct</v>
      </c>
      <c r="D1105" s="1" t="s">
        <v>1844</v>
      </c>
      <c r="E1105" s="1" t="s">
        <v>41</v>
      </c>
      <c r="F1105" s="1" t="s">
        <v>1845</v>
      </c>
      <c r="G1105" s="1" t="s">
        <v>1846</v>
      </c>
      <c r="H1105" s="1" t="str">
        <f>IFERROR(__xludf.DUMMYFUNCTION("split(G1105,"" "")"),"Neoma")</f>
        <v>Neoma</v>
      </c>
      <c r="I1105" s="1" t="str">
        <f>IFERROR(__xludf.DUMMYFUNCTION("""COMPUTED_VALUE"""),"Murray")</f>
        <v>Murray</v>
      </c>
      <c r="J1105" s="1" t="s">
        <v>23</v>
      </c>
      <c r="K1105" s="1" t="s">
        <v>1612</v>
      </c>
      <c r="L1105" s="1" t="str">
        <f t="shared" si="2"/>
        <v>Riverside</v>
      </c>
      <c r="M1105" s="1" t="s">
        <v>52</v>
      </c>
      <c r="N1105" s="1" t="str">
        <f t="shared" si="3"/>
        <v>California</v>
      </c>
      <c r="O1105" s="1">
        <v>92503.0</v>
      </c>
      <c r="P1105" s="1" t="s">
        <v>37</v>
      </c>
      <c r="Q1105" s="1" t="s">
        <v>38</v>
      </c>
      <c r="R1105" s="3">
        <v>22.92</v>
      </c>
      <c r="S1105" s="1">
        <v>9.0</v>
      </c>
      <c r="T1105" s="4">
        <v>22.08</v>
      </c>
    </row>
    <row r="1106">
      <c r="A1106" s="1" t="s">
        <v>1847</v>
      </c>
      <c r="B1106" s="2">
        <v>43058.0</v>
      </c>
      <c r="C1106" s="2" t="str">
        <f t="shared" si="1"/>
        <v>Nov</v>
      </c>
      <c r="D1106" s="1" t="s">
        <v>381</v>
      </c>
      <c r="E1106" s="1" t="s">
        <v>41</v>
      </c>
      <c r="F1106" s="1" t="s">
        <v>108</v>
      </c>
      <c r="G1106" s="1" t="s">
        <v>109</v>
      </c>
      <c r="H1106" s="1" t="str">
        <f>IFERROR(__xludf.DUMMYFUNCTION("split(G1106,"" "")"),"Eric")</f>
        <v>Eric</v>
      </c>
      <c r="I1106" s="1" t="str">
        <f>IFERROR(__xludf.DUMMYFUNCTION("""COMPUTED_VALUE"""),"Hoffmann")</f>
        <v>Hoffmann</v>
      </c>
      <c r="J1106" s="1" t="s">
        <v>23</v>
      </c>
      <c r="K1106" s="1" t="s">
        <v>129</v>
      </c>
      <c r="L1106" s="1" t="str">
        <f t="shared" si="2"/>
        <v>Houston</v>
      </c>
      <c r="M1106" s="1" t="s">
        <v>70</v>
      </c>
      <c r="N1106" s="1" t="str">
        <f t="shared" si="3"/>
        <v>Texas</v>
      </c>
      <c r="O1106" s="1">
        <v>77041.0</v>
      </c>
      <c r="P1106" s="1" t="s">
        <v>71</v>
      </c>
      <c r="Q1106" s="1" t="s">
        <v>38</v>
      </c>
      <c r="R1106" s="3">
        <v>100.704</v>
      </c>
      <c r="S1106" s="1">
        <v>7.0</v>
      </c>
      <c r="T1106" s="4">
        <v>100.68</v>
      </c>
    </row>
    <row r="1107">
      <c r="A1107" s="1" t="s">
        <v>1847</v>
      </c>
      <c r="B1107" s="2">
        <v>43058.0</v>
      </c>
      <c r="C1107" s="2" t="str">
        <f t="shared" si="1"/>
        <v>Nov</v>
      </c>
      <c r="D1107" s="1" t="s">
        <v>381</v>
      </c>
      <c r="E1107" s="1" t="s">
        <v>41</v>
      </c>
      <c r="F1107" s="1" t="s">
        <v>108</v>
      </c>
      <c r="G1107" s="1" t="s">
        <v>109</v>
      </c>
      <c r="H1107" s="1" t="str">
        <f>IFERROR(__xludf.DUMMYFUNCTION("split(G1107,"" "")"),"Eric")</f>
        <v>Eric</v>
      </c>
      <c r="I1107" s="1" t="str">
        <f>IFERROR(__xludf.DUMMYFUNCTION("""COMPUTED_VALUE"""),"Hoffmann")</f>
        <v>Hoffmann</v>
      </c>
      <c r="J1107" s="1" t="s">
        <v>23</v>
      </c>
      <c r="K1107" s="1" t="s">
        <v>129</v>
      </c>
      <c r="L1107" s="1" t="str">
        <f t="shared" si="2"/>
        <v>Houston</v>
      </c>
      <c r="M1107" s="1" t="s">
        <v>70</v>
      </c>
      <c r="N1107" s="1" t="str">
        <f t="shared" si="3"/>
        <v>Texas</v>
      </c>
      <c r="O1107" s="1">
        <v>77041.0</v>
      </c>
      <c r="P1107" s="1" t="s">
        <v>71</v>
      </c>
      <c r="Q1107" s="1" t="s">
        <v>27</v>
      </c>
      <c r="R1107" s="3">
        <v>2.328</v>
      </c>
      <c r="S1107" s="1">
        <v>7.0</v>
      </c>
      <c r="T1107" s="4">
        <v>2.32</v>
      </c>
    </row>
    <row r="1108">
      <c r="A1108" s="1" t="s">
        <v>1847</v>
      </c>
      <c r="B1108" s="2">
        <v>43058.0</v>
      </c>
      <c r="C1108" s="2" t="str">
        <f t="shared" si="1"/>
        <v>Nov</v>
      </c>
      <c r="D1108" s="1" t="s">
        <v>381</v>
      </c>
      <c r="E1108" s="1" t="s">
        <v>41</v>
      </c>
      <c r="F1108" s="1" t="s">
        <v>108</v>
      </c>
      <c r="G1108" s="1" t="s">
        <v>109</v>
      </c>
      <c r="H1108" s="1" t="str">
        <f>IFERROR(__xludf.DUMMYFUNCTION("split(G1108,"" "")"),"Eric")</f>
        <v>Eric</v>
      </c>
      <c r="I1108" s="1" t="str">
        <f>IFERROR(__xludf.DUMMYFUNCTION("""COMPUTED_VALUE"""),"Hoffmann")</f>
        <v>Hoffmann</v>
      </c>
      <c r="J1108" s="1" t="s">
        <v>23</v>
      </c>
      <c r="K1108" s="1" t="s">
        <v>129</v>
      </c>
      <c r="L1108" s="1" t="str">
        <f t="shared" si="2"/>
        <v>Houston</v>
      </c>
      <c r="M1108" s="1" t="s">
        <v>70</v>
      </c>
      <c r="N1108" s="1" t="str">
        <f t="shared" si="3"/>
        <v>Texas</v>
      </c>
      <c r="O1108" s="1">
        <v>77041.0</v>
      </c>
      <c r="P1108" s="1" t="s">
        <v>71</v>
      </c>
      <c r="Q1108" s="1" t="s">
        <v>38</v>
      </c>
      <c r="R1108" s="3">
        <v>10.78</v>
      </c>
      <c r="S1108" s="1">
        <v>7.0</v>
      </c>
      <c r="T1108" s="4">
        <v>9.9</v>
      </c>
    </row>
    <row r="1109">
      <c r="A1109" s="1" t="s">
        <v>1847</v>
      </c>
      <c r="B1109" s="2">
        <v>43058.0</v>
      </c>
      <c r="C1109" s="2" t="str">
        <f t="shared" si="1"/>
        <v>Nov</v>
      </c>
      <c r="D1109" s="1" t="s">
        <v>381</v>
      </c>
      <c r="E1109" s="1" t="s">
        <v>41</v>
      </c>
      <c r="F1109" s="1" t="s">
        <v>108</v>
      </c>
      <c r="G1109" s="1" t="s">
        <v>109</v>
      </c>
      <c r="H1109" s="1" t="str">
        <f>IFERROR(__xludf.DUMMYFUNCTION("split(G1109,"" "")"),"Eric")</f>
        <v>Eric</v>
      </c>
      <c r="I1109" s="1" t="str">
        <f>IFERROR(__xludf.DUMMYFUNCTION("""COMPUTED_VALUE"""),"Hoffmann")</f>
        <v>Hoffmann</v>
      </c>
      <c r="J1109" s="1" t="s">
        <v>23</v>
      </c>
      <c r="K1109" s="1" t="s">
        <v>129</v>
      </c>
      <c r="L1109" s="1" t="str">
        <f t="shared" si="2"/>
        <v>Houston</v>
      </c>
      <c r="M1109" s="1" t="s">
        <v>70</v>
      </c>
      <c r="N1109" s="1" t="str">
        <f t="shared" si="3"/>
        <v>Texas</v>
      </c>
      <c r="O1109" s="1">
        <v>77041.0</v>
      </c>
      <c r="P1109" s="1" t="s">
        <v>71</v>
      </c>
      <c r="Q1109" s="1" t="s">
        <v>38</v>
      </c>
      <c r="R1109" s="3">
        <v>58.368</v>
      </c>
      <c r="S1109" s="1">
        <v>7.0</v>
      </c>
      <c r="T1109" s="4">
        <v>57.92</v>
      </c>
    </row>
    <row r="1110">
      <c r="A1110" s="1" t="s">
        <v>1847</v>
      </c>
      <c r="B1110" s="2">
        <v>43058.0</v>
      </c>
      <c r="C1110" s="2" t="str">
        <f t="shared" si="1"/>
        <v>Nov</v>
      </c>
      <c r="D1110" s="1" t="s">
        <v>381</v>
      </c>
      <c r="E1110" s="1" t="s">
        <v>41</v>
      </c>
      <c r="F1110" s="1" t="s">
        <v>108</v>
      </c>
      <c r="G1110" s="1" t="s">
        <v>109</v>
      </c>
      <c r="H1110" s="1" t="str">
        <f>IFERROR(__xludf.DUMMYFUNCTION("split(G1110,"" "")"),"Eric")</f>
        <v>Eric</v>
      </c>
      <c r="I1110" s="1" t="str">
        <f>IFERROR(__xludf.DUMMYFUNCTION("""COMPUTED_VALUE"""),"Hoffmann")</f>
        <v>Hoffmann</v>
      </c>
      <c r="J1110" s="1" t="s">
        <v>23</v>
      </c>
      <c r="K1110" s="1" t="s">
        <v>129</v>
      </c>
      <c r="L1110" s="1" t="str">
        <f t="shared" si="2"/>
        <v>Houston</v>
      </c>
      <c r="M1110" s="1" t="s">
        <v>70</v>
      </c>
      <c r="N1110" s="1" t="str">
        <f t="shared" si="3"/>
        <v>Texas</v>
      </c>
      <c r="O1110" s="1">
        <v>77041.0</v>
      </c>
      <c r="P1110" s="1" t="s">
        <v>71</v>
      </c>
      <c r="Q1110" s="1" t="s">
        <v>38</v>
      </c>
      <c r="R1110" s="3">
        <v>40.968</v>
      </c>
      <c r="S1110" s="1">
        <v>7.0</v>
      </c>
      <c r="T1110" s="4">
        <v>40.93</v>
      </c>
    </row>
    <row r="1111">
      <c r="A1111" s="1" t="s">
        <v>1847</v>
      </c>
      <c r="B1111" s="2">
        <v>43058.0</v>
      </c>
      <c r="C1111" s="2" t="str">
        <f t="shared" si="1"/>
        <v>Nov</v>
      </c>
      <c r="D1111" s="1" t="s">
        <v>381</v>
      </c>
      <c r="E1111" s="1" t="s">
        <v>41</v>
      </c>
      <c r="F1111" s="1" t="s">
        <v>108</v>
      </c>
      <c r="G1111" s="1" t="s">
        <v>109</v>
      </c>
      <c r="H1111" s="1" t="str">
        <f>IFERROR(__xludf.DUMMYFUNCTION("split(G1111,"" "")"),"Eric")</f>
        <v>Eric</v>
      </c>
      <c r="I1111" s="1" t="str">
        <f>IFERROR(__xludf.DUMMYFUNCTION("""COMPUTED_VALUE"""),"Hoffmann")</f>
        <v>Hoffmann</v>
      </c>
      <c r="J1111" s="1" t="s">
        <v>23</v>
      </c>
      <c r="K1111" s="1" t="s">
        <v>129</v>
      </c>
      <c r="L1111" s="1" t="str">
        <f t="shared" si="2"/>
        <v>Houston</v>
      </c>
      <c r="M1111" s="1" t="s">
        <v>70</v>
      </c>
      <c r="N1111" s="1" t="str">
        <f t="shared" si="3"/>
        <v>Texas</v>
      </c>
      <c r="O1111" s="1">
        <v>77041.0</v>
      </c>
      <c r="P1111" s="1" t="s">
        <v>71</v>
      </c>
      <c r="Q1111" s="1" t="s">
        <v>51</v>
      </c>
      <c r="R1111" s="3">
        <v>71.96</v>
      </c>
      <c r="S1111" s="1">
        <v>7.0</v>
      </c>
      <c r="T1111" s="4">
        <v>71.29</v>
      </c>
    </row>
    <row r="1112">
      <c r="A1112" s="1" t="s">
        <v>1847</v>
      </c>
      <c r="B1112" s="2">
        <v>43058.0</v>
      </c>
      <c r="C1112" s="2" t="str">
        <f t="shared" si="1"/>
        <v>Nov</v>
      </c>
      <c r="D1112" s="1" t="s">
        <v>381</v>
      </c>
      <c r="E1112" s="1" t="s">
        <v>41</v>
      </c>
      <c r="F1112" s="1" t="s">
        <v>108</v>
      </c>
      <c r="G1112" s="1" t="s">
        <v>109</v>
      </c>
      <c r="H1112" s="1" t="str">
        <f>IFERROR(__xludf.DUMMYFUNCTION("split(G1112,"" "")"),"Eric")</f>
        <v>Eric</v>
      </c>
      <c r="I1112" s="1" t="str">
        <f>IFERROR(__xludf.DUMMYFUNCTION("""COMPUTED_VALUE"""),"Hoffmann")</f>
        <v>Hoffmann</v>
      </c>
      <c r="J1112" s="1" t="s">
        <v>23</v>
      </c>
      <c r="K1112" s="1" t="s">
        <v>129</v>
      </c>
      <c r="L1112" s="1" t="str">
        <f t="shared" si="2"/>
        <v>Houston</v>
      </c>
      <c r="M1112" s="1" t="s">
        <v>70</v>
      </c>
      <c r="N1112" s="1" t="str">
        <f t="shared" si="3"/>
        <v>Texas</v>
      </c>
      <c r="O1112" s="1">
        <v>77041.0</v>
      </c>
      <c r="P1112" s="1" t="s">
        <v>71</v>
      </c>
      <c r="Q1112" s="1" t="s">
        <v>38</v>
      </c>
      <c r="R1112" s="3">
        <v>10.368</v>
      </c>
      <c r="S1112" s="1">
        <v>7.0</v>
      </c>
      <c r="T1112" s="4">
        <v>9.6</v>
      </c>
    </row>
    <row r="1113">
      <c r="A1113" s="1" t="s">
        <v>1847</v>
      </c>
      <c r="B1113" s="2">
        <v>43058.0</v>
      </c>
      <c r="C1113" s="2" t="str">
        <f t="shared" si="1"/>
        <v>Nov</v>
      </c>
      <c r="D1113" s="1" t="s">
        <v>381</v>
      </c>
      <c r="E1113" s="1" t="s">
        <v>41</v>
      </c>
      <c r="F1113" s="1" t="s">
        <v>108</v>
      </c>
      <c r="G1113" s="1" t="s">
        <v>109</v>
      </c>
      <c r="H1113" s="1" t="str">
        <f>IFERROR(__xludf.DUMMYFUNCTION("split(G1113,"" "")"),"Eric")</f>
        <v>Eric</v>
      </c>
      <c r="I1113" s="1" t="str">
        <f>IFERROR(__xludf.DUMMYFUNCTION("""COMPUTED_VALUE"""),"Hoffmann")</f>
        <v>Hoffmann</v>
      </c>
      <c r="J1113" s="1" t="s">
        <v>23</v>
      </c>
      <c r="K1113" s="1" t="s">
        <v>129</v>
      </c>
      <c r="L1113" s="1" t="str">
        <f t="shared" si="2"/>
        <v>Houston</v>
      </c>
      <c r="M1113" s="1" t="s">
        <v>70</v>
      </c>
      <c r="N1113" s="1" t="str">
        <f t="shared" si="3"/>
        <v>Texas</v>
      </c>
      <c r="O1113" s="1">
        <v>77041.0</v>
      </c>
      <c r="P1113" s="1" t="s">
        <v>71</v>
      </c>
      <c r="Q1113" s="1" t="s">
        <v>38</v>
      </c>
      <c r="R1113" s="3">
        <v>1.192</v>
      </c>
      <c r="S1113" s="1">
        <v>7.0</v>
      </c>
      <c r="T1113" s="4">
        <v>1.1</v>
      </c>
    </row>
    <row r="1114">
      <c r="A1114" s="1" t="s">
        <v>1848</v>
      </c>
      <c r="B1114" s="2">
        <v>43452.0</v>
      </c>
      <c r="C1114" s="2" t="str">
        <f t="shared" si="1"/>
        <v>Dec</v>
      </c>
      <c r="D1114" s="1" t="s">
        <v>1526</v>
      </c>
      <c r="E1114" s="1" t="s">
        <v>20</v>
      </c>
      <c r="F1114" s="1" t="s">
        <v>738</v>
      </c>
      <c r="G1114" s="1" t="s">
        <v>739</v>
      </c>
      <c r="H1114" s="1" t="str">
        <f>IFERROR(__xludf.DUMMYFUNCTION("split(G1114,"" "")"),"Russell")</f>
        <v>Russell</v>
      </c>
      <c r="I1114" s="1" t="str">
        <f>IFERROR(__xludf.DUMMYFUNCTION("""COMPUTED_VALUE"""),"Applegate")</f>
        <v>Applegate</v>
      </c>
      <c r="J1114" s="1" t="s">
        <v>23</v>
      </c>
      <c r="K1114" s="1" t="s">
        <v>1849</v>
      </c>
      <c r="L1114" s="1" t="str">
        <f t="shared" si="2"/>
        <v>Encinitas</v>
      </c>
      <c r="M1114" s="1" t="s">
        <v>52</v>
      </c>
      <c r="N1114" s="1" t="str">
        <f t="shared" si="3"/>
        <v>California</v>
      </c>
      <c r="O1114" s="1">
        <v>92024.0</v>
      </c>
      <c r="P1114" s="1" t="s">
        <v>37</v>
      </c>
      <c r="Q1114" s="1" t="s">
        <v>38</v>
      </c>
      <c r="R1114" s="3">
        <v>46.672</v>
      </c>
      <c r="S1114" s="1">
        <v>9.0</v>
      </c>
      <c r="T1114" s="4">
        <v>46.01</v>
      </c>
    </row>
    <row r="1115">
      <c r="A1115" s="1" t="s">
        <v>1848</v>
      </c>
      <c r="B1115" s="2">
        <v>43452.0</v>
      </c>
      <c r="C1115" s="2" t="str">
        <f t="shared" si="1"/>
        <v>Dec</v>
      </c>
      <c r="D1115" s="1" t="s">
        <v>1526</v>
      </c>
      <c r="E1115" s="1" t="s">
        <v>20</v>
      </c>
      <c r="F1115" s="1" t="s">
        <v>738</v>
      </c>
      <c r="G1115" s="1" t="s">
        <v>739</v>
      </c>
      <c r="H1115" s="1" t="str">
        <f>IFERROR(__xludf.DUMMYFUNCTION("split(G1115,"" "")"),"Russell")</f>
        <v>Russell</v>
      </c>
      <c r="I1115" s="1" t="str">
        <f>IFERROR(__xludf.DUMMYFUNCTION("""COMPUTED_VALUE"""),"Applegate")</f>
        <v>Applegate</v>
      </c>
      <c r="J1115" s="1" t="s">
        <v>23</v>
      </c>
      <c r="K1115" s="1" t="s">
        <v>1849</v>
      </c>
      <c r="L1115" s="1" t="str">
        <f t="shared" si="2"/>
        <v>Encinitas</v>
      </c>
      <c r="M1115" s="1" t="s">
        <v>52</v>
      </c>
      <c r="N1115" s="1" t="str">
        <f t="shared" si="3"/>
        <v>California</v>
      </c>
      <c r="O1115" s="1">
        <v>92024.0</v>
      </c>
      <c r="P1115" s="1" t="s">
        <v>37</v>
      </c>
      <c r="Q1115" s="1" t="s">
        <v>27</v>
      </c>
      <c r="R1115" s="3">
        <v>119.833</v>
      </c>
      <c r="S1115" s="1">
        <v>9.0</v>
      </c>
      <c r="T1115" s="4">
        <v>119.49</v>
      </c>
    </row>
    <row r="1116">
      <c r="A1116" s="1" t="s">
        <v>1848</v>
      </c>
      <c r="B1116" s="2">
        <v>43452.0</v>
      </c>
      <c r="C1116" s="2" t="str">
        <f t="shared" si="1"/>
        <v>Dec</v>
      </c>
      <c r="D1116" s="1" t="s">
        <v>1526</v>
      </c>
      <c r="E1116" s="1" t="s">
        <v>20</v>
      </c>
      <c r="F1116" s="1" t="s">
        <v>738</v>
      </c>
      <c r="G1116" s="1" t="s">
        <v>739</v>
      </c>
      <c r="H1116" s="1" t="str">
        <f>IFERROR(__xludf.DUMMYFUNCTION("split(G1116,"" "")"),"Russell")</f>
        <v>Russell</v>
      </c>
      <c r="I1116" s="1" t="str">
        <f>IFERROR(__xludf.DUMMYFUNCTION("""COMPUTED_VALUE"""),"Applegate")</f>
        <v>Applegate</v>
      </c>
      <c r="J1116" s="1" t="s">
        <v>23</v>
      </c>
      <c r="K1116" s="1" t="s">
        <v>1849</v>
      </c>
      <c r="L1116" s="1" t="str">
        <f t="shared" si="2"/>
        <v>Encinitas</v>
      </c>
      <c r="M1116" s="1" t="s">
        <v>52</v>
      </c>
      <c r="N1116" s="1" t="str">
        <f t="shared" si="3"/>
        <v>California</v>
      </c>
      <c r="O1116" s="1">
        <v>92024.0</v>
      </c>
      <c r="P1116" s="1" t="s">
        <v>37</v>
      </c>
      <c r="Q1116" s="1" t="s">
        <v>51</v>
      </c>
      <c r="R1116" s="3">
        <v>119.98</v>
      </c>
      <c r="S1116" s="1">
        <v>9.0</v>
      </c>
      <c r="T1116" s="4">
        <v>119.77</v>
      </c>
    </row>
    <row r="1117">
      <c r="A1117" s="1" t="s">
        <v>1850</v>
      </c>
      <c r="B1117" s="2">
        <v>42938.0</v>
      </c>
      <c r="C1117" s="2" t="str">
        <f t="shared" si="1"/>
        <v>Jul</v>
      </c>
      <c r="D1117" s="1" t="s">
        <v>1851</v>
      </c>
      <c r="E1117" s="1" t="s">
        <v>20</v>
      </c>
      <c r="F1117" s="1" t="s">
        <v>1852</v>
      </c>
      <c r="G1117" s="1" t="s">
        <v>1853</v>
      </c>
      <c r="H1117" s="1" t="str">
        <f>IFERROR(__xludf.DUMMYFUNCTION("split(G1117,"" "")"),"Dionis")</f>
        <v>Dionis</v>
      </c>
      <c r="I1117" s="1" t="str">
        <f>IFERROR(__xludf.DUMMYFUNCTION("""COMPUTED_VALUE"""),"Lloyd")</f>
        <v>Lloyd</v>
      </c>
      <c r="J1117" s="1" t="s">
        <v>34</v>
      </c>
      <c r="K1117" s="1" t="s">
        <v>87</v>
      </c>
      <c r="L1117" s="1" t="str">
        <f t="shared" si="2"/>
        <v>San Francisco</v>
      </c>
      <c r="M1117" s="1" t="s">
        <v>52</v>
      </c>
      <c r="N1117" s="1" t="str">
        <f t="shared" si="3"/>
        <v>California</v>
      </c>
      <c r="O1117" s="1">
        <v>94110.0</v>
      </c>
      <c r="P1117" s="1" t="s">
        <v>37</v>
      </c>
      <c r="Q1117" s="1" t="s">
        <v>38</v>
      </c>
      <c r="R1117" s="3">
        <v>6.3</v>
      </c>
      <c r="S1117" s="1">
        <v>9.0</v>
      </c>
      <c r="T1117" s="4">
        <v>6.14</v>
      </c>
    </row>
    <row r="1118">
      <c r="A1118" s="1" t="s">
        <v>1854</v>
      </c>
      <c r="B1118" s="2">
        <v>42469.0</v>
      </c>
      <c r="C1118" s="2" t="str">
        <f t="shared" si="1"/>
        <v>Apr</v>
      </c>
      <c r="D1118" s="6">
        <v>42591.0</v>
      </c>
      <c r="E1118" s="1" t="s">
        <v>41</v>
      </c>
      <c r="F1118" s="1" t="s">
        <v>1855</v>
      </c>
      <c r="G1118" s="1" t="s">
        <v>1856</v>
      </c>
      <c r="H1118" s="1" t="str">
        <f>IFERROR(__xludf.DUMMYFUNCTION("split(G1118,"" "")"),"Christine")</f>
        <v>Christine</v>
      </c>
      <c r="I1118" s="1" t="str">
        <f>IFERROR(__xludf.DUMMYFUNCTION("""COMPUTED_VALUE"""),"Sundaresam")</f>
        <v>Sundaresam</v>
      </c>
      <c r="J1118" s="1" t="s">
        <v>23</v>
      </c>
      <c r="K1118" s="1" t="s">
        <v>1857</v>
      </c>
      <c r="L1118" s="1" t="str">
        <f t="shared" si="2"/>
        <v>Roswell</v>
      </c>
      <c r="M1118" s="1" t="s">
        <v>707</v>
      </c>
      <c r="N1118" s="1" t="str">
        <f t="shared" si="3"/>
        <v>Georgia</v>
      </c>
      <c r="O1118" s="1">
        <v>30076.0</v>
      </c>
      <c r="P1118" s="1" t="s">
        <v>26</v>
      </c>
      <c r="Q1118" s="1" t="s">
        <v>38</v>
      </c>
      <c r="R1118" s="3">
        <v>279.9</v>
      </c>
      <c r="S1118" s="1">
        <v>3.0</v>
      </c>
      <c r="T1118" s="4">
        <v>279.45</v>
      </c>
    </row>
    <row r="1119">
      <c r="A1119" s="1" t="s">
        <v>1854</v>
      </c>
      <c r="B1119" s="2">
        <v>42469.0</v>
      </c>
      <c r="C1119" s="2" t="str">
        <f t="shared" si="1"/>
        <v>Apr</v>
      </c>
      <c r="D1119" s="6">
        <v>42591.0</v>
      </c>
      <c r="E1119" s="1" t="s">
        <v>41</v>
      </c>
      <c r="F1119" s="1" t="s">
        <v>1855</v>
      </c>
      <c r="G1119" s="1" t="s">
        <v>1856</v>
      </c>
      <c r="H1119" s="1" t="str">
        <f>IFERROR(__xludf.DUMMYFUNCTION("split(G1119,"" "")"),"Christine")</f>
        <v>Christine</v>
      </c>
      <c r="I1119" s="1" t="str">
        <f>IFERROR(__xludf.DUMMYFUNCTION("""COMPUTED_VALUE"""),"Sundaresam")</f>
        <v>Sundaresam</v>
      </c>
      <c r="J1119" s="1" t="s">
        <v>23</v>
      </c>
      <c r="K1119" s="1" t="s">
        <v>1857</v>
      </c>
      <c r="L1119" s="1" t="str">
        <f t="shared" si="2"/>
        <v>Roswell</v>
      </c>
      <c r="M1119" s="1" t="s">
        <v>707</v>
      </c>
      <c r="N1119" s="1" t="str">
        <f t="shared" si="3"/>
        <v>Georgia</v>
      </c>
      <c r="O1119" s="1">
        <v>30076.0</v>
      </c>
      <c r="P1119" s="1" t="s">
        <v>26</v>
      </c>
      <c r="Q1119" s="1" t="s">
        <v>51</v>
      </c>
      <c r="R1119" s="3">
        <v>619.95</v>
      </c>
      <c r="S1119" s="1">
        <v>3.0</v>
      </c>
      <c r="T1119" s="4">
        <v>619.12</v>
      </c>
    </row>
    <row r="1120">
      <c r="A1120" s="1" t="s">
        <v>1854</v>
      </c>
      <c r="B1120" s="2">
        <v>42469.0</v>
      </c>
      <c r="C1120" s="2" t="str">
        <f t="shared" si="1"/>
        <v>Apr</v>
      </c>
      <c r="D1120" s="6">
        <v>42591.0</v>
      </c>
      <c r="E1120" s="1" t="s">
        <v>41</v>
      </c>
      <c r="F1120" s="1" t="s">
        <v>1855</v>
      </c>
      <c r="G1120" s="1" t="s">
        <v>1856</v>
      </c>
      <c r="H1120" s="1" t="str">
        <f>IFERROR(__xludf.DUMMYFUNCTION("split(G1120,"" "")"),"Christine")</f>
        <v>Christine</v>
      </c>
      <c r="I1120" s="1" t="str">
        <f>IFERROR(__xludf.DUMMYFUNCTION("""COMPUTED_VALUE"""),"Sundaresam")</f>
        <v>Sundaresam</v>
      </c>
      <c r="J1120" s="1" t="s">
        <v>23</v>
      </c>
      <c r="K1120" s="1" t="s">
        <v>1857</v>
      </c>
      <c r="L1120" s="1" t="str">
        <f t="shared" si="2"/>
        <v>Roswell</v>
      </c>
      <c r="M1120" s="1" t="s">
        <v>707</v>
      </c>
      <c r="N1120" s="1" t="str">
        <f t="shared" si="3"/>
        <v>Georgia</v>
      </c>
      <c r="O1120" s="1">
        <v>30076.0</v>
      </c>
      <c r="P1120" s="1" t="s">
        <v>26</v>
      </c>
      <c r="Q1120" s="1" t="s">
        <v>38</v>
      </c>
      <c r="R1120" s="3">
        <v>4.36</v>
      </c>
      <c r="S1120" s="1">
        <v>3.0</v>
      </c>
      <c r="T1120" s="4">
        <v>3.73</v>
      </c>
    </row>
    <row r="1121">
      <c r="A1121" s="1" t="s">
        <v>1854</v>
      </c>
      <c r="B1121" s="2">
        <v>42469.0</v>
      </c>
      <c r="C1121" s="2" t="str">
        <f t="shared" si="1"/>
        <v>Apr</v>
      </c>
      <c r="D1121" s="6">
        <v>42591.0</v>
      </c>
      <c r="E1121" s="1" t="s">
        <v>41</v>
      </c>
      <c r="F1121" s="1" t="s">
        <v>1855</v>
      </c>
      <c r="G1121" s="1" t="s">
        <v>1856</v>
      </c>
      <c r="H1121" s="1" t="str">
        <f>IFERROR(__xludf.DUMMYFUNCTION("split(G1121,"" "")"),"Christine")</f>
        <v>Christine</v>
      </c>
      <c r="I1121" s="1" t="str">
        <f>IFERROR(__xludf.DUMMYFUNCTION("""COMPUTED_VALUE"""),"Sundaresam")</f>
        <v>Sundaresam</v>
      </c>
      <c r="J1121" s="1" t="s">
        <v>23</v>
      </c>
      <c r="K1121" s="1" t="s">
        <v>1857</v>
      </c>
      <c r="L1121" s="1" t="str">
        <f t="shared" si="2"/>
        <v>Roswell</v>
      </c>
      <c r="M1121" s="1" t="s">
        <v>707</v>
      </c>
      <c r="N1121" s="1" t="str">
        <f t="shared" si="3"/>
        <v>Georgia</v>
      </c>
      <c r="O1121" s="1">
        <v>30076.0</v>
      </c>
      <c r="P1121" s="1" t="s">
        <v>26</v>
      </c>
      <c r="Q1121" s="1" t="s">
        <v>38</v>
      </c>
      <c r="R1121" s="3">
        <v>15.28</v>
      </c>
      <c r="S1121" s="1">
        <v>3.0</v>
      </c>
      <c r="T1121" s="4">
        <v>14.37</v>
      </c>
    </row>
    <row r="1122">
      <c r="A1122" s="1" t="s">
        <v>1858</v>
      </c>
      <c r="B1122" s="2">
        <v>42024.0</v>
      </c>
      <c r="C1122" s="2" t="str">
        <f t="shared" si="1"/>
        <v>Jan</v>
      </c>
      <c r="D1122" s="1" t="s">
        <v>1859</v>
      </c>
      <c r="E1122" s="1" t="s">
        <v>41</v>
      </c>
      <c r="F1122" s="1" t="s">
        <v>1552</v>
      </c>
      <c r="G1122" s="1" t="s">
        <v>1553</v>
      </c>
      <c r="H1122" s="1" t="str">
        <f>IFERROR(__xludf.DUMMYFUNCTION("split(G1122,"" "")"),"Hunter")</f>
        <v>Hunter</v>
      </c>
      <c r="I1122" s="1" t="str">
        <f>IFERROR(__xludf.DUMMYFUNCTION("""COMPUTED_VALUE"""),"Lopez")</f>
        <v>Lopez</v>
      </c>
      <c r="J1122" s="1" t="s">
        <v>23</v>
      </c>
      <c r="K1122" s="1" t="s">
        <v>1860</v>
      </c>
      <c r="L1122" s="1" t="str">
        <f t="shared" si="2"/>
        <v>Jonesboro</v>
      </c>
      <c r="M1122" s="1" t="s">
        <v>944</v>
      </c>
      <c r="N1122" s="1" t="str">
        <f t="shared" si="3"/>
        <v>Arkansas</v>
      </c>
      <c r="O1122" s="1">
        <v>72401.0</v>
      </c>
      <c r="P1122" s="1" t="s">
        <v>26</v>
      </c>
      <c r="Q1122" s="1" t="s">
        <v>51</v>
      </c>
      <c r="R1122" s="3">
        <v>699.93</v>
      </c>
      <c r="S1122" s="1">
        <v>7.0</v>
      </c>
      <c r="T1122" s="4">
        <v>699.67</v>
      </c>
    </row>
    <row r="1123">
      <c r="A1123" s="1" t="s">
        <v>1858</v>
      </c>
      <c r="B1123" s="2">
        <v>42024.0</v>
      </c>
      <c r="C1123" s="2" t="str">
        <f t="shared" si="1"/>
        <v>Jan</v>
      </c>
      <c r="D1123" s="1" t="s">
        <v>1859</v>
      </c>
      <c r="E1123" s="1" t="s">
        <v>41</v>
      </c>
      <c r="F1123" s="1" t="s">
        <v>1552</v>
      </c>
      <c r="G1123" s="1" t="s">
        <v>1553</v>
      </c>
      <c r="H1123" s="1" t="str">
        <f>IFERROR(__xludf.DUMMYFUNCTION("split(G1123,"" "")"),"Hunter")</f>
        <v>Hunter</v>
      </c>
      <c r="I1123" s="1" t="str">
        <f>IFERROR(__xludf.DUMMYFUNCTION("""COMPUTED_VALUE"""),"Lopez")</f>
        <v>Lopez</v>
      </c>
      <c r="J1123" s="1" t="s">
        <v>23</v>
      </c>
      <c r="K1123" s="1" t="s">
        <v>1860</v>
      </c>
      <c r="L1123" s="1" t="str">
        <f t="shared" si="2"/>
        <v>Jonesboro</v>
      </c>
      <c r="M1123" s="1" t="s">
        <v>944</v>
      </c>
      <c r="N1123" s="1" t="str">
        <f t="shared" si="3"/>
        <v>Arkansas</v>
      </c>
      <c r="O1123" s="1">
        <v>72401.0</v>
      </c>
      <c r="P1123" s="1" t="s">
        <v>26</v>
      </c>
      <c r="Q1123" s="1" t="s">
        <v>38</v>
      </c>
      <c r="R1123" s="3">
        <v>22.96</v>
      </c>
      <c r="S1123" s="1">
        <v>7.0</v>
      </c>
      <c r="T1123" s="4">
        <v>22.2</v>
      </c>
    </row>
    <row r="1124">
      <c r="A1124" s="1" t="s">
        <v>1858</v>
      </c>
      <c r="B1124" s="2">
        <v>42024.0</v>
      </c>
      <c r="C1124" s="2" t="str">
        <f t="shared" si="1"/>
        <v>Jan</v>
      </c>
      <c r="D1124" s="1" t="s">
        <v>1859</v>
      </c>
      <c r="E1124" s="1" t="s">
        <v>41</v>
      </c>
      <c r="F1124" s="1" t="s">
        <v>1552</v>
      </c>
      <c r="G1124" s="1" t="s">
        <v>1553</v>
      </c>
      <c r="H1124" s="1" t="str">
        <f>IFERROR(__xludf.DUMMYFUNCTION("split(G1124,"" "")"),"Hunter")</f>
        <v>Hunter</v>
      </c>
      <c r="I1124" s="1" t="str">
        <f>IFERROR(__xludf.DUMMYFUNCTION("""COMPUTED_VALUE"""),"Lopez")</f>
        <v>Lopez</v>
      </c>
      <c r="J1124" s="1" t="s">
        <v>23</v>
      </c>
      <c r="K1124" s="1" t="s">
        <v>1860</v>
      </c>
      <c r="L1124" s="1" t="str">
        <f t="shared" si="2"/>
        <v>Jonesboro</v>
      </c>
      <c r="M1124" s="1" t="s">
        <v>944</v>
      </c>
      <c r="N1124" s="1" t="str">
        <f t="shared" si="3"/>
        <v>Arkansas</v>
      </c>
      <c r="O1124" s="1">
        <v>72401.0</v>
      </c>
      <c r="P1124" s="1" t="s">
        <v>26</v>
      </c>
      <c r="Q1124" s="1" t="s">
        <v>27</v>
      </c>
      <c r="R1124" s="3">
        <v>38.6</v>
      </c>
      <c r="S1124" s="1">
        <v>7.0</v>
      </c>
      <c r="T1124" s="4">
        <v>38.22</v>
      </c>
    </row>
    <row r="1125">
      <c r="A1125" s="1" t="s">
        <v>1858</v>
      </c>
      <c r="B1125" s="2">
        <v>42024.0</v>
      </c>
      <c r="C1125" s="2" t="str">
        <f t="shared" si="1"/>
        <v>Jan</v>
      </c>
      <c r="D1125" s="1" t="s">
        <v>1859</v>
      </c>
      <c r="E1125" s="1" t="s">
        <v>41</v>
      </c>
      <c r="F1125" s="1" t="s">
        <v>1552</v>
      </c>
      <c r="G1125" s="1" t="s">
        <v>1553</v>
      </c>
      <c r="H1125" s="1" t="str">
        <f>IFERROR(__xludf.DUMMYFUNCTION("split(G1125,"" "")"),"Hunter")</f>
        <v>Hunter</v>
      </c>
      <c r="I1125" s="1" t="str">
        <f>IFERROR(__xludf.DUMMYFUNCTION("""COMPUTED_VALUE"""),"Lopez")</f>
        <v>Lopez</v>
      </c>
      <c r="J1125" s="1" t="s">
        <v>23</v>
      </c>
      <c r="K1125" s="1" t="s">
        <v>1860</v>
      </c>
      <c r="L1125" s="1" t="str">
        <f t="shared" si="2"/>
        <v>Jonesboro</v>
      </c>
      <c r="M1125" s="1" t="s">
        <v>944</v>
      </c>
      <c r="N1125" s="1" t="str">
        <f t="shared" si="3"/>
        <v>Arkansas</v>
      </c>
      <c r="O1125" s="1">
        <v>72401.0</v>
      </c>
      <c r="P1125" s="1" t="s">
        <v>26</v>
      </c>
      <c r="Q1125" s="1" t="s">
        <v>38</v>
      </c>
      <c r="R1125" s="3">
        <v>6.63</v>
      </c>
      <c r="S1125" s="1">
        <v>7.0</v>
      </c>
      <c r="T1125" s="4">
        <v>6.15</v>
      </c>
    </row>
    <row r="1126">
      <c r="A1126" s="1" t="s">
        <v>1858</v>
      </c>
      <c r="B1126" s="2">
        <v>42024.0</v>
      </c>
      <c r="C1126" s="2" t="str">
        <f t="shared" si="1"/>
        <v>Jan</v>
      </c>
      <c r="D1126" s="1" t="s">
        <v>1859</v>
      </c>
      <c r="E1126" s="1" t="s">
        <v>41</v>
      </c>
      <c r="F1126" s="1" t="s">
        <v>1552</v>
      </c>
      <c r="G1126" s="1" t="s">
        <v>1553</v>
      </c>
      <c r="H1126" s="1" t="str">
        <f>IFERROR(__xludf.DUMMYFUNCTION("split(G1126,"" "")"),"Hunter")</f>
        <v>Hunter</v>
      </c>
      <c r="I1126" s="1" t="str">
        <f>IFERROR(__xludf.DUMMYFUNCTION("""COMPUTED_VALUE"""),"Lopez")</f>
        <v>Lopez</v>
      </c>
      <c r="J1126" s="1" t="s">
        <v>23</v>
      </c>
      <c r="K1126" s="1" t="s">
        <v>1860</v>
      </c>
      <c r="L1126" s="1" t="str">
        <f t="shared" si="2"/>
        <v>Jonesboro</v>
      </c>
      <c r="M1126" s="1" t="s">
        <v>944</v>
      </c>
      <c r="N1126" s="1" t="str">
        <f t="shared" si="3"/>
        <v>Arkansas</v>
      </c>
      <c r="O1126" s="1">
        <v>72401.0</v>
      </c>
      <c r="P1126" s="1" t="s">
        <v>26</v>
      </c>
      <c r="Q1126" s="1" t="s">
        <v>38</v>
      </c>
      <c r="R1126" s="3">
        <v>23.34</v>
      </c>
      <c r="S1126" s="1">
        <v>7.0</v>
      </c>
      <c r="T1126" s="4">
        <v>22.41</v>
      </c>
    </row>
    <row r="1127">
      <c r="A1127" s="1" t="s">
        <v>1858</v>
      </c>
      <c r="B1127" s="2">
        <v>42024.0</v>
      </c>
      <c r="C1127" s="2" t="str">
        <f t="shared" si="1"/>
        <v>Jan</v>
      </c>
      <c r="D1127" s="1" t="s">
        <v>1859</v>
      </c>
      <c r="E1127" s="1" t="s">
        <v>41</v>
      </c>
      <c r="F1127" s="1" t="s">
        <v>1552</v>
      </c>
      <c r="G1127" s="1" t="s">
        <v>1553</v>
      </c>
      <c r="H1127" s="1" t="str">
        <f>IFERROR(__xludf.DUMMYFUNCTION("split(G1127,"" "")"),"Hunter")</f>
        <v>Hunter</v>
      </c>
      <c r="I1127" s="1" t="str">
        <f>IFERROR(__xludf.DUMMYFUNCTION("""COMPUTED_VALUE"""),"Lopez")</f>
        <v>Lopez</v>
      </c>
      <c r="J1127" s="1" t="s">
        <v>23</v>
      </c>
      <c r="K1127" s="1" t="s">
        <v>1860</v>
      </c>
      <c r="L1127" s="1" t="str">
        <f t="shared" si="2"/>
        <v>Jonesboro</v>
      </c>
      <c r="M1127" s="1" t="s">
        <v>944</v>
      </c>
      <c r="N1127" s="1" t="str">
        <f t="shared" si="3"/>
        <v>Arkansas</v>
      </c>
      <c r="O1127" s="1">
        <v>72401.0</v>
      </c>
      <c r="P1127" s="1" t="s">
        <v>26</v>
      </c>
      <c r="Q1127" s="1" t="s">
        <v>27</v>
      </c>
      <c r="R1127" s="3">
        <v>1067.94</v>
      </c>
      <c r="S1127" s="1">
        <v>7.0</v>
      </c>
      <c r="T1127" s="4">
        <v>1067.08</v>
      </c>
    </row>
    <row r="1128">
      <c r="A1128" s="1" t="s">
        <v>1861</v>
      </c>
      <c r="B1128" s="2">
        <v>42403.0</v>
      </c>
      <c r="C1128" s="2" t="str">
        <f t="shared" si="1"/>
        <v>Feb</v>
      </c>
      <c r="D1128" s="6">
        <v>42554.0</v>
      </c>
      <c r="E1128" s="1" t="s">
        <v>41</v>
      </c>
      <c r="F1128" s="1" t="s">
        <v>287</v>
      </c>
      <c r="G1128" s="1" t="s">
        <v>288</v>
      </c>
      <c r="H1128" s="1" t="str">
        <f>IFERROR(__xludf.DUMMYFUNCTION("split(G1128,"" "")"),"Pete")</f>
        <v>Pete</v>
      </c>
      <c r="I1128" s="1" t="str">
        <f>IFERROR(__xludf.DUMMYFUNCTION("""COMPUTED_VALUE"""),"Armstrong")</f>
        <v>Armstrong</v>
      </c>
      <c r="J1128" s="1" t="s">
        <v>68</v>
      </c>
      <c r="K1128" s="1" t="s">
        <v>814</v>
      </c>
      <c r="L1128" s="1" t="str">
        <f t="shared" si="2"/>
        <v>Richmond</v>
      </c>
      <c r="M1128" s="1" t="s">
        <v>169</v>
      </c>
      <c r="N1128" s="1" t="str">
        <f t="shared" si="3"/>
        <v>Indiana</v>
      </c>
      <c r="O1128" s="1">
        <v>47374.0</v>
      </c>
      <c r="P1128" s="1" t="s">
        <v>71</v>
      </c>
      <c r="Q1128" s="1" t="s">
        <v>38</v>
      </c>
      <c r="R1128" s="3">
        <v>10.16</v>
      </c>
      <c r="S1128" s="1">
        <v>4.0</v>
      </c>
      <c r="T1128" s="4">
        <v>9.45</v>
      </c>
    </row>
    <row r="1129">
      <c r="A1129" s="1" t="s">
        <v>1861</v>
      </c>
      <c r="B1129" s="2">
        <v>42403.0</v>
      </c>
      <c r="C1129" s="2" t="str">
        <f t="shared" si="1"/>
        <v>Feb</v>
      </c>
      <c r="D1129" s="6">
        <v>42554.0</v>
      </c>
      <c r="E1129" s="1" t="s">
        <v>41</v>
      </c>
      <c r="F1129" s="1" t="s">
        <v>287</v>
      </c>
      <c r="G1129" s="1" t="s">
        <v>288</v>
      </c>
      <c r="H1129" s="1" t="str">
        <f>IFERROR(__xludf.DUMMYFUNCTION("split(G1129,"" "")"),"Pete")</f>
        <v>Pete</v>
      </c>
      <c r="I1129" s="1" t="str">
        <f>IFERROR(__xludf.DUMMYFUNCTION("""COMPUTED_VALUE"""),"Armstrong")</f>
        <v>Armstrong</v>
      </c>
      <c r="J1129" s="1" t="s">
        <v>68</v>
      </c>
      <c r="K1129" s="1" t="s">
        <v>814</v>
      </c>
      <c r="L1129" s="1" t="str">
        <f t="shared" si="2"/>
        <v>Richmond</v>
      </c>
      <c r="M1129" s="1" t="s">
        <v>169</v>
      </c>
      <c r="N1129" s="1" t="str">
        <f t="shared" si="3"/>
        <v>Indiana</v>
      </c>
      <c r="O1129" s="1">
        <v>47374.0</v>
      </c>
      <c r="P1129" s="1" t="s">
        <v>71</v>
      </c>
      <c r="Q1129" s="1" t="s">
        <v>38</v>
      </c>
      <c r="R1129" s="3">
        <v>101.88</v>
      </c>
      <c r="S1129" s="1">
        <v>4.0</v>
      </c>
      <c r="T1129" s="4">
        <v>101.58</v>
      </c>
    </row>
    <row r="1130">
      <c r="A1130" s="1" t="s">
        <v>1862</v>
      </c>
      <c r="B1130" s="2">
        <v>43073.0</v>
      </c>
      <c r="C1130" s="2" t="str">
        <f t="shared" si="1"/>
        <v>Dec</v>
      </c>
      <c r="D1130" s="1" t="s">
        <v>1863</v>
      </c>
      <c r="E1130" s="1" t="s">
        <v>41</v>
      </c>
      <c r="F1130" s="1" t="s">
        <v>985</v>
      </c>
      <c r="G1130" s="1" t="s">
        <v>986</v>
      </c>
      <c r="H1130" s="1" t="str">
        <f>IFERROR(__xludf.DUMMYFUNCTION("split(G1130,"" "")"),"Brian")</f>
        <v>Brian</v>
      </c>
      <c r="I1130" s="1" t="str">
        <f>IFERROR(__xludf.DUMMYFUNCTION("""COMPUTED_VALUE"""),"Dahlen")</f>
        <v>Dahlen</v>
      </c>
      <c r="J1130" s="1" t="s">
        <v>23</v>
      </c>
      <c r="K1130" s="1" t="s">
        <v>197</v>
      </c>
      <c r="L1130" s="1" t="str">
        <f t="shared" si="2"/>
        <v>Springfield</v>
      </c>
      <c r="M1130" s="1" t="s">
        <v>198</v>
      </c>
      <c r="N1130" s="1" t="str">
        <f t="shared" si="3"/>
        <v>Virginia</v>
      </c>
      <c r="O1130" s="1">
        <v>22153.0</v>
      </c>
      <c r="P1130" s="1" t="s">
        <v>26</v>
      </c>
      <c r="Q1130" s="1" t="s">
        <v>27</v>
      </c>
      <c r="R1130" s="3">
        <v>343.92</v>
      </c>
      <c r="S1130" s="1">
        <v>2.0</v>
      </c>
      <c r="T1130" s="4">
        <v>343.14</v>
      </c>
    </row>
    <row r="1131">
      <c r="A1131" s="1" t="s">
        <v>1862</v>
      </c>
      <c r="B1131" s="2">
        <v>43073.0</v>
      </c>
      <c r="C1131" s="2" t="str">
        <f t="shared" si="1"/>
        <v>Dec</v>
      </c>
      <c r="D1131" s="1" t="s">
        <v>1863</v>
      </c>
      <c r="E1131" s="1" t="s">
        <v>41</v>
      </c>
      <c r="F1131" s="1" t="s">
        <v>985</v>
      </c>
      <c r="G1131" s="1" t="s">
        <v>986</v>
      </c>
      <c r="H1131" s="1" t="str">
        <f>IFERROR(__xludf.DUMMYFUNCTION("split(G1131,"" "")"),"Brian")</f>
        <v>Brian</v>
      </c>
      <c r="I1131" s="1" t="str">
        <f>IFERROR(__xludf.DUMMYFUNCTION("""COMPUTED_VALUE"""),"Dahlen")</f>
        <v>Dahlen</v>
      </c>
      <c r="J1131" s="1" t="s">
        <v>23</v>
      </c>
      <c r="K1131" s="1" t="s">
        <v>197</v>
      </c>
      <c r="L1131" s="1" t="str">
        <f t="shared" si="2"/>
        <v>Springfield</v>
      </c>
      <c r="M1131" s="1" t="s">
        <v>198</v>
      </c>
      <c r="N1131" s="1" t="str">
        <f t="shared" si="3"/>
        <v>Virginia</v>
      </c>
      <c r="O1131" s="1">
        <v>22153.0</v>
      </c>
      <c r="P1131" s="1" t="s">
        <v>26</v>
      </c>
      <c r="Q1131" s="1" t="s">
        <v>38</v>
      </c>
      <c r="R1131" s="3">
        <v>40.99</v>
      </c>
      <c r="S1131" s="1">
        <v>2.0</v>
      </c>
      <c r="T1131" s="4">
        <v>40.98</v>
      </c>
    </row>
    <row r="1132">
      <c r="A1132" s="1" t="s">
        <v>1862</v>
      </c>
      <c r="B1132" s="2">
        <v>43073.0</v>
      </c>
      <c r="C1132" s="2" t="str">
        <f t="shared" si="1"/>
        <v>Dec</v>
      </c>
      <c r="D1132" s="1" t="s">
        <v>1863</v>
      </c>
      <c r="E1132" s="1" t="s">
        <v>41</v>
      </c>
      <c r="F1132" s="1" t="s">
        <v>985</v>
      </c>
      <c r="G1132" s="1" t="s">
        <v>986</v>
      </c>
      <c r="H1132" s="1" t="str">
        <f>IFERROR(__xludf.DUMMYFUNCTION("split(G1132,"" "")"),"Brian")</f>
        <v>Brian</v>
      </c>
      <c r="I1132" s="1" t="str">
        <f>IFERROR(__xludf.DUMMYFUNCTION("""COMPUTED_VALUE"""),"Dahlen")</f>
        <v>Dahlen</v>
      </c>
      <c r="J1132" s="1" t="s">
        <v>23</v>
      </c>
      <c r="K1132" s="1" t="s">
        <v>197</v>
      </c>
      <c r="L1132" s="1" t="str">
        <f t="shared" si="2"/>
        <v>Springfield</v>
      </c>
      <c r="M1132" s="1" t="s">
        <v>198</v>
      </c>
      <c r="N1132" s="1" t="str">
        <f t="shared" si="3"/>
        <v>Virginia</v>
      </c>
      <c r="O1132" s="1">
        <v>22153.0</v>
      </c>
      <c r="P1132" s="1" t="s">
        <v>26</v>
      </c>
      <c r="Q1132" s="1" t="s">
        <v>38</v>
      </c>
      <c r="R1132" s="3">
        <v>63.9</v>
      </c>
      <c r="S1132" s="1">
        <v>2.0</v>
      </c>
      <c r="T1132" s="4">
        <v>63.42</v>
      </c>
    </row>
    <row r="1133">
      <c r="A1133" s="1" t="s">
        <v>1864</v>
      </c>
      <c r="B1133" s="2">
        <v>42898.0</v>
      </c>
      <c r="C1133" s="2" t="str">
        <f t="shared" si="1"/>
        <v>Jun</v>
      </c>
      <c r="D1133" s="6">
        <v>42928.0</v>
      </c>
      <c r="E1133" s="1" t="s">
        <v>121</v>
      </c>
      <c r="F1133" s="1" t="s">
        <v>309</v>
      </c>
      <c r="G1133" s="1" t="s">
        <v>310</v>
      </c>
      <c r="H1133" s="1" t="str">
        <f>IFERROR(__xludf.DUMMYFUNCTION("split(G1133,"" "")"),"Greg")</f>
        <v>Greg</v>
      </c>
      <c r="I1133" s="1" t="str">
        <f>IFERROR(__xludf.DUMMYFUNCTION("""COMPUTED_VALUE"""),"Guthrie")</f>
        <v>Guthrie</v>
      </c>
      <c r="J1133" s="1" t="s">
        <v>34</v>
      </c>
      <c r="K1133" s="1" t="s">
        <v>1865</v>
      </c>
      <c r="L1133" s="1" t="str">
        <f t="shared" si="2"/>
        <v>Antioch</v>
      </c>
      <c r="M1133" s="1" t="s">
        <v>52</v>
      </c>
      <c r="N1133" s="1" t="str">
        <f t="shared" si="3"/>
        <v>California</v>
      </c>
      <c r="O1133" s="1">
        <v>94509.0</v>
      </c>
      <c r="P1133" s="1" t="s">
        <v>37</v>
      </c>
      <c r="Q1133" s="1" t="s">
        <v>38</v>
      </c>
      <c r="R1133" s="3">
        <v>19.44</v>
      </c>
      <c r="S1133" s="1">
        <v>9.0</v>
      </c>
      <c r="T1133" s="4">
        <v>18.98</v>
      </c>
    </row>
    <row r="1134">
      <c r="A1134" s="1" t="s">
        <v>1866</v>
      </c>
      <c r="B1134" s="2">
        <v>42861.0</v>
      </c>
      <c r="C1134" s="2" t="str">
        <f t="shared" si="1"/>
        <v>May</v>
      </c>
      <c r="D1134" s="6">
        <v>42984.0</v>
      </c>
      <c r="E1134" s="1" t="s">
        <v>41</v>
      </c>
      <c r="F1134" s="1" t="s">
        <v>887</v>
      </c>
      <c r="G1134" s="1" t="s">
        <v>888</v>
      </c>
      <c r="H1134" s="1" t="str">
        <f>IFERROR(__xludf.DUMMYFUNCTION("split(G1134,"" "")"),"Joni")</f>
        <v>Joni</v>
      </c>
      <c r="I1134" s="1" t="str">
        <f>IFERROR(__xludf.DUMMYFUNCTION("""COMPUTED_VALUE"""),"Sundaresam")</f>
        <v>Sundaresam</v>
      </c>
      <c r="J1134" s="1" t="s">
        <v>68</v>
      </c>
      <c r="K1134" s="1" t="s">
        <v>98</v>
      </c>
      <c r="L1134" s="1" t="str">
        <f t="shared" si="2"/>
        <v>Philadelphia</v>
      </c>
      <c r="M1134" s="1" t="s">
        <v>99</v>
      </c>
      <c r="N1134" s="1" t="str">
        <f t="shared" si="3"/>
        <v>Pennsylvania</v>
      </c>
      <c r="O1134" s="1">
        <v>19134.0</v>
      </c>
      <c r="P1134" s="1" t="s">
        <v>100</v>
      </c>
      <c r="Q1134" s="1" t="s">
        <v>38</v>
      </c>
      <c r="R1134" s="3">
        <v>124.608</v>
      </c>
      <c r="S1134" s="1">
        <v>1.0</v>
      </c>
      <c r="T1134" s="4">
        <v>124.07</v>
      </c>
    </row>
    <row r="1135">
      <c r="A1135" s="1" t="s">
        <v>1866</v>
      </c>
      <c r="B1135" s="2">
        <v>42861.0</v>
      </c>
      <c r="C1135" s="2" t="str">
        <f t="shared" si="1"/>
        <v>May</v>
      </c>
      <c r="D1135" s="6">
        <v>42984.0</v>
      </c>
      <c r="E1135" s="1" t="s">
        <v>41</v>
      </c>
      <c r="F1135" s="1" t="s">
        <v>887</v>
      </c>
      <c r="G1135" s="1" t="s">
        <v>888</v>
      </c>
      <c r="H1135" s="1" t="str">
        <f>IFERROR(__xludf.DUMMYFUNCTION("split(G1135,"" "")"),"Joni")</f>
        <v>Joni</v>
      </c>
      <c r="I1135" s="1" t="str">
        <f>IFERROR(__xludf.DUMMYFUNCTION("""COMPUTED_VALUE"""),"Sundaresam")</f>
        <v>Sundaresam</v>
      </c>
      <c r="J1135" s="1" t="s">
        <v>68</v>
      </c>
      <c r="K1135" s="1" t="s">
        <v>98</v>
      </c>
      <c r="L1135" s="1" t="str">
        <f t="shared" si="2"/>
        <v>Philadelphia</v>
      </c>
      <c r="M1135" s="1" t="s">
        <v>99</v>
      </c>
      <c r="N1135" s="1" t="str">
        <f t="shared" si="3"/>
        <v>Pennsylvania</v>
      </c>
      <c r="O1135" s="1">
        <v>19134.0</v>
      </c>
      <c r="P1135" s="1" t="s">
        <v>100</v>
      </c>
      <c r="Q1135" s="1" t="s">
        <v>38</v>
      </c>
      <c r="R1135" s="3">
        <v>7.56</v>
      </c>
      <c r="S1135" s="1">
        <v>1.0</v>
      </c>
      <c r="T1135" s="4">
        <v>6.98</v>
      </c>
    </row>
    <row r="1136">
      <c r="A1136" s="1" t="s">
        <v>1867</v>
      </c>
      <c r="B1136" s="2">
        <v>43051.0</v>
      </c>
      <c r="C1136" s="2" t="str">
        <f t="shared" si="1"/>
        <v>Nov</v>
      </c>
      <c r="D1136" s="5">
        <v>43051.0</v>
      </c>
      <c r="E1136" s="1" t="s">
        <v>717</v>
      </c>
      <c r="F1136" s="1" t="s">
        <v>1103</v>
      </c>
      <c r="G1136" s="1" t="s">
        <v>1104</v>
      </c>
      <c r="H1136" s="1" t="str">
        <f>IFERROR(__xludf.DUMMYFUNCTION("split(G1136,"" "")"),"Lena")</f>
        <v>Lena</v>
      </c>
      <c r="I1136" s="1" t="str">
        <f>IFERROR(__xludf.DUMMYFUNCTION("""COMPUTED_VALUE"""),"Radford")</f>
        <v>Radford</v>
      </c>
      <c r="J1136" s="1" t="s">
        <v>23</v>
      </c>
      <c r="K1136" s="1" t="s">
        <v>1868</v>
      </c>
      <c r="L1136" s="1" t="str">
        <f t="shared" si="2"/>
        <v>Homestead</v>
      </c>
      <c r="M1136" s="1" t="s">
        <v>145</v>
      </c>
      <c r="N1136" s="1" t="str">
        <f t="shared" si="3"/>
        <v>Florida</v>
      </c>
      <c r="O1136" s="1">
        <v>33030.0</v>
      </c>
      <c r="P1136" s="1" t="s">
        <v>26</v>
      </c>
      <c r="Q1136" s="1" t="s">
        <v>38</v>
      </c>
      <c r="R1136" s="3">
        <v>85.224</v>
      </c>
      <c r="S1136" s="1">
        <v>3.0</v>
      </c>
      <c r="T1136" s="4">
        <v>85.09</v>
      </c>
    </row>
    <row r="1137">
      <c r="A1137" s="1" t="s">
        <v>1869</v>
      </c>
      <c r="B1137" s="2">
        <v>43080.0</v>
      </c>
      <c r="C1137" s="2" t="str">
        <f t="shared" si="1"/>
        <v>Dec</v>
      </c>
      <c r="D1137" s="1" t="s">
        <v>1870</v>
      </c>
      <c r="E1137" s="1" t="s">
        <v>20</v>
      </c>
      <c r="F1137" s="1" t="s">
        <v>1871</v>
      </c>
      <c r="G1137" s="1" t="s">
        <v>1872</v>
      </c>
      <c r="H1137" s="1" t="str">
        <f>IFERROR(__xludf.DUMMYFUNCTION("split(G1137,"" "")"),"Frank")</f>
        <v>Frank</v>
      </c>
      <c r="I1137" s="1" t="str">
        <f>IFERROR(__xludf.DUMMYFUNCTION("""COMPUTED_VALUE"""),"Hawley")</f>
        <v>Hawley</v>
      </c>
      <c r="J1137" s="1" t="s">
        <v>34</v>
      </c>
      <c r="K1137" s="1" t="s">
        <v>1873</v>
      </c>
      <c r="L1137" s="1" t="str">
        <f t="shared" si="2"/>
        <v>La Porte</v>
      </c>
      <c r="M1137" s="1" t="s">
        <v>169</v>
      </c>
      <c r="N1137" s="1" t="str">
        <f t="shared" si="3"/>
        <v>Indiana</v>
      </c>
      <c r="O1137" s="1">
        <v>46350.0</v>
      </c>
      <c r="P1137" s="1" t="s">
        <v>71</v>
      </c>
      <c r="Q1137" s="1" t="s">
        <v>38</v>
      </c>
      <c r="R1137" s="3">
        <v>287.52</v>
      </c>
      <c r="S1137" s="1">
        <v>4.0</v>
      </c>
      <c r="T1137" s="4">
        <v>287.48</v>
      </c>
    </row>
    <row r="1138">
      <c r="A1138" s="1" t="s">
        <v>1869</v>
      </c>
      <c r="B1138" s="2">
        <v>43080.0</v>
      </c>
      <c r="C1138" s="2" t="str">
        <f t="shared" si="1"/>
        <v>Dec</v>
      </c>
      <c r="D1138" s="1" t="s">
        <v>1870</v>
      </c>
      <c r="E1138" s="1" t="s">
        <v>20</v>
      </c>
      <c r="F1138" s="1" t="s">
        <v>1871</v>
      </c>
      <c r="G1138" s="1" t="s">
        <v>1872</v>
      </c>
      <c r="H1138" s="1" t="str">
        <f>IFERROR(__xludf.DUMMYFUNCTION("split(G1138,"" "")"),"Frank")</f>
        <v>Frank</v>
      </c>
      <c r="I1138" s="1" t="str">
        <f>IFERROR(__xludf.DUMMYFUNCTION("""COMPUTED_VALUE"""),"Hawley")</f>
        <v>Hawley</v>
      </c>
      <c r="J1138" s="1" t="s">
        <v>34</v>
      </c>
      <c r="K1138" s="1" t="s">
        <v>1873</v>
      </c>
      <c r="L1138" s="1" t="str">
        <f t="shared" si="2"/>
        <v>La Porte</v>
      </c>
      <c r="M1138" s="1" t="s">
        <v>169</v>
      </c>
      <c r="N1138" s="1" t="str">
        <f t="shared" si="3"/>
        <v>Indiana</v>
      </c>
      <c r="O1138" s="1">
        <v>46350.0</v>
      </c>
      <c r="P1138" s="1" t="s">
        <v>71</v>
      </c>
      <c r="Q1138" s="1" t="s">
        <v>38</v>
      </c>
      <c r="R1138" s="3">
        <v>37.68</v>
      </c>
      <c r="S1138" s="1">
        <v>4.0</v>
      </c>
      <c r="T1138" s="4">
        <v>37.68</v>
      </c>
    </row>
    <row r="1139">
      <c r="A1139" s="1" t="s">
        <v>1869</v>
      </c>
      <c r="B1139" s="2">
        <v>43080.0</v>
      </c>
      <c r="C1139" s="2" t="str">
        <f t="shared" si="1"/>
        <v>Dec</v>
      </c>
      <c r="D1139" s="1" t="s">
        <v>1870</v>
      </c>
      <c r="E1139" s="1" t="s">
        <v>20</v>
      </c>
      <c r="F1139" s="1" t="s">
        <v>1871</v>
      </c>
      <c r="G1139" s="1" t="s">
        <v>1872</v>
      </c>
      <c r="H1139" s="1" t="str">
        <f>IFERROR(__xludf.DUMMYFUNCTION("split(G1139,"" "")"),"Frank")</f>
        <v>Frank</v>
      </c>
      <c r="I1139" s="1" t="str">
        <f>IFERROR(__xludf.DUMMYFUNCTION("""COMPUTED_VALUE"""),"Hawley")</f>
        <v>Hawley</v>
      </c>
      <c r="J1139" s="1" t="s">
        <v>34</v>
      </c>
      <c r="K1139" s="1" t="s">
        <v>1873</v>
      </c>
      <c r="L1139" s="1" t="str">
        <f t="shared" si="2"/>
        <v>La Porte</v>
      </c>
      <c r="M1139" s="1" t="s">
        <v>169</v>
      </c>
      <c r="N1139" s="1" t="str">
        <f t="shared" si="3"/>
        <v>Indiana</v>
      </c>
      <c r="O1139" s="1">
        <v>46350.0</v>
      </c>
      <c r="P1139" s="1" t="s">
        <v>71</v>
      </c>
      <c r="Q1139" s="1" t="s">
        <v>38</v>
      </c>
      <c r="R1139" s="3">
        <v>19.98</v>
      </c>
      <c r="S1139" s="1">
        <v>4.0</v>
      </c>
      <c r="T1139" s="4">
        <v>19.01</v>
      </c>
    </row>
    <row r="1140">
      <c r="A1140" s="1" t="s">
        <v>1869</v>
      </c>
      <c r="B1140" s="2">
        <v>43080.0</v>
      </c>
      <c r="C1140" s="2" t="str">
        <f t="shared" si="1"/>
        <v>Dec</v>
      </c>
      <c r="D1140" s="1" t="s">
        <v>1870</v>
      </c>
      <c r="E1140" s="1" t="s">
        <v>20</v>
      </c>
      <c r="F1140" s="1" t="s">
        <v>1871</v>
      </c>
      <c r="G1140" s="1" t="s">
        <v>1872</v>
      </c>
      <c r="H1140" s="1" t="str">
        <f>IFERROR(__xludf.DUMMYFUNCTION("split(G1140,"" "")"),"Frank")</f>
        <v>Frank</v>
      </c>
      <c r="I1140" s="1" t="str">
        <f>IFERROR(__xludf.DUMMYFUNCTION("""COMPUTED_VALUE"""),"Hawley")</f>
        <v>Hawley</v>
      </c>
      <c r="J1140" s="1" t="s">
        <v>34</v>
      </c>
      <c r="K1140" s="1" t="s">
        <v>1873</v>
      </c>
      <c r="L1140" s="1" t="str">
        <f t="shared" si="2"/>
        <v>La Porte</v>
      </c>
      <c r="M1140" s="1" t="s">
        <v>169</v>
      </c>
      <c r="N1140" s="1" t="str">
        <f t="shared" si="3"/>
        <v>Indiana</v>
      </c>
      <c r="O1140" s="1">
        <v>46350.0</v>
      </c>
      <c r="P1140" s="1" t="s">
        <v>71</v>
      </c>
      <c r="Q1140" s="1" t="s">
        <v>38</v>
      </c>
      <c r="R1140" s="3">
        <v>20.58</v>
      </c>
      <c r="S1140" s="1">
        <v>4.0</v>
      </c>
      <c r="T1140" s="4">
        <v>20.44</v>
      </c>
    </row>
    <row r="1141">
      <c r="A1141" s="1" t="s">
        <v>1869</v>
      </c>
      <c r="B1141" s="2">
        <v>43080.0</v>
      </c>
      <c r="C1141" s="2" t="str">
        <f t="shared" si="1"/>
        <v>Dec</v>
      </c>
      <c r="D1141" s="1" t="s">
        <v>1870</v>
      </c>
      <c r="E1141" s="1" t="s">
        <v>20</v>
      </c>
      <c r="F1141" s="1" t="s">
        <v>1871</v>
      </c>
      <c r="G1141" s="1" t="s">
        <v>1872</v>
      </c>
      <c r="H1141" s="1" t="str">
        <f>IFERROR(__xludf.DUMMYFUNCTION("split(G1141,"" "")"),"Frank")</f>
        <v>Frank</v>
      </c>
      <c r="I1141" s="1" t="str">
        <f>IFERROR(__xludf.DUMMYFUNCTION("""COMPUTED_VALUE"""),"Hawley")</f>
        <v>Hawley</v>
      </c>
      <c r="J1141" s="1" t="s">
        <v>34</v>
      </c>
      <c r="K1141" s="1" t="s">
        <v>1873</v>
      </c>
      <c r="L1141" s="1" t="str">
        <f t="shared" si="2"/>
        <v>La Porte</v>
      </c>
      <c r="M1141" s="1" t="s">
        <v>169</v>
      </c>
      <c r="N1141" s="1" t="str">
        <f t="shared" si="3"/>
        <v>Indiana</v>
      </c>
      <c r="O1141" s="1">
        <v>46350.0</v>
      </c>
      <c r="P1141" s="1" t="s">
        <v>71</v>
      </c>
      <c r="Q1141" s="1" t="s">
        <v>38</v>
      </c>
      <c r="R1141" s="3">
        <v>17.38</v>
      </c>
      <c r="S1141" s="1">
        <v>4.0</v>
      </c>
      <c r="T1141" s="4">
        <v>16.85</v>
      </c>
    </row>
    <row r="1142">
      <c r="A1142" s="1" t="s">
        <v>1874</v>
      </c>
      <c r="B1142" s="2">
        <v>42276.0</v>
      </c>
      <c r="C1142" s="2" t="str">
        <f t="shared" si="1"/>
        <v>Sep</v>
      </c>
      <c r="D1142" s="6">
        <v>42073.0</v>
      </c>
      <c r="E1142" s="1" t="s">
        <v>41</v>
      </c>
      <c r="F1142" s="1" t="s">
        <v>1274</v>
      </c>
      <c r="G1142" s="1" t="s">
        <v>1275</v>
      </c>
      <c r="H1142" s="1" t="str">
        <f>IFERROR(__xludf.DUMMYFUNCTION("split(G1142,"" "")"),"Arthur")</f>
        <v>Arthur</v>
      </c>
      <c r="I1142" s="1" t="str">
        <f>IFERROR(__xludf.DUMMYFUNCTION("""COMPUTED_VALUE"""),"Prichep")</f>
        <v>Prichep</v>
      </c>
      <c r="J1142" s="1" t="s">
        <v>23</v>
      </c>
      <c r="K1142" s="1" t="s">
        <v>35</v>
      </c>
      <c r="L1142" s="1" t="str">
        <f t="shared" si="2"/>
        <v>Los Angeles</v>
      </c>
      <c r="M1142" s="1" t="s">
        <v>52</v>
      </c>
      <c r="N1142" s="1" t="str">
        <f t="shared" si="3"/>
        <v>California</v>
      </c>
      <c r="O1142" s="1">
        <v>90045.0</v>
      </c>
      <c r="P1142" s="1" t="s">
        <v>37</v>
      </c>
      <c r="Q1142" s="1" t="s">
        <v>27</v>
      </c>
      <c r="R1142" s="3">
        <v>204.6</v>
      </c>
      <c r="S1142" s="1">
        <v>9.0</v>
      </c>
      <c r="T1142" s="4">
        <v>203.77</v>
      </c>
    </row>
    <row r="1143">
      <c r="A1143" s="1" t="s">
        <v>1874</v>
      </c>
      <c r="B1143" s="2">
        <v>42276.0</v>
      </c>
      <c r="C1143" s="2" t="str">
        <f t="shared" si="1"/>
        <v>Sep</v>
      </c>
      <c r="D1143" s="6">
        <v>42073.0</v>
      </c>
      <c r="E1143" s="1" t="s">
        <v>41</v>
      </c>
      <c r="F1143" s="1" t="s">
        <v>1274</v>
      </c>
      <c r="G1143" s="1" t="s">
        <v>1275</v>
      </c>
      <c r="H1143" s="1" t="str">
        <f>IFERROR(__xludf.DUMMYFUNCTION("split(G1143,"" "")"),"Arthur")</f>
        <v>Arthur</v>
      </c>
      <c r="I1143" s="1" t="str">
        <f>IFERROR(__xludf.DUMMYFUNCTION("""COMPUTED_VALUE"""),"Prichep")</f>
        <v>Prichep</v>
      </c>
      <c r="J1143" s="1" t="s">
        <v>23</v>
      </c>
      <c r="K1143" s="1" t="s">
        <v>35</v>
      </c>
      <c r="L1143" s="1" t="str">
        <f t="shared" si="2"/>
        <v>Los Angeles</v>
      </c>
      <c r="M1143" s="1" t="s">
        <v>52</v>
      </c>
      <c r="N1143" s="1" t="str">
        <f t="shared" si="3"/>
        <v>California</v>
      </c>
      <c r="O1143" s="1">
        <v>90045.0</v>
      </c>
      <c r="P1143" s="1" t="s">
        <v>37</v>
      </c>
      <c r="Q1143" s="1" t="s">
        <v>38</v>
      </c>
      <c r="R1143" s="3">
        <v>8.72</v>
      </c>
      <c r="S1143" s="1">
        <v>9.0</v>
      </c>
      <c r="T1143" s="4">
        <v>7.97</v>
      </c>
    </row>
    <row r="1144">
      <c r="A1144" s="1" t="s">
        <v>1874</v>
      </c>
      <c r="B1144" s="2">
        <v>42276.0</v>
      </c>
      <c r="C1144" s="2" t="str">
        <f t="shared" si="1"/>
        <v>Sep</v>
      </c>
      <c r="D1144" s="6">
        <v>42073.0</v>
      </c>
      <c r="E1144" s="1" t="s">
        <v>41</v>
      </c>
      <c r="F1144" s="1" t="s">
        <v>1274</v>
      </c>
      <c r="G1144" s="1" t="s">
        <v>1275</v>
      </c>
      <c r="H1144" s="1" t="str">
        <f>IFERROR(__xludf.DUMMYFUNCTION("split(G1144,"" "")"),"Arthur")</f>
        <v>Arthur</v>
      </c>
      <c r="I1144" s="1" t="str">
        <f>IFERROR(__xludf.DUMMYFUNCTION("""COMPUTED_VALUE"""),"Prichep")</f>
        <v>Prichep</v>
      </c>
      <c r="J1144" s="1" t="s">
        <v>23</v>
      </c>
      <c r="K1144" s="1" t="s">
        <v>35</v>
      </c>
      <c r="L1144" s="1" t="str">
        <f t="shared" si="2"/>
        <v>Los Angeles</v>
      </c>
      <c r="M1144" s="1" t="s">
        <v>52</v>
      </c>
      <c r="N1144" s="1" t="str">
        <f t="shared" si="3"/>
        <v>California</v>
      </c>
      <c r="O1144" s="1">
        <v>90045.0</v>
      </c>
      <c r="P1144" s="1" t="s">
        <v>37</v>
      </c>
      <c r="Q1144" s="1" t="s">
        <v>38</v>
      </c>
      <c r="R1144" s="3">
        <v>6.48</v>
      </c>
      <c r="S1144" s="1">
        <v>9.0</v>
      </c>
      <c r="T1144" s="4">
        <v>6.2</v>
      </c>
    </row>
    <row r="1145">
      <c r="A1145" s="1" t="s">
        <v>1874</v>
      </c>
      <c r="B1145" s="2">
        <v>42276.0</v>
      </c>
      <c r="C1145" s="2" t="str">
        <f t="shared" si="1"/>
        <v>Sep</v>
      </c>
      <c r="D1145" s="6">
        <v>42073.0</v>
      </c>
      <c r="E1145" s="1" t="s">
        <v>41</v>
      </c>
      <c r="F1145" s="1" t="s">
        <v>1274</v>
      </c>
      <c r="G1145" s="1" t="s">
        <v>1275</v>
      </c>
      <c r="H1145" s="1" t="str">
        <f>IFERROR(__xludf.DUMMYFUNCTION("split(G1145,"" "")"),"Arthur")</f>
        <v>Arthur</v>
      </c>
      <c r="I1145" s="1" t="str">
        <f>IFERROR(__xludf.DUMMYFUNCTION("""COMPUTED_VALUE"""),"Prichep")</f>
        <v>Prichep</v>
      </c>
      <c r="J1145" s="1" t="s">
        <v>23</v>
      </c>
      <c r="K1145" s="1" t="s">
        <v>35</v>
      </c>
      <c r="L1145" s="1" t="str">
        <f t="shared" si="2"/>
        <v>Los Angeles</v>
      </c>
      <c r="M1145" s="1" t="s">
        <v>52</v>
      </c>
      <c r="N1145" s="1" t="str">
        <f t="shared" si="3"/>
        <v>California</v>
      </c>
      <c r="O1145" s="1">
        <v>90045.0</v>
      </c>
      <c r="P1145" s="1" t="s">
        <v>37</v>
      </c>
      <c r="Q1145" s="1" t="s">
        <v>51</v>
      </c>
      <c r="R1145" s="3">
        <v>686.32</v>
      </c>
      <c r="S1145" s="1">
        <v>9.0</v>
      </c>
      <c r="T1145" s="4">
        <v>685.34</v>
      </c>
    </row>
    <row r="1146">
      <c r="A1146" s="1" t="s">
        <v>1874</v>
      </c>
      <c r="B1146" s="2">
        <v>42276.0</v>
      </c>
      <c r="C1146" s="2" t="str">
        <f t="shared" si="1"/>
        <v>Sep</v>
      </c>
      <c r="D1146" s="6">
        <v>42073.0</v>
      </c>
      <c r="E1146" s="1" t="s">
        <v>41</v>
      </c>
      <c r="F1146" s="1" t="s">
        <v>1274</v>
      </c>
      <c r="G1146" s="1" t="s">
        <v>1275</v>
      </c>
      <c r="H1146" s="1" t="str">
        <f>IFERROR(__xludf.DUMMYFUNCTION("split(G1146,"" "")"),"Arthur")</f>
        <v>Arthur</v>
      </c>
      <c r="I1146" s="1" t="str">
        <f>IFERROR(__xludf.DUMMYFUNCTION("""COMPUTED_VALUE"""),"Prichep")</f>
        <v>Prichep</v>
      </c>
      <c r="J1146" s="1" t="s">
        <v>23</v>
      </c>
      <c r="K1146" s="1" t="s">
        <v>35</v>
      </c>
      <c r="L1146" s="1" t="str">
        <f t="shared" si="2"/>
        <v>Los Angeles</v>
      </c>
      <c r="M1146" s="1" t="s">
        <v>52</v>
      </c>
      <c r="N1146" s="1" t="str">
        <f t="shared" si="3"/>
        <v>California</v>
      </c>
      <c r="O1146" s="1">
        <v>90045.0</v>
      </c>
      <c r="P1146" s="1" t="s">
        <v>37</v>
      </c>
      <c r="Q1146" s="1" t="s">
        <v>38</v>
      </c>
      <c r="R1146" s="3">
        <v>62.18</v>
      </c>
      <c r="S1146" s="1">
        <v>9.0</v>
      </c>
      <c r="T1146" s="4">
        <v>61.32</v>
      </c>
    </row>
    <row r="1147">
      <c r="A1147" s="1" t="s">
        <v>1875</v>
      </c>
      <c r="B1147" s="2">
        <v>42464.0</v>
      </c>
      <c r="C1147" s="2" t="str">
        <f t="shared" si="1"/>
        <v>Apr</v>
      </c>
      <c r="D1147" s="6">
        <v>42464.0</v>
      </c>
      <c r="E1147" s="1" t="s">
        <v>717</v>
      </c>
      <c r="F1147" s="1" t="s">
        <v>1876</v>
      </c>
      <c r="G1147" s="1" t="s">
        <v>1877</v>
      </c>
      <c r="H1147" s="1" t="str">
        <f>IFERROR(__xludf.DUMMYFUNCTION("split(G1147,"" "")"),"Nat")</f>
        <v>Nat</v>
      </c>
      <c r="I1147" s="1" t="str">
        <f>IFERROR(__xludf.DUMMYFUNCTION("""COMPUTED_VALUE"""),"Carroll")</f>
        <v>Carroll</v>
      </c>
      <c r="J1147" s="1" t="s">
        <v>23</v>
      </c>
      <c r="K1147" s="1" t="s">
        <v>1878</v>
      </c>
      <c r="L1147" s="1" t="str">
        <f t="shared" si="2"/>
        <v>Lansing</v>
      </c>
      <c r="M1147" s="1" t="s">
        <v>157</v>
      </c>
      <c r="N1147" s="1" t="str">
        <f t="shared" si="3"/>
        <v>Michigan</v>
      </c>
      <c r="O1147" s="1">
        <v>48911.0</v>
      </c>
      <c r="P1147" s="1" t="s">
        <v>71</v>
      </c>
      <c r="Q1147" s="1" t="s">
        <v>38</v>
      </c>
      <c r="R1147" s="3">
        <v>644.076</v>
      </c>
      <c r="S1147" s="1">
        <v>4.0</v>
      </c>
      <c r="T1147" s="4">
        <v>643.51</v>
      </c>
    </row>
    <row r="1148">
      <c r="A1148" s="1" t="s">
        <v>1875</v>
      </c>
      <c r="B1148" s="2">
        <v>42464.0</v>
      </c>
      <c r="C1148" s="2" t="str">
        <f t="shared" si="1"/>
        <v>Apr</v>
      </c>
      <c r="D1148" s="6">
        <v>42464.0</v>
      </c>
      <c r="E1148" s="1" t="s">
        <v>717</v>
      </c>
      <c r="F1148" s="1" t="s">
        <v>1876</v>
      </c>
      <c r="G1148" s="1" t="s">
        <v>1877</v>
      </c>
      <c r="H1148" s="1" t="str">
        <f>IFERROR(__xludf.DUMMYFUNCTION("split(G1148,"" "")"),"Nat")</f>
        <v>Nat</v>
      </c>
      <c r="I1148" s="1" t="str">
        <f>IFERROR(__xludf.DUMMYFUNCTION("""COMPUTED_VALUE"""),"Carroll")</f>
        <v>Carroll</v>
      </c>
      <c r="J1148" s="1" t="s">
        <v>23</v>
      </c>
      <c r="K1148" s="1" t="s">
        <v>1878</v>
      </c>
      <c r="L1148" s="1" t="str">
        <f t="shared" si="2"/>
        <v>Lansing</v>
      </c>
      <c r="M1148" s="1" t="s">
        <v>157</v>
      </c>
      <c r="N1148" s="1" t="str">
        <f t="shared" si="3"/>
        <v>Michigan</v>
      </c>
      <c r="O1148" s="1">
        <v>48911.0</v>
      </c>
      <c r="P1148" s="1" t="s">
        <v>71</v>
      </c>
      <c r="Q1148" s="1" t="s">
        <v>38</v>
      </c>
      <c r="R1148" s="3">
        <v>5.84</v>
      </c>
      <c r="S1148" s="1">
        <v>4.0</v>
      </c>
      <c r="T1148" s="4">
        <v>4.95</v>
      </c>
    </row>
    <row r="1149">
      <c r="A1149" s="1" t="s">
        <v>1875</v>
      </c>
      <c r="B1149" s="2">
        <v>42464.0</v>
      </c>
      <c r="C1149" s="2" t="str">
        <f t="shared" si="1"/>
        <v>Apr</v>
      </c>
      <c r="D1149" s="6">
        <v>42464.0</v>
      </c>
      <c r="E1149" s="1" t="s">
        <v>717</v>
      </c>
      <c r="F1149" s="1" t="s">
        <v>1876</v>
      </c>
      <c r="G1149" s="1" t="s">
        <v>1877</v>
      </c>
      <c r="H1149" s="1" t="str">
        <f>IFERROR(__xludf.DUMMYFUNCTION("split(G1149,"" "")"),"Nat")</f>
        <v>Nat</v>
      </c>
      <c r="I1149" s="1" t="str">
        <f>IFERROR(__xludf.DUMMYFUNCTION("""COMPUTED_VALUE"""),"Carroll")</f>
        <v>Carroll</v>
      </c>
      <c r="J1149" s="1" t="s">
        <v>23</v>
      </c>
      <c r="K1149" s="1" t="s">
        <v>1878</v>
      </c>
      <c r="L1149" s="1" t="str">
        <f t="shared" si="2"/>
        <v>Lansing</v>
      </c>
      <c r="M1149" s="1" t="s">
        <v>157</v>
      </c>
      <c r="N1149" s="1" t="str">
        <f t="shared" si="3"/>
        <v>Michigan</v>
      </c>
      <c r="O1149" s="1">
        <v>48911.0</v>
      </c>
      <c r="P1149" s="1" t="s">
        <v>71</v>
      </c>
      <c r="Q1149" s="1" t="s">
        <v>38</v>
      </c>
      <c r="R1149" s="3">
        <v>12.76</v>
      </c>
      <c r="S1149" s="1">
        <v>4.0</v>
      </c>
      <c r="T1149" s="4">
        <v>12.21</v>
      </c>
    </row>
    <row r="1150">
      <c r="A1150" s="1" t="s">
        <v>1875</v>
      </c>
      <c r="B1150" s="2">
        <v>42464.0</v>
      </c>
      <c r="C1150" s="2" t="str">
        <f t="shared" si="1"/>
        <v>Apr</v>
      </c>
      <c r="D1150" s="6">
        <v>42464.0</v>
      </c>
      <c r="E1150" s="1" t="s">
        <v>717</v>
      </c>
      <c r="F1150" s="1" t="s">
        <v>1876</v>
      </c>
      <c r="G1150" s="1" t="s">
        <v>1877</v>
      </c>
      <c r="H1150" s="1" t="str">
        <f>IFERROR(__xludf.DUMMYFUNCTION("split(G1150,"" "")"),"Nat")</f>
        <v>Nat</v>
      </c>
      <c r="I1150" s="1" t="str">
        <f>IFERROR(__xludf.DUMMYFUNCTION("""COMPUTED_VALUE"""),"Carroll")</f>
        <v>Carroll</v>
      </c>
      <c r="J1150" s="1" t="s">
        <v>23</v>
      </c>
      <c r="K1150" s="1" t="s">
        <v>1878</v>
      </c>
      <c r="L1150" s="1" t="str">
        <f t="shared" si="2"/>
        <v>Lansing</v>
      </c>
      <c r="M1150" s="1" t="s">
        <v>157</v>
      </c>
      <c r="N1150" s="1" t="str">
        <f t="shared" si="3"/>
        <v>Michigan</v>
      </c>
      <c r="O1150" s="1">
        <v>48911.0</v>
      </c>
      <c r="P1150" s="1" t="s">
        <v>71</v>
      </c>
      <c r="Q1150" s="1" t="s">
        <v>51</v>
      </c>
      <c r="R1150" s="3">
        <v>10.95</v>
      </c>
      <c r="S1150" s="1">
        <v>4.0</v>
      </c>
      <c r="T1150" s="4">
        <v>10.18</v>
      </c>
    </row>
    <row r="1151">
      <c r="A1151" s="1" t="s">
        <v>1875</v>
      </c>
      <c r="B1151" s="2">
        <v>42464.0</v>
      </c>
      <c r="C1151" s="2" t="str">
        <f t="shared" si="1"/>
        <v>Apr</v>
      </c>
      <c r="D1151" s="6">
        <v>42464.0</v>
      </c>
      <c r="E1151" s="1" t="s">
        <v>717</v>
      </c>
      <c r="F1151" s="1" t="s">
        <v>1876</v>
      </c>
      <c r="G1151" s="1" t="s">
        <v>1877</v>
      </c>
      <c r="H1151" s="1" t="str">
        <f>IFERROR(__xludf.DUMMYFUNCTION("split(G1151,"" "")"),"Nat")</f>
        <v>Nat</v>
      </c>
      <c r="I1151" s="1" t="str">
        <f>IFERROR(__xludf.DUMMYFUNCTION("""COMPUTED_VALUE"""),"Carroll")</f>
        <v>Carroll</v>
      </c>
      <c r="J1151" s="1" t="s">
        <v>23</v>
      </c>
      <c r="K1151" s="1" t="s">
        <v>1878</v>
      </c>
      <c r="L1151" s="1" t="str">
        <f t="shared" si="2"/>
        <v>Lansing</v>
      </c>
      <c r="M1151" s="1" t="s">
        <v>157</v>
      </c>
      <c r="N1151" s="1" t="str">
        <f t="shared" si="3"/>
        <v>Michigan</v>
      </c>
      <c r="O1151" s="1">
        <v>48911.0</v>
      </c>
      <c r="P1151" s="1" t="s">
        <v>71</v>
      </c>
      <c r="Q1151" s="1" t="s">
        <v>51</v>
      </c>
      <c r="R1151" s="3">
        <v>599.98</v>
      </c>
      <c r="S1151" s="1">
        <v>4.0</v>
      </c>
      <c r="T1151" s="4">
        <v>599.61</v>
      </c>
    </row>
    <row r="1152">
      <c r="A1152" s="1" t="s">
        <v>1879</v>
      </c>
      <c r="B1152" s="2">
        <v>42587.0</v>
      </c>
      <c r="C1152" s="2" t="str">
        <f t="shared" si="1"/>
        <v>Aug</v>
      </c>
      <c r="D1152" s="1" t="s">
        <v>1880</v>
      </c>
      <c r="E1152" s="1" t="s">
        <v>41</v>
      </c>
      <c r="F1152" s="1" t="s">
        <v>569</v>
      </c>
      <c r="G1152" s="1" t="s">
        <v>570</v>
      </c>
      <c r="H1152" s="1" t="str">
        <f>IFERROR(__xludf.DUMMYFUNCTION("split(G1152,"" "")"),"Claudia")</f>
        <v>Claudia</v>
      </c>
      <c r="I1152" s="1" t="str">
        <f>IFERROR(__xludf.DUMMYFUNCTION("""COMPUTED_VALUE"""),"Bergmann")</f>
        <v>Bergmann</v>
      </c>
      <c r="J1152" s="1" t="s">
        <v>34</v>
      </c>
      <c r="K1152" s="1" t="s">
        <v>1881</v>
      </c>
      <c r="L1152" s="1" t="str">
        <f t="shared" si="2"/>
        <v>Cuyahoga Falls</v>
      </c>
      <c r="M1152" s="1" t="s">
        <v>304</v>
      </c>
      <c r="N1152" s="1" t="str">
        <f t="shared" si="3"/>
        <v>Ohio</v>
      </c>
      <c r="O1152" s="1">
        <v>44221.0</v>
      </c>
      <c r="P1152" s="1" t="s">
        <v>100</v>
      </c>
      <c r="Q1152" s="1" t="s">
        <v>27</v>
      </c>
      <c r="R1152" s="3">
        <v>8.352</v>
      </c>
      <c r="S1152" s="1">
        <v>4.0</v>
      </c>
      <c r="T1152" s="4">
        <v>8.28</v>
      </c>
    </row>
    <row r="1153">
      <c r="A1153" s="1" t="s">
        <v>1882</v>
      </c>
      <c r="B1153" s="2">
        <v>43100.0</v>
      </c>
      <c r="C1153" s="2" t="str">
        <f t="shared" si="1"/>
        <v>Dec</v>
      </c>
      <c r="D1153" s="6">
        <v>43252.0</v>
      </c>
      <c r="E1153" s="1" t="s">
        <v>41</v>
      </c>
      <c r="F1153" s="1" t="s">
        <v>608</v>
      </c>
      <c r="G1153" s="1" t="s">
        <v>609</v>
      </c>
      <c r="H1153" s="1" t="str">
        <f>IFERROR(__xludf.DUMMYFUNCTION("split(G1153,"" "")"),"Kelly")</f>
        <v>Kelly</v>
      </c>
      <c r="I1153" s="1" t="str">
        <f>IFERROR(__xludf.DUMMYFUNCTION("""COMPUTED_VALUE"""),"Lampkin")</f>
        <v>Lampkin</v>
      </c>
      <c r="J1153" s="1" t="s">
        <v>34</v>
      </c>
      <c r="K1153" s="1" t="s">
        <v>1883</v>
      </c>
      <c r="L1153" s="1" t="str">
        <f t="shared" si="2"/>
        <v>Reno</v>
      </c>
      <c r="M1153" s="1" t="s">
        <v>776</v>
      </c>
      <c r="N1153" s="1" t="str">
        <f t="shared" si="3"/>
        <v>Nevada</v>
      </c>
      <c r="O1153" s="1">
        <v>89502.0</v>
      </c>
      <c r="P1153" s="1" t="s">
        <v>37</v>
      </c>
      <c r="Q1153" s="1" t="s">
        <v>38</v>
      </c>
      <c r="R1153" s="3">
        <v>3.64</v>
      </c>
      <c r="S1153" s="1">
        <v>8.0</v>
      </c>
      <c r="T1153" s="4">
        <v>3.56</v>
      </c>
    </row>
    <row r="1154">
      <c r="A1154" s="1" t="s">
        <v>1882</v>
      </c>
      <c r="B1154" s="2">
        <v>43100.0</v>
      </c>
      <c r="C1154" s="2" t="str">
        <f t="shared" si="1"/>
        <v>Dec</v>
      </c>
      <c r="D1154" s="6">
        <v>43252.0</v>
      </c>
      <c r="E1154" s="1" t="s">
        <v>41</v>
      </c>
      <c r="F1154" s="1" t="s">
        <v>608</v>
      </c>
      <c r="G1154" s="1" t="s">
        <v>609</v>
      </c>
      <c r="H1154" s="1" t="str">
        <f>IFERROR(__xludf.DUMMYFUNCTION("split(G1154,"" "")"),"Kelly")</f>
        <v>Kelly</v>
      </c>
      <c r="I1154" s="1" t="str">
        <f>IFERROR(__xludf.DUMMYFUNCTION("""COMPUTED_VALUE"""),"Lampkin")</f>
        <v>Lampkin</v>
      </c>
      <c r="J1154" s="1" t="s">
        <v>34</v>
      </c>
      <c r="K1154" s="1" t="s">
        <v>1883</v>
      </c>
      <c r="L1154" s="1" t="str">
        <f t="shared" si="2"/>
        <v>Reno</v>
      </c>
      <c r="M1154" s="1" t="s">
        <v>776</v>
      </c>
      <c r="N1154" s="1" t="str">
        <f t="shared" si="3"/>
        <v>Nevada</v>
      </c>
      <c r="O1154" s="1">
        <v>89502.0</v>
      </c>
      <c r="P1154" s="1" t="s">
        <v>37</v>
      </c>
      <c r="Q1154" s="1" t="s">
        <v>38</v>
      </c>
      <c r="R1154" s="3">
        <v>159.768</v>
      </c>
      <c r="S1154" s="1">
        <v>8.0</v>
      </c>
      <c r="T1154" s="4">
        <v>158.89</v>
      </c>
    </row>
    <row r="1155">
      <c r="A1155" s="1" t="s">
        <v>1884</v>
      </c>
      <c r="B1155" s="2">
        <v>42358.0</v>
      </c>
      <c r="C1155" s="2" t="str">
        <f t="shared" si="1"/>
        <v>Dec</v>
      </c>
      <c r="D1155" s="1" t="s">
        <v>1885</v>
      </c>
      <c r="E1155" s="1" t="s">
        <v>121</v>
      </c>
      <c r="F1155" s="1" t="s">
        <v>1831</v>
      </c>
      <c r="G1155" s="1" t="s">
        <v>1832</v>
      </c>
      <c r="H1155" s="1" t="str">
        <f>IFERROR(__xludf.DUMMYFUNCTION("split(G1155,"" "")"),"Penelope")</f>
        <v>Penelope</v>
      </c>
      <c r="I1155" s="1" t="str">
        <f>IFERROR(__xludf.DUMMYFUNCTION("""COMPUTED_VALUE"""),"Sewall")</f>
        <v>Sewall</v>
      </c>
      <c r="J1155" s="1" t="s">
        <v>68</v>
      </c>
      <c r="K1155" s="1" t="s">
        <v>1886</v>
      </c>
      <c r="L1155" s="1" t="str">
        <f t="shared" si="2"/>
        <v>Harrisonburg</v>
      </c>
      <c r="M1155" s="1" t="s">
        <v>198</v>
      </c>
      <c r="N1155" s="1" t="str">
        <f t="shared" si="3"/>
        <v>Virginia</v>
      </c>
      <c r="O1155" s="1">
        <v>22801.0</v>
      </c>
      <c r="P1155" s="1" t="s">
        <v>26</v>
      </c>
      <c r="Q1155" s="1" t="s">
        <v>38</v>
      </c>
      <c r="R1155" s="3">
        <v>122.48</v>
      </c>
      <c r="S1155" s="1">
        <v>2.0</v>
      </c>
      <c r="T1155" s="4">
        <v>122.47</v>
      </c>
    </row>
    <row r="1156">
      <c r="A1156" s="1" t="s">
        <v>1884</v>
      </c>
      <c r="B1156" s="2">
        <v>42358.0</v>
      </c>
      <c r="C1156" s="2" t="str">
        <f t="shared" si="1"/>
        <v>Dec</v>
      </c>
      <c r="D1156" s="1" t="s">
        <v>1885</v>
      </c>
      <c r="E1156" s="1" t="s">
        <v>121</v>
      </c>
      <c r="F1156" s="1" t="s">
        <v>1831</v>
      </c>
      <c r="G1156" s="1" t="s">
        <v>1832</v>
      </c>
      <c r="H1156" s="1" t="str">
        <f>IFERROR(__xludf.DUMMYFUNCTION("split(G1156,"" "")"),"Penelope")</f>
        <v>Penelope</v>
      </c>
      <c r="I1156" s="1" t="str">
        <f>IFERROR(__xludf.DUMMYFUNCTION("""COMPUTED_VALUE"""),"Sewall")</f>
        <v>Sewall</v>
      </c>
      <c r="J1156" s="1" t="s">
        <v>68</v>
      </c>
      <c r="K1156" s="1" t="s">
        <v>1886</v>
      </c>
      <c r="L1156" s="1" t="str">
        <f t="shared" si="2"/>
        <v>Harrisonburg</v>
      </c>
      <c r="M1156" s="1" t="s">
        <v>198</v>
      </c>
      <c r="N1156" s="1" t="str">
        <f t="shared" si="3"/>
        <v>Virginia</v>
      </c>
      <c r="O1156" s="1">
        <v>22801.0</v>
      </c>
      <c r="P1156" s="1" t="s">
        <v>26</v>
      </c>
      <c r="Q1156" s="1" t="s">
        <v>27</v>
      </c>
      <c r="R1156" s="3">
        <v>2244.48</v>
      </c>
      <c r="S1156" s="1">
        <v>2.0</v>
      </c>
      <c r="T1156" s="4">
        <v>2244.2</v>
      </c>
    </row>
    <row r="1157">
      <c r="A1157" s="1" t="s">
        <v>1884</v>
      </c>
      <c r="B1157" s="2">
        <v>42358.0</v>
      </c>
      <c r="C1157" s="2" t="str">
        <f t="shared" si="1"/>
        <v>Dec</v>
      </c>
      <c r="D1157" s="1" t="s">
        <v>1885</v>
      </c>
      <c r="E1157" s="1" t="s">
        <v>121</v>
      </c>
      <c r="F1157" s="1" t="s">
        <v>1831</v>
      </c>
      <c r="G1157" s="1" t="s">
        <v>1832</v>
      </c>
      <c r="H1157" s="1" t="str">
        <f>IFERROR(__xludf.DUMMYFUNCTION("split(G1157,"" "")"),"Penelope")</f>
        <v>Penelope</v>
      </c>
      <c r="I1157" s="1" t="str">
        <f>IFERROR(__xludf.DUMMYFUNCTION("""COMPUTED_VALUE"""),"Sewall")</f>
        <v>Sewall</v>
      </c>
      <c r="J1157" s="1" t="s">
        <v>68</v>
      </c>
      <c r="K1157" s="1" t="s">
        <v>1886</v>
      </c>
      <c r="L1157" s="1" t="str">
        <f t="shared" si="2"/>
        <v>Harrisonburg</v>
      </c>
      <c r="M1157" s="1" t="s">
        <v>198</v>
      </c>
      <c r="N1157" s="1" t="str">
        <f t="shared" si="3"/>
        <v>Virginia</v>
      </c>
      <c r="O1157" s="1">
        <v>22801.0</v>
      </c>
      <c r="P1157" s="1" t="s">
        <v>26</v>
      </c>
      <c r="Q1157" s="1" t="s">
        <v>38</v>
      </c>
      <c r="R1157" s="3">
        <v>62.31</v>
      </c>
      <c r="S1157" s="1">
        <v>2.0</v>
      </c>
      <c r="T1157" s="4">
        <v>61.91</v>
      </c>
    </row>
    <row r="1158">
      <c r="A1158" s="1" t="s">
        <v>1884</v>
      </c>
      <c r="B1158" s="2">
        <v>42358.0</v>
      </c>
      <c r="C1158" s="2" t="str">
        <f t="shared" si="1"/>
        <v>Dec</v>
      </c>
      <c r="D1158" s="1" t="s">
        <v>1885</v>
      </c>
      <c r="E1158" s="1" t="s">
        <v>121</v>
      </c>
      <c r="F1158" s="1" t="s">
        <v>1831</v>
      </c>
      <c r="G1158" s="1" t="s">
        <v>1832</v>
      </c>
      <c r="H1158" s="1" t="str">
        <f>IFERROR(__xludf.DUMMYFUNCTION("split(G1158,"" "")"),"Penelope")</f>
        <v>Penelope</v>
      </c>
      <c r="I1158" s="1" t="str">
        <f>IFERROR(__xludf.DUMMYFUNCTION("""COMPUTED_VALUE"""),"Sewall")</f>
        <v>Sewall</v>
      </c>
      <c r="J1158" s="1" t="s">
        <v>68</v>
      </c>
      <c r="K1158" s="1" t="s">
        <v>1886</v>
      </c>
      <c r="L1158" s="1" t="str">
        <f t="shared" si="2"/>
        <v>Harrisonburg</v>
      </c>
      <c r="M1158" s="1" t="s">
        <v>198</v>
      </c>
      <c r="N1158" s="1" t="str">
        <f t="shared" si="3"/>
        <v>Virginia</v>
      </c>
      <c r="O1158" s="1">
        <v>22801.0</v>
      </c>
      <c r="P1158" s="1" t="s">
        <v>26</v>
      </c>
      <c r="Q1158" s="1" t="s">
        <v>27</v>
      </c>
      <c r="R1158" s="3">
        <v>455.1</v>
      </c>
      <c r="S1158" s="1">
        <v>2.0</v>
      </c>
      <c r="T1158" s="4">
        <v>454.7</v>
      </c>
    </row>
    <row r="1159">
      <c r="A1159" s="1" t="s">
        <v>1887</v>
      </c>
      <c r="B1159" s="2">
        <v>42773.0</v>
      </c>
      <c r="C1159" s="2" t="str">
        <f t="shared" si="1"/>
        <v>Feb</v>
      </c>
      <c r="D1159" s="6">
        <v>42923.0</v>
      </c>
      <c r="E1159" s="1" t="s">
        <v>20</v>
      </c>
      <c r="F1159" s="1" t="s">
        <v>1560</v>
      </c>
      <c r="G1159" s="1" t="s">
        <v>1561</v>
      </c>
      <c r="H1159" s="1" t="str">
        <f>IFERROR(__xludf.DUMMYFUNCTION("split(G1159,"" "")"),"George")</f>
        <v>George</v>
      </c>
      <c r="I1159" s="1" t="str">
        <f>IFERROR(__xludf.DUMMYFUNCTION("""COMPUTED_VALUE"""),"Bell")</f>
        <v>Bell</v>
      </c>
      <c r="J1159" s="1" t="s">
        <v>34</v>
      </c>
      <c r="K1159" s="1" t="s">
        <v>35</v>
      </c>
      <c r="L1159" s="1" t="str">
        <f t="shared" si="2"/>
        <v>Los Angeles</v>
      </c>
      <c r="M1159" s="1" t="s">
        <v>52</v>
      </c>
      <c r="N1159" s="1" t="str">
        <f t="shared" si="3"/>
        <v>California</v>
      </c>
      <c r="O1159" s="1">
        <v>90004.0</v>
      </c>
      <c r="P1159" s="1" t="s">
        <v>37</v>
      </c>
      <c r="Q1159" s="1" t="s">
        <v>27</v>
      </c>
      <c r="R1159" s="3">
        <v>195.184</v>
      </c>
      <c r="S1159" s="1">
        <v>9.0</v>
      </c>
      <c r="T1159" s="4">
        <v>195.02</v>
      </c>
    </row>
    <row r="1160">
      <c r="A1160" s="1" t="s">
        <v>1888</v>
      </c>
      <c r="B1160" s="2">
        <v>43280.0</v>
      </c>
      <c r="C1160" s="2" t="str">
        <f t="shared" si="1"/>
        <v>Jun</v>
      </c>
      <c r="D1160" s="6">
        <v>43197.0</v>
      </c>
      <c r="E1160" s="1" t="s">
        <v>41</v>
      </c>
      <c r="F1160" s="1" t="s">
        <v>1889</v>
      </c>
      <c r="G1160" s="1" t="s">
        <v>1890</v>
      </c>
      <c r="H1160" s="1" t="str">
        <f>IFERROR(__xludf.DUMMYFUNCTION("split(G1160,"" "")"),"Alex")</f>
        <v>Alex</v>
      </c>
      <c r="I1160" s="1" t="str">
        <f>IFERROR(__xludf.DUMMYFUNCTION("""COMPUTED_VALUE"""),"Avila")</f>
        <v>Avila</v>
      </c>
      <c r="J1160" s="1" t="s">
        <v>23</v>
      </c>
      <c r="K1160" s="1" t="s">
        <v>251</v>
      </c>
      <c r="L1160" s="1" t="str">
        <f t="shared" si="2"/>
        <v>Minneapolis</v>
      </c>
      <c r="M1160" s="1" t="s">
        <v>151</v>
      </c>
      <c r="N1160" s="1" t="str">
        <f t="shared" si="3"/>
        <v>Minnesota</v>
      </c>
      <c r="O1160" s="1">
        <v>55407.0</v>
      </c>
      <c r="P1160" s="1" t="s">
        <v>71</v>
      </c>
      <c r="Q1160" s="1" t="s">
        <v>38</v>
      </c>
      <c r="R1160" s="3">
        <v>362.94</v>
      </c>
      <c r="S1160" s="1">
        <v>5.0</v>
      </c>
      <c r="T1160" s="4">
        <v>362.7</v>
      </c>
    </row>
    <row r="1161">
      <c r="A1161" s="1" t="s">
        <v>1888</v>
      </c>
      <c r="B1161" s="2">
        <v>43280.0</v>
      </c>
      <c r="C1161" s="2" t="str">
        <f t="shared" si="1"/>
        <v>Jun</v>
      </c>
      <c r="D1161" s="6">
        <v>43197.0</v>
      </c>
      <c r="E1161" s="1" t="s">
        <v>41</v>
      </c>
      <c r="F1161" s="1" t="s">
        <v>1889</v>
      </c>
      <c r="G1161" s="1" t="s">
        <v>1890</v>
      </c>
      <c r="H1161" s="1" t="str">
        <f>IFERROR(__xludf.DUMMYFUNCTION("split(G1161,"" "")"),"Alex")</f>
        <v>Alex</v>
      </c>
      <c r="I1161" s="1" t="str">
        <f>IFERROR(__xludf.DUMMYFUNCTION("""COMPUTED_VALUE"""),"Avila")</f>
        <v>Avila</v>
      </c>
      <c r="J1161" s="1" t="s">
        <v>23</v>
      </c>
      <c r="K1161" s="1" t="s">
        <v>251</v>
      </c>
      <c r="L1161" s="1" t="str">
        <f t="shared" si="2"/>
        <v>Minneapolis</v>
      </c>
      <c r="M1161" s="1" t="s">
        <v>151</v>
      </c>
      <c r="N1161" s="1" t="str">
        <f t="shared" si="3"/>
        <v>Minnesota</v>
      </c>
      <c r="O1161" s="1">
        <v>55407.0</v>
      </c>
      <c r="P1161" s="1" t="s">
        <v>71</v>
      </c>
      <c r="Q1161" s="1" t="s">
        <v>38</v>
      </c>
      <c r="R1161" s="3">
        <v>11.54</v>
      </c>
      <c r="S1161" s="1">
        <v>5.0</v>
      </c>
      <c r="T1161" s="4">
        <v>10.84</v>
      </c>
    </row>
    <row r="1162">
      <c r="A1162" s="1" t="s">
        <v>1891</v>
      </c>
      <c r="B1162" s="2">
        <v>42013.0</v>
      </c>
      <c r="C1162" s="2" t="str">
        <f t="shared" si="1"/>
        <v>Jan</v>
      </c>
      <c r="D1162" s="6">
        <v>42133.0</v>
      </c>
      <c r="E1162" s="1" t="s">
        <v>20</v>
      </c>
      <c r="F1162" s="1" t="s">
        <v>1892</v>
      </c>
      <c r="G1162" s="1" t="s">
        <v>1893</v>
      </c>
      <c r="H1162" s="1" t="str">
        <f>IFERROR(__xludf.DUMMYFUNCTION("split(G1162,"" "")"),"Larry")</f>
        <v>Larry</v>
      </c>
      <c r="I1162" s="1" t="str">
        <f>IFERROR(__xludf.DUMMYFUNCTION("""COMPUTED_VALUE"""),"Tron")</f>
        <v>Tron</v>
      </c>
      <c r="J1162" s="1" t="s">
        <v>23</v>
      </c>
      <c r="K1162" s="1" t="s">
        <v>1894</v>
      </c>
      <c r="L1162" s="1" t="str">
        <f t="shared" si="2"/>
        <v>Escondido</v>
      </c>
      <c r="M1162" s="1" t="s">
        <v>52</v>
      </c>
      <c r="N1162" s="1" t="str">
        <f t="shared" si="3"/>
        <v>California</v>
      </c>
      <c r="O1162" s="1">
        <v>92025.0</v>
      </c>
      <c r="P1162" s="1" t="s">
        <v>37</v>
      </c>
      <c r="Q1162" s="1" t="s">
        <v>38</v>
      </c>
      <c r="R1162" s="3">
        <v>53.94</v>
      </c>
      <c r="S1162" s="1">
        <v>9.0</v>
      </c>
      <c r="T1162" s="4">
        <v>53.63</v>
      </c>
    </row>
    <row r="1163">
      <c r="A1163" s="1" t="s">
        <v>1895</v>
      </c>
      <c r="B1163" s="2">
        <v>42066.0</v>
      </c>
      <c r="C1163" s="2" t="str">
        <f t="shared" si="1"/>
        <v>Mar</v>
      </c>
      <c r="D1163" s="6">
        <v>42219.0</v>
      </c>
      <c r="E1163" s="1" t="s">
        <v>41</v>
      </c>
      <c r="F1163" s="1" t="s">
        <v>1896</v>
      </c>
      <c r="G1163" s="1" t="s">
        <v>1897</v>
      </c>
      <c r="H1163" s="1" t="str">
        <f>IFERROR(__xludf.DUMMYFUNCTION("split(G1163,"" "")"),"Anne")</f>
        <v>Anne</v>
      </c>
      <c r="I1163" s="1" t="str">
        <f>IFERROR(__xludf.DUMMYFUNCTION("""COMPUTED_VALUE"""),"Pryor")</f>
        <v>Pryor</v>
      </c>
      <c r="J1163" s="1" t="s">
        <v>68</v>
      </c>
      <c r="K1163" s="1" t="s">
        <v>174</v>
      </c>
      <c r="L1163" s="1" t="str">
        <f t="shared" si="2"/>
        <v>New York City</v>
      </c>
      <c r="M1163" s="1" t="s">
        <v>175</v>
      </c>
      <c r="N1163" s="1" t="str">
        <f t="shared" si="3"/>
        <v>New York</v>
      </c>
      <c r="O1163" s="1">
        <v>10035.0</v>
      </c>
      <c r="P1163" s="1" t="s">
        <v>100</v>
      </c>
      <c r="Q1163" s="1" t="s">
        <v>51</v>
      </c>
      <c r="R1163" s="3">
        <v>9.99</v>
      </c>
      <c r="S1163" s="1">
        <v>1.0</v>
      </c>
      <c r="T1163" s="4">
        <v>9.05</v>
      </c>
    </row>
    <row r="1164">
      <c r="A1164" s="1" t="s">
        <v>1895</v>
      </c>
      <c r="B1164" s="2">
        <v>42066.0</v>
      </c>
      <c r="C1164" s="2" t="str">
        <f t="shared" si="1"/>
        <v>Mar</v>
      </c>
      <c r="D1164" s="6">
        <v>42219.0</v>
      </c>
      <c r="E1164" s="1" t="s">
        <v>41</v>
      </c>
      <c r="F1164" s="1" t="s">
        <v>1896</v>
      </c>
      <c r="G1164" s="1" t="s">
        <v>1897</v>
      </c>
      <c r="H1164" s="1" t="str">
        <f>IFERROR(__xludf.DUMMYFUNCTION("split(G1164,"" "")"),"Anne")</f>
        <v>Anne</v>
      </c>
      <c r="I1164" s="1" t="str">
        <f>IFERROR(__xludf.DUMMYFUNCTION("""COMPUTED_VALUE"""),"Pryor")</f>
        <v>Pryor</v>
      </c>
      <c r="J1164" s="1" t="s">
        <v>68</v>
      </c>
      <c r="K1164" s="1" t="s">
        <v>174</v>
      </c>
      <c r="L1164" s="1" t="str">
        <f t="shared" si="2"/>
        <v>New York City</v>
      </c>
      <c r="M1164" s="1" t="s">
        <v>175</v>
      </c>
      <c r="N1164" s="1" t="str">
        <f t="shared" si="3"/>
        <v>New York</v>
      </c>
      <c r="O1164" s="1">
        <v>10035.0</v>
      </c>
      <c r="P1164" s="1" t="s">
        <v>100</v>
      </c>
      <c r="Q1164" s="1" t="s">
        <v>38</v>
      </c>
      <c r="R1164" s="3">
        <v>125.76</v>
      </c>
      <c r="S1164" s="1">
        <v>1.0</v>
      </c>
      <c r="T1164" s="4">
        <v>125.64</v>
      </c>
    </row>
    <row r="1165">
      <c r="A1165" s="1" t="s">
        <v>1895</v>
      </c>
      <c r="B1165" s="2">
        <v>42066.0</v>
      </c>
      <c r="C1165" s="2" t="str">
        <f t="shared" si="1"/>
        <v>Mar</v>
      </c>
      <c r="D1165" s="6">
        <v>42219.0</v>
      </c>
      <c r="E1165" s="1" t="s">
        <v>41</v>
      </c>
      <c r="F1165" s="1" t="s">
        <v>1896</v>
      </c>
      <c r="G1165" s="1" t="s">
        <v>1897</v>
      </c>
      <c r="H1165" s="1" t="str">
        <f>IFERROR(__xludf.DUMMYFUNCTION("split(G1165,"" "")"),"Anne")</f>
        <v>Anne</v>
      </c>
      <c r="I1165" s="1" t="str">
        <f>IFERROR(__xludf.DUMMYFUNCTION("""COMPUTED_VALUE"""),"Pryor")</f>
        <v>Pryor</v>
      </c>
      <c r="J1165" s="1" t="s">
        <v>68</v>
      </c>
      <c r="K1165" s="1" t="s">
        <v>174</v>
      </c>
      <c r="L1165" s="1" t="str">
        <f t="shared" si="2"/>
        <v>New York City</v>
      </c>
      <c r="M1165" s="1" t="s">
        <v>175</v>
      </c>
      <c r="N1165" s="1" t="str">
        <f t="shared" si="3"/>
        <v>New York</v>
      </c>
      <c r="O1165" s="1">
        <v>10035.0</v>
      </c>
      <c r="P1165" s="1" t="s">
        <v>100</v>
      </c>
      <c r="Q1165" s="1" t="s">
        <v>38</v>
      </c>
      <c r="R1165" s="3">
        <v>25.32</v>
      </c>
      <c r="S1165" s="1">
        <v>1.0</v>
      </c>
      <c r="T1165" s="4">
        <v>24.97</v>
      </c>
    </row>
    <row r="1166">
      <c r="A1166" s="1" t="s">
        <v>1898</v>
      </c>
      <c r="B1166" s="2">
        <v>42099.0</v>
      </c>
      <c r="C1166" s="2" t="str">
        <f t="shared" si="1"/>
        <v>Apr</v>
      </c>
      <c r="D1166" s="6">
        <v>42221.0</v>
      </c>
      <c r="E1166" s="1" t="s">
        <v>41</v>
      </c>
      <c r="F1166" s="1" t="s">
        <v>1899</v>
      </c>
      <c r="G1166" s="1" t="s">
        <v>1900</v>
      </c>
      <c r="H1166" s="1" t="str">
        <f>IFERROR(__xludf.DUMMYFUNCTION("split(G1166,"" "")"),"Paul")</f>
        <v>Paul</v>
      </c>
      <c r="I1166" s="1" t="str">
        <f>IFERROR(__xludf.DUMMYFUNCTION("""COMPUTED_VALUE"""),"MacIntyre")</f>
        <v>MacIntyre</v>
      </c>
      <c r="J1166" s="1" t="s">
        <v>23</v>
      </c>
      <c r="K1166" s="1" t="s">
        <v>205</v>
      </c>
      <c r="L1166" s="1" t="str">
        <f t="shared" si="2"/>
        <v>Jackson</v>
      </c>
      <c r="M1166" s="1" t="s">
        <v>157</v>
      </c>
      <c r="N1166" s="1" t="str">
        <f t="shared" si="3"/>
        <v>Michigan</v>
      </c>
      <c r="O1166" s="1">
        <v>49201.0</v>
      </c>
      <c r="P1166" s="1" t="s">
        <v>71</v>
      </c>
      <c r="Q1166" s="1" t="s">
        <v>38</v>
      </c>
      <c r="R1166" s="3">
        <v>46.8</v>
      </c>
      <c r="S1166" s="1">
        <v>4.0</v>
      </c>
      <c r="T1166" s="4">
        <v>45.97</v>
      </c>
    </row>
    <row r="1167">
      <c r="A1167" s="1" t="s">
        <v>1901</v>
      </c>
      <c r="B1167" s="2">
        <v>42411.0</v>
      </c>
      <c r="C1167" s="2" t="str">
        <f t="shared" si="1"/>
        <v>Feb</v>
      </c>
      <c r="D1167" s="6">
        <v>42411.0</v>
      </c>
      <c r="E1167" s="1" t="s">
        <v>717</v>
      </c>
      <c r="F1167" s="1" t="s">
        <v>540</v>
      </c>
      <c r="G1167" s="1" t="s">
        <v>541</v>
      </c>
      <c r="H1167" s="1" t="str">
        <f>IFERROR(__xludf.DUMMYFUNCTION("split(G1167,"" "")"),"Kelly")</f>
        <v>Kelly</v>
      </c>
      <c r="I1167" s="1" t="str">
        <f>IFERROR(__xludf.DUMMYFUNCTION("""COMPUTED_VALUE"""),"Collister")</f>
        <v>Collister</v>
      </c>
      <c r="J1167" s="1" t="s">
        <v>23</v>
      </c>
      <c r="K1167" s="1" t="s">
        <v>62</v>
      </c>
      <c r="L1167" s="1" t="str">
        <f t="shared" si="2"/>
        <v>Seattle</v>
      </c>
      <c r="M1167" s="1" t="s">
        <v>63</v>
      </c>
      <c r="N1167" s="1" t="str">
        <f t="shared" si="3"/>
        <v>Washington</v>
      </c>
      <c r="O1167" s="1">
        <v>98115.0</v>
      </c>
      <c r="P1167" s="1" t="s">
        <v>37</v>
      </c>
      <c r="Q1167" s="1" t="s">
        <v>51</v>
      </c>
      <c r="R1167" s="3">
        <v>447.93</v>
      </c>
      <c r="S1167" s="1">
        <v>9.0</v>
      </c>
      <c r="T1167" s="4">
        <v>447.17</v>
      </c>
    </row>
    <row r="1168">
      <c r="A1168" s="1" t="s">
        <v>1902</v>
      </c>
      <c r="B1168" s="2">
        <v>43324.0</v>
      </c>
      <c r="C1168" s="2" t="str">
        <f t="shared" si="1"/>
        <v>Aug</v>
      </c>
      <c r="D1168" s="5">
        <v>43385.0</v>
      </c>
      <c r="E1168" s="1" t="s">
        <v>20</v>
      </c>
      <c r="F1168" s="1" t="s">
        <v>544</v>
      </c>
      <c r="G1168" s="1" t="s">
        <v>545</v>
      </c>
      <c r="H1168" s="1" t="str">
        <f>IFERROR(__xludf.DUMMYFUNCTION("split(G1168,"" "")"),"Delfina")</f>
        <v>Delfina</v>
      </c>
      <c r="I1168" s="1" t="str">
        <f>IFERROR(__xludf.DUMMYFUNCTION("""COMPUTED_VALUE"""),"Latchford")</f>
        <v>Latchford</v>
      </c>
      <c r="J1168" s="1" t="s">
        <v>23</v>
      </c>
      <c r="K1168" s="1" t="s">
        <v>174</v>
      </c>
      <c r="L1168" s="1" t="str">
        <f t="shared" si="2"/>
        <v>New York City</v>
      </c>
      <c r="M1168" s="1" t="s">
        <v>175</v>
      </c>
      <c r="N1168" s="1" t="str">
        <f t="shared" si="3"/>
        <v>New York</v>
      </c>
      <c r="O1168" s="1">
        <v>10035.0</v>
      </c>
      <c r="P1168" s="1" t="s">
        <v>100</v>
      </c>
      <c r="Q1168" s="1" t="s">
        <v>27</v>
      </c>
      <c r="R1168" s="3">
        <v>109.48</v>
      </c>
      <c r="S1168" s="1">
        <v>1.0</v>
      </c>
      <c r="T1168" s="4">
        <v>109.47</v>
      </c>
    </row>
    <row r="1169">
      <c r="A1169" s="1" t="s">
        <v>1902</v>
      </c>
      <c r="B1169" s="2">
        <v>43324.0</v>
      </c>
      <c r="C1169" s="2" t="str">
        <f t="shared" si="1"/>
        <v>Aug</v>
      </c>
      <c r="D1169" s="5">
        <v>43385.0</v>
      </c>
      <c r="E1169" s="1" t="s">
        <v>20</v>
      </c>
      <c r="F1169" s="1" t="s">
        <v>544</v>
      </c>
      <c r="G1169" s="1" t="s">
        <v>545</v>
      </c>
      <c r="H1169" s="1" t="str">
        <f>IFERROR(__xludf.DUMMYFUNCTION("split(G1169,"" "")"),"Delfina")</f>
        <v>Delfina</v>
      </c>
      <c r="I1169" s="1" t="str">
        <f>IFERROR(__xludf.DUMMYFUNCTION("""COMPUTED_VALUE"""),"Latchford")</f>
        <v>Latchford</v>
      </c>
      <c r="J1169" s="1" t="s">
        <v>23</v>
      </c>
      <c r="K1169" s="1" t="s">
        <v>174</v>
      </c>
      <c r="L1169" s="1" t="str">
        <f t="shared" si="2"/>
        <v>New York City</v>
      </c>
      <c r="M1169" s="1" t="s">
        <v>175</v>
      </c>
      <c r="N1169" s="1" t="str">
        <f t="shared" si="3"/>
        <v>New York</v>
      </c>
      <c r="O1169" s="1">
        <v>10035.0</v>
      </c>
      <c r="P1169" s="1" t="s">
        <v>100</v>
      </c>
      <c r="Q1169" s="1" t="s">
        <v>38</v>
      </c>
      <c r="R1169" s="3">
        <v>272.94</v>
      </c>
      <c r="S1169" s="1">
        <v>1.0</v>
      </c>
      <c r="T1169" s="4">
        <v>272.66</v>
      </c>
    </row>
    <row r="1170">
      <c r="A1170" s="1" t="s">
        <v>1902</v>
      </c>
      <c r="B1170" s="2">
        <v>43324.0</v>
      </c>
      <c r="C1170" s="2" t="str">
        <f t="shared" si="1"/>
        <v>Aug</v>
      </c>
      <c r="D1170" s="5">
        <v>43385.0</v>
      </c>
      <c r="E1170" s="1" t="s">
        <v>20</v>
      </c>
      <c r="F1170" s="1" t="s">
        <v>544</v>
      </c>
      <c r="G1170" s="1" t="s">
        <v>545</v>
      </c>
      <c r="H1170" s="1" t="str">
        <f>IFERROR(__xludf.DUMMYFUNCTION("split(G1170,"" "")"),"Delfina")</f>
        <v>Delfina</v>
      </c>
      <c r="I1170" s="1" t="str">
        <f>IFERROR(__xludf.DUMMYFUNCTION("""COMPUTED_VALUE"""),"Latchford")</f>
        <v>Latchford</v>
      </c>
      <c r="J1170" s="1" t="s">
        <v>23</v>
      </c>
      <c r="K1170" s="1" t="s">
        <v>174</v>
      </c>
      <c r="L1170" s="1" t="str">
        <f t="shared" si="2"/>
        <v>New York City</v>
      </c>
      <c r="M1170" s="1" t="s">
        <v>175</v>
      </c>
      <c r="N1170" s="1" t="str">
        <f t="shared" si="3"/>
        <v>New York</v>
      </c>
      <c r="O1170" s="1">
        <v>10035.0</v>
      </c>
      <c r="P1170" s="1" t="s">
        <v>100</v>
      </c>
      <c r="Q1170" s="1" t="s">
        <v>38</v>
      </c>
      <c r="R1170" s="3">
        <v>19.44</v>
      </c>
      <c r="S1170" s="1">
        <v>1.0</v>
      </c>
      <c r="T1170" s="4">
        <v>19.4</v>
      </c>
    </row>
    <row r="1171">
      <c r="A1171" s="1" t="s">
        <v>1902</v>
      </c>
      <c r="B1171" s="2">
        <v>43324.0</v>
      </c>
      <c r="C1171" s="2" t="str">
        <f t="shared" si="1"/>
        <v>Aug</v>
      </c>
      <c r="D1171" s="5">
        <v>43385.0</v>
      </c>
      <c r="E1171" s="1" t="s">
        <v>20</v>
      </c>
      <c r="F1171" s="1" t="s">
        <v>544</v>
      </c>
      <c r="G1171" s="1" t="s">
        <v>545</v>
      </c>
      <c r="H1171" s="1" t="str">
        <f>IFERROR(__xludf.DUMMYFUNCTION("split(G1171,"" "")"),"Delfina")</f>
        <v>Delfina</v>
      </c>
      <c r="I1171" s="1" t="str">
        <f>IFERROR(__xludf.DUMMYFUNCTION("""COMPUTED_VALUE"""),"Latchford")</f>
        <v>Latchford</v>
      </c>
      <c r="J1171" s="1" t="s">
        <v>23</v>
      </c>
      <c r="K1171" s="1" t="s">
        <v>174</v>
      </c>
      <c r="L1171" s="1" t="str">
        <f t="shared" si="2"/>
        <v>New York City</v>
      </c>
      <c r="M1171" s="1" t="s">
        <v>175</v>
      </c>
      <c r="N1171" s="1" t="str">
        <f t="shared" si="3"/>
        <v>New York</v>
      </c>
      <c r="O1171" s="1">
        <v>10035.0</v>
      </c>
      <c r="P1171" s="1" t="s">
        <v>100</v>
      </c>
      <c r="Q1171" s="1" t="s">
        <v>38</v>
      </c>
      <c r="R1171" s="3">
        <v>31.92</v>
      </c>
      <c r="S1171" s="1">
        <v>1.0</v>
      </c>
      <c r="T1171" s="4">
        <v>31.49</v>
      </c>
    </row>
    <row r="1172">
      <c r="A1172" s="1" t="s">
        <v>1903</v>
      </c>
      <c r="B1172" s="2">
        <v>42280.0</v>
      </c>
      <c r="C1172" s="2" t="str">
        <f t="shared" si="1"/>
        <v>Oct</v>
      </c>
      <c r="D1172" s="1" t="s">
        <v>1904</v>
      </c>
      <c r="E1172" s="1" t="s">
        <v>41</v>
      </c>
      <c r="F1172" s="1" t="s">
        <v>1631</v>
      </c>
      <c r="G1172" s="1" t="s">
        <v>1632</v>
      </c>
      <c r="H1172" s="1" t="str">
        <f>IFERROR(__xludf.DUMMYFUNCTION("split(G1172,"" "")"),"Scott")</f>
        <v>Scott</v>
      </c>
      <c r="I1172" s="1" t="str">
        <f>IFERROR(__xludf.DUMMYFUNCTION("""COMPUTED_VALUE"""),"Williamson")</f>
        <v>Williamson</v>
      </c>
      <c r="J1172" s="1" t="s">
        <v>23</v>
      </c>
      <c r="K1172" s="1" t="s">
        <v>1905</v>
      </c>
      <c r="L1172" s="1" t="str">
        <f t="shared" si="2"/>
        <v>Royal Oak</v>
      </c>
      <c r="M1172" s="1" t="s">
        <v>157</v>
      </c>
      <c r="N1172" s="1" t="str">
        <f t="shared" si="3"/>
        <v>Michigan</v>
      </c>
      <c r="O1172" s="1">
        <v>48073.0</v>
      </c>
      <c r="P1172" s="1" t="s">
        <v>71</v>
      </c>
      <c r="Q1172" s="1" t="s">
        <v>38</v>
      </c>
      <c r="R1172" s="3">
        <v>22.38</v>
      </c>
      <c r="S1172" s="1">
        <v>4.0</v>
      </c>
      <c r="T1172" s="4">
        <v>21.6</v>
      </c>
    </row>
    <row r="1173">
      <c r="A1173" s="1" t="s">
        <v>1906</v>
      </c>
      <c r="B1173" s="2">
        <v>42115.0</v>
      </c>
      <c r="C1173" s="2" t="str">
        <f t="shared" si="1"/>
        <v>Apr</v>
      </c>
      <c r="D1173" s="1" t="s">
        <v>1907</v>
      </c>
      <c r="E1173" s="1" t="s">
        <v>41</v>
      </c>
      <c r="F1173" s="1" t="s">
        <v>1007</v>
      </c>
      <c r="G1173" s="1" t="s">
        <v>1008</v>
      </c>
      <c r="H1173" s="1" t="str">
        <f>IFERROR(__xludf.DUMMYFUNCTION("split(G1173,"" "")"),"Allen")</f>
        <v>Allen</v>
      </c>
      <c r="I1173" s="1" t="str">
        <f>IFERROR(__xludf.DUMMYFUNCTION("""COMPUTED_VALUE"""),"Armold")</f>
        <v>Armold</v>
      </c>
      <c r="J1173" s="1" t="s">
        <v>23</v>
      </c>
      <c r="K1173" s="1" t="s">
        <v>35</v>
      </c>
      <c r="L1173" s="1" t="str">
        <f t="shared" si="2"/>
        <v>Los Angeles</v>
      </c>
      <c r="M1173" s="1" t="s">
        <v>52</v>
      </c>
      <c r="N1173" s="1" t="str">
        <f t="shared" si="3"/>
        <v>California</v>
      </c>
      <c r="O1173" s="1">
        <v>90008.0</v>
      </c>
      <c r="P1173" s="1" t="s">
        <v>37</v>
      </c>
      <c r="Q1173" s="1" t="s">
        <v>38</v>
      </c>
      <c r="R1173" s="3">
        <v>16.52</v>
      </c>
      <c r="S1173" s="1">
        <v>9.0</v>
      </c>
      <c r="T1173" s="4">
        <v>15.79</v>
      </c>
    </row>
    <row r="1174">
      <c r="A1174" s="1" t="s">
        <v>1908</v>
      </c>
      <c r="B1174" s="2">
        <v>42665.0</v>
      </c>
      <c r="C1174" s="2" t="str">
        <f t="shared" si="1"/>
        <v>Oct</v>
      </c>
      <c r="D1174" s="1" t="s">
        <v>1909</v>
      </c>
      <c r="E1174" s="1" t="s">
        <v>41</v>
      </c>
      <c r="F1174" s="1" t="s">
        <v>1385</v>
      </c>
      <c r="G1174" s="1" t="s">
        <v>1386</v>
      </c>
      <c r="H1174" s="1" t="str">
        <f>IFERROR(__xludf.DUMMYFUNCTION("split(G1174,"" "")"),"Liz")</f>
        <v>Liz</v>
      </c>
      <c r="I1174" s="1" t="str">
        <f>IFERROR(__xludf.DUMMYFUNCTION("""COMPUTED_VALUE"""),"Thompson")</f>
        <v>Thompson</v>
      </c>
      <c r="J1174" s="1" t="s">
        <v>23</v>
      </c>
      <c r="K1174" s="1" t="s">
        <v>324</v>
      </c>
      <c r="L1174" s="1" t="str">
        <f t="shared" si="2"/>
        <v>Bloomington</v>
      </c>
      <c r="M1174" s="1" t="s">
        <v>135</v>
      </c>
      <c r="N1174" s="1" t="str">
        <f t="shared" si="3"/>
        <v>Illinois</v>
      </c>
      <c r="O1174" s="1">
        <v>61701.0</v>
      </c>
      <c r="P1174" s="1" t="s">
        <v>71</v>
      </c>
      <c r="Q1174" s="1" t="s">
        <v>38</v>
      </c>
      <c r="R1174" s="3">
        <v>5.176</v>
      </c>
      <c r="S1174" s="1">
        <v>6.0</v>
      </c>
      <c r="T1174" s="4">
        <v>4.95</v>
      </c>
    </row>
    <row r="1175">
      <c r="A1175" s="1" t="s">
        <v>1910</v>
      </c>
      <c r="B1175" s="2">
        <v>42604.0</v>
      </c>
      <c r="C1175" s="2" t="str">
        <f t="shared" si="1"/>
        <v>Aug</v>
      </c>
      <c r="D1175" s="1" t="s">
        <v>1911</v>
      </c>
      <c r="E1175" s="1" t="s">
        <v>121</v>
      </c>
      <c r="F1175" s="1" t="s">
        <v>1478</v>
      </c>
      <c r="G1175" s="1" t="s">
        <v>1479</v>
      </c>
      <c r="H1175" s="1" t="str">
        <f>IFERROR(__xludf.DUMMYFUNCTION("split(G1175,"" "")"),"Dave")</f>
        <v>Dave</v>
      </c>
      <c r="I1175" s="1" t="str">
        <f>IFERROR(__xludf.DUMMYFUNCTION("""COMPUTED_VALUE"""),"Poirier")</f>
        <v>Poirier</v>
      </c>
      <c r="J1175" s="1" t="s">
        <v>34</v>
      </c>
      <c r="K1175" s="1" t="s">
        <v>174</v>
      </c>
      <c r="L1175" s="1" t="str">
        <f t="shared" si="2"/>
        <v>New York City</v>
      </c>
      <c r="M1175" s="1" t="s">
        <v>175</v>
      </c>
      <c r="N1175" s="1" t="str">
        <f t="shared" si="3"/>
        <v>New York</v>
      </c>
      <c r="O1175" s="1">
        <v>10035.0</v>
      </c>
      <c r="P1175" s="1" t="s">
        <v>100</v>
      </c>
      <c r="Q1175" s="1" t="s">
        <v>38</v>
      </c>
      <c r="R1175" s="3">
        <v>50.112</v>
      </c>
      <c r="S1175" s="1">
        <v>1.0</v>
      </c>
      <c r="T1175" s="4">
        <v>49.33</v>
      </c>
    </row>
    <row r="1176">
      <c r="A1176" s="1" t="s">
        <v>1912</v>
      </c>
      <c r="B1176" s="2">
        <v>42976.0</v>
      </c>
      <c r="C1176" s="2" t="str">
        <f t="shared" si="1"/>
        <v>Aug</v>
      </c>
      <c r="D1176" s="6">
        <v>42803.0</v>
      </c>
      <c r="E1176" s="1" t="s">
        <v>41</v>
      </c>
      <c r="F1176" s="1" t="s">
        <v>696</v>
      </c>
      <c r="G1176" s="1" t="s">
        <v>697</v>
      </c>
      <c r="H1176" s="1" t="str">
        <f>IFERROR(__xludf.DUMMYFUNCTION("split(G1176,"" "")"),"Adam")</f>
        <v>Adam</v>
      </c>
      <c r="I1176" s="1" t="str">
        <f>IFERROR(__xludf.DUMMYFUNCTION("""COMPUTED_VALUE"""),"Bellavance")</f>
        <v>Bellavance</v>
      </c>
      <c r="J1176" s="1" t="s">
        <v>68</v>
      </c>
      <c r="K1176" s="1" t="s">
        <v>57</v>
      </c>
      <c r="L1176" s="1" t="str">
        <f t="shared" si="2"/>
        <v>Concord</v>
      </c>
      <c r="M1176" s="1" t="s">
        <v>1510</v>
      </c>
      <c r="N1176" s="1" t="str">
        <f t="shared" si="3"/>
        <v>New Hampshire</v>
      </c>
      <c r="O1176" s="1">
        <v>3301.0</v>
      </c>
      <c r="P1176" s="1" t="s">
        <v>100</v>
      </c>
      <c r="Q1176" s="1" t="s">
        <v>38</v>
      </c>
      <c r="R1176" s="3">
        <v>27.93</v>
      </c>
      <c r="S1176" s="1">
        <v>3.0</v>
      </c>
      <c r="T1176" s="4">
        <v>27.54</v>
      </c>
    </row>
    <row r="1177">
      <c r="A1177" s="1" t="s">
        <v>1913</v>
      </c>
      <c r="B1177" s="2">
        <v>42365.0</v>
      </c>
      <c r="C1177" s="2" t="str">
        <f t="shared" si="1"/>
        <v>Dec</v>
      </c>
      <c r="D1177" s="1" t="s">
        <v>644</v>
      </c>
      <c r="E1177" s="1" t="s">
        <v>20</v>
      </c>
      <c r="F1177" s="1" t="s">
        <v>1914</v>
      </c>
      <c r="G1177" s="1" t="s">
        <v>1915</v>
      </c>
      <c r="H1177" s="1" t="str">
        <f>IFERROR(__xludf.DUMMYFUNCTION("split(G1177,"" "")"),"Alyssa")</f>
        <v>Alyssa</v>
      </c>
      <c r="I1177" s="1" t="str">
        <f>IFERROR(__xludf.DUMMYFUNCTION("""COMPUTED_VALUE"""),"Tate")</f>
        <v>Tate</v>
      </c>
      <c r="J1177" s="1" t="s">
        <v>68</v>
      </c>
      <c r="K1177" s="1" t="s">
        <v>35</v>
      </c>
      <c r="L1177" s="1" t="str">
        <f t="shared" si="2"/>
        <v>Los Angeles</v>
      </c>
      <c r="M1177" s="1" t="s">
        <v>52</v>
      </c>
      <c r="N1177" s="1" t="str">
        <f t="shared" si="3"/>
        <v>California</v>
      </c>
      <c r="O1177" s="1">
        <v>90004.0</v>
      </c>
      <c r="P1177" s="1" t="s">
        <v>37</v>
      </c>
      <c r="Q1177" s="1" t="s">
        <v>38</v>
      </c>
      <c r="R1177" s="3">
        <v>11.56</v>
      </c>
      <c r="S1177" s="1">
        <v>9.0</v>
      </c>
      <c r="T1177" s="4">
        <v>11.38</v>
      </c>
    </row>
    <row r="1178">
      <c r="A1178" s="1" t="s">
        <v>1916</v>
      </c>
      <c r="B1178" s="2">
        <v>42747.0</v>
      </c>
      <c r="C1178" s="2" t="str">
        <f t="shared" si="1"/>
        <v>Jan</v>
      </c>
      <c r="D1178" s="6">
        <v>42867.0</v>
      </c>
      <c r="E1178" s="1" t="s">
        <v>41</v>
      </c>
      <c r="F1178" s="1" t="s">
        <v>207</v>
      </c>
      <c r="G1178" s="1" t="s">
        <v>208</v>
      </c>
      <c r="H1178" s="1" t="str">
        <f>IFERROR(__xludf.DUMMYFUNCTION("split(G1178,"" "")"),"Joel")</f>
        <v>Joel</v>
      </c>
      <c r="I1178" s="1" t="str">
        <f>IFERROR(__xludf.DUMMYFUNCTION("""COMPUTED_VALUE"""),"Eaton")</f>
        <v>Eaton</v>
      </c>
      <c r="J1178" s="1" t="s">
        <v>23</v>
      </c>
      <c r="K1178" s="1" t="s">
        <v>1917</v>
      </c>
      <c r="L1178" s="1" t="str">
        <f t="shared" si="2"/>
        <v>Rockville</v>
      </c>
      <c r="M1178" s="1" t="s">
        <v>1542</v>
      </c>
      <c r="N1178" s="1" t="str">
        <f t="shared" si="3"/>
        <v>Maryland</v>
      </c>
      <c r="O1178" s="1">
        <v>20852.0</v>
      </c>
      <c r="P1178" s="1" t="s">
        <v>100</v>
      </c>
      <c r="Q1178" s="1" t="s">
        <v>27</v>
      </c>
      <c r="R1178" s="3">
        <v>172.5</v>
      </c>
      <c r="S1178" s="1">
        <v>2.0</v>
      </c>
      <c r="T1178" s="4">
        <v>172.39</v>
      </c>
    </row>
    <row r="1179">
      <c r="A1179" s="1" t="s">
        <v>1916</v>
      </c>
      <c r="B1179" s="2">
        <v>42747.0</v>
      </c>
      <c r="C1179" s="2" t="str">
        <f t="shared" si="1"/>
        <v>Jan</v>
      </c>
      <c r="D1179" s="6">
        <v>42867.0</v>
      </c>
      <c r="E1179" s="1" t="s">
        <v>41</v>
      </c>
      <c r="F1179" s="1" t="s">
        <v>207</v>
      </c>
      <c r="G1179" s="1" t="s">
        <v>208</v>
      </c>
      <c r="H1179" s="1" t="str">
        <f>IFERROR(__xludf.DUMMYFUNCTION("split(G1179,"" "")"),"Joel")</f>
        <v>Joel</v>
      </c>
      <c r="I1179" s="1" t="str">
        <f>IFERROR(__xludf.DUMMYFUNCTION("""COMPUTED_VALUE"""),"Eaton")</f>
        <v>Eaton</v>
      </c>
      <c r="J1179" s="1" t="s">
        <v>23</v>
      </c>
      <c r="K1179" s="1" t="s">
        <v>1917</v>
      </c>
      <c r="L1179" s="1" t="str">
        <f t="shared" si="2"/>
        <v>Rockville</v>
      </c>
      <c r="M1179" s="1" t="s">
        <v>1542</v>
      </c>
      <c r="N1179" s="1" t="str">
        <f t="shared" si="3"/>
        <v>Maryland</v>
      </c>
      <c r="O1179" s="1">
        <v>20852.0</v>
      </c>
      <c r="P1179" s="1" t="s">
        <v>100</v>
      </c>
      <c r="Q1179" s="1" t="s">
        <v>51</v>
      </c>
      <c r="R1179" s="3">
        <v>179.97</v>
      </c>
      <c r="S1179" s="1">
        <v>2.0</v>
      </c>
      <c r="T1179" s="4">
        <v>179.22</v>
      </c>
    </row>
    <row r="1180">
      <c r="A1180" s="1" t="s">
        <v>1918</v>
      </c>
      <c r="B1180" s="2">
        <v>42849.0</v>
      </c>
      <c r="C1180" s="2" t="str">
        <f t="shared" si="1"/>
        <v>Apr</v>
      </c>
      <c r="D1180" s="1" t="s">
        <v>656</v>
      </c>
      <c r="E1180" s="1" t="s">
        <v>20</v>
      </c>
      <c r="F1180" s="1" t="s">
        <v>1919</v>
      </c>
      <c r="G1180" s="1" t="s">
        <v>1920</v>
      </c>
      <c r="H1180" s="1" t="str">
        <f>IFERROR(__xludf.DUMMYFUNCTION("split(G1180,"" "")"),"Cathy")</f>
        <v>Cathy</v>
      </c>
      <c r="I1180" s="1" t="str">
        <f>IFERROR(__xludf.DUMMYFUNCTION("""COMPUTED_VALUE"""),"Armstrong")</f>
        <v>Armstrong</v>
      </c>
      <c r="J1180" s="1" t="s">
        <v>68</v>
      </c>
      <c r="K1180" s="1" t="s">
        <v>129</v>
      </c>
      <c r="L1180" s="1" t="str">
        <f t="shared" si="2"/>
        <v>Houston</v>
      </c>
      <c r="M1180" s="1" t="s">
        <v>70</v>
      </c>
      <c r="N1180" s="1" t="str">
        <f t="shared" si="3"/>
        <v>Texas</v>
      </c>
      <c r="O1180" s="1">
        <v>77070.0</v>
      </c>
      <c r="P1180" s="1" t="s">
        <v>71</v>
      </c>
      <c r="Q1180" s="1" t="s">
        <v>51</v>
      </c>
      <c r="R1180" s="3">
        <v>258.696</v>
      </c>
      <c r="S1180" s="1">
        <v>7.0</v>
      </c>
      <c r="T1180" s="4">
        <v>257.79</v>
      </c>
    </row>
    <row r="1181">
      <c r="A1181" s="1" t="s">
        <v>1921</v>
      </c>
      <c r="B1181" s="2">
        <v>42176.0</v>
      </c>
      <c r="C1181" s="2" t="str">
        <f t="shared" si="1"/>
        <v>Jun</v>
      </c>
      <c r="D1181" s="1" t="s">
        <v>817</v>
      </c>
      <c r="E1181" s="1" t="s">
        <v>41</v>
      </c>
      <c r="F1181" s="1" t="s">
        <v>378</v>
      </c>
      <c r="G1181" s="1" t="s">
        <v>379</v>
      </c>
      <c r="H1181" s="1" t="str">
        <f>IFERROR(__xludf.DUMMYFUNCTION("split(G1181,"" "")"),"Dave")</f>
        <v>Dave</v>
      </c>
      <c r="I1181" s="1" t="str">
        <f>IFERROR(__xludf.DUMMYFUNCTION("""COMPUTED_VALUE"""),"Brooks")</f>
        <v>Brooks</v>
      </c>
      <c r="J1181" s="1" t="s">
        <v>23</v>
      </c>
      <c r="K1181" s="1" t="s">
        <v>623</v>
      </c>
      <c r="L1181" s="1" t="str">
        <f t="shared" si="2"/>
        <v>Lakewood</v>
      </c>
      <c r="M1181" s="1" t="s">
        <v>462</v>
      </c>
      <c r="N1181" s="1" t="str">
        <f t="shared" si="3"/>
        <v>New Jersey</v>
      </c>
      <c r="O1181" s="1">
        <v>8701.0</v>
      </c>
      <c r="P1181" s="1" t="s">
        <v>100</v>
      </c>
      <c r="Q1181" s="1" t="s">
        <v>51</v>
      </c>
      <c r="R1181" s="3">
        <v>1322.93</v>
      </c>
      <c r="S1181" s="1">
        <v>8.0</v>
      </c>
      <c r="T1181" s="4">
        <v>1322.42</v>
      </c>
    </row>
    <row r="1182">
      <c r="A1182" s="1" t="s">
        <v>1921</v>
      </c>
      <c r="B1182" s="2">
        <v>42176.0</v>
      </c>
      <c r="C1182" s="2" t="str">
        <f t="shared" si="1"/>
        <v>Jun</v>
      </c>
      <c r="D1182" s="1" t="s">
        <v>817</v>
      </c>
      <c r="E1182" s="1" t="s">
        <v>41</v>
      </c>
      <c r="F1182" s="1" t="s">
        <v>378</v>
      </c>
      <c r="G1182" s="1" t="s">
        <v>379</v>
      </c>
      <c r="H1182" s="1" t="str">
        <f>IFERROR(__xludf.DUMMYFUNCTION("split(G1182,"" "")"),"Dave")</f>
        <v>Dave</v>
      </c>
      <c r="I1182" s="1" t="str">
        <f>IFERROR(__xludf.DUMMYFUNCTION("""COMPUTED_VALUE"""),"Brooks")</f>
        <v>Brooks</v>
      </c>
      <c r="J1182" s="1" t="s">
        <v>23</v>
      </c>
      <c r="K1182" s="1" t="s">
        <v>623</v>
      </c>
      <c r="L1182" s="1" t="str">
        <f t="shared" si="2"/>
        <v>Lakewood</v>
      </c>
      <c r="M1182" s="1" t="s">
        <v>462</v>
      </c>
      <c r="N1182" s="1" t="str">
        <f t="shared" si="3"/>
        <v>New Jersey</v>
      </c>
      <c r="O1182" s="1">
        <v>8701.0</v>
      </c>
      <c r="P1182" s="1" t="s">
        <v>100</v>
      </c>
      <c r="Q1182" s="1" t="s">
        <v>38</v>
      </c>
      <c r="R1182" s="3">
        <v>3.76</v>
      </c>
      <c r="S1182" s="1">
        <v>8.0</v>
      </c>
      <c r="T1182" s="4">
        <v>3.22</v>
      </c>
    </row>
    <row r="1183">
      <c r="A1183" s="1" t="s">
        <v>1922</v>
      </c>
      <c r="B1183" s="2">
        <v>43114.0</v>
      </c>
      <c r="C1183" s="2" t="str">
        <f t="shared" si="1"/>
        <v>Jan</v>
      </c>
      <c r="D1183" s="1" t="s">
        <v>1923</v>
      </c>
      <c r="E1183" s="1" t="s">
        <v>121</v>
      </c>
      <c r="F1183" s="1" t="s">
        <v>1224</v>
      </c>
      <c r="G1183" s="1" t="s">
        <v>1225</v>
      </c>
      <c r="H1183" s="1" t="str">
        <f>IFERROR(__xludf.DUMMYFUNCTION("split(G1183,"" "")"),"Rob")</f>
        <v>Rob</v>
      </c>
      <c r="I1183" s="1" t="str">
        <f>IFERROR(__xludf.DUMMYFUNCTION("""COMPUTED_VALUE"""),"Beeghly")</f>
        <v>Beeghly</v>
      </c>
      <c r="J1183" s="1" t="s">
        <v>23</v>
      </c>
      <c r="K1183" s="1" t="s">
        <v>849</v>
      </c>
      <c r="L1183" s="1" t="str">
        <f t="shared" si="2"/>
        <v>Jacksonville</v>
      </c>
      <c r="M1183" s="1" t="s">
        <v>58</v>
      </c>
      <c r="N1183" s="1" t="str">
        <f t="shared" si="3"/>
        <v>North Carolina</v>
      </c>
      <c r="O1183" s="1">
        <v>28540.0</v>
      </c>
      <c r="P1183" s="1" t="s">
        <v>26</v>
      </c>
      <c r="Q1183" s="1" t="s">
        <v>38</v>
      </c>
      <c r="R1183" s="3">
        <v>21.744</v>
      </c>
      <c r="S1183" s="1">
        <v>2.0</v>
      </c>
      <c r="T1183" s="4">
        <v>21.04</v>
      </c>
    </row>
    <row r="1184">
      <c r="A1184" s="1" t="s">
        <v>1922</v>
      </c>
      <c r="B1184" s="2">
        <v>43114.0</v>
      </c>
      <c r="C1184" s="2" t="str">
        <f t="shared" si="1"/>
        <v>Jan</v>
      </c>
      <c r="D1184" s="1" t="s">
        <v>1923</v>
      </c>
      <c r="E1184" s="1" t="s">
        <v>121</v>
      </c>
      <c r="F1184" s="1" t="s">
        <v>1224</v>
      </c>
      <c r="G1184" s="1" t="s">
        <v>1225</v>
      </c>
      <c r="H1184" s="1" t="str">
        <f>IFERROR(__xludf.DUMMYFUNCTION("split(G1184,"" "")"),"Rob")</f>
        <v>Rob</v>
      </c>
      <c r="I1184" s="1" t="str">
        <f>IFERROR(__xludf.DUMMYFUNCTION("""COMPUTED_VALUE"""),"Beeghly")</f>
        <v>Beeghly</v>
      </c>
      <c r="J1184" s="1" t="s">
        <v>23</v>
      </c>
      <c r="K1184" s="1" t="s">
        <v>849</v>
      </c>
      <c r="L1184" s="1" t="str">
        <f t="shared" si="2"/>
        <v>Jacksonville</v>
      </c>
      <c r="M1184" s="1" t="s">
        <v>58</v>
      </c>
      <c r="N1184" s="1" t="str">
        <f t="shared" si="3"/>
        <v>North Carolina</v>
      </c>
      <c r="O1184" s="1">
        <v>28540.0</v>
      </c>
      <c r="P1184" s="1" t="s">
        <v>26</v>
      </c>
      <c r="Q1184" s="1" t="s">
        <v>51</v>
      </c>
      <c r="R1184" s="3">
        <v>7.92</v>
      </c>
      <c r="S1184" s="1">
        <v>2.0</v>
      </c>
      <c r="T1184" s="4">
        <v>7.42</v>
      </c>
    </row>
    <row r="1185">
      <c r="A1185" s="1" t="s">
        <v>1924</v>
      </c>
      <c r="B1185" s="2">
        <v>42332.0</v>
      </c>
      <c r="C1185" s="2" t="str">
        <f t="shared" si="1"/>
        <v>Nov</v>
      </c>
      <c r="D1185" s="1" t="s">
        <v>1925</v>
      </c>
      <c r="E1185" s="1" t="s">
        <v>41</v>
      </c>
      <c r="F1185" s="1" t="s">
        <v>1926</v>
      </c>
      <c r="G1185" s="1" t="s">
        <v>1927</v>
      </c>
      <c r="H1185" s="1" t="str">
        <f>IFERROR(__xludf.DUMMYFUNCTION("split(G1185,"" "")"),"Harold")</f>
        <v>Harold</v>
      </c>
      <c r="I1185" s="1" t="str">
        <f>IFERROR(__xludf.DUMMYFUNCTION("""COMPUTED_VALUE"""),"Ryan")</f>
        <v>Ryan</v>
      </c>
      <c r="J1185" s="1" t="s">
        <v>34</v>
      </c>
      <c r="K1185" s="1" t="s">
        <v>62</v>
      </c>
      <c r="L1185" s="1" t="str">
        <f t="shared" si="2"/>
        <v>Seattle</v>
      </c>
      <c r="M1185" s="1" t="s">
        <v>63</v>
      </c>
      <c r="N1185" s="1" t="str">
        <f t="shared" si="3"/>
        <v>Washington</v>
      </c>
      <c r="O1185" s="1">
        <v>98103.0</v>
      </c>
      <c r="P1185" s="1" t="s">
        <v>37</v>
      </c>
      <c r="Q1185" s="1" t="s">
        <v>38</v>
      </c>
      <c r="R1185" s="3">
        <v>12.096</v>
      </c>
      <c r="S1185" s="1">
        <v>9.0</v>
      </c>
      <c r="T1185" s="4">
        <v>11.47</v>
      </c>
    </row>
    <row r="1186">
      <c r="A1186" s="1" t="s">
        <v>1924</v>
      </c>
      <c r="B1186" s="2">
        <v>42332.0</v>
      </c>
      <c r="C1186" s="2" t="str">
        <f t="shared" si="1"/>
        <v>Nov</v>
      </c>
      <c r="D1186" s="1" t="s">
        <v>1925</v>
      </c>
      <c r="E1186" s="1" t="s">
        <v>41</v>
      </c>
      <c r="F1186" s="1" t="s">
        <v>1926</v>
      </c>
      <c r="G1186" s="1" t="s">
        <v>1927</v>
      </c>
      <c r="H1186" s="1" t="str">
        <f>IFERROR(__xludf.DUMMYFUNCTION("split(G1186,"" "")"),"Harold")</f>
        <v>Harold</v>
      </c>
      <c r="I1186" s="1" t="str">
        <f>IFERROR(__xludf.DUMMYFUNCTION("""COMPUTED_VALUE"""),"Ryan")</f>
        <v>Ryan</v>
      </c>
      <c r="J1186" s="1" t="s">
        <v>34</v>
      </c>
      <c r="K1186" s="1" t="s">
        <v>62</v>
      </c>
      <c r="L1186" s="1" t="str">
        <f t="shared" si="2"/>
        <v>Seattle</v>
      </c>
      <c r="M1186" s="1" t="s">
        <v>63</v>
      </c>
      <c r="N1186" s="1" t="str">
        <f t="shared" si="3"/>
        <v>Washington</v>
      </c>
      <c r="O1186" s="1">
        <v>98103.0</v>
      </c>
      <c r="P1186" s="1" t="s">
        <v>37</v>
      </c>
      <c r="Q1186" s="1" t="s">
        <v>38</v>
      </c>
      <c r="R1186" s="3">
        <v>485.88</v>
      </c>
      <c r="S1186" s="1">
        <v>9.0</v>
      </c>
      <c r="T1186" s="4">
        <v>485.56</v>
      </c>
    </row>
    <row r="1187">
      <c r="A1187" s="1" t="s">
        <v>1924</v>
      </c>
      <c r="B1187" s="2">
        <v>42332.0</v>
      </c>
      <c r="C1187" s="2" t="str">
        <f t="shared" si="1"/>
        <v>Nov</v>
      </c>
      <c r="D1187" s="1" t="s">
        <v>1925</v>
      </c>
      <c r="E1187" s="1" t="s">
        <v>41</v>
      </c>
      <c r="F1187" s="1" t="s">
        <v>1926</v>
      </c>
      <c r="G1187" s="1" t="s">
        <v>1927</v>
      </c>
      <c r="H1187" s="1" t="str">
        <f>IFERROR(__xludf.DUMMYFUNCTION("split(G1187,"" "")"),"Harold")</f>
        <v>Harold</v>
      </c>
      <c r="I1187" s="1" t="str">
        <f>IFERROR(__xludf.DUMMYFUNCTION("""COMPUTED_VALUE"""),"Ryan")</f>
        <v>Ryan</v>
      </c>
      <c r="J1187" s="1" t="s">
        <v>34</v>
      </c>
      <c r="K1187" s="1" t="s">
        <v>62</v>
      </c>
      <c r="L1187" s="1" t="str">
        <f t="shared" si="2"/>
        <v>Seattle</v>
      </c>
      <c r="M1187" s="1" t="s">
        <v>63</v>
      </c>
      <c r="N1187" s="1" t="str">
        <f t="shared" si="3"/>
        <v>Washington</v>
      </c>
      <c r="O1187" s="1">
        <v>98103.0</v>
      </c>
      <c r="P1187" s="1" t="s">
        <v>37</v>
      </c>
      <c r="Q1187" s="1" t="s">
        <v>38</v>
      </c>
      <c r="R1187" s="3">
        <v>25.92</v>
      </c>
      <c r="S1187" s="1">
        <v>9.0</v>
      </c>
      <c r="T1187" s="4">
        <v>25.58</v>
      </c>
    </row>
    <row r="1188">
      <c r="A1188" s="1" t="s">
        <v>1924</v>
      </c>
      <c r="B1188" s="2">
        <v>42332.0</v>
      </c>
      <c r="C1188" s="2" t="str">
        <f t="shared" si="1"/>
        <v>Nov</v>
      </c>
      <c r="D1188" s="1" t="s">
        <v>1925</v>
      </c>
      <c r="E1188" s="1" t="s">
        <v>41</v>
      </c>
      <c r="F1188" s="1" t="s">
        <v>1926</v>
      </c>
      <c r="G1188" s="1" t="s">
        <v>1927</v>
      </c>
      <c r="H1188" s="1" t="str">
        <f>IFERROR(__xludf.DUMMYFUNCTION("split(G1188,"" "")"),"Harold")</f>
        <v>Harold</v>
      </c>
      <c r="I1188" s="1" t="str">
        <f>IFERROR(__xludf.DUMMYFUNCTION("""COMPUTED_VALUE"""),"Ryan")</f>
        <v>Ryan</v>
      </c>
      <c r="J1188" s="1" t="s">
        <v>34</v>
      </c>
      <c r="K1188" s="1" t="s">
        <v>62</v>
      </c>
      <c r="L1188" s="1" t="str">
        <f t="shared" si="2"/>
        <v>Seattle</v>
      </c>
      <c r="M1188" s="1" t="s">
        <v>63</v>
      </c>
      <c r="N1188" s="1" t="str">
        <f t="shared" si="3"/>
        <v>Washington</v>
      </c>
      <c r="O1188" s="1">
        <v>98103.0</v>
      </c>
      <c r="P1188" s="1" t="s">
        <v>37</v>
      </c>
      <c r="Q1188" s="1" t="s">
        <v>38</v>
      </c>
      <c r="R1188" s="3">
        <v>197.58</v>
      </c>
      <c r="S1188" s="1">
        <v>9.0</v>
      </c>
      <c r="T1188" s="4">
        <v>197.53</v>
      </c>
    </row>
    <row r="1189">
      <c r="A1189" s="1" t="s">
        <v>1928</v>
      </c>
      <c r="B1189" s="2">
        <v>43157.0</v>
      </c>
      <c r="C1189" s="2" t="str">
        <f t="shared" si="1"/>
        <v>Feb</v>
      </c>
      <c r="D1189" s="1" t="s">
        <v>1929</v>
      </c>
      <c r="E1189" s="1" t="s">
        <v>20</v>
      </c>
      <c r="F1189" s="1" t="s">
        <v>1930</v>
      </c>
      <c r="G1189" s="1" t="s">
        <v>1931</v>
      </c>
      <c r="H1189" s="1" t="str">
        <f>IFERROR(__xludf.DUMMYFUNCTION("split(G1189,"" "")"),"Bradley")</f>
        <v>Bradley</v>
      </c>
      <c r="I1189" s="1" t="str">
        <f>IFERROR(__xludf.DUMMYFUNCTION("""COMPUTED_VALUE"""),"Talbott")</f>
        <v>Talbott</v>
      </c>
      <c r="J1189" s="1" t="s">
        <v>68</v>
      </c>
      <c r="K1189" s="1" t="s">
        <v>35</v>
      </c>
      <c r="L1189" s="1" t="str">
        <f t="shared" si="2"/>
        <v>Los Angeles</v>
      </c>
      <c r="M1189" s="1" t="s">
        <v>52</v>
      </c>
      <c r="N1189" s="1" t="str">
        <f t="shared" si="3"/>
        <v>California</v>
      </c>
      <c r="O1189" s="1">
        <v>90036.0</v>
      </c>
      <c r="P1189" s="1" t="s">
        <v>37</v>
      </c>
      <c r="Q1189" s="1" t="s">
        <v>38</v>
      </c>
      <c r="R1189" s="3">
        <v>81.92</v>
      </c>
      <c r="S1189" s="1">
        <v>9.0</v>
      </c>
      <c r="T1189" s="4">
        <v>81.69</v>
      </c>
    </row>
    <row r="1190">
      <c r="A1190" s="1" t="s">
        <v>1928</v>
      </c>
      <c r="B1190" s="2">
        <v>43157.0</v>
      </c>
      <c r="C1190" s="2" t="str">
        <f t="shared" si="1"/>
        <v>Feb</v>
      </c>
      <c r="D1190" s="1" t="s">
        <v>1929</v>
      </c>
      <c r="E1190" s="1" t="s">
        <v>20</v>
      </c>
      <c r="F1190" s="1" t="s">
        <v>1930</v>
      </c>
      <c r="G1190" s="1" t="s">
        <v>1931</v>
      </c>
      <c r="H1190" s="1" t="str">
        <f>IFERROR(__xludf.DUMMYFUNCTION("split(G1190,"" "")"),"Bradley")</f>
        <v>Bradley</v>
      </c>
      <c r="I1190" s="1" t="str">
        <f>IFERROR(__xludf.DUMMYFUNCTION("""COMPUTED_VALUE"""),"Talbott")</f>
        <v>Talbott</v>
      </c>
      <c r="J1190" s="1" t="s">
        <v>68</v>
      </c>
      <c r="K1190" s="1" t="s">
        <v>35</v>
      </c>
      <c r="L1190" s="1" t="str">
        <f t="shared" si="2"/>
        <v>Los Angeles</v>
      </c>
      <c r="M1190" s="1" t="s">
        <v>52</v>
      </c>
      <c r="N1190" s="1" t="str">
        <f t="shared" si="3"/>
        <v>California</v>
      </c>
      <c r="O1190" s="1">
        <v>90036.0</v>
      </c>
      <c r="P1190" s="1" t="s">
        <v>37</v>
      </c>
      <c r="Q1190" s="1" t="s">
        <v>51</v>
      </c>
      <c r="R1190" s="3">
        <v>889.536</v>
      </c>
      <c r="S1190" s="1">
        <v>9.0</v>
      </c>
      <c r="T1190" s="4">
        <v>889.08</v>
      </c>
    </row>
    <row r="1191">
      <c r="A1191" s="1" t="s">
        <v>1928</v>
      </c>
      <c r="B1191" s="2">
        <v>43157.0</v>
      </c>
      <c r="C1191" s="2" t="str">
        <f t="shared" si="1"/>
        <v>Feb</v>
      </c>
      <c r="D1191" s="1" t="s">
        <v>1929</v>
      </c>
      <c r="E1191" s="1" t="s">
        <v>20</v>
      </c>
      <c r="F1191" s="1" t="s">
        <v>1930</v>
      </c>
      <c r="G1191" s="1" t="s">
        <v>1931</v>
      </c>
      <c r="H1191" s="1" t="str">
        <f>IFERROR(__xludf.DUMMYFUNCTION("split(G1191,"" "")"),"Bradley")</f>
        <v>Bradley</v>
      </c>
      <c r="I1191" s="1" t="str">
        <f>IFERROR(__xludf.DUMMYFUNCTION("""COMPUTED_VALUE"""),"Talbott")</f>
        <v>Talbott</v>
      </c>
      <c r="J1191" s="1" t="s">
        <v>68</v>
      </c>
      <c r="K1191" s="1" t="s">
        <v>35</v>
      </c>
      <c r="L1191" s="1" t="str">
        <f t="shared" si="2"/>
        <v>Los Angeles</v>
      </c>
      <c r="M1191" s="1" t="s">
        <v>52</v>
      </c>
      <c r="N1191" s="1" t="str">
        <f t="shared" si="3"/>
        <v>California</v>
      </c>
      <c r="O1191" s="1">
        <v>90036.0</v>
      </c>
      <c r="P1191" s="1" t="s">
        <v>37</v>
      </c>
      <c r="Q1191" s="1" t="s">
        <v>27</v>
      </c>
      <c r="R1191" s="3">
        <v>892.224</v>
      </c>
      <c r="S1191" s="1">
        <v>9.0</v>
      </c>
      <c r="T1191" s="4">
        <v>891.53</v>
      </c>
    </row>
    <row r="1192">
      <c r="A1192" s="1" t="s">
        <v>1928</v>
      </c>
      <c r="B1192" s="2">
        <v>43157.0</v>
      </c>
      <c r="C1192" s="2" t="str">
        <f t="shared" si="1"/>
        <v>Feb</v>
      </c>
      <c r="D1192" s="1" t="s">
        <v>1929</v>
      </c>
      <c r="E1192" s="1" t="s">
        <v>20</v>
      </c>
      <c r="F1192" s="1" t="s">
        <v>1930</v>
      </c>
      <c r="G1192" s="1" t="s">
        <v>1931</v>
      </c>
      <c r="H1192" s="1" t="str">
        <f>IFERROR(__xludf.DUMMYFUNCTION("split(G1192,"" "")"),"Bradley")</f>
        <v>Bradley</v>
      </c>
      <c r="I1192" s="1" t="str">
        <f>IFERROR(__xludf.DUMMYFUNCTION("""COMPUTED_VALUE"""),"Talbott")</f>
        <v>Talbott</v>
      </c>
      <c r="J1192" s="1" t="s">
        <v>68</v>
      </c>
      <c r="K1192" s="1" t="s">
        <v>35</v>
      </c>
      <c r="L1192" s="1" t="str">
        <f t="shared" si="2"/>
        <v>Los Angeles</v>
      </c>
      <c r="M1192" s="1" t="s">
        <v>52</v>
      </c>
      <c r="N1192" s="1" t="str">
        <f t="shared" si="3"/>
        <v>California</v>
      </c>
      <c r="O1192" s="1">
        <v>90036.0</v>
      </c>
      <c r="P1192" s="1" t="s">
        <v>37</v>
      </c>
      <c r="Q1192" s="1" t="s">
        <v>38</v>
      </c>
      <c r="R1192" s="3">
        <v>223.92</v>
      </c>
      <c r="S1192" s="1">
        <v>9.0</v>
      </c>
      <c r="T1192" s="4">
        <v>223.32</v>
      </c>
    </row>
    <row r="1193">
      <c r="A1193" s="1" t="s">
        <v>1928</v>
      </c>
      <c r="B1193" s="2">
        <v>43157.0</v>
      </c>
      <c r="C1193" s="2" t="str">
        <f t="shared" si="1"/>
        <v>Feb</v>
      </c>
      <c r="D1193" s="1" t="s">
        <v>1929</v>
      </c>
      <c r="E1193" s="1" t="s">
        <v>20</v>
      </c>
      <c r="F1193" s="1" t="s">
        <v>1930</v>
      </c>
      <c r="G1193" s="1" t="s">
        <v>1931</v>
      </c>
      <c r="H1193" s="1" t="str">
        <f>IFERROR(__xludf.DUMMYFUNCTION("split(G1193,"" "")"),"Bradley")</f>
        <v>Bradley</v>
      </c>
      <c r="I1193" s="1" t="str">
        <f>IFERROR(__xludf.DUMMYFUNCTION("""COMPUTED_VALUE"""),"Talbott")</f>
        <v>Talbott</v>
      </c>
      <c r="J1193" s="1" t="s">
        <v>68</v>
      </c>
      <c r="K1193" s="1" t="s">
        <v>35</v>
      </c>
      <c r="L1193" s="1" t="str">
        <f t="shared" si="2"/>
        <v>Los Angeles</v>
      </c>
      <c r="M1193" s="1" t="s">
        <v>52</v>
      </c>
      <c r="N1193" s="1" t="str">
        <f t="shared" si="3"/>
        <v>California</v>
      </c>
      <c r="O1193" s="1">
        <v>90036.0</v>
      </c>
      <c r="P1193" s="1" t="s">
        <v>37</v>
      </c>
      <c r="Q1193" s="1" t="s">
        <v>38</v>
      </c>
      <c r="R1193" s="3">
        <v>23.12</v>
      </c>
      <c r="S1193" s="1">
        <v>9.0</v>
      </c>
      <c r="T1193" s="4">
        <v>22.75</v>
      </c>
    </row>
    <row r="1194">
      <c r="A1194" s="1" t="s">
        <v>1932</v>
      </c>
      <c r="B1194" s="2">
        <v>42628.0</v>
      </c>
      <c r="C1194" s="2" t="str">
        <f t="shared" si="1"/>
        <v>Sep</v>
      </c>
      <c r="D1194" s="1" t="s">
        <v>1933</v>
      </c>
      <c r="E1194" s="1" t="s">
        <v>717</v>
      </c>
      <c r="F1194" s="1" t="s">
        <v>1133</v>
      </c>
      <c r="G1194" s="1" t="s">
        <v>1134</v>
      </c>
      <c r="H1194" s="1" t="str">
        <f>IFERROR(__xludf.DUMMYFUNCTION("split(G1194,"" "")"),"Nat")</f>
        <v>Nat</v>
      </c>
      <c r="I1194" s="1" t="str">
        <f>IFERROR(__xludf.DUMMYFUNCTION("""COMPUTED_VALUE"""),"Gilpin")</f>
        <v>Gilpin</v>
      </c>
      <c r="J1194" s="1" t="s">
        <v>34</v>
      </c>
      <c r="K1194" s="1" t="s">
        <v>1934</v>
      </c>
      <c r="L1194" s="1" t="str">
        <f t="shared" si="2"/>
        <v>Coral Springs</v>
      </c>
      <c r="M1194" s="1" t="s">
        <v>145</v>
      </c>
      <c r="N1194" s="1" t="str">
        <f t="shared" si="3"/>
        <v>Florida</v>
      </c>
      <c r="O1194" s="1">
        <v>33065.0</v>
      </c>
      <c r="P1194" s="1" t="s">
        <v>26</v>
      </c>
      <c r="Q1194" s="1" t="s">
        <v>38</v>
      </c>
      <c r="R1194" s="3">
        <v>15.552</v>
      </c>
      <c r="S1194" s="1">
        <v>3.0</v>
      </c>
      <c r="T1194" s="4">
        <v>15.53</v>
      </c>
    </row>
    <row r="1195">
      <c r="A1195" s="1" t="s">
        <v>1932</v>
      </c>
      <c r="B1195" s="2">
        <v>42628.0</v>
      </c>
      <c r="C1195" s="2" t="str">
        <f t="shared" si="1"/>
        <v>Sep</v>
      </c>
      <c r="D1195" s="1" t="s">
        <v>1933</v>
      </c>
      <c r="E1195" s="1" t="s">
        <v>717</v>
      </c>
      <c r="F1195" s="1" t="s">
        <v>1133</v>
      </c>
      <c r="G1195" s="1" t="s">
        <v>1134</v>
      </c>
      <c r="H1195" s="1" t="str">
        <f>IFERROR(__xludf.DUMMYFUNCTION("split(G1195,"" "")"),"Nat")</f>
        <v>Nat</v>
      </c>
      <c r="I1195" s="1" t="str">
        <f>IFERROR(__xludf.DUMMYFUNCTION("""COMPUTED_VALUE"""),"Gilpin")</f>
        <v>Gilpin</v>
      </c>
      <c r="J1195" s="1" t="s">
        <v>34</v>
      </c>
      <c r="K1195" s="1" t="s">
        <v>1934</v>
      </c>
      <c r="L1195" s="1" t="str">
        <f t="shared" si="2"/>
        <v>Coral Springs</v>
      </c>
      <c r="M1195" s="1" t="s">
        <v>145</v>
      </c>
      <c r="N1195" s="1" t="str">
        <f t="shared" si="3"/>
        <v>Florida</v>
      </c>
      <c r="O1195" s="1">
        <v>33065.0</v>
      </c>
      <c r="P1195" s="1" t="s">
        <v>26</v>
      </c>
      <c r="Q1195" s="1" t="s">
        <v>27</v>
      </c>
      <c r="R1195" s="3">
        <v>15.712</v>
      </c>
      <c r="S1195" s="1">
        <v>3.0</v>
      </c>
      <c r="T1195" s="4">
        <v>15.71</v>
      </c>
    </row>
    <row r="1196">
      <c r="A1196" s="1" t="s">
        <v>1932</v>
      </c>
      <c r="B1196" s="2">
        <v>42628.0</v>
      </c>
      <c r="C1196" s="2" t="str">
        <f t="shared" si="1"/>
        <v>Sep</v>
      </c>
      <c r="D1196" s="1" t="s">
        <v>1933</v>
      </c>
      <c r="E1196" s="1" t="s">
        <v>717</v>
      </c>
      <c r="F1196" s="1" t="s">
        <v>1133</v>
      </c>
      <c r="G1196" s="1" t="s">
        <v>1134</v>
      </c>
      <c r="H1196" s="1" t="str">
        <f>IFERROR(__xludf.DUMMYFUNCTION("split(G1196,"" "")"),"Nat")</f>
        <v>Nat</v>
      </c>
      <c r="I1196" s="1" t="str">
        <f>IFERROR(__xludf.DUMMYFUNCTION("""COMPUTED_VALUE"""),"Gilpin")</f>
        <v>Gilpin</v>
      </c>
      <c r="J1196" s="1" t="s">
        <v>34</v>
      </c>
      <c r="K1196" s="1" t="s">
        <v>1934</v>
      </c>
      <c r="L1196" s="1" t="str">
        <f t="shared" si="2"/>
        <v>Coral Springs</v>
      </c>
      <c r="M1196" s="1" t="s">
        <v>145</v>
      </c>
      <c r="N1196" s="1" t="str">
        <f t="shared" si="3"/>
        <v>Florida</v>
      </c>
      <c r="O1196" s="1">
        <v>33065.0</v>
      </c>
      <c r="P1196" s="1" t="s">
        <v>26</v>
      </c>
      <c r="Q1196" s="1" t="s">
        <v>38</v>
      </c>
      <c r="R1196" s="3">
        <v>24.672</v>
      </c>
      <c r="S1196" s="1">
        <v>3.0</v>
      </c>
      <c r="T1196" s="4">
        <v>23.88</v>
      </c>
    </row>
    <row r="1197">
      <c r="A1197" s="1" t="s">
        <v>1932</v>
      </c>
      <c r="B1197" s="2">
        <v>42628.0</v>
      </c>
      <c r="C1197" s="2" t="str">
        <f t="shared" si="1"/>
        <v>Sep</v>
      </c>
      <c r="D1197" s="1" t="s">
        <v>1933</v>
      </c>
      <c r="E1197" s="1" t="s">
        <v>717</v>
      </c>
      <c r="F1197" s="1" t="s">
        <v>1133</v>
      </c>
      <c r="G1197" s="1" t="s">
        <v>1134</v>
      </c>
      <c r="H1197" s="1" t="str">
        <f>IFERROR(__xludf.DUMMYFUNCTION("split(G1197,"" "")"),"Nat")</f>
        <v>Nat</v>
      </c>
      <c r="I1197" s="1" t="str">
        <f>IFERROR(__xludf.DUMMYFUNCTION("""COMPUTED_VALUE"""),"Gilpin")</f>
        <v>Gilpin</v>
      </c>
      <c r="J1197" s="1" t="s">
        <v>34</v>
      </c>
      <c r="K1197" s="1" t="s">
        <v>1934</v>
      </c>
      <c r="L1197" s="1" t="str">
        <f t="shared" si="2"/>
        <v>Coral Springs</v>
      </c>
      <c r="M1197" s="1" t="s">
        <v>145</v>
      </c>
      <c r="N1197" s="1" t="str">
        <f t="shared" si="3"/>
        <v>Florida</v>
      </c>
      <c r="O1197" s="1">
        <v>33065.0</v>
      </c>
      <c r="P1197" s="1" t="s">
        <v>26</v>
      </c>
      <c r="Q1197" s="1" t="s">
        <v>27</v>
      </c>
      <c r="R1197" s="3">
        <v>55.968</v>
      </c>
      <c r="S1197" s="1">
        <v>3.0</v>
      </c>
      <c r="T1197" s="4">
        <v>55.91</v>
      </c>
    </row>
    <row r="1198">
      <c r="A1198" s="1" t="s">
        <v>1935</v>
      </c>
      <c r="B1198" s="2">
        <v>42951.0</v>
      </c>
      <c r="C1198" s="2" t="str">
        <f t="shared" si="1"/>
        <v>Aug</v>
      </c>
      <c r="D1198" s="6">
        <v>43073.0</v>
      </c>
      <c r="E1198" s="1" t="s">
        <v>41</v>
      </c>
      <c r="F1198" s="1" t="s">
        <v>1093</v>
      </c>
      <c r="G1198" s="1" t="s">
        <v>1094</v>
      </c>
      <c r="H1198" s="1" t="str">
        <f>IFERROR(__xludf.DUMMYFUNCTION("split(G1198,"" "")"),"Zuschuss")</f>
        <v>Zuschuss</v>
      </c>
      <c r="I1198" s="1" t="str">
        <f>IFERROR(__xludf.DUMMYFUNCTION("""COMPUTED_VALUE"""),"Carroll")</f>
        <v>Carroll</v>
      </c>
      <c r="J1198" s="1" t="s">
        <v>23</v>
      </c>
      <c r="K1198" s="1" t="s">
        <v>129</v>
      </c>
      <c r="L1198" s="1" t="str">
        <f t="shared" si="2"/>
        <v>Houston</v>
      </c>
      <c r="M1198" s="1" t="s">
        <v>70</v>
      </c>
      <c r="N1198" s="1" t="str">
        <f t="shared" si="3"/>
        <v>Texas</v>
      </c>
      <c r="O1198" s="1">
        <v>77041.0</v>
      </c>
      <c r="P1198" s="1" t="s">
        <v>71</v>
      </c>
      <c r="Q1198" s="1" t="s">
        <v>51</v>
      </c>
      <c r="R1198" s="3">
        <v>431.928</v>
      </c>
      <c r="S1198" s="1">
        <v>7.0</v>
      </c>
      <c r="T1198" s="4">
        <v>431.21</v>
      </c>
    </row>
    <row r="1199">
      <c r="A1199" s="1" t="s">
        <v>1935</v>
      </c>
      <c r="B1199" s="2">
        <v>42951.0</v>
      </c>
      <c r="C1199" s="2" t="str">
        <f t="shared" si="1"/>
        <v>Aug</v>
      </c>
      <c r="D1199" s="6">
        <v>43073.0</v>
      </c>
      <c r="E1199" s="1" t="s">
        <v>41</v>
      </c>
      <c r="F1199" s="1" t="s">
        <v>1093</v>
      </c>
      <c r="G1199" s="1" t="s">
        <v>1094</v>
      </c>
      <c r="H1199" s="1" t="str">
        <f>IFERROR(__xludf.DUMMYFUNCTION("split(G1199,"" "")"),"Zuschuss")</f>
        <v>Zuschuss</v>
      </c>
      <c r="I1199" s="1" t="str">
        <f>IFERROR(__xludf.DUMMYFUNCTION("""COMPUTED_VALUE"""),"Carroll")</f>
        <v>Carroll</v>
      </c>
      <c r="J1199" s="1" t="s">
        <v>23</v>
      </c>
      <c r="K1199" s="1" t="s">
        <v>129</v>
      </c>
      <c r="L1199" s="1" t="str">
        <f t="shared" si="2"/>
        <v>Houston</v>
      </c>
      <c r="M1199" s="1" t="s">
        <v>70</v>
      </c>
      <c r="N1199" s="1" t="str">
        <f t="shared" si="3"/>
        <v>Texas</v>
      </c>
      <c r="O1199" s="1">
        <v>77041.0</v>
      </c>
      <c r="P1199" s="1" t="s">
        <v>71</v>
      </c>
      <c r="Q1199" s="1" t="s">
        <v>27</v>
      </c>
      <c r="R1199" s="3">
        <v>95.984</v>
      </c>
      <c r="S1199" s="1">
        <v>7.0</v>
      </c>
      <c r="T1199" s="4">
        <v>95.48</v>
      </c>
    </row>
    <row r="1200">
      <c r="A1200" s="1" t="s">
        <v>1935</v>
      </c>
      <c r="B1200" s="2">
        <v>42951.0</v>
      </c>
      <c r="C1200" s="2" t="str">
        <f t="shared" si="1"/>
        <v>Aug</v>
      </c>
      <c r="D1200" s="6">
        <v>43073.0</v>
      </c>
      <c r="E1200" s="1" t="s">
        <v>41</v>
      </c>
      <c r="F1200" s="1" t="s">
        <v>1093</v>
      </c>
      <c r="G1200" s="1" t="s">
        <v>1094</v>
      </c>
      <c r="H1200" s="1" t="str">
        <f>IFERROR(__xludf.DUMMYFUNCTION("split(G1200,"" "")"),"Zuschuss")</f>
        <v>Zuschuss</v>
      </c>
      <c r="I1200" s="1" t="str">
        <f>IFERROR(__xludf.DUMMYFUNCTION("""COMPUTED_VALUE"""),"Carroll")</f>
        <v>Carroll</v>
      </c>
      <c r="J1200" s="1" t="s">
        <v>23</v>
      </c>
      <c r="K1200" s="1" t="s">
        <v>129</v>
      </c>
      <c r="L1200" s="1" t="str">
        <f t="shared" si="2"/>
        <v>Houston</v>
      </c>
      <c r="M1200" s="1" t="s">
        <v>70</v>
      </c>
      <c r="N1200" s="1" t="str">
        <f t="shared" si="3"/>
        <v>Texas</v>
      </c>
      <c r="O1200" s="1">
        <v>77041.0</v>
      </c>
      <c r="P1200" s="1" t="s">
        <v>71</v>
      </c>
      <c r="Q1200" s="1" t="s">
        <v>38</v>
      </c>
      <c r="R1200" s="3">
        <v>1088.792</v>
      </c>
      <c r="S1200" s="1">
        <v>7.0</v>
      </c>
      <c r="T1200" s="4">
        <v>1088.07</v>
      </c>
    </row>
    <row r="1201">
      <c r="A1201" s="1" t="s">
        <v>1936</v>
      </c>
      <c r="B1201" s="2">
        <v>42934.0</v>
      </c>
      <c r="C1201" s="2" t="str">
        <f t="shared" si="1"/>
        <v>Jul</v>
      </c>
      <c r="D1201" s="1" t="s">
        <v>1851</v>
      </c>
      <c r="E1201" s="1" t="s">
        <v>41</v>
      </c>
      <c r="F1201" s="1" t="s">
        <v>1501</v>
      </c>
      <c r="G1201" s="1" t="s">
        <v>1502</v>
      </c>
      <c r="H1201" s="1" t="str">
        <f>IFERROR(__xludf.DUMMYFUNCTION("split(G1201,"" "")"),"Linda")</f>
        <v>Linda</v>
      </c>
      <c r="I1201" s="1" t="str">
        <f>IFERROR(__xludf.DUMMYFUNCTION("""COMPUTED_VALUE"""),"Southworth")</f>
        <v>Southworth</v>
      </c>
      <c r="J1201" s="1" t="s">
        <v>34</v>
      </c>
      <c r="K1201" s="1" t="s">
        <v>475</v>
      </c>
      <c r="L1201" s="1" t="str">
        <f t="shared" si="2"/>
        <v>Denver</v>
      </c>
      <c r="M1201" s="1" t="s">
        <v>279</v>
      </c>
      <c r="N1201" s="1" t="str">
        <f t="shared" si="3"/>
        <v>Colorado</v>
      </c>
      <c r="O1201" s="1">
        <v>80219.0</v>
      </c>
      <c r="P1201" s="1" t="s">
        <v>37</v>
      </c>
      <c r="Q1201" s="1" t="s">
        <v>27</v>
      </c>
      <c r="R1201" s="3">
        <v>544.008</v>
      </c>
      <c r="S1201" s="1">
        <v>8.0</v>
      </c>
      <c r="T1201" s="4">
        <v>543.35</v>
      </c>
    </row>
    <row r="1202">
      <c r="A1202" s="1" t="s">
        <v>1936</v>
      </c>
      <c r="B1202" s="2">
        <v>42934.0</v>
      </c>
      <c r="C1202" s="2" t="str">
        <f t="shared" si="1"/>
        <v>Jul</v>
      </c>
      <c r="D1202" s="1" t="s">
        <v>1851</v>
      </c>
      <c r="E1202" s="1" t="s">
        <v>41</v>
      </c>
      <c r="F1202" s="1" t="s">
        <v>1501</v>
      </c>
      <c r="G1202" s="1" t="s">
        <v>1502</v>
      </c>
      <c r="H1202" s="1" t="str">
        <f>IFERROR(__xludf.DUMMYFUNCTION("split(G1202,"" "")"),"Linda")</f>
        <v>Linda</v>
      </c>
      <c r="I1202" s="1" t="str">
        <f>IFERROR(__xludf.DUMMYFUNCTION("""COMPUTED_VALUE"""),"Southworth")</f>
        <v>Southworth</v>
      </c>
      <c r="J1202" s="1" t="s">
        <v>34</v>
      </c>
      <c r="K1202" s="1" t="s">
        <v>475</v>
      </c>
      <c r="L1202" s="1" t="str">
        <f t="shared" si="2"/>
        <v>Denver</v>
      </c>
      <c r="M1202" s="1" t="s">
        <v>279</v>
      </c>
      <c r="N1202" s="1" t="str">
        <f t="shared" si="3"/>
        <v>Colorado</v>
      </c>
      <c r="O1202" s="1">
        <v>80219.0</v>
      </c>
      <c r="P1202" s="1" t="s">
        <v>37</v>
      </c>
      <c r="Q1202" s="1" t="s">
        <v>38</v>
      </c>
      <c r="R1202" s="3">
        <v>1.872</v>
      </c>
      <c r="S1202" s="1">
        <v>8.0</v>
      </c>
      <c r="T1202" s="4">
        <v>1.18</v>
      </c>
    </row>
    <row r="1203">
      <c r="A1203" s="1" t="s">
        <v>1936</v>
      </c>
      <c r="B1203" s="2">
        <v>42934.0</v>
      </c>
      <c r="C1203" s="2" t="str">
        <f t="shared" si="1"/>
        <v>Jul</v>
      </c>
      <c r="D1203" s="1" t="s">
        <v>1851</v>
      </c>
      <c r="E1203" s="1" t="s">
        <v>41</v>
      </c>
      <c r="F1203" s="1" t="s">
        <v>1501</v>
      </c>
      <c r="G1203" s="1" t="s">
        <v>1502</v>
      </c>
      <c r="H1203" s="1" t="str">
        <f>IFERROR(__xludf.DUMMYFUNCTION("split(G1203,"" "")"),"Linda")</f>
        <v>Linda</v>
      </c>
      <c r="I1203" s="1" t="str">
        <f>IFERROR(__xludf.DUMMYFUNCTION("""COMPUTED_VALUE"""),"Southworth")</f>
        <v>Southworth</v>
      </c>
      <c r="J1203" s="1" t="s">
        <v>34</v>
      </c>
      <c r="K1203" s="1" t="s">
        <v>475</v>
      </c>
      <c r="L1203" s="1" t="str">
        <f t="shared" si="2"/>
        <v>Denver</v>
      </c>
      <c r="M1203" s="1" t="s">
        <v>279</v>
      </c>
      <c r="N1203" s="1" t="str">
        <f t="shared" si="3"/>
        <v>Colorado</v>
      </c>
      <c r="O1203" s="1">
        <v>80219.0</v>
      </c>
      <c r="P1203" s="1" t="s">
        <v>37</v>
      </c>
      <c r="Q1203" s="1" t="s">
        <v>27</v>
      </c>
      <c r="R1203" s="3">
        <v>854.352</v>
      </c>
      <c r="S1203" s="1">
        <v>8.0</v>
      </c>
      <c r="T1203" s="4">
        <v>853.99</v>
      </c>
    </row>
    <row r="1204">
      <c r="A1204" s="1" t="s">
        <v>1936</v>
      </c>
      <c r="B1204" s="2">
        <v>42934.0</v>
      </c>
      <c r="C1204" s="2" t="str">
        <f t="shared" si="1"/>
        <v>Jul</v>
      </c>
      <c r="D1204" s="1" t="s">
        <v>1851</v>
      </c>
      <c r="E1204" s="1" t="s">
        <v>41</v>
      </c>
      <c r="F1204" s="1" t="s">
        <v>1501</v>
      </c>
      <c r="G1204" s="1" t="s">
        <v>1502</v>
      </c>
      <c r="H1204" s="1" t="str">
        <f>IFERROR(__xludf.DUMMYFUNCTION("split(G1204,"" "")"),"Linda")</f>
        <v>Linda</v>
      </c>
      <c r="I1204" s="1" t="str">
        <f>IFERROR(__xludf.DUMMYFUNCTION("""COMPUTED_VALUE"""),"Southworth")</f>
        <v>Southworth</v>
      </c>
      <c r="J1204" s="1" t="s">
        <v>34</v>
      </c>
      <c r="K1204" s="1" t="s">
        <v>475</v>
      </c>
      <c r="L1204" s="1" t="str">
        <f t="shared" si="2"/>
        <v>Denver</v>
      </c>
      <c r="M1204" s="1" t="s">
        <v>279</v>
      </c>
      <c r="N1204" s="1" t="str">
        <f t="shared" si="3"/>
        <v>Colorado</v>
      </c>
      <c r="O1204" s="1">
        <v>80219.0</v>
      </c>
      <c r="P1204" s="1" t="s">
        <v>37</v>
      </c>
      <c r="Q1204" s="1" t="s">
        <v>38</v>
      </c>
      <c r="R1204" s="3">
        <v>593.568</v>
      </c>
      <c r="S1204" s="1">
        <v>8.0</v>
      </c>
      <c r="T1204" s="4">
        <v>593.18</v>
      </c>
    </row>
    <row r="1205">
      <c r="A1205" s="1" t="s">
        <v>1936</v>
      </c>
      <c r="B1205" s="2">
        <v>42934.0</v>
      </c>
      <c r="C1205" s="2" t="str">
        <f t="shared" si="1"/>
        <v>Jul</v>
      </c>
      <c r="D1205" s="1" t="s">
        <v>1851</v>
      </c>
      <c r="E1205" s="1" t="s">
        <v>41</v>
      </c>
      <c r="F1205" s="1" t="s">
        <v>1501</v>
      </c>
      <c r="G1205" s="1" t="s">
        <v>1502</v>
      </c>
      <c r="H1205" s="1" t="str">
        <f>IFERROR(__xludf.DUMMYFUNCTION("split(G1205,"" "")"),"Linda")</f>
        <v>Linda</v>
      </c>
      <c r="I1205" s="1" t="str">
        <f>IFERROR(__xludf.DUMMYFUNCTION("""COMPUTED_VALUE"""),"Southworth")</f>
        <v>Southworth</v>
      </c>
      <c r="J1205" s="1" t="s">
        <v>34</v>
      </c>
      <c r="K1205" s="1" t="s">
        <v>475</v>
      </c>
      <c r="L1205" s="1" t="str">
        <f t="shared" si="2"/>
        <v>Denver</v>
      </c>
      <c r="M1205" s="1" t="s">
        <v>279</v>
      </c>
      <c r="N1205" s="1" t="str">
        <f t="shared" si="3"/>
        <v>Colorado</v>
      </c>
      <c r="O1205" s="1">
        <v>80219.0</v>
      </c>
      <c r="P1205" s="1" t="s">
        <v>37</v>
      </c>
      <c r="Q1205" s="1" t="s">
        <v>38</v>
      </c>
      <c r="R1205" s="3">
        <v>338.04</v>
      </c>
      <c r="S1205" s="1">
        <v>8.0</v>
      </c>
      <c r="T1205" s="4">
        <v>337.21</v>
      </c>
    </row>
    <row r="1206">
      <c r="A1206" s="1" t="s">
        <v>1937</v>
      </c>
      <c r="B1206" s="2">
        <v>43108.0</v>
      </c>
      <c r="C1206" s="2" t="str">
        <f t="shared" si="1"/>
        <v>Jan</v>
      </c>
      <c r="D1206" s="6">
        <v>43198.0</v>
      </c>
      <c r="E1206" s="1" t="s">
        <v>121</v>
      </c>
      <c r="F1206" s="1" t="s">
        <v>1938</v>
      </c>
      <c r="G1206" s="1" t="s">
        <v>1939</v>
      </c>
      <c r="H1206" s="1" t="str">
        <f>IFERROR(__xludf.DUMMYFUNCTION("split(G1206,"" "")"),"Larry")</f>
        <v>Larry</v>
      </c>
      <c r="I1206" s="1" t="str">
        <f>IFERROR(__xludf.DUMMYFUNCTION("""COMPUTED_VALUE"""),"Hughes")</f>
        <v>Hughes</v>
      </c>
      <c r="J1206" s="1" t="s">
        <v>23</v>
      </c>
      <c r="K1206" s="1" t="s">
        <v>284</v>
      </c>
      <c r="L1206" s="1" t="str">
        <f t="shared" si="2"/>
        <v>Charlotte</v>
      </c>
      <c r="M1206" s="1" t="s">
        <v>58</v>
      </c>
      <c r="N1206" s="1" t="str">
        <f t="shared" si="3"/>
        <v>North Carolina</v>
      </c>
      <c r="O1206" s="1">
        <v>28205.0</v>
      </c>
      <c r="P1206" s="1" t="s">
        <v>26</v>
      </c>
      <c r="Q1206" s="1" t="s">
        <v>51</v>
      </c>
      <c r="R1206" s="3">
        <v>271.96</v>
      </c>
      <c r="S1206" s="1">
        <v>2.0</v>
      </c>
      <c r="T1206" s="4">
        <v>271.26</v>
      </c>
    </row>
    <row r="1207">
      <c r="A1207" s="1" t="s">
        <v>1940</v>
      </c>
      <c r="B1207" s="2">
        <v>42930.0</v>
      </c>
      <c r="C1207" s="2" t="str">
        <f t="shared" si="1"/>
        <v>Jul</v>
      </c>
      <c r="D1207" s="1" t="s">
        <v>1941</v>
      </c>
      <c r="E1207" s="1" t="s">
        <v>20</v>
      </c>
      <c r="F1207" s="1" t="s">
        <v>1942</v>
      </c>
      <c r="G1207" s="1" t="s">
        <v>1943</v>
      </c>
      <c r="H1207" s="1" t="str">
        <f>IFERROR(__xludf.DUMMYFUNCTION("split(G1207,"" "")"),"Steven")</f>
        <v>Steven</v>
      </c>
      <c r="I1207" s="1" t="str">
        <f>IFERROR(__xludf.DUMMYFUNCTION("""COMPUTED_VALUE"""),"Ward")</f>
        <v>Ward</v>
      </c>
      <c r="J1207" s="1" t="s">
        <v>34</v>
      </c>
      <c r="K1207" s="1" t="s">
        <v>174</v>
      </c>
      <c r="L1207" s="1" t="str">
        <f t="shared" si="2"/>
        <v>New York City</v>
      </c>
      <c r="M1207" s="1" t="s">
        <v>175</v>
      </c>
      <c r="N1207" s="1" t="str">
        <f t="shared" si="3"/>
        <v>New York</v>
      </c>
      <c r="O1207" s="1">
        <v>10009.0</v>
      </c>
      <c r="P1207" s="1" t="s">
        <v>100</v>
      </c>
      <c r="Q1207" s="1" t="s">
        <v>38</v>
      </c>
      <c r="R1207" s="3">
        <v>11.21</v>
      </c>
      <c r="S1207" s="1">
        <v>1.0</v>
      </c>
      <c r="T1207" s="4">
        <v>10.64</v>
      </c>
    </row>
    <row r="1208">
      <c r="A1208" s="1" t="s">
        <v>1940</v>
      </c>
      <c r="B1208" s="2">
        <v>42930.0</v>
      </c>
      <c r="C1208" s="2" t="str">
        <f t="shared" si="1"/>
        <v>Jul</v>
      </c>
      <c r="D1208" s="1" t="s">
        <v>1941</v>
      </c>
      <c r="E1208" s="1" t="s">
        <v>20</v>
      </c>
      <c r="F1208" s="1" t="s">
        <v>1942</v>
      </c>
      <c r="G1208" s="1" t="s">
        <v>1943</v>
      </c>
      <c r="H1208" s="1" t="str">
        <f>IFERROR(__xludf.DUMMYFUNCTION("split(G1208,"" "")"),"Steven")</f>
        <v>Steven</v>
      </c>
      <c r="I1208" s="1" t="str">
        <f>IFERROR(__xludf.DUMMYFUNCTION("""COMPUTED_VALUE"""),"Ward")</f>
        <v>Ward</v>
      </c>
      <c r="J1208" s="1" t="s">
        <v>34</v>
      </c>
      <c r="K1208" s="1" t="s">
        <v>174</v>
      </c>
      <c r="L1208" s="1" t="str">
        <f t="shared" si="2"/>
        <v>New York City</v>
      </c>
      <c r="M1208" s="1" t="s">
        <v>175</v>
      </c>
      <c r="N1208" s="1" t="str">
        <f t="shared" si="3"/>
        <v>New York</v>
      </c>
      <c r="O1208" s="1">
        <v>10009.0</v>
      </c>
      <c r="P1208" s="1" t="s">
        <v>100</v>
      </c>
      <c r="Q1208" s="1" t="s">
        <v>38</v>
      </c>
      <c r="R1208" s="3">
        <v>9.144</v>
      </c>
      <c r="S1208" s="1">
        <v>1.0</v>
      </c>
      <c r="T1208" s="4">
        <v>8.57</v>
      </c>
    </row>
    <row r="1209">
      <c r="A1209" s="1" t="s">
        <v>1940</v>
      </c>
      <c r="B1209" s="2">
        <v>42930.0</v>
      </c>
      <c r="C1209" s="2" t="str">
        <f t="shared" si="1"/>
        <v>Jul</v>
      </c>
      <c r="D1209" s="1" t="s">
        <v>1941</v>
      </c>
      <c r="E1209" s="1" t="s">
        <v>20</v>
      </c>
      <c r="F1209" s="1" t="s">
        <v>1942</v>
      </c>
      <c r="G1209" s="1" t="s">
        <v>1943</v>
      </c>
      <c r="H1209" s="1" t="str">
        <f>IFERROR(__xludf.DUMMYFUNCTION("split(G1209,"" "")"),"Steven")</f>
        <v>Steven</v>
      </c>
      <c r="I1209" s="1" t="str">
        <f>IFERROR(__xludf.DUMMYFUNCTION("""COMPUTED_VALUE"""),"Ward")</f>
        <v>Ward</v>
      </c>
      <c r="J1209" s="1" t="s">
        <v>34</v>
      </c>
      <c r="K1209" s="1" t="s">
        <v>174</v>
      </c>
      <c r="L1209" s="1" t="str">
        <f t="shared" si="2"/>
        <v>New York City</v>
      </c>
      <c r="M1209" s="1" t="s">
        <v>175</v>
      </c>
      <c r="N1209" s="1" t="str">
        <f t="shared" si="3"/>
        <v>New York</v>
      </c>
      <c r="O1209" s="1">
        <v>10009.0</v>
      </c>
      <c r="P1209" s="1" t="s">
        <v>100</v>
      </c>
      <c r="Q1209" s="1" t="s">
        <v>38</v>
      </c>
      <c r="R1209" s="3">
        <v>14.07</v>
      </c>
      <c r="S1209" s="1">
        <v>1.0</v>
      </c>
      <c r="T1209" s="4">
        <v>13.85</v>
      </c>
    </row>
    <row r="1210">
      <c r="A1210" s="1" t="s">
        <v>1940</v>
      </c>
      <c r="B1210" s="2">
        <v>42930.0</v>
      </c>
      <c r="C1210" s="2" t="str">
        <f t="shared" si="1"/>
        <v>Jul</v>
      </c>
      <c r="D1210" s="1" t="s">
        <v>1941</v>
      </c>
      <c r="E1210" s="1" t="s">
        <v>20</v>
      </c>
      <c r="F1210" s="1" t="s">
        <v>1942</v>
      </c>
      <c r="G1210" s="1" t="s">
        <v>1943</v>
      </c>
      <c r="H1210" s="1" t="str">
        <f>IFERROR(__xludf.DUMMYFUNCTION("split(G1210,"" "")"),"Steven")</f>
        <v>Steven</v>
      </c>
      <c r="I1210" s="1" t="str">
        <f>IFERROR(__xludf.DUMMYFUNCTION("""COMPUTED_VALUE"""),"Ward")</f>
        <v>Ward</v>
      </c>
      <c r="J1210" s="1" t="s">
        <v>34</v>
      </c>
      <c r="K1210" s="1" t="s">
        <v>174</v>
      </c>
      <c r="L1210" s="1" t="str">
        <f t="shared" si="2"/>
        <v>New York City</v>
      </c>
      <c r="M1210" s="1" t="s">
        <v>175</v>
      </c>
      <c r="N1210" s="1" t="str">
        <f t="shared" si="3"/>
        <v>New York</v>
      </c>
      <c r="O1210" s="1">
        <v>10009.0</v>
      </c>
      <c r="P1210" s="1" t="s">
        <v>100</v>
      </c>
      <c r="Q1210" s="1" t="s">
        <v>38</v>
      </c>
      <c r="R1210" s="3">
        <v>41.86</v>
      </c>
      <c r="S1210" s="1">
        <v>1.0</v>
      </c>
      <c r="T1210" s="4">
        <v>41.19</v>
      </c>
    </row>
    <row r="1211">
      <c r="A1211" s="1" t="s">
        <v>1940</v>
      </c>
      <c r="B1211" s="2">
        <v>42930.0</v>
      </c>
      <c r="C1211" s="2" t="str">
        <f t="shared" si="1"/>
        <v>Jul</v>
      </c>
      <c r="D1211" s="1" t="s">
        <v>1941</v>
      </c>
      <c r="E1211" s="1" t="s">
        <v>20</v>
      </c>
      <c r="F1211" s="1" t="s">
        <v>1942</v>
      </c>
      <c r="G1211" s="1" t="s">
        <v>1943</v>
      </c>
      <c r="H1211" s="1" t="str">
        <f>IFERROR(__xludf.DUMMYFUNCTION("split(G1211,"" "")"),"Steven")</f>
        <v>Steven</v>
      </c>
      <c r="I1211" s="1" t="str">
        <f>IFERROR(__xludf.DUMMYFUNCTION("""COMPUTED_VALUE"""),"Ward")</f>
        <v>Ward</v>
      </c>
      <c r="J1211" s="1" t="s">
        <v>34</v>
      </c>
      <c r="K1211" s="1" t="s">
        <v>174</v>
      </c>
      <c r="L1211" s="1" t="str">
        <f t="shared" si="2"/>
        <v>New York City</v>
      </c>
      <c r="M1211" s="1" t="s">
        <v>175</v>
      </c>
      <c r="N1211" s="1" t="str">
        <f t="shared" si="3"/>
        <v>New York</v>
      </c>
      <c r="O1211" s="1">
        <v>10009.0</v>
      </c>
      <c r="P1211" s="1" t="s">
        <v>100</v>
      </c>
      <c r="Q1211" s="1" t="s">
        <v>38</v>
      </c>
      <c r="R1211" s="3">
        <v>8.544</v>
      </c>
      <c r="S1211" s="1">
        <v>1.0</v>
      </c>
      <c r="T1211" s="4">
        <v>8.39</v>
      </c>
    </row>
    <row r="1212">
      <c r="A1212" s="1" t="s">
        <v>1940</v>
      </c>
      <c r="B1212" s="2">
        <v>42930.0</v>
      </c>
      <c r="C1212" s="2" t="str">
        <f t="shared" si="1"/>
        <v>Jul</v>
      </c>
      <c r="D1212" s="1" t="s">
        <v>1941</v>
      </c>
      <c r="E1212" s="1" t="s">
        <v>20</v>
      </c>
      <c r="F1212" s="1" t="s">
        <v>1942</v>
      </c>
      <c r="G1212" s="1" t="s">
        <v>1943</v>
      </c>
      <c r="H1212" s="1" t="str">
        <f>IFERROR(__xludf.DUMMYFUNCTION("split(G1212,"" "")"),"Steven")</f>
        <v>Steven</v>
      </c>
      <c r="I1212" s="1" t="str">
        <f>IFERROR(__xludf.DUMMYFUNCTION("""COMPUTED_VALUE"""),"Ward")</f>
        <v>Ward</v>
      </c>
      <c r="J1212" s="1" t="s">
        <v>34</v>
      </c>
      <c r="K1212" s="1" t="s">
        <v>174</v>
      </c>
      <c r="L1212" s="1" t="str">
        <f t="shared" si="2"/>
        <v>New York City</v>
      </c>
      <c r="M1212" s="1" t="s">
        <v>175</v>
      </c>
      <c r="N1212" s="1" t="str">
        <f t="shared" si="3"/>
        <v>New York</v>
      </c>
      <c r="O1212" s="1">
        <v>10009.0</v>
      </c>
      <c r="P1212" s="1" t="s">
        <v>100</v>
      </c>
      <c r="Q1212" s="1" t="s">
        <v>27</v>
      </c>
      <c r="R1212" s="3">
        <v>579.136</v>
      </c>
      <c r="S1212" s="1">
        <v>1.0</v>
      </c>
      <c r="T1212" s="4">
        <v>578.55</v>
      </c>
    </row>
    <row r="1213">
      <c r="A1213" s="1" t="s">
        <v>1944</v>
      </c>
      <c r="B1213" s="2">
        <v>43352.0</v>
      </c>
      <c r="C1213" s="2" t="str">
        <f t="shared" si="1"/>
        <v>Sep</v>
      </c>
      <c r="D1213" s="1" t="s">
        <v>1945</v>
      </c>
      <c r="E1213" s="1" t="s">
        <v>41</v>
      </c>
      <c r="F1213" s="1" t="s">
        <v>1946</v>
      </c>
      <c r="G1213" s="1" t="s">
        <v>1947</v>
      </c>
      <c r="H1213" s="1" t="str">
        <f>IFERROR(__xludf.DUMMYFUNCTION("split(G1213,"" "")"),"Stefania")</f>
        <v>Stefania</v>
      </c>
      <c r="I1213" s="1" t="str">
        <f>IFERROR(__xludf.DUMMYFUNCTION("""COMPUTED_VALUE"""),"Perrino")</f>
        <v>Perrino</v>
      </c>
      <c r="J1213" s="1" t="s">
        <v>34</v>
      </c>
      <c r="K1213" s="1" t="s">
        <v>98</v>
      </c>
      <c r="L1213" s="1" t="str">
        <f t="shared" si="2"/>
        <v>Philadelphia</v>
      </c>
      <c r="M1213" s="1" t="s">
        <v>99</v>
      </c>
      <c r="N1213" s="1" t="str">
        <f t="shared" si="3"/>
        <v>Pennsylvania</v>
      </c>
      <c r="O1213" s="1">
        <v>19134.0</v>
      </c>
      <c r="P1213" s="1" t="s">
        <v>100</v>
      </c>
      <c r="Q1213" s="1" t="s">
        <v>27</v>
      </c>
      <c r="R1213" s="3">
        <v>141.372</v>
      </c>
      <c r="S1213" s="1">
        <v>1.0</v>
      </c>
      <c r="T1213" s="4">
        <v>141.09</v>
      </c>
    </row>
    <row r="1214">
      <c r="A1214" s="1" t="s">
        <v>1944</v>
      </c>
      <c r="B1214" s="2">
        <v>43352.0</v>
      </c>
      <c r="C1214" s="2" t="str">
        <f t="shared" si="1"/>
        <v>Sep</v>
      </c>
      <c r="D1214" s="1" t="s">
        <v>1945</v>
      </c>
      <c r="E1214" s="1" t="s">
        <v>41</v>
      </c>
      <c r="F1214" s="1" t="s">
        <v>1946</v>
      </c>
      <c r="G1214" s="1" t="s">
        <v>1947</v>
      </c>
      <c r="H1214" s="1" t="str">
        <f>IFERROR(__xludf.DUMMYFUNCTION("split(G1214,"" "")"),"Stefania")</f>
        <v>Stefania</v>
      </c>
      <c r="I1214" s="1" t="str">
        <f>IFERROR(__xludf.DUMMYFUNCTION("""COMPUTED_VALUE"""),"Perrino")</f>
        <v>Perrino</v>
      </c>
      <c r="J1214" s="1" t="s">
        <v>34</v>
      </c>
      <c r="K1214" s="1" t="s">
        <v>98</v>
      </c>
      <c r="L1214" s="1" t="str">
        <f t="shared" si="2"/>
        <v>Philadelphia</v>
      </c>
      <c r="M1214" s="1" t="s">
        <v>99</v>
      </c>
      <c r="N1214" s="1" t="str">
        <f t="shared" si="3"/>
        <v>Pennsylvania</v>
      </c>
      <c r="O1214" s="1">
        <v>19134.0</v>
      </c>
      <c r="P1214" s="1" t="s">
        <v>100</v>
      </c>
      <c r="Q1214" s="1" t="s">
        <v>38</v>
      </c>
      <c r="R1214" s="3">
        <v>3.036</v>
      </c>
      <c r="S1214" s="1">
        <v>1.0</v>
      </c>
      <c r="T1214" s="4">
        <v>2.63</v>
      </c>
    </row>
    <row r="1215">
      <c r="A1215" s="1" t="s">
        <v>1944</v>
      </c>
      <c r="B1215" s="2">
        <v>43352.0</v>
      </c>
      <c r="C1215" s="2" t="str">
        <f t="shared" si="1"/>
        <v>Sep</v>
      </c>
      <c r="D1215" s="1" t="s">
        <v>1945</v>
      </c>
      <c r="E1215" s="1" t="s">
        <v>41</v>
      </c>
      <c r="F1215" s="1" t="s">
        <v>1946</v>
      </c>
      <c r="G1215" s="1" t="s">
        <v>1947</v>
      </c>
      <c r="H1215" s="1" t="str">
        <f>IFERROR(__xludf.DUMMYFUNCTION("split(G1215,"" "")"),"Stefania")</f>
        <v>Stefania</v>
      </c>
      <c r="I1215" s="1" t="str">
        <f>IFERROR(__xludf.DUMMYFUNCTION("""COMPUTED_VALUE"""),"Perrino")</f>
        <v>Perrino</v>
      </c>
      <c r="J1215" s="1" t="s">
        <v>34</v>
      </c>
      <c r="K1215" s="1" t="s">
        <v>98</v>
      </c>
      <c r="L1215" s="1" t="str">
        <f t="shared" si="2"/>
        <v>Philadelphia</v>
      </c>
      <c r="M1215" s="1" t="s">
        <v>99</v>
      </c>
      <c r="N1215" s="1" t="str">
        <f t="shared" si="3"/>
        <v>Pennsylvania</v>
      </c>
      <c r="O1215" s="1">
        <v>19134.0</v>
      </c>
      <c r="P1215" s="1" t="s">
        <v>100</v>
      </c>
      <c r="Q1215" s="1" t="s">
        <v>38</v>
      </c>
      <c r="R1215" s="3">
        <v>4.503</v>
      </c>
      <c r="S1215" s="1">
        <v>1.0</v>
      </c>
      <c r="T1215" s="4">
        <v>4.08</v>
      </c>
    </row>
    <row r="1216">
      <c r="A1216" s="1" t="s">
        <v>1944</v>
      </c>
      <c r="B1216" s="2">
        <v>43352.0</v>
      </c>
      <c r="C1216" s="2" t="str">
        <f t="shared" si="1"/>
        <v>Sep</v>
      </c>
      <c r="D1216" s="1" t="s">
        <v>1945</v>
      </c>
      <c r="E1216" s="1" t="s">
        <v>41</v>
      </c>
      <c r="F1216" s="1" t="s">
        <v>1946</v>
      </c>
      <c r="G1216" s="1" t="s">
        <v>1947</v>
      </c>
      <c r="H1216" s="1" t="str">
        <f>IFERROR(__xludf.DUMMYFUNCTION("split(G1216,"" "")"),"Stefania")</f>
        <v>Stefania</v>
      </c>
      <c r="I1216" s="1" t="str">
        <f>IFERROR(__xludf.DUMMYFUNCTION("""COMPUTED_VALUE"""),"Perrino")</f>
        <v>Perrino</v>
      </c>
      <c r="J1216" s="1" t="s">
        <v>34</v>
      </c>
      <c r="K1216" s="1" t="s">
        <v>98</v>
      </c>
      <c r="L1216" s="1" t="str">
        <f t="shared" si="2"/>
        <v>Philadelphia</v>
      </c>
      <c r="M1216" s="1" t="s">
        <v>99</v>
      </c>
      <c r="N1216" s="1" t="str">
        <f t="shared" si="3"/>
        <v>Pennsylvania</v>
      </c>
      <c r="O1216" s="1">
        <v>19134.0</v>
      </c>
      <c r="P1216" s="1" t="s">
        <v>100</v>
      </c>
      <c r="Q1216" s="1" t="s">
        <v>38</v>
      </c>
      <c r="R1216" s="3">
        <v>4.672</v>
      </c>
      <c r="S1216" s="1">
        <v>1.0</v>
      </c>
      <c r="T1216" s="4">
        <v>4.15</v>
      </c>
    </row>
    <row r="1217">
      <c r="A1217" s="1" t="s">
        <v>1944</v>
      </c>
      <c r="B1217" s="2">
        <v>43352.0</v>
      </c>
      <c r="C1217" s="2" t="str">
        <f t="shared" si="1"/>
        <v>Sep</v>
      </c>
      <c r="D1217" s="1" t="s">
        <v>1945</v>
      </c>
      <c r="E1217" s="1" t="s">
        <v>41</v>
      </c>
      <c r="F1217" s="1" t="s">
        <v>1946</v>
      </c>
      <c r="G1217" s="1" t="s">
        <v>1947</v>
      </c>
      <c r="H1217" s="1" t="str">
        <f>IFERROR(__xludf.DUMMYFUNCTION("split(G1217,"" "")"),"Stefania")</f>
        <v>Stefania</v>
      </c>
      <c r="I1217" s="1" t="str">
        <f>IFERROR(__xludf.DUMMYFUNCTION("""COMPUTED_VALUE"""),"Perrino")</f>
        <v>Perrino</v>
      </c>
      <c r="J1217" s="1" t="s">
        <v>34</v>
      </c>
      <c r="K1217" s="1" t="s">
        <v>98</v>
      </c>
      <c r="L1217" s="1" t="str">
        <f t="shared" si="2"/>
        <v>Philadelphia</v>
      </c>
      <c r="M1217" s="1" t="s">
        <v>99</v>
      </c>
      <c r="N1217" s="1" t="str">
        <f t="shared" si="3"/>
        <v>Pennsylvania</v>
      </c>
      <c r="O1217" s="1">
        <v>19134.0</v>
      </c>
      <c r="P1217" s="1" t="s">
        <v>100</v>
      </c>
      <c r="Q1217" s="1" t="s">
        <v>51</v>
      </c>
      <c r="R1217" s="3">
        <v>95.88</v>
      </c>
      <c r="S1217" s="1">
        <v>1.0</v>
      </c>
      <c r="T1217" s="4">
        <v>95.3</v>
      </c>
    </row>
    <row r="1218">
      <c r="A1218" s="1" t="s">
        <v>1944</v>
      </c>
      <c r="B1218" s="2">
        <v>43352.0</v>
      </c>
      <c r="C1218" s="2" t="str">
        <f t="shared" si="1"/>
        <v>Sep</v>
      </c>
      <c r="D1218" s="1" t="s">
        <v>1945</v>
      </c>
      <c r="E1218" s="1" t="s">
        <v>41</v>
      </c>
      <c r="F1218" s="1" t="s">
        <v>1946</v>
      </c>
      <c r="G1218" s="1" t="s">
        <v>1947</v>
      </c>
      <c r="H1218" s="1" t="str">
        <f>IFERROR(__xludf.DUMMYFUNCTION("split(G1218,"" "")"),"Stefania")</f>
        <v>Stefania</v>
      </c>
      <c r="I1218" s="1" t="str">
        <f>IFERROR(__xludf.DUMMYFUNCTION("""COMPUTED_VALUE"""),"Perrino")</f>
        <v>Perrino</v>
      </c>
      <c r="J1218" s="1" t="s">
        <v>34</v>
      </c>
      <c r="K1218" s="1" t="s">
        <v>98</v>
      </c>
      <c r="L1218" s="1" t="str">
        <f t="shared" si="2"/>
        <v>Philadelphia</v>
      </c>
      <c r="M1218" s="1" t="s">
        <v>99</v>
      </c>
      <c r="N1218" s="1" t="str">
        <f t="shared" si="3"/>
        <v>Pennsylvania</v>
      </c>
      <c r="O1218" s="1">
        <v>19134.0</v>
      </c>
      <c r="P1218" s="1" t="s">
        <v>100</v>
      </c>
      <c r="Q1218" s="1" t="s">
        <v>27</v>
      </c>
      <c r="R1218" s="3">
        <v>17.024</v>
      </c>
      <c r="S1218" s="1">
        <v>1.0</v>
      </c>
      <c r="T1218" s="4">
        <v>16.98</v>
      </c>
    </row>
    <row r="1219">
      <c r="A1219" s="1" t="s">
        <v>1944</v>
      </c>
      <c r="B1219" s="2">
        <v>43352.0</v>
      </c>
      <c r="C1219" s="2" t="str">
        <f t="shared" si="1"/>
        <v>Sep</v>
      </c>
      <c r="D1219" s="1" t="s">
        <v>1945</v>
      </c>
      <c r="E1219" s="1" t="s">
        <v>41</v>
      </c>
      <c r="F1219" s="1" t="s">
        <v>1946</v>
      </c>
      <c r="G1219" s="1" t="s">
        <v>1947</v>
      </c>
      <c r="H1219" s="1" t="str">
        <f>IFERROR(__xludf.DUMMYFUNCTION("split(G1219,"" "")"),"Stefania")</f>
        <v>Stefania</v>
      </c>
      <c r="I1219" s="1" t="str">
        <f>IFERROR(__xludf.DUMMYFUNCTION("""COMPUTED_VALUE"""),"Perrino")</f>
        <v>Perrino</v>
      </c>
      <c r="J1219" s="1" t="s">
        <v>34</v>
      </c>
      <c r="K1219" s="1" t="s">
        <v>98</v>
      </c>
      <c r="L1219" s="1" t="str">
        <f t="shared" si="2"/>
        <v>Philadelphia</v>
      </c>
      <c r="M1219" s="1" t="s">
        <v>99</v>
      </c>
      <c r="N1219" s="1" t="str">
        <f t="shared" si="3"/>
        <v>Pennsylvania</v>
      </c>
      <c r="O1219" s="1">
        <v>19134.0</v>
      </c>
      <c r="P1219" s="1" t="s">
        <v>100</v>
      </c>
      <c r="Q1219" s="1" t="s">
        <v>51</v>
      </c>
      <c r="R1219" s="3">
        <v>258.696</v>
      </c>
      <c r="S1219" s="1">
        <v>1.0</v>
      </c>
      <c r="T1219" s="4">
        <v>258.27</v>
      </c>
    </row>
    <row r="1220">
      <c r="A1220" s="1" t="s">
        <v>1944</v>
      </c>
      <c r="B1220" s="2">
        <v>43352.0</v>
      </c>
      <c r="C1220" s="2" t="str">
        <f t="shared" si="1"/>
        <v>Sep</v>
      </c>
      <c r="D1220" s="1" t="s">
        <v>1945</v>
      </c>
      <c r="E1220" s="1" t="s">
        <v>41</v>
      </c>
      <c r="F1220" s="1" t="s">
        <v>1946</v>
      </c>
      <c r="G1220" s="1" t="s">
        <v>1947</v>
      </c>
      <c r="H1220" s="1" t="str">
        <f>IFERROR(__xludf.DUMMYFUNCTION("split(G1220,"" "")"),"Stefania")</f>
        <v>Stefania</v>
      </c>
      <c r="I1220" s="1" t="str">
        <f>IFERROR(__xludf.DUMMYFUNCTION("""COMPUTED_VALUE"""),"Perrino")</f>
        <v>Perrino</v>
      </c>
      <c r="J1220" s="1" t="s">
        <v>34</v>
      </c>
      <c r="K1220" s="1" t="s">
        <v>98</v>
      </c>
      <c r="L1220" s="1" t="str">
        <f t="shared" si="2"/>
        <v>Philadelphia</v>
      </c>
      <c r="M1220" s="1" t="s">
        <v>99</v>
      </c>
      <c r="N1220" s="1" t="str">
        <f t="shared" si="3"/>
        <v>Pennsylvania</v>
      </c>
      <c r="O1220" s="1">
        <v>19134.0</v>
      </c>
      <c r="P1220" s="1" t="s">
        <v>100</v>
      </c>
      <c r="Q1220" s="1" t="s">
        <v>51</v>
      </c>
      <c r="R1220" s="3">
        <v>1931.958</v>
      </c>
      <c r="S1220" s="1">
        <v>1.0</v>
      </c>
      <c r="T1220" s="4">
        <v>1931.76</v>
      </c>
    </row>
    <row r="1221">
      <c r="A1221" s="1" t="s">
        <v>1948</v>
      </c>
      <c r="B1221" s="2">
        <v>42345.0</v>
      </c>
      <c r="C1221" s="2" t="str">
        <f t="shared" si="1"/>
        <v>Dec</v>
      </c>
      <c r="D1221" s="1" t="s">
        <v>1949</v>
      </c>
      <c r="E1221" s="1" t="s">
        <v>41</v>
      </c>
      <c r="F1221" s="1" t="s">
        <v>1950</v>
      </c>
      <c r="G1221" s="1" t="s">
        <v>1951</v>
      </c>
      <c r="H1221" s="1" t="str">
        <f>IFERROR(__xludf.DUMMYFUNCTION("split(G1221,"" "")"),"Ben")</f>
        <v>Ben</v>
      </c>
      <c r="I1221" s="1" t="str">
        <f>IFERROR(__xludf.DUMMYFUNCTION("""COMPUTED_VALUE"""),"Ferrer")</f>
        <v>Ferrer</v>
      </c>
      <c r="J1221" s="1" t="s">
        <v>68</v>
      </c>
      <c r="K1221" s="1" t="s">
        <v>35</v>
      </c>
      <c r="L1221" s="1" t="str">
        <f t="shared" si="2"/>
        <v>Los Angeles</v>
      </c>
      <c r="M1221" s="1" t="s">
        <v>52</v>
      </c>
      <c r="N1221" s="1" t="str">
        <f t="shared" si="3"/>
        <v>California</v>
      </c>
      <c r="O1221" s="1">
        <v>90036.0</v>
      </c>
      <c r="P1221" s="1" t="s">
        <v>37</v>
      </c>
      <c r="Q1221" s="1" t="s">
        <v>38</v>
      </c>
      <c r="R1221" s="3">
        <v>249.75</v>
      </c>
      <c r="S1221" s="1">
        <v>9.0</v>
      </c>
      <c r="T1221" s="4">
        <v>249.31</v>
      </c>
    </row>
    <row r="1222">
      <c r="A1222" s="1" t="s">
        <v>1948</v>
      </c>
      <c r="B1222" s="2">
        <v>42345.0</v>
      </c>
      <c r="C1222" s="2" t="str">
        <f t="shared" si="1"/>
        <v>Dec</v>
      </c>
      <c r="D1222" s="1" t="s">
        <v>1949</v>
      </c>
      <c r="E1222" s="1" t="s">
        <v>41</v>
      </c>
      <c r="F1222" s="1" t="s">
        <v>1950</v>
      </c>
      <c r="G1222" s="1" t="s">
        <v>1951</v>
      </c>
      <c r="H1222" s="1" t="str">
        <f>IFERROR(__xludf.DUMMYFUNCTION("split(G1222,"" "")"),"Ben")</f>
        <v>Ben</v>
      </c>
      <c r="I1222" s="1" t="str">
        <f>IFERROR(__xludf.DUMMYFUNCTION("""COMPUTED_VALUE"""),"Ferrer")</f>
        <v>Ferrer</v>
      </c>
      <c r="J1222" s="1" t="s">
        <v>68</v>
      </c>
      <c r="K1222" s="1" t="s">
        <v>35</v>
      </c>
      <c r="L1222" s="1" t="str">
        <f t="shared" si="2"/>
        <v>Los Angeles</v>
      </c>
      <c r="M1222" s="1" t="s">
        <v>52</v>
      </c>
      <c r="N1222" s="1" t="str">
        <f t="shared" si="3"/>
        <v>California</v>
      </c>
      <c r="O1222" s="1">
        <v>90036.0</v>
      </c>
      <c r="P1222" s="1" t="s">
        <v>37</v>
      </c>
      <c r="Q1222" s="1" t="s">
        <v>51</v>
      </c>
      <c r="R1222" s="3">
        <v>255.936</v>
      </c>
      <c r="S1222" s="1">
        <v>9.0</v>
      </c>
      <c r="T1222" s="4">
        <v>255.44</v>
      </c>
    </row>
    <row r="1223">
      <c r="A1223" s="1" t="s">
        <v>1952</v>
      </c>
      <c r="B1223" s="2">
        <v>42837.0</v>
      </c>
      <c r="C1223" s="2" t="str">
        <f t="shared" si="1"/>
        <v>Apr</v>
      </c>
      <c r="D1223" s="6">
        <v>42867.0</v>
      </c>
      <c r="E1223" s="1" t="s">
        <v>121</v>
      </c>
      <c r="F1223" s="1" t="s">
        <v>402</v>
      </c>
      <c r="G1223" s="1" t="s">
        <v>403</v>
      </c>
      <c r="H1223" s="1" t="str">
        <f>IFERROR(__xludf.DUMMYFUNCTION("split(G1223,"" "")"),"Becky")</f>
        <v>Becky</v>
      </c>
      <c r="I1223" s="1" t="str">
        <f>IFERROR(__xludf.DUMMYFUNCTION("""COMPUTED_VALUE"""),"Martin")</f>
        <v>Martin</v>
      </c>
      <c r="J1223" s="1" t="s">
        <v>23</v>
      </c>
      <c r="K1223" s="1" t="s">
        <v>174</v>
      </c>
      <c r="L1223" s="1" t="str">
        <f t="shared" si="2"/>
        <v>New York City</v>
      </c>
      <c r="M1223" s="1" t="s">
        <v>175</v>
      </c>
      <c r="N1223" s="1" t="str">
        <f t="shared" si="3"/>
        <v>New York</v>
      </c>
      <c r="O1223" s="1">
        <v>10024.0</v>
      </c>
      <c r="P1223" s="1" t="s">
        <v>100</v>
      </c>
      <c r="Q1223" s="1" t="s">
        <v>27</v>
      </c>
      <c r="R1223" s="3">
        <v>113.79</v>
      </c>
      <c r="S1223" s="1">
        <v>1.0</v>
      </c>
      <c r="T1223" s="4">
        <v>113.62</v>
      </c>
    </row>
    <row r="1224">
      <c r="A1224" s="1" t="s">
        <v>1952</v>
      </c>
      <c r="B1224" s="2">
        <v>42837.0</v>
      </c>
      <c r="C1224" s="2" t="str">
        <f t="shared" si="1"/>
        <v>Apr</v>
      </c>
      <c r="D1224" s="6">
        <v>42867.0</v>
      </c>
      <c r="E1224" s="1" t="s">
        <v>121</v>
      </c>
      <c r="F1224" s="1" t="s">
        <v>402</v>
      </c>
      <c r="G1224" s="1" t="s">
        <v>403</v>
      </c>
      <c r="H1224" s="1" t="str">
        <f>IFERROR(__xludf.DUMMYFUNCTION("split(G1224,"" "")"),"Becky")</f>
        <v>Becky</v>
      </c>
      <c r="I1224" s="1" t="str">
        <f>IFERROR(__xludf.DUMMYFUNCTION("""COMPUTED_VALUE"""),"Martin")</f>
        <v>Martin</v>
      </c>
      <c r="J1224" s="1" t="s">
        <v>23</v>
      </c>
      <c r="K1224" s="1" t="s">
        <v>174</v>
      </c>
      <c r="L1224" s="1" t="str">
        <f t="shared" si="2"/>
        <v>New York City</v>
      </c>
      <c r="M1224" s="1" t="s">
        <v>175</v>
      </c>
      <c r="N1224" s="1" t="str">
        <f t="shared" si="3"/>
        <v>New York</v>
      </c>
      <c r="O1224" s="1">
        <v>10024.0</v>
      </c>
      <c r="P1224" s="1" t="s">
        <v>100</v>
      </c>
      <c r="Q1224" s="1" t="s">
        <v>51</v>
      </c>
      <c r="R1224" s="3">
        <v>78.15</v>
      </c>
      <c r="S1224" s="1">
        <v>1.0</v>
      </c>
      <c r="T1224" s="4">
        <v>77.92</v>
      </c>
    </row>
    <row r="1225">
      <c r="A1225" s="1" t="s">
        <v>1952</v>
      </c>
      <c r="B1225" s="2">
        <v>42837.0</v>
      </c>
      <c r="C1225" s="2" t="str">
        <f t="shared" si="1"/>
        <v>Apr</v>
      </c>
      <c r="D1225" s="6">
        <v>42867.0</v>
      </c>
      <c r="E1225" s="1" t="s">
        <v>121</v>
      </c>
      <c r="F1225" s="1" t="s">
        <v>402</v>
      </c>
      <c r="G1225" s="1" t="s">
        <v>403</v>
      </c>
      <c r="H1225" s="1" t="str">
        <f>IFERROR(__xludf.DUMMYFUNCTION("split(G1225,"" "")"),"Becky")</f>
        <v>Becky</v>
      </c>
      <c r="I1225" s="1" t="str">
        <f>IFERROR(__xludf.DUMMYFUNCTION("""COMPUTED_VALUE"""),"Martin")</f>
        <v>Martin</v>
      </c>
      <c r="J1225" s="1" t="s">
        <v>23</v>
      </c>
      <c r="K1225" s="1" t="s">
        <v>174</v>
      </c>
      <c r="L1225" s="1" t="str">
        <f t="shared" si="2"/>
        <v>New York City</v>
      </c>
      <c r="M1225" s="1" t="s">
        <v>175</v>
      </c>
      <c r="N1225" s="1" t="str">
        <f t="shared" si="3"/>
        <v>New York</v>
      </c>
      <c r="O1225" s="1">
        <v>10024.0</v>
      </c>
      <c r="P1225" s="1" t="s">
        <v>100</v>
      </c>
      <c r="Q1225" s="1" t="s">
        <v>38</v>
      </c>
      <c r="R1225" s="3">
        <v>1.728</v>
      </c>
      <c r="S1225" s="1">
        <v>1.0</v>
      </c>
      <c r="T1225" s="4">
        <v>1.33</v>
      </c>
    </row>
    <row r="1226">
      <c r="A1226" s="1" t="s">
        <v>1952</v>
      </c>
      <c r="B1226" s="2">
        <v>42837.0</v>
      </c>
      <c r="C1226" s="2" t="str">
        <f t="shared" si="1"/>
        <v>Apr</v>
      </c>
      <c r="D1226" s="6">
        <v>42867.0</v>
      </c>
      <c r="E1226" s="1" t="s">
        <v>121</v>
      </c>
      <c r="F1226" s="1" t="s">
        <v>402</v>
      </c>
      <c r="G1226" s="1" t="s">
        <v>403</v>
      </c>
      <c r="H1226" s="1" t="str">
        <f>IFERROR(__xludf.DUMMYFUNCTION("split(G1226,"" "")"),"Becky")</f>
        <v>Becky</v>
      </c>
      <c r="I1226" s="1" t="str">
        <f>IFERROR(__xludf.DUMMYFUNCTION("""COMPUTED_VALUE"""),"Martin")</f>
        <v>Martin</v>
      </c>
      <c r="J1226" s="1" t="s">
        <v>23</v>
      </c>
      <c r="K1226" s="1" t="s">
        <v>174</v>
      </c>
      <c r="L1226" s="1" t="str">
        <f t="shared" si="2"/>
        <v>New York City</v>
      </c>
      <c r="M1226" s="1" t="s">
        <v>175</v>
      </c>
      <c r="N1226" s="1" t="str">
        <f t="shared" si="3"/>
        <v>New York</v>
      </c>
      <c r="O1226" s="1">
        <v>10024.0</v>
      </c>
      <c r="P1226" s="1" t="s">
        <v>100</v>
      </c>
      <c r="Q1226" s="1" t="s">
        <v>38</v>
      </c>
      <c r="R1226" s="3">
        <v>40.56</v>
      </c>
      <c r="S1226" s="1">
        <v>1.0</v>
      </c>
      <c r="T1226" s="4">
        <v>40.05</v>
      </c>
    </row>
    <row r="1227">
      <c r="A1227" s="1" t="s">
        <v>1952</v>
      </c>
      <c r="B1227" s="2">
        <v>42837.0</v>
      </c>
      <c r="C1227" s="2" t="str">
        <f t="shared" si="1"/>
        <v>Apr</v>
      </c>
      <c r="D1227" s="6">
        <v>42867.0</v>
      </c>
      <c r="E1227" s="1" t="s">
        <v>121</v>
      </c>
      <c r="F1227" s="1" t="s">
        <v>402</v>
      </c>
      <c r="G1227" s="1" t="s">
        <v>403</v>
      </c>
      <c r="H1227" s="1" t="str">
        <f>IFERROR(__xludf.DUMMYFUNCTION("split(G1227,"" "")"),"Becky")</f>
        <v>Becky</v>
      </c>
      <c r="I1227" s="1" t="str">
        <f>IFERROR(__xludf.DUMMYFUNCTION("""COMPUTED_VALUE"""),"Martin")</f>
        <v>Martin</v>
      </c>
      <c r="J1227" s="1" t="s">
        <v>23</v>
      </c>
      <c r="K1227" s="1" t="s">
        <v>174</v>
      </c>
      <c r="L1227" s="1" t="str">
        <f t="shared" si="2"/>
        <v>New York City</v>
      </c>
      <c r="M1227" s="1" t="s">
        <v>175</v>
      </c>
      <c r="N1227" s="1" t="str">
        <f t="shared" si="3"/>
        <v>New York</v>
      </c>
      <c r="O1227" s="1">
        <v>10024.0</v>
      </c>
      <c r="P1227" s="1" t="s">
        <v>100</v>
      </c>
      <c r="Q1227" s="1" t="s">
        <v>38</v>
      </c>
      <c r="R1227" s="3">
        <v>182.94</v>
      </c>
      <c r="S1227" s="1">
        <v>1.0</v>
      </c>
      <c r="T1227" s="4">
        <v>182.91</v>
      </c>
    </row>
    <row r="1228">
      <c r="A1228" s="1" t="s">
        <v>1952</v>
      </c>
      <c r="B1228" s="2">
        <v>42837.0</v>
      </c>
      <c r="C1228" s="2" t="str">
        <f t="shared" si="1"/>
        <v>Apr</v>
      </c>
      <c r="D1228" s="6">
        <v>42867.0</v>
      </c>
      <c r="E1228" s="1" t="s">
        <v>121</v>
      </c>
      <c r="F1228" s="1" t="s">
        <v>402</v>
      </c>
      <c r="G1228" s="1" t="s">
        <v>403</v>
      </c>
      <c r="H1228" s="1" t="str">
        <f>IFERROR(__xludf.DUMMYFUNCTION("split(G1228,"" "")"),"Becky")</f>
        <v>Becky</v>
      </c>
      <c r="I1228" s="1" t="str">
        <f>IFERROR(__xludf.DUMMYFUNCTION("""COMPUTED_VALUE"""),"Martin")</f>
        <v>Martin</v>
      </c>
      <c r="J1228" s="1" t="s">
        <v>23</v>
      </c>
      <c r="K1228" s="1" t="s">
        <v>174</v>
      </c>
      <c r="L1228" s="1" t="str">
        <f t="shared" si="2"/>
        <v>New York City</v>
      </c>
      <c r="M1228" s="1" t="s">
        <v>175</v>
      </c>
      <c r="N1228" s="1" t="str">
        <f t="shared" si="3"/>
        <v>New York</v>
      </c>
      <c r="O1228" s="1">
        <v>10024.0</v>
      </c>
      <c r="P1228" s="1" t="s">
        <v>100</v>
      </c>
      <c r="Q1228" s="1" t="s">
        <v>38</v>
      </c>
      <c r="R1228" s="3">
        <v>193.86</v>
      </c>
      <c r="S1228" s="1">
        <v>1.0</v>
      </c>
      <c r="T1228" s="4">
        <v>193.73</v>
      </c>
    </row>
    <row r="1229">
      <c r="A1229" s="1" t="s">
        <v>1953</v>
      </c>
      <c r="B1229" s="2">
        <v>43262.0</v>
      </c>
      <c r="C1229" s="2" t="str">
        <f t="shared" si="1"/>
        <v>Jun</v>
      </c>
      <c r="D1229" s="5">
        <v>43415.0</v>
      </c>
      <c r="E1229" s="1" t="s">
        <v>41</v>
      </c>
      <c r="F1229" s="1" t="s">
        <v>1093</v>
      </c>
      <c r="G1229" s="1" t="s">
        <v>1094</v>
      </c>
      <c r="H1229" s="1" t="str">
        <f>IFERROR(__xludf.DUMMYFUNCTION("split(G1229,"" "")"),"Zuschuss")</f>
        <v>Zuschuss</v>
      </c>
      <c r="I1229" s="1" t="str">
        <f>IFERROR(__xludf.DUMMYFUNCTION("""COMPUTED_VALUE"""),"Carroll")</f>
        <v>Carroll</v>
      </c>
      <c r="J1229" s="1" t="s">
        <v>23</v>
      </c>
      <c r="K1229" s="1" t="s">
        <v>35</v>
      </c>
      <c r="L1229" s="1" t="str">
        <f t="shared" si="2"/>
        <v>Los Angeles</v>
      </c>
      <c r="M1229" s="1" t="s">
        <v>52</v>
      </c>
      <c r="N1229" s="1" t="str">
        <f t="shared" si="3"/>
        <v>California</v>
      </c>
      <c r="O1229" s="1">
        <v>90045.0</v>
      </c>
      <c r="P1229" s="1" t="s">
        <v>37</v>
      </c>
      <c r="Q1229" s="1" t="s">
        <v>38</v>
      </c>
      <c r="R1229" s="3">
        <v>15.28</v>
      </c>
      <c r="S1229" s="1">
        <v>9.0</v>
      </c>
      <c r="T1229" s="4">
        <v>14.86</v>
      </c>
    </row>
    <row r="1230">
      <c r="A1230" s="1" t="s">
        <v>1953</v>
      </c>
      <c r="B1230" s="2">
        <v>43262.0</v>
      </c>
      <c r="C1230" s="2" t="str">
        <f t="shared" si="1"/>
        <v>Jun</v>
      </c>
      <c r="D1230" s="5">
        <v>43415.0</v>
      </c>
      <c r="E1230" s="1" t="s">
        <v>41</v>
      </c>
      <c r="F1230" s="1" t="s">
        <v>1093</v>
      </c>
      <c r="G1230" s="1" t="s">
        <v>1094</v>
      </c>
      <c r="H1230" s="1" t="str">
        <f>IFERROR(__xludf.DUMMYFUNCTION("split(G1230,"" "")"),"Zuschuss")</f>
        <v>Zuschuss</v>
      </c>
      <c r="I1230" s="1" t="str">
        <f>IFERROR(__xludf.DUMMYFUNCTION("""COMPUTED_VALUE"""),"Carroll")</f>
        <v>Carroll</v>
      </c>
      <c r="J1230" s="1" t="s">
        <v>23</v>
      </c>
      <c r="K1230" s="1" t="s">
        <v>35</v>
      </c>
      <c r="L1230" s="1" t="str">
        <f t="shared" si="2"/>
        <v>Los Angeles</v>
      </c>
      <c r="M1230" s="1" t="s">
        <v>52</v>
      </c>
      <c r="N1230" s="1" t="str">
        <f t="shared" si="3"/>
        <v>California</v>
      </c>
      <c r="O1230" s="1">
        <v>90045.0</v>
      </c>
      <c r="P1230" s="1" t="s">
        <v>37</v>
      </c>
      <c r="Q1230" s="1" t="s">
        <v>27</v>
      </c>
      <c r="R1230" s="3">
        <v>8.73</v>
      </c>
      <c r="S1230" s="1">
        <v>9.0</v>
      </c>
      <c r="T1230" s="4">
        <v>8.27</v>
      </c>
    </row>
    <row r="1231">
      <c r="A1231" s="1" t="s">
        <v>1953</v>
      </c>
      <c r="B1231" s="2">
        <v>43262.0</v>
      </c>
      <c r="C1231" s="2" t="str">
        <f t="shared" si="1"/>
        <v>Jun</v>
      </c>
      <c r="D1231" s="5">
        <v>43415.0</v>
      </c>
      <c r="E1231" s="1" t="s">
        <v>41</v>
      </c>
      <c r="F1231" s="1" t="s">
        <v>1093</v>
      </c>
      <c r="G1231" s="1" t="s">
        <v>1094</v>
      </c>
      <c r="H1231" s="1" t="str">
        <f>IFERROR(__xludf.DUMMYFUNCTION("split(G1231,"" "")"),"Zuschuss")</f>
        <v>Zuschuss</v>
      </c>
      <c r="I1231" s="1" t="str">
        <f>IFERROR(__xludf.DUMMYFUNCTION("""COMPUTED_VALUE"""),"Carroll")</f>
        <v>Carroll</v>
      </c>
      <c r="J1231" s="1" t="s">
        <v>23</v>
      </c>
      <c r="K1231" s="1" t="s">
        <v>35</v>
      </c>
      <c r="L1231" s="1" t="str">
        <f t="shared" si="2"/>
        <v>Los Angeles</v>
      </c>
      <c r="M1231" s="1" t="s">
        <v>52</v>
      </c>
      <c r="N1231" s="1" t="str">
        <f t="shared" si="3"/>
        <v>California</v>
      </c>
      <c r="O1231" s="1">
        <v>90045.0</v>
      </c>
      <c r="P1231" s="1" t="s">
        <v>37</v>
      </c>
      <c r="Q1231" s="1" t="s">
        <v>38</v>
      </c>
      <c r="R1231" s="3">
        <v>5.68</v>
      </c>
      <c r="S1231" s="1">
        <v>9.0</v>
      </c>
      <c r="T1231" s="4">
        <v>4.83</v>
      </c>
    </row>
    <row r="1232">
      <c r="A1232" s="1" t="s">
        <v>1954</v>
      </c>
      <c r="B1232" s="2">
        <v>42674.0</v>
      </c>
      <c r="C1232" s="2" t="str">
        <f t="shared" si="1"/>
        <v>Oct</v>
      </c>
      <c r="D1232" s="6">
        <v>42411.0</v>
      </c>
      <c r="E1232" s="1" t="s">
        <v>20</v>
      </c>
      <c r="F1232" s="1" t="s">
        <v>1955</v>
      </c>
      <c r="G1232" s="1" t="s">
        <v>1956</v>
      </c>
      <c r="H1232" s="1" t="str">
        <f>IFERROR(__xludf.DUMMYFUNCTION("split(G1232,"" "")"),"Kean")</f>
        <v>Kean</v>
      </c>
      <c r="I1232" s="1" t="str">
        <f>IFERROR(__xludf.DUMMYFUNCTION("""COMPUTED_VALUE"""),"Thornton")</f>
        <v>Thornton</v>
      </c>
      <c r="J1232" s="1" t="s">
        <v>23</v>
      </c>
      <c r="K1232" s="1" t="s">
        <v>1957</v>
      </c>
      <c r="L1232" s="1" t="str">
        <f t="shared" si="2"/>
        <v>Buffalo</v>
      </c>
      <c r="M1232" s="1" t="s">
        <v>175</v>
      </c>
      <c r="N1232" s="1" t="str">
        <f t="shared" si="3"/>
        <v>New York</v>
      </c>
      <c r="O1232" s="1">
        <v>14215.0</v>
      </c>
      <c r="P1232" s="1" t="s">
        <v>100</v>
      </c>
      <c r="Q1232" s="1" t="s">
        <v>38</v>
      </c>
      <c r="R1232" s="3">
        <v>2.78</v>
      </c>
      <c r="S1232" s="1">
        <v>1.0</v>
      </c>
      <c r="T1232" s="4">
        <v>2.6</v>
      </c>
    </row>
    <row r="1233">
      <c r="A1233" s="1" t="s">
        <v>1954</v>
      </c>
      <c r="B1233" s="2">
        <v>42674.0</v>
      </c>
      <c r="C1233" s="2" t="str">
        <f t="shared" si="1"/>
        <v>Oct</v>
      </c>
      <c r="D1233" s="6">
        <v>42411.0</v>
      </c>
      <c r="E1233" s="1" t="s">
        <v>20</v>
      </c>
      <c r="F1233" s="1" t="s">
        <v>1955</v>
      </c>
      <c r="G1233" s="1" t="s">
        <v>1956</v>
      </c>
      <c r="H1233" s="1" t="str">
        <f>IFERROR(__xludf.DUMMYFUNCTION("split(G1233,"" "")"),"Kean")</f>
        <v>Kean</v>
      </c>
      <c r="I1233" s="1" t="str">
        <f>IFERROR(__xludf.DUMMYFUNCTION("""COMPUTED_VALUE"""),"Thornton")</f>
        <v>Thornton</v>
      </c>
      <c r="J1233" s="1" t="s">
        <v>23</v>
      </c>
      <c r="K1233" s="1" t="s">
        <v>1957</v>
      </c>
      <c r="L1233" s="1" t="str">
        <f t="shared" si="2"/>
        <v>Buffalo</v>
      </c>
      <c r="M1233" s="1" t="s">
        <v>175</v>
      </c>
      <c r="N1233" s="1" t="str">
        <f t="shared" si="3"/>
        <v>New York</v>
      </c>
      <c r="O1233" s="1">
        <v>14215.0</v>
      </c>
      <c r="P1233" s="1" t="s">
        <v>100</v>
      </c>
      <c r="Q1233" s="1" t="s">
        <v>38</v>
      </c>
      <c r="R1233" s="3">
        <v>79.96</v>
      </c>
      <c r="S1233" s="1">
        <v>1.0</v>
      </c>
      <c r="T1233" s="4">
        <v>79.32</v>
      </c>
    </row>
    <row r="1234">
      <c r="A1234" s="1" t="s">
        <v>1958</v>
      </c>
      <c r="B1234" s="2">
        <v>42885.0</v>
      </c>
      <c r="C1234" s="2" t="str">
        <f t="shared" si="1"/>
        <v>May</v>
      </c>
      <c r="D1234" s="6">
        <v>42741.0</v>
      </c>
      <c r="E1234" s="1" t="s">
        <v>121</v>
      </c>
      <c r="F1234" s="1" t="s">
        <v>1959</v>
      </c>
      <c r="G1234" s="1" t="s">
        <v>1960</v>
      </c>
      <c r="H1234" s="1" t="str">
        <f>IFERROR(__xludf.DUMMYFUNCTION("split(G1234,"" "")"),"Brooke")</f>
        <v>Brooke</v>
      </c>
      <c r="I1234" s="1" t="str">
        <f>IFERROR(__xludf.DUMMYFUNCTION("""COMPUTED_VALUE"""),"Gillingham")</f>
        <v>Gillingham</v>
      </c>
      <c r="J1234" s="1" t="s">
        <v>34</v>
      </c>
      <c r="K1234" s="1" t="s">
        <v>579</v>
      </c>
      <c r="L1234" s="1" t="str">
        <f t="shared" si="2"/>
        <v>Cincinnati</v>
      </c>
      <c r="M1234" s="1" t="s">
        <v>304</v>
      </c>
      <c r="N1234" s="1" t="str">
        <f t="shared" si="3"/>
        <v>Ohio</v>
      </c>
      <c r="O1234" s="1">
        <v>45231.0</v>
      </c>
      <c r="P1234" s="1" t="s">
        <v>100</v>
      </c>
      <c r="Q1234" s="1" t="s">
        <v>51</v>
      </c>
      <c r="R1234" s="3">
        <v>839.988</v>
      </c>
      <c r="S1234" s="1">
        <v>4.0</v>
      </c>
      <c r="T1234" s="4">
        <v>839.61</v>
      </c>
    </row>
    <row r="1235">
      <c r="A1235" s="1" t="s">
        <v>1961</v>
      </c>
      <c r="B1235" s="2">
        <v>43036.0</v>
      </c>
      <c r="C1235" s="2" t="str">
        <f t="shared" si="1"/>
        <v>Oct</v>
      </c>
      <c r="D1235" s="1" t="s">
        <v>1962</v>
      </c>
      <c r="E1235" s="1" t="s">
        <v>717</v>
      </c>
      <c r="F1235" s="1" t="s">
        <v>1444</v>
      </c>
      <c r="G1235" s="1" t="s">
        <v>1445</v>
      </c>
      <c r="H1235" s="1" t="str">
        <f>IFERROR(__xludf.DUMMYFUNCTION("split(G1235,"" "")"),"Patrick")</f>
        <v>Patrick</v>
      </c>
      <c r="I1235" s="1" t="str">
        <f>IFERROR(__xludf.DUMMYFUNCTION("""COMPUTED_VALUE"""),"Gardner")</f>
        <v>Gardner</v>
      </c>
      <c r="J1235" s="1" t="s">
        <v>23</v>
      </c>
      <c r="K1235" s="1" t="s">
        <v>1963</v>
      </c>
      <c r="L1235" s="1" t="str">
        <f t="shared" si="2"/>
        <v>Boynton Beach</v>
      </c>
      <c r="M1235" s="1" t="s">
        <v>145</v>
      </c>
      <c r="N1235" s="1" t="str">
        <f t="shared" si="3"/>
        <v>Florida</v>
      </c>
      <c r="O1235" s="1">
        <v>33437.0</v>
      </c>
      <c r="P1235" s="1" t="s">
        <v>26</v>
      </c>
      <c r="Q1235" s="1" t="s">
        <v>27</v>
      </c>
      <c r="R1235" s="3">
        <v>47.952</v>
      </c>
      <c r="S1235" s="1">
        <v>3.0</v>
      </c>
      <c r="T1235" s="4">
        <v>47.56</v>
      </c>
    </row>
    <row r="1236">
      <c r="A1236" s="1" t="s">
        <v>1961</v>
      </c>
      <c r="B1236" s="2">
        <v>43036.0</v>
      </c>
      <c r="C1236" s="2" t="str">
        <f t="shared" si="1"/>
        <v>Oct</v>
      </c>
      <c r="D1236" s="1" t="s">
        <v>1962</v>
      </c>
      <c r="E1236" s="1" t="s">
        <v>717</v>
      </c>
      <c r="F1236" s="1" t="s">
        <v>1444</v>
      </c>
      <c r="G1236" s="1" t="s">
        <v>1445</v>
      </c>
      <c r="H1236" s="1" t="str">
        <f>IFERROR(__xludf.DUMMYFUNCTION("split(G1236,"" "")"),"Patrick")</f>
        <v>Patrick</v>
      </c>
      <c r="I1236" s="1" t="str">
        <f>IFERROR(__xludf.DUMMYFUNCTION("""COMPUTED_VALUE"""),"Gardner")</f>
        <v>Gardner</v>
      </c>
      <c r="J1236" s="1" t="s">
        <v>23</v>
      </c>
      <c r="K1236" s="1" t="s">
        <v>1963</v>
      </c>
      <c r="L1236" s="1" t="str">
        <f t="shared" si="2"/>
        <v>Boynton Beach</v>
      </c>
      <c r="M1236" s="1" t="s">
        <v>145</v>
      </c>
      <c r="N1236" s="1" t="str">
        <f t="shared" si="3"/>
        <v>Florida</v>
      </c>
      <c r="O1236" s="1">
        <v>33437.0</v>
      </c>
      <c r="P1236" s="1" t="s">
        <v>26</v>
      </c>
      <c r="Q1236" s="1" t="s">
        <v>38</v>
      </c>
      <c r="R1236" s="3">
        <v>37.425</v>
      </c>
      <c r="S1236" s="1">
        <v>3.0</v>
      </c>
      <c r="T1236" s="4">
        <v>36.86</v>
      </c>
    </row>
    <row r="1237">
      <c r="A1237" s="1" t="s">
        <v>1961</v>
      </c>
      <c r="B1237" s="2">
        <v>43036.0</v>
      </c>
      <c r="C1237" s="2" t="str">
        <f t="shared" si="1"/>
        <v>Oct</v>
      </c>
      <c r="D1237" s="1" t="s">
        <v>1962</v>
      </c>
      <c r="E1237" s="1" t="s">
        <v>717</v>
      </c>
      <c r="F1237" s="1" t="s">
        <v>1444</v>
      </c>
      <c r="G1237" s="1" t="s">
        <v>1445</v>
      </c>
      <c r="H1237" s="1" t="str">
        <f>IFERROR(__xludf.DUMMYFUNCTION("split(G1237,"" "")"),"Patrick")</f>
        <v>Patrick</v>
      </c>
      <c r="I1237" s="1" t="str">
        <f>IFERROR(__xludf.DUMMYFUNCTION("""COMPUTED_VALUE"""),"Gardner")</f>
        <v>Gardner</v>
      </c>
      <c r="J1237" s="1" t="s">
        <v>23</v>
      </c>
      <c r="K1237" s="1" t="s">
        <v>1963</v>
      </c>
      <c r="L1237" s="1" t="str">
        <f t="shared" si="2"/>
        <v>Boynton Beach</v>
      </c>
      <c r="M1237" s="1" t="s">
        <v>145</v>
      </c>
      <c r="N1237" s="1" t="str">
        <f t="shared" si="3"/>
        <v>Florida</v>
      </c>
      <c r="O1237" s="1">
        <v>33437.0</v>
      </c>
      <c r="P1237" s="1" t="s">
        <v>26</v>
      </c>
      <c r="Q1237" s="1" t="s">
        <v>27</v>
      </c>
      <c r="R1237" s="3">
        <v>63.968</v>
      </c>
      <c r="S1237" s="1">
        <v>3.0</v>
      </c>
      <c r="T1237" s="4">
        <v>63.54</v>
      </c>
    </row>
    <row r="1238">
      <c r="A1238" s="1" t="s">
        <v>1961</v>
      </c>
      <c r="B1238" s="2">
        <v>43036.0</v>
      </c>
      <c r="C1238" s="2" t="str">
        <f t="shared" si="1"/>
        <v>Oct</v>
      </c>
      <c r="D1238" s="1" t="s">
        <v>1962</v>
      </c>
      <c r="E1238" s="1" t="s">
        <v>717</v>
      </c>
      <c r="F1238" s="1" t="s">
        <v>1444</v>
      </c>
      <c r="G1238" s="1" t="s">
        <v>1445</v>
      </c>
      <c r="H1238" s="1" t="str">
        <f>IFERROR(__xludf.DUMMYFUNCTION("split(G1238,"" "")"),"Patrick")</f>
        <v>Patrick</v>
      </c>
      <c r="I1238" s="1" t="str">
        <f>IFERROR(__xludf.DUMMYFUNCTION("""COMPUTED_VALUE"""),"Gardner")</f>
        <v>Gardner</v>
      </c>
      <c r="J1238" s="1" t="s">
        <v>23</v>
      </c>
      <c r="K1238" s="1" t="s">
        <v>1963</v>
      </c>
      <c r="L1238" s="1" t="str">
        <f t="shared" si="2"/>
        <v>Boynton Beach</v>
      </c>
      <c r="M1238" s="1" t="s">
        <v>145</v>
      </c>
      <c r="N1238" s="1" t="str">
        <f t="shared" si="3"/>
        <v>Florida</v>
      </c>
      <c r="O1238" s="1">
        <v>33437.0</v>
      </c>
      <c r="P1238" s="1" t="s">
        <v>26</v>
      </c>
      <c r="Q1238" s="1" t="s">
        <v>27</v>
      </c>
      <c r="R1238" s="3">
        <v>165.048</v>
      </c>
      <c r="S1238" s="1">
        <v>3.0</v>
      </c>
      <c r="T1238" s="4">
        <v>164.12</v>
      </c>
    </row>
    <row r="1239">
      <c r="A1239" s="1" t="s">
        <v>1964</v>
      </c>
      <c r="B1239" s="2">
        <v>42316.0</v>
      </c>
      <c r="C1239" s="2" t="str">
        <f t="shared" si="1"/>
        <v>Nov</v>
      </c>
      <c r="D1239" s="1" t="s">
        <v>1102</v>
      </c>
      <c r="E1239" s="1" t="s">
        <v>41</v>
      </c>
      <c r="F1239" s="1" t="s">
        <v>1965</v>
      </c>
      <c r="G1239" s="1" t="s">
        <v>1966</v>
      </c>
      <c r="H1239" s="1" t="str">
        <f>IFERROR(__xludf.DUMMYFUNCTION("split(G1239,"" "")"),"Greg")</f>
        <v>Greg</v>
      </c>
      <c r="I1239" s="1" t="str">
        <f>IFERROR(__xludf.DUMMYFUNCTION("""COMPUTED_VALUE"""),"Matthias")</f>
        <v>Matthias</v>
      </c>
      <c r="J1239" s="1" t="s">
        <v>23</v>
      </c>
      <c r="K1239" s="1" t="s">
        <v>62</v>
      </c>
      <c r="L1239" s="1" t="str">
        <f t="shared" si="2"/>
        <v>Seattle</v>
      </c>
      <c r="M1239" s="1" t="s">
        <v>63</v>
      </c>
      <c r="N1239" s="1" t="str">
        <f t="shared" si="3"/>
        <v>Washington</v>
      </c>
      <c r="O1239" s="1">
        <v>98105.0</v>
      </c>
      <c r="P1239" s="1" t="s">
        <v>37</v>
      </c>
      <c r="Q1239" s="1" t="s">
        <v>27</v>
      </c>
      <c r="R1239" s="3">
        <v>12.35</v>
      </c>
      <c r="S1239" s="1">
        <v>9.0</v>
      </c>
      <c r="T1239" s="4">
        <v>11.66</v>
      </c>
    </row>
    <row r="1240">
      <c r="A1240" s="1" t="s">
        <v>1964</v>
      </c>
      <c r="B1240" s="2">
        <v>42316.0</v>
      </c>
      <c r="C1240" s="2" t="str">
        <f t="shared" si="1"/>
        <v>Nov</v>
      </c>
      <c r="D1240" s="1" t="s">
        <v>1102</v>
      </c>
      <c r="E1240" s="1" t="s">
        <v>41</v>
      </c>
      <c r="F1240" s="1" t="s">
        <v>1965</v>
      </c>
      <c r="G1240" s="1" t="s">
        <v>1966</v>
      </c>
      <c r="H1240" s="1" t="str">
        <f>IFERROR(__xludf.DUMMYFUNCTION("split(G1240,"" "")"),"Greg")</f>
        <v>Greg</v>
      </c>
      <c r="I1240" s="1" t="str">
        <f>IFERROR(__xludf.DUMMYFUNCTION("""COMPUTED_VALUE"""),"Matthias")</f>
        <v>Matthias</v>
      </c>
      <c r="J1240" s="1" t="s">
        <v>23</v>
      </c>
      <c r="K1240" s="1" t="s">
        <v>62</v>
      </c>
      <c r="L1240" s="1" t="str">
        <f t="shared" si="2"/>
        <v>Seattle</v>
      </c>
      <c r="M1240" s="1" t="s">
        <v>63</v>
      </c>
      <c r="N1240" s="1" t="str">
        <f t="shared" si="3"/>
        <v>Washington</v>
      </c>
      <c r="O1240" s="1">
        <v>98105.0</v>
      </c>
      <c r="P1240" s="1" t="s">
        <v>37</v>
      </c>
      <c r="Q1240" s="1" t="s">
        <v>38</v>
      </c>
      <c r="R1240" s="3">
        <v>40.97</v>
      </c>
      <c r="S1240" s="1">
        <v>9.0</v>
      </c>
      <c r="T1240" s="4">
        <v>40.24</v>
      </c>
    </row>
    <row r="1241">
      <c r="A1241" s="1" t="s">
        <v>1964</v>
      </c>
      <c r="B1241" s="2">
        <v>42316.0</v>
      </c>
      <c r="C1241" s="2" t="str">
        <f t="shared" si="1"/>
        <v>Nov</v>
      </c>
      <c r="D1241" s="1" t="s">
        <v>1102</v>
      </c>
      <c r="E1241" s="1" t="s">
        <v>41</v>
      </c>
      <c r="F1241" s="1" t="s">
        <v>1965</v>
      </c>
      <c r="G1241" s="1" t="s">
        <v>1966</v>
      </c>
      <c r="H1241" s="1" t="str">
        <f>IFERROR(__xludf.DUMMYFUNCTION("split(G1241,"" "")"),"Greg")</f>
        <v>Greg</v>
      </c>
      <c r="I1241" s="1" t="str">
        <f>IFERROR(__xludf.DUMMYFUNCTION("""COMPUTED_VALUE"""),"Matthias")</f>
        <v>Matthias</v>
      </c>
      <c r="J1241" s="1" t="s">
        <v>23</v>
      </c>
      <c r="K1241" s="1" t="s">
        <v>62</v>
      </c>
      <c r="L1241" s="1" t="str">
        <f t="shared" si="2"/>
        <v>Seattle</v>
      </c>
      <c r="M1241" s="1" t="s">
        <v>63</v>
      </c>
      <c r="N1241" s="1" t="str">
        <f t="shared" si="3"/>
        <v>Washington</v>
      </c>
      <c r="O1241" s="1">
        <v>98105.0</v>
      </c>
      <c r="P1241" s="1" t="s">
        <v>37</v>
      </c>
      <c r="Q1241" s="1" t="s">
        <v>38</v>
      </c>
      <c r="R1241" s="3">
        <v>22.96</v>
      </c>
      <c r="S1241" s="1">
        <v>9.0</v>
      </c>
      <c r="T1241" s="4">
        <v>22.13</v>
      </c>
    </row>
    <row r="1242">
      <c r="A1242" s="1" t="s">
        <v>1967</v>
      </c>
      <c r="B1242" s="2">
        <v>42976.0</v>
      </c>
      <c r="C1242" s="2" t="str">
        <f t="shared" si="1"/>
        <v>Aug</v>
      </c>
      <c r="D1242" s="6">
        <v>42834.0</v>
      </c>
      <c r="E1242" s="1" t="s">
        <v>41</v>
      </c>
      <c r="F1242" s="1" t="s">
        <v>1144</v>
      </c>
      <c r="G1242" s="1" t="s">
        <v>1145</v>
      </c>
      <c r="H1242" s="1" t="str">
        <f>IFERROR(__xludf.DUMMYFUNCTION("split(G1242,"" "")"),"Meg")</f>
        <v>Meg</v>
      </c>
      <c r="I1242" s="1" t="str">
        <f>IFERROR(__xludf.DUMMYFUNCTION("""COMPUTED_VALUE"""),"O'Connel")</f>
        <v>O'Connel</v>
      </c>
      <c r="J1242" s="1" t="s">
        <v>68</v>
      </c>
      <c r="K1242" s="1" t="s">
        <v>174</v>
      </c>
      <c r="L1242" s="1" t="str">
        <f t="shared" si="2"/>
        <v>New York City</v>
      </c>
      <c r="M1242" s="1" t="s">
        <v>175</v>
      </c>
      <c r="N1242" s="1" t="str">
        <f t="shared" si="3"/>
        <v>New York</v>
      </c>
      <c r="O1242" s="1">
        <v>10024.0</v>
      </c>
      <c r="P1242" s="1" t="s">
        <v>100</v>
      </c>
      <c r="Q1242" s="1" t="s">
        <v>51</v>
      </c>
      <c r="R1242" s="3">
        <v>22.0</v>
      </c>
      <c r="S1242" s="1">
        <v>1.0</v>
      </c>
      <c r="T1242" s="4">
        <v>21.27</v>
      </c>
    </row>
    <row r="1243">
      <c r="A1243" s="1" t="s">
        <v>1968</v>
      </c>
      <c r="B1243" s="2">
        <v>42781.0</v>
      </c>
      <c r="C1243" s="2" t="str">
        <f t="shared" si="1"/>
        <v>Feb</v>
      </c>
      <c r="D1243" s="1" t="s">
        <v>1969</v>
      </c>
      <c r="E1243" s="1" t="s">
        <v>41</v>
      </c>
      <c r="F1243" s="1" t="s">
        <v>1444</v>
      </c>
      <c r="G1243" s="1" t="s">
        <v>1445</v>
      </c>
      <c r="H1243" s="1" t="str">
        <f>IFERROR(__xludf.DUMMYFUNCTION("split(G1243,"" "")"),"Patrick")</f>
        <v>Patrick</v>
      </c>
      <c r="I1243" s="1" t="str">
        <f>IFERROR(__xludf.DUMMYFUNCTION("""COMPUTED_VALUE"""),"Gardner")</f>
        <v>Gardner</v>
      </c>
      <c r="J1243" s="1" t="s">
        <v>23</v>
      </c>
      <c r="K1243" s="1" t="s">
        <v>174</v>
      </c>
      <c r="L1243" s="1" t="str">
        <f t="shared" si="2"/>
        <v>New York City</v>
      </c>
      <c r="M1243" s="1" t="s">
        <v>175</v>
      </c>
      <c r="N1243" s="1" t="str">
        <f t="shared" si="3"/>
        <v>New York</v>
      </c>
      <c r="O1243" s="1">
        <v>10009.0</v>
      </c>
      <c r="P1243" s="1" t="s">
        <v>100</v>
      </c>
      <c r="Q1243" s="1" t="s">
        <v>38</v>
      </c>
      <c r="R1243" s="3">
        <v>398.352</v>
      </c>
      <c r="S1243" s="1">
        <v>1.0</v>
      </c>
      <c r="T1243" s="4">
        <v>397.73</v>
      </c>
    </row>
    <row r="1244">
      <c r="A1244" s="1" t="s">
        <v>1968</v>
      </c>
      <c r="B1244" s="2">
        <v>42781.0</v>
      </c>
      <c r="C1244" s="2" t="str">
        <f t="shared" si="1"/>
        <v>Feb</v>
      </c>
      <c r="D1244" s="1" t="s">
        <v>1969</v>
      </c>
      <c r="E1244" s="1" t="s">
        <v>41</v>
      </c>
      <c r="F1244" s="1" t="s">
        <v>1444</v>
      </c>
      <c r="G1244" s="1" t="s">
        <v>1445</v>
      </c>
      <c r="H1244" s="1" t="str">
        <f>IFERROR(__xludf.DUMMYFUNCTION("split(G1244,"" "")"),"Patrick")</f>
        <v>Patrick</v>
      </c>
      <c r="I1244" s="1" t="str">
        <f>IFERROR(__xludf.DUMMYFUNCTION("""COMPUTED_VALUE"""),"Gardner")</f>
        <v>Gardner</v>
      </c>
      <c r="J1244" s="1" t="s">
        <v>23</v>
      </c>
      <c r="K1244" s="1" t="s">
        <v>174</v>
      </c>
      <c r="L1244" s="1" t="str">
        <f t="shared" si="2"/>
        <v>New York City</v>
      </c>
      <c r="M1244" s="1" t="s">
        <v>175</v>
      </c>
      <c r="N1244" s="1" t="str">
        <f t="shared" si="3"/>
        <v>New York</v>
      </c>
      <c r="O1244" s="1">
        <v>10009.0</v>
      </c>
      <c r="P1244" s="1" t="s">
        <v>100</v>
      </c>
      <c r="Q1244" s="1" t="s">
        <v>38</v>
      </c>
      <c r="R1244" s="3">
        <v>8.72</v>
      </c>
      <c r="S1244" s="1">
        <v>1.0</v>
      </c>
      <c r="T1244" s="4">
        <v>8.58</v>
      </c>
    </row>
    <row r="1245">
      <c r="A1245" s="1" t="s">
        <v>1970</v>
      </c>
      <c r="B1245" s="2">
        <v>43234.0</v>
      </c>
      <c r="C1245" s="2" t="str">
        <f t="shared" si="1"/>
        <v>May</v>
      </c>
      <c r="D1245" s="1" t="s">
        <v>1971</v>
      </c>
      <c r="E1245" s="1" t="s">
        <v>41</v>
      </c>
      <c r="F1245" s="1" t="s">
        <v>1972</v>
      </c>
      <c r="G1245" s="1" t="s">
        <v>1973</v>
      </c>
      <c r="H1245" s="1" t="str">
        <f>IFERROR(__xludf.DUMMYFUNCTION("split(G1245,"" "")"),"Eva")</f>
        <v>Eva</v>
      </c>
      <c r="I1245" s="1" t="str">
        <f>IFERROR(__xludf.DUMMYFUNCTION("""COMPUTED_VALUE"""),"Jacobs")</f>
        <v>Jacobs</v>
      </c>
      <c r="J1245" s="1" t="s">
        <v>23</v>
      </c>
      <c r="K1245" s="1" t="s">
        <v>1974</v>
      </c>
      <c r="L1245" s="1" t="str">
        <f t="shared" si="2"/>
        <v>Gulfport</v>
      </c>
      <c r="M1245" s="1" t="s">
        <v>827</v>
      </c>
      <c r="N1245" s="1" t="str">
        <f t="shared" si="3"/>
        <v>Mississippi</v>
      </c>
      <c r="O1245" s="1">
        <v>39503.0</v>
      </c>
      <c r="P1245" s="1" t="s">
        <v>26</v>
      </c>
      <c r="Q1245" s="1" t="s">
        <v>38</v>
      </c>
      <c r="R1245" s="3">
        <v>48.69</v>
      </c>
      <c r="S1245" s="1">
        <v>3.0</v>
      </c>
      <c r="T1245" s="4">
        <v>48.2</v>
      </c>
    </row>
    <row r="1246">
      <c r="A1246" s="1" t="s">
        <v>1975</v>
      </c>
      <c r="B1246" s="2">
        <v>42350.0</v>
      </c>
      <c r="C1246" s="2" t="str">
        <f t="shared" si="1"/>
        <v>Dec</v>
      </c>
      <c r="D1246" s="1" t="s">
        <v>1976</v>
      </c>
      <c r="E1246" s="1" t="s">
        <v>20</v>
      </c>
      <c r="F1246" s="1" t="s">
        <v>1977</v>
      </c>
      <c r="G1246" s="1" t="s">
        <v>1978</v>
      </c>
      <c r="H1246" s="1" t="str">
        <f>IFERROR(__xludf.DUMMYFUNCTION("split(G1246,"" "")"),"Nora")</f>
        <v>Nora</v>
      </c>
      <c r="I1246" s="1" t="str">
        <f>IFERROR(__xludf.DUMMYFUNCTION("""COMPUTED_VALUE"""),"Preis")</f>
        <v>Preis</v>
      </c>
      <c r="J1246" s="1" t="s">
        <v>23</v>
      </c>
      <c r="K1246" s="1" t="s">
        <v>1979</v>
      </c>
      <c r="L1246" s="1" t="str">
        <f t="shared" si="2"/>
        <v>Fresno</v>
      </c>
      <c r="M1246" s="1" t="s">
        <v>52</v>
      </c>
      <c r="N1246" s="1" t="str">
        <f t="shared" si="3"/>
        <v>California</v>
      </c>
      <c r="O1246" s="1">
        <v>93727.0</v>
      </c>
      <c r="P1246" s="1" t="s">
        <v>37</v>
      </c>
      <c r="Q1246" s="1" t="s">
        <v>27</v>
      </c>
      <c r="R1246" s="3">
        <v>764.688</v>
      </c>
      <c r="S1246" s="1">
        <v>9.0</v>
      </c>
      <c r="T1246" s="4">
        <v>764.45</v>
      </c>
    </row>
    <row r="1247">
      <c r="A1247" s="1" t="s">
        <v>1975</v>
      </c>
      <c r="B1247" s="2">
        <v>42350.0</v>
      </c>
      <c r="C1247" s="2" t="str">
        <f t="shared" si="1"/>
        <v>Dec</v>
      </c>
      <c r="D1247" s="1" t="s">
        <v>1976</v>
      </c>
      <c r="E1247" s="1" t="s">
        <v>20</v>
      </c>
      <c r="F1247" s="1" t="s">
        <v>1977</v>
      </c>
      <c r="G1247" s="1" t="s">
        <v>1978</v>
      </c>
      <c r="H1247" s="1" t="str">
        <f>IFERROR(__xludf.DUMMYFUNCTION("split(G1247,"" "")"),"Nora")</f>
        <v>Nora</v>
      </c>
      <c r="I1247" s="1" t="str">
        <f>IFERROR(__xludf.DUMMYFUNCTION("""COMPUTED_VALUE"""),"Preis")</f>
        <v>Preis</v>
      </c>
      <c r="J1247" s="1" t="s">
        <v>23</v>
      </c>
      <c r="K1247" s="1" t="s">
        <v>1979</v>
      </c>
      <c r="L1247" s="1" t="str">
        <f t="shared" si="2"/>
        <v>Fresno</v>
      </c>
      <c r="M1247" s="1" t="s">
        <v>52</v>
      </c>
      <c r="N1247" s="1" t="str">
        <f t="shared" si="3"/>
        <v>California</v>
      </c>
      <c r="O1247" s="1">
        <v>93727.0</v>
      </c>
      <c r="P1247" s="1" t="s">
        <v>37</v>
      </c>
      <c r="Q1247" s="1" t="s">
        <v>27</v>
      </c>
      <c r="R1247" s="3">
        <v>3610.848</v>
      </c>
      <c r="S1247" s="1">
        <v>9.0</v>
      </c>
      <c r="T1247" s="4">
        <v>3610.76</v>
      </c>
    </row>
    <row r="1248">
      <c r="A1248" s="1" t="s">
        <v>1975</v>
      </c>
      <c r="B1248" s="2">
        <v>42350.0</v>
      </c>
      <c r="C1248" s="2" t="str">
        <f t="shared" si="1"/>
        <v>Dec</v>
      </c>
      <c r="D1248" s="1" t="s">
        <v>1976</v>
      </c>
      <c r="E1248" s="1" t="s">
        <v>20</v>
      </c>
      <c r="F1248" s="1" t="s">
        <v>1977</v>
      </c>
      <c r="G1248" s="1" t="s">
        <v>1978</v>
      </c>
      <c r="H1248" s="1" t="str">
        <f>IFERROR(__xludf.DUMMYFUNCTION("split(G1248,"" "")"),"Nora")</f>
        <v>Nora</v>
      </c>
      <c r="I1248" s="1" t="str">
        <f>IFERROR(__xludf.DUMMYFUNCTION("""COMPUTED_VALUE"""),"Preis")</f>
        <v>Preis</v>
      </c>
      <c r="J1248" s="1" t="s">
        <v>23</v>
      </c>
      <c r="K1248" s="1" t="s">
        <v>1979</v>
      </c>
      <c r="L1248" s="1" t="str">
        <f t="shared" si="2"/>
        <v>Fresno</v>
      </c>
      <c r="M1248" s="1" t="s">
        <v>52</v>
      </c>
      <c r="N1248" s="1" t="str">
        <f t="shared" si="3"/>
        <v>California</v>
      </c>
      <c r="O1248" s="1">
        <v>93727.0</v>
      </c>
      <c r="P1248" s="1" t="s">
        <v>37</v>
      </c>
      <c r="Q1248" s="1" t="s">
        <v>27</v>
      </c>
      <c r="R1248" s="3">
        <v>254.9745</v>
      </c>
      <c r="S1248" s="1">
        <v>9.0</v>
      </c>
      <c r="T1248" s="4">
        <v>254.54</v>
      </c>
    </row>
    <row r="1249">
      <c r="A1249" s="1" t="s">
        <v>1980</v>
      </c>
      <c r="B1249" s="2">
        <v>43452.0</v>
      </c>
      <c r="C1249" s="2" t="str">
        <f t="shared" si="1"/>
        <v>Dec</v>
      </c>
      <c r="D1249" s="1" t="s">
        <v>1981</v>
      </c>
      <c r="E1249" s="1" t="s">
        <v>41</v>
      </c>
      <c r="F1249" s="1" t="s">
        <v>1232</v>
      </c>
      <c r="G1249" s="1" t="s">
        <v>1233</v>
      </c>
      <c r="H1249" s="1" t="str">
        <f>IFERROR(__xludf.DUMMYFUNCTION("split(G1249,"" "")"),"Doug")</f>
        <v>Doug</v>
      </c>
      <c r="I1249" s="1" t="str">
        <f>IFERROR(__xludf.DUMMYFUNCTION("""COMPUTED_VALUE"""),"Jacobs")</f>
        <v>Jacobs</v>
      </c>
      <c r="J1249" s="1" t="s">
        <v>23</v>
      </c>
      <c r="K1249" s="1" t="s">
        <v>174</v>
      </c>
      <c r="L1249" s="1" t="str">
        <f t="shared" si="2"/>
        <v>New York City</v>
      </c>
      <c r="M1249" s="1" t="s">
        <v>175</v>
      </c>
      <c r="N1249" s="1" t="str">
        <f t="shared" si="3"/>
        <v>New York</v>
      </c>
      <c r="O1249" s="1">
        <v>10009.0</v>
      </c>
      <c r="P1249" s="1" t="s">
        <v>100</v>
      </c>
      <c r="Q1249" s="1" t="s">
        <v>38</v>
      </c>
      <c r="R1249" s="3">
        <v>38.82</v>
      </c>
      <c r="S1249" s="1">
        <v>1.0</v>
      </c>
      <c r="T1249" s="4">
        <v>37.87</v>
      </c>
    </row>
    <row r="1250">
      <c r="A1250" s="1" t="s">
        <v>1980</v>
      </c>
      <c r="B1250" s="2">
        <v>43452.0</v>
      </c>
      <c r="C1250" s="2" t="str">
        <f t="shared" si="1"/>
        <v>Dec</v>
      </c>
      <c r="D1250" s="1" t="s">
        <v>1981</v>
      </c>
      <c r="E1250" s="1" t="s">
        <v>41</v>
      </c>
      <c r="F1250" s="1" t="s">
        <v>1232</v>
      </c>
      <c r="G1250" s="1" t="s">
        <v>1233</v>
      </c>
      <c r="H1250" s="1" t="str">
        <f>IFERROR(__xludf.DUMMYFUNCTION("split(G1250,"" "")"),"Doug")</f>
        <v>Doug</v>
      </c>
      <c r="I1250" s="1" t="str">
        <f>IFERROR(__xludf.DUMMYFUNCTION("""COMPUTED_VALUE"""),"Jacobs")</f>
        <v>Jacobs</v>
      </c>
      <c r="J1250" s="1" t="s">
        <v>23</v>
      </c>
      <c r="K1250" s="1" t="s">
        <v>174</v>
      </c>
      <c r="L1250" s="1" t="str">
        <f t="shared" si="2"/>
        <v>New York City</v>
      </c>
      <c r="M1250" s="1" t="s">
        <v>175</v>
      </c>
      <c r="N1250" s="1" t="str">
        <f t="shared" si="3"/>
        <v>New York</v>
      </c>
      <c r="O1250" s="1">
        <v>10009.0</v>
      </c>
      <c r="P1250" s="1" t="s">
        <v>100</v>
      </c>
      <c r="Q1250" s="1" t="s">
        <v>27</v>
      </c>
      <c r="R1250" s="3">
        <v>1141.938</v>
      </c>
      <c r="S1250" s="1">
        <v>1.0</v>
      </c>
      <c r="T1250" s="4">
        <v>1140.99</v>
      </c>
    </row>
    <row r="1251">
      <c r="A1251" s="1" t="s">
        <v>1980</v>
      </c>
      <c r="B1251" s="2">
        <v>43452.0</v>
      </c>
      <c r="C1251" s="2" t="str">
        <f t="shared" si="1"/>
        <v>Dec</v>
      </c>
      <c r="D1251" s="1" t="s">
        <v>1981</v>
      </c>
      <c r="E1251" s="1" t="s">
        <v>41</v>
      </c>
      <c r="F1251" s="1" t="s">
        <v>1232</v>
      </c>
      <c r="G1251" s="1" t="s">
        <v>1233</v>
      </c>
      <c r="H1251" s="1" t="str">
        <f>IFERROR(__xludf.DUMMYFUNCTION("split(G1251,"" "")"),"Doug")</f>
        <v>Doug</v>
      </c>
      <c r="I1251" s="1" t="str">
        <f>IFERROR(__xludf.DUMMYFUNCTION("""COMPUTED_VALUE"""),"Jacobs")</f>
        <v>Jacobs</v>
      </c>
      <c r="J1251" s="1" t="s">
        <v>23</v>
      </c>
      <c r="K1251" s="1" t="s">
        <v>174</v>
      </c>
      <c r="L1251" s="1" t="str">
        <f t="shared" si="2"/>
        <v>New York City</v>
      </c>
      <c r="M1251" s="1" t="s">
        <v>175</v>
      </c>
      <c r="N1251" s="1" t="str">
        <f t="shared" si="3"/>
        <v>New York</v>
      </c>
      <c r="O1251" s="1">
        <v>10009.0</v>
      </c>
      <c r="P1251" s="1" t="s">
        <v>100</v>
      </c>
      <c r="Q1251" s="1" t="s">
        <v>38</v>
      </c>
      <c r="R1251" s="3">
        <v>1704.56</v>
      </c>
      <c r="S1251" s="1">
        <v>1.0</v>
      </c>
      <c r="T1251" s="4">
        <v>1703.65</v>
      </c>
    </row>
    <row r="1252">
      <c r="A1252" s="1" t="s">
        <v>1980</v>
      </c>
      <c r="B1252" s="2">
        <v>43452.0</v>
      </c>
      <c r="C1252" s="2" t="str">
        <f t="shared" si="1"/>
        <v>Dec</v>
      </c>
      <c r="D1252" s="1" t="s">
        <v>1981</v>
      </c>
      <c r="E1252" s="1" t="s">
        <v>41</v>
      </c>
      <c r="F1252" s="1" t="s">
        <v>1232</v>
      </c>
      <c r="G1252" s="1" t="s">
        <v>1233</v>
      </c>
      <c r="H1252" s="1" t="str">
        <f>IFERROR(__xludf.DUMMYFUNCTION("split(G1252,"" "")"),"Doug")</f>
        <v>Doug</v>
      </c>
      <c r="I1252" s="1" t="str">
        <f>IFERROR(__xludf.DUMMYFUNCTION("""COMPUTED_VALUE"""),"Jacobs")</f>
        <v>Jacobs</v>
      </c>
      <c r="J1252" s="1" t="s">
        <v>23</v>
      </c>
      <c r="K1252" s="1" t="s">
        <v>174</v>
      </c>
      <c r="L1252" s="1" t="str">
        <f t="shared" si="2"/>
        <v>New York City</v>
      </c>
      <c r="M1252" s="1" t="s">
        <v>175</v>
      </c>
      <c r="N1252" s="1" t="str">
        <f t="shared" si="3"/>
        <v>New York</v>
      </c>
      <c r="O1252" s="1">
        <v>10009.0</v>
      </c>
      <c r="P1252" s="1" t="s">
        <v>100</v>
      </c>
      <c r="Q1252" s="1" t="s">
        <v>38</v>
      </c>
      <c r="R1252" s="3">
        <v>3.2</v>
      </c>
      <c r="S1252" s="1">
        <v>1.0</v>
      </c>
      <c r="T1252" s="4">
        <v>2.62</v>
      </c>
    </row>
    <row r="1253">
      <c r="A1253" s="1" t="s">
        <v>1982</v>
      </c>
      <c r="B1253" s="2">
        <v>42467.0</v>
      </c>
      <c r="C1253" s="2" t="str">
        <f t="shared" si="1"/>
        <v>Apr</v>
      </c>
      <c r="D1253" s="6">
        <v>42620.0</v>
      </c>
      <c r="E1253" s="1" t="s">
        <v>41</v>
      </c>
      <c r="F1253" s="1" t="s">
        <v>60</v>
      </c>
      <c r="G1253" s="1" t="s">
        <v>61</v>
      </c>
      <c r="H1253" s="1" t="str">
        <f>IFERROR(__xludf.DUMMYFUNCTION("split(G1253,"" "")"),"Irene")</f>
        <v>Irene</v>
      </c>
      <c r="I1253" s="1" t="str">
        <f>IFERROR(__xludf.DUMMYFUNCTION("""COMPUTED_VALUE"""),"Maddox")</f>
        <v>Maddox</v>
      </c>
      <c r="J1253" s="1" t="s">
        <v>23</v>
      </c>
      <c r="K1253" s="1" t="s">
        <v>1436</v>
      </c>
      <c r="L1253" s="1" t="str">
        <f t="shared" si="2"/>
        <v>Milwaukee</v>
      </c>
      <c r="M1253" s="1" t="s">
        <v>77</v>
      </c>
      <c r="N1253" s="1" t="str">
        <f t="shared" si="3"/>
        <v>Wisconsin</v>
      </c>
      <c r="O1253" s="1">
        <v>53209.0</v>
      </c>
      <c r="P1253" s="1" t="s">
        <v>71</v>
      </c>
      <c r="Q1253" s="1" t="s">
        <v>51</v>
      </c>
      <c r="R1253" s="3">
        <v>1099.96</v>
      </c>
      <c r="S1253" s="1">
        <v>5.0</v>
      </c>
      <c r="T1253" s="4">
        <v>1099.13</v>
      </c>
    </row>
    <row r="1254">
      <c r="A1254" s="1" t="s">
        <v>1983</v>
      </c>
      <c r="B1254" s="2">
        <v>43376.0</v>
      </c>
      <c r="C1254" s="2" t="str">
        <f t="shared" si="1"/>
        <v>Oct</v>
      </c>
      <c r="D1254" s="1" t="s">
        <v>1984</v>
      </c>
      <c r="E1254" s="1" t="s">
        <v>41</v>
      </c>
      <c r="F1254" s="1" t="s">
        <v>1985</v>
      </c>
      <c r="G1254" s="1" t="s">
        <v>1986</v>
      </c>
      <c r="H1254" s="1" t="str">
        <f>IFERROR(__xludf.DUMMYFUNCTION("split(G1254,"" "")"),"Mick")</f>
        <v>Mick</v>
      </c>
      <c r="I1254" s="1" t="str">
        <f>IFERROR(__xludf.DUMMYFUNCTION("""COMPUTED_VALUE"""),"Hernandez")</f>
        <v>Hernandez</v>
      </c>
      <c r="J1254" s="1" t="s">
        <v>68</v>
      </c>
      <c r="K1254" s="1" t="s">
        <v>1256</v>
      </c>
      <c r="L1254" s="1" t="str">
        <f t="shared" si="2"/>
        <v>Chester</v>
      </c>
      <c r="M1254" s="1" t="s">
        <v>99</v>
      </c>
      <c r="N1254" s="1" t="str">
        <f t="shared" si="3"/>
        <v>Pennsylvania</v>
      </c>
      <c r="O1254" s="1">
        <v>19013.0</v>
      </c>
      <c r="P1254" s="1" t="s">
        <v>100</v>
      </c>
      <c r="Q1254" s="1" t="s">
        <v>38</v>
      </c>
      <c r="R1254" s="3">
        <v>5.248</v>
      </c>
      <c r="S1254" s="1">
        <v>1.0</v>
      </c>
      <c r="T1254" s="4">
        <v>4.52</v>
      </c>
    </row>
    <row r="1255">
      <c r="A1255" s="1" t="s">
        <v>1983</v>
      </c>
      <c r="B1255" s="2">
        <v>43376.0</v>
      </c>
      <c r="C1255" s="2" t="str">
        <f t="shared" si="1"/>
        <v>Oct</v>
      </c>
      <c r="D1255" s="1" t="s">
        <v>1984</v>
      </c>
      <c r="E1255" s="1" t="s">
        <v>41</v>
      </c>
      <c r="F1255" s="1" t="s">
        <v>1985</v>
      </c>
      <c r="G1255" s="1" t="s">
        <v>1986</v>
      </c>
      <c r="H1255" s="1" t="str">
        <f>IFERROR(__xludf.DUMMYFUNCTION("split(G1255,"" "")"),"Mick")</f>
        <v>Mick</v>
      </c>
      <c r="I1255" s="1" t="str">
        <f>IFERROR(__xludf.DUMMYFUNCTION("""COMPUTED_VALUE"""),"Hernandez")</f>
        <v>Hernandez</v>
      </c>
      <c r="J1255" s="1" t="s">
        <v>68</v>
      </c>
      <c r="K1255" s="1" t="s">
        <v>1256</v>
      </c>
      <c r="L1255" s="1" t="str">
        <f t="shared" si="2"/>
        <v>Chester</v>
      </c>
      <c r="M1255" s="1" t="s">
        <v>99</v>
      </c>
      <c r="N1255" s="1" t="str">
        <f t="shared" si="3"/>
        <v>Pennsylvania</v>
      </c>
      <c r="O1255" s="1">
        <v>19013.0</v>
      </c>
      <c r="P1255" s="1" t="s">
        <v>100</v>
      </c>
      <c r="Q1255" s="1" t="s">
        <v>51</v>
      </c>
      <c r="R1255" s="3">
        <v>35.91</v>
      </c>
      <c r="S1255" s="1">
        <v>1.0</v>
      </c>
      <c r="T1255" s="4">
        <v>35.48</v>
      </c>
    </row>
    <row r="1256">
      <c r="A1256" s="1" t="s">
        <v>1983</v>
      </c>
      <c r="B1256" s="2">
        <v>43376.0</v>
      </c>
      <c r="C1256" s="2" t="str">
        <f t="shared" si="1"/>
        <v>Oct</v>
      </c>
      <c r="D1256" s="1" t="s">
        <v>1984</v>
      </c>
      <c r="E1256" s="1" t="s">
        <v>41</v>
      </c>
      <c r="F1256" s="1" t="s">
        <v>1985</v>
      </c>
      <c r="G1256" s="1" t="s">
        <v>1986</v>
      </c>
      <c r="H1256" s="1" t="str">
        <f>IFERROR(__xludf.DUMMYFUNCTION("split(G1256,"" "")"),"Mick")</f>
        <v>Mick</v>
      </c>
      <c r="I1256" s="1" t="str">
        <f>IFERROR(__xludf.DUMMYFUNCTION("""COMPUTED_VALUE"""),"Hernandez")</f>
        <v>Hernandez</v>
      </c>
      <c r="J1256" s="1" t="s">
        <v>68</v>
      </c>
      <c r="K1256" s="1" t="s">
        <v>1256</v>
      </c>
      <c r="L1256" s="1" t="str">
        <f t="shared" si="2"/>
        <v>Chester</v>
      </c>
      <c r="M1256" s="1" t="s">
        <v>99</v>
      </c>
      <c r="N1256" s="1" t="str">
        <f t="shared" si="3"/>
        <v>Pennsylvania</v>
      </c>
      <c r="O1256" s="1">
        <v>19013.0</v>
      </c>
      <c r="P1256" s="1" t="s">
        <v>100</v>
      </c>
      <c r="Q1256" s="1" t="s">
        <v>27</v>
      </c>
      <c r="R1256" s="3">
        <v>6.696</v>
      </c>
      <c r="S1256" s="1">
        <v>1.0</v>
      </c>
      <c r="T1256" s="4">
        <v>5.86</v>
      </c>
    </row>
    <row r="1257">
      <c r="A1257" s="1" t="s">
        <v>1983</v>
      </c>
      <c r="B1257" s="2">
        <v>43376.0</v>
      </c>
      <c r="C1257" s="2" t="str">
        <f t="shared" si="1"/>
        <v>Oct</v>
      </c>
      <c r="D1257" s="1" t="s">
        <v>1984</v>
      </c>
      <c r="E1257" s="1" t="s">
        <v>41</v>
      </c>
      <c r="F1257" s="1" t="s">
        <v>1985</v>
      </c>
      <c r="G1257" s="1" t="s">
        <v>1986</v>
      </c>
      <c r="H1257" s="1" t="str">
        <f>IFERROR(__xludf.DUMMYFUNCTION("split(G1257,"" "")"),"Mick")</f>
        <v>Mick</v>
      </c>
      <c r="I1257" s="1" t="str">
        <f>IFERROR(__xludf.DUMMYFUNCTION("""COMPUTED_VALUE"""),"Hernandez")</f>
        <v>Hernandez</v>
      </c>
      <c r="J1257" s="1" t="s">
        <v>68</v>
      </c>
      <c r="K1257" s="1" t="s">
        <v>1256</v>
      </c>
      <c r="L1257" s="1" t="str">
        <f t="shared" si="2"/>
        <v>Chester</v>
      </c>
      <c r="M1257" s="1" t="s">
        <v>99</v>
      </c>
      <c r="N1257" s="1" t="str">
        <f t="shared" si="3"/>
        <v>Pennsylvania</v>
      </c>
      <c r="O1257" s="1">
        <v>19013.0</v>
      </c>
      <c r="P1257" s="1" t="s">
        <v>100</v>
      </c>
      <c r="Q1257" s="1" t="s">
        <v>27</v>
      </c>
      <c r="R1257" s="3">
        <v>43.872</v>
      </c>
      <c r="S1257" s="1">
        <v>1.0</v>
      </c>
      <c r="T1257" s="4">
        <v>43.2</v>
      </c>
    </row>
    <row r="1258">
      <c r="A1258" s="1" t="s">
        <v>1987</v>
      </c>
      <c r="B1258" s="2">
        <v>43093.0</v>
      </c>
      <c r="C1258" s="2" t="str">
        <f t="shared" si="1"/>
        <v>Dec</v>
      </c>
      <c r="D1258" s="1" t="s">
        <v>1988</v>
      </c>
      <c r="E1258" s="1" t="s">
        <v>20</v>
      </c>
      <c r="F1258" s="1" t="s">
        <v>841</v>
      </c>
      <c r="G1258" s="1" t="s">
        <v>842</v>
      </c>
      <c r="H1258" s="1" t="str">
        <f>IFERROR(__xludf.DUMMYFUNCTION("split(G1258,"" "")"),"Ross")</f>
        <v>Ross</v>
      </c>
      <c r="I1258" s="1" t="str">
        <f>IFERROR(__xludf.DUMMYFUNCTION("""COMPUTED_VALUE"""),"Baird")</f>
        <v>Baird</v>
      </c>
      <c r="J1258" s="1" t="s">
        <v>68</v>
      </c>
      <c r="K1258" s="1" t="s">
        <v>284</v>
      </c>
      <c r="L1258" s="1" t="str">
        <f t="shared" si="2"/>
        <v>Charlotte</v>
      </c>
      <c r="M1258" s="1" t="s">
        <v>58</v>
      </c>
      <c r="N1258" s="1" t="str">
        <f t="shared" si="3"/>
        <v>North Carolina</v>
      </c>
      <c r="O1258" s="1">
        <v>28205.0</v>
      </c>
      <c r="P1258" s="1" t="s">
        <v>26</v>
      </c>
      <c r="Q1258" s="1" t="s">
        <v>38</v>
      </c>
      <c r="R1258" s="3">
        <v>27.882</v>
      </c>
      <c r="S1258" s="1">
        <v>2.0</v>
      </c>
      <c r="T1258" s="4">
        <v>27.08</v>
      </c>
    </row>
    <row r="1259">
      <c r="A1259" s="1" t="s">
        <v>1987</v>
      </c>
      <c r="B1259" s="2">
        <v>43093.0</v>
      </c>
      <c r="C1259" s="2" t="str">
        <f t="shared" si="1"/>
        <v>Dec</v>
      </c>
      <c r="D1259" s="1" t="s">
        <v>1988</v>
      </c>
      <c r="E1259" s="1" t="s">
        <v>20</v>
      </c>
      <c r="F1259" s="1" t="s">
        <v>841</v>
      </c>
      <c r="G1259" s="1" t="s">
        <v>842</v>
      </c>
      <c r="H1259" s="1" t="str">
        <f>IFERROR(__xludf.DUMMYFUNCTION("split(G1259,"" "")"),"Ross")</f>
        <v>Ross</v>
      </c>
      <c r="I1259" s="1" t="str">
        <f>IFERROR(__xludf.DUMMYFUNCTION("""COMPUTED_VALUE"""),"Baird")</f>
        <v>Baird</v>
      </c>
      <c r="J1259" s="1" t="s">
        <v>68</v>
      </c>
      <c r="K1259" s="1" t="s">
        <v>284</v>
      </c>
      <c r="L1259" s="1" t="str">
        <f t="shared" si="2"/>
        <v>Charlotte</v>
      </c>
      <c r="M1259" s="1" t="s">
        <v>58</v>
      </c>
      <c r="N1259" s="1" t="str">
        <f t="shared" si="3"/>
        <v>North Carolina</v>
      </c>
      <c r="O1259" s="1">
        <v>28205.0</v>
      </c>
      <c r="P1259" s="1" t="s">
        <v>26</v>
      </c>
      <c r="Q1259" s="1" t="s">
        <v>38</v>
      </c>
      <c r="R1259" s="3">
        <v>540.048</v>
      </c>
      <c r="S1259" s="1">
        <v>2.0</v>
      </c>
      <c r="T1259" s="4">
        <v>539.46</v>
      </c>
    </row>
    <row r="1260">
      <c r="A1260" s="1" t="s">
        <v>1987</v>
      </c>
      <c r="B1260" s="2">
        <v>43093.0</v>
      </c>
      <c r="C1260" s="2" t="str">
        <f t="shared" si="1"/>
        <v>Dec</v>
      </c>
      <c r="D1260" s="1" t="s">
        <v>1988</v>
      </c>
      <c r="E1260" s="1" t="s">
        <v>20</v>
      </c>
      <c r="F1260" s="1" t="s">
        <v>841</v>
      </c>
      <c r="G1260" s="1" t="s">
        <v>842</v>
      </c>
      <c r="H1260" s="1" t="str">
        <f>IFERROR(__xludf.DUMMYFUNCTION("split(G1260,"" "")"),"Ross")</f>
        <v>Ross</v>
      </c>
      <c r="I1260" s="1" t="str">
        <f>IFERROR(__xludf.DUMMYFUNCTION("""COMPUTED_VALUE"""),"Baird")</f>
        <v>Baird</v>
      </c>
      <c r="J1260" s="1" t="s">
        <v>68</v>
      </c>
      <c r="K1260" s="1" t="s">
        <v>284</v>
      </c>
      <c r="L1260" s="1" t="str">
        <f t="shared" si="2"/>
        <v>Charlotte</v>
      </c>
      <c r="M1260" s="1" t="s">
        <v>58</v>
      </c>
      <c r="N1260" s="1" t="str">
        <f t="shared" si="3"/>
        <v>North Carolina</v>
      </c>
      <c r="O1260" s="1">
        <v>28205.0</v>
      </c>
      <c r="P1260" s="1" t="s">
        <v>26</v>
      </c>
      <c r="Q1260" s="1" t="s">
        <v>51</v>
      </c>
      <c r="R1260" s="3">
        <v>255.68</v>
      </c>
      <c r="S1260" s="1">
        <v>2.0</v>
      </c>
      <c r="T1260" s="4">
        <v>255.03</v>
      </c>
    </row>
    <row r="1261">
      <c r="A1261" s="1" t="s">
        <v>1989</v>
      </c>
      <c r="B1261" s="2">
        <v>43396.0</v>
      </c>
      <c r="C1261" s="2" t="str">
        <f t="shared" si="1"/>
        <v>Oct</v>
      </c>
      <c r="D1261" s="1" t="s">
        <v>1990</v>
      </c>
      <c r="E1261" s="1" t="s">
        <v>41</v>
      </c>
      <c r="F1261" s="1" t="s">
        <v>1991</v>
      </c>
      <c r="G1261" s="1" t="s">
        <v>1992</v>
      </c>
      <c r="H1261" s="1" t="str">
        <f>IFERROR(__xludf.DUMMYFUNCTION("split(G1261,"" "")"),"Jocasta")</f>
        <v>Jocasta</v>
      </c>
      <c r="I1261" s="1" t="str">
        <f>IFERROR(__xludf.DUMMYFUNCTION("""COMPUTED_VALUE"""),"Rupert")</f>
        <v>Rupert</v>
      </c>
      <c r="J1261" s="1" t="s">
        <v>23</v>
      </c>
      <c r="K1261" s="1" t="s">
        <v>849</v>
      </c>
      <c r="L1261" s="1" t="str">
        <f t="shared" si="2"/>
        <v>Jacksonville</v>
      </c>
      <c r="M1261" s="1" t="s">
        <v>145</v>
      </c>
      <c r="N1261" s="1" t="str">
        <f t="shared" si="3"/>
        <v>Florida</v>
      </c>
      <c r="O1261" s="1">
        <v>32216.0</v>
      </c>
      <c r="P1261" s="1" t="s">
        <v>26</v>
      </c>
      <c r="Q1261" s="1" t="s">
        <v>51</v>
      </c>
      <c r="R1261" s="3">
        <v>863.88</v>
      </c>
      <c r="S1261" s="1">
        <v>3.0</v>
      </c>
      <c r="T1261" s="4">
        <v>863.17</v>
      </c>
    </row>
    <row r="1262">
      <c r="A1262" s="1" t="s">
        <v>1993</v>
      </c>
      <c r="B1262" s="2">
        <v>43036.0</v>
      </c>
      <c r="C1262" s="2" t="str">
        <f t="shared" si="1"/>
        <v>Oct</v>
      </c>
      <c r="D1262" s="6">
        <v>42836.0</v>
      </c>
      <c r="E1262" s="1" t="s">
        <v>41</v>
      </c>
      <c r="F1262" s="1" t="s">
        <v>1994</v>
      </c>
      <c r="G1262" s="1" t="s">
        <v>1995</v>
      </c>
      <c r="H1262" s="1" t="str">
        <f>IFERROR(__xludf.DUMMYFUNCTION("split(G1262,"" "")"),"Suzanne")</f>
        <v>Suzanne</v>
      </c>
      <c r="I1262" s="1" t="str">
        <f>IFERROR(__xludf.DUMMYFUNCTION("""COMPUTED_VALUE"""),"McNair")</f>
        <v>McNair</v>
      </c>
      <c r="J1262" s="1" t="s">
        <v>34</v>
      </c>
      <c r="K1262" s="1" t="s">
        <v>1996</v>
      </c>
      <c r="L1262" s="1" t="str">
        <f t="shared" si="2"/>
        <v>Greenville</v>
      </c>
      <c r="M1262" s="1" t="s">
        <v>58</v>
      </c>
      <c r="N1262" s="1" t="str">
        <f t="shared" si="3"/>
        <v>North Carolina</v>
      </c>
      <c r="O1262" s="1">
        <v>27834.0</v>
      </c>
      <c r="P1262" s="1" t="s">
        <v>26</v>
      </c>
      <c r="Q1262" s="1" t="s">
        <v>38</v>
      </c>
      <c r="R1262" s="3">
        <v>17.616</v>
      </c>
      <c r="S1262" s="1">
        <v>2.0</v>
      </c>
      <c r="T1262" s="4">
        <v>16.71</v>
      </c>
    </row>
    <row r="1263">
      <c r="A1263" s="1" t="s">
        <v>1997</v>
      </c>
      <c r="B1263" s="2">
        <v>43288.0</v>
      </c>
      <c r="C1263" s="2" t="str">
        <f t="shared" si="1"/>
        <v>Jul</v>
      </c>
      <c r="D1263" s="6">
        <v>43350.0</v>
      </c>
      <c r="E1263" s="1" t="s">
        <v>20</v>
      </c>
      <c r="F1263" s="1" t="s">
        <v>1855</v>
      </c>
      <c r="G1263" s="1" t="s">
        <v>1856</v>
      </c>
      <c r="H1263" s="1" t="str">
        <f>IFERROR(__xludf.DUMMYFUNCTION("split(G1263,"" "")"),"Christine")</f>
        <v>Christine</v>
      </c>
      <c r="I1263" s="1" t="str">
        <f>IFERROR(__xludf.DUMMYFUNCTION("""COMPUTED_VALUE"""),"Sundaresam")</f>
        <v>Sundaresam</v>
      </c>
      <c r="J1263" s="1" t="s">
        <v>23</v>
      </c>
      <c r="K1263" s="1" t="s">
        <v>654</v>
      </c>
      <c r="L1263" s="1" t="str">
        <f t="shared" si="2"/>
        <v>Long Beach</v>
      </c>
      <c r="M1263" s="1" t="s">
        <v>175</v>
      </c>
      <c r="N1263" s="1" t="str">
        <f t="shared" si="3"/>
        <v>New York</v>
      </c>
      <c r="O1263" s="1">
        <v>11561.0</v>
      </c>
      <c r="P1263" s="1" t="s">
        <v>100</v>
      </c>
      <c r="Q1263" s="1" t="s">
        <v>38</v>
      </c>
      <c r="R1263" s="3">
        <v>17.472</v>
      </c>
      <c r="S1263" s="1">
        <v>1.0</v>
      </c>
      <c r="T1263" s="4">
        <v>17.28</v>
      </c>
    </row>
    <row r="1264">
      <c r="A1264" s="1" t="s">
        <v>1998</v>
      </c>
      <c r="B1264" s="2">
        <v>42745.0</v>
      </c>
      <c r="C1264" s="2" t="str">
        <f t="shared" si="1"/>
        <v>Jan</v>
      </c>
      <c r="D1264" s="6">
        <v>42776.0</v>
      </c>
      <c r="E1264" s="1" t="s">
        <v>121</v>
      </c>
      <c r="F1264" s="1" t="s">
        <v>1999</v>
      </c>
      <c r="G1264" s="1" t="s">
        <v>2000</v>
      </c>
      <c r="H1264" s="1" t="str">
        <f>IFERROR(__xludf.DUMMYFUNCTION("split(G1264,"" "")"),"Chris")</f>
        <v>Chris</v>
      </c>
      <c r="I1264" s="1" t="str">
        <f>IFERROR(__xludf.DUMMYFUNCTION("""COMPUTED_VALUE"""),"Cortes")</f>
        <v>Cortes</v>
      </c>
      <c r="J1264" s="1" t="s">
        <v>23</v>
      </c>
      <c r="K1264" s="1" t="s">
        <v>1873</v>
      </c>
      <c r="L1264" s="1" t="str">
        <f t="shared" si="2"/>
        <v>La Porte</v>
      </c>
      <c r="M1264" s="1" t="s">
        <v>169</v>
      </c>
      <c r="N1264" s="1" t="str">
        <f t="shared" si="3"/>
        <v>Indiana</v>
      </c>
      <c r="O1264" s="1">
        <v>46350.0</v>
      </c>
      <c r="P1264" s="1" t="s">
        <v>71</v>
      </c>
      <c r="Q1264" s="1" t="s">
        <v>51</v>
      </c>
      <c r="R1264" s="3">
        <v>69.9</v>
      </c>
      <c r="S1264" s="1">
        <v>4.0</v>
      </c>
      <c r="T1264" s="4">
        <v>69.37</v>
      </c>
    </row>
    <row r="1265">
      <c r="A1265" s="1" t="s">
        <v>1998</v>
      </c>
      <c r="B1265" s="2">
        <v>42745.0</v>
      </c>
      <c r="C1265" s="2" t="str">
        <f t="shared" si="1"/>
        <v>Jan</v>
      </c>
      <c r="D1265" s="6">
        <v>42776.0</v>
      </c>
      <c r="E1265" s="1" t="s">
        <v>121</v>
      </c>
      <c r="F1265" s="1" t="s">
        <v>1999</v>
      </c>
      <c r="G1265" s="1" t="s">
        <v>2000</v>
      </c>
      <c r="H1265" s="1" t="str">
        <f>IFERROR(__xludf.DUMMYFUNCTION("split(G1265,"" "")"),"Chris")</f>
        <v>Chris</v>
      </c>
      <c r="I1265" s="1" t="str">
        <f>IFERROR(__xludf.DUMMYFUNCTION("""COMPUTED_VALUE"""),"Cortes")</f>
        <v>Cortes</v>
      </c>
      <c r="J1265" s="1" t="s">
        <v>23</v>
      </c>
      <c r="K1265" s="1" t="s">
        <v>1873</v>
      </c>
      <c r="L1265" s="1" t="str">
        <f t="shared" si="2"/>
        <v>La Porte</v>
      </c>
      <c r="M1265" s="1" t="s">
        <v>169</v>
      </c>
      <c r="N1265" s="1" t="str">
        <f t="shared" si="3"/>
        <v>Indiana</v>
      </c>
      <c r="O1265" s="1">
        <v>46350.0</v>
      </c>
      <c r="P1265" s="1" t="s">
        <v>71</v>
      </c>
      <c r="Q1265" s="1" t="s">
        <v>27</v>
      </c>
      <c r="R1265" s="3">
        <v>41.85</v>
      </c>
      <c r="S1265" s="1">
        <v>4.0</v>
      </c>
      <c r="T1265" s="4">
        <v>41.21</v>
      </c>
    </row>
    <row r="1266">
      <c r="A1266" s="1" t="s">
        <v>2001</v>
      </c>
      <c r="B1266" s="2">
        <v>43140.0</v>
      </c>
      <c r="C1266" s="2" t="str">
        <f t="shared" si="1"/>
        <v>Feb</v>
      </c>
      <c r="D1266" s="6">
        <v>43290.0</v>
      </c>
      <c r="E1266" s="1" t="s">
        <v>41</v>
      </c>
      <c r="F1266" s="1" t="s">
        <v>2002</v>
      </c>
      <c r="G1266" s="1" t="s">
        <v>2003</v>
      </c>
      <c r="H1266" s="1" t="str">
        <f>IFERROR(__xludf.DUMMYFUNCTION("split(G1266,"" "")"),"Phillip")</f>
        <v>Phillip</v>
      </c>
      <c r="I1266" s="1" t="str">
        <f>IFERROR(__xludf.DUMMYFUNCTION("""COMPUTED_VALUE"""),"Flathmann")</f>
        <v>Flathmann</v>
      </c>
      <c r="J1266" s="1" t="s">
        <v>23</v>
      </c>
      <c r="K1266" s="1" t="s">
        <v>87</v>
      </c>
      <c r="L1266" s="1" t="str">
        <f t="shared" si="2"/>
        <v>San Francisco</v>
      </c>
      <c r="M1266" s="1" t="s">
        <v>52</v>
      </c>
      <c r="N1266" s="1" t="str">
        <f t="shared" si="3"/>
        <v>California</v>
      </c>
      <c r="O1266" s="1">
        <v>94122.0</v>
      </c>
      <c r="P1266" s="1" t="s">
        <v>37</v>
      </c>
      <c r="Q1266" s="1" t="s">
        <v>38</v>
      </c>
      <c r="R1266" s="3">
        <v>6.57</v>
      </c>
      <c r="S1266" s="1">
        <v>9.0</v>
      </c>
      <c r="T1266" s="4">
        <v>6.47</v>
      </c>
    </row>
    <row r="1267">
      <c r="A1267" s="1" t="s">
        <v>2004</v>
      </c>
      <c r="B1267" s="2">
        <v>42362.0</v>
      </c>
      <c r="C1267" s="2" t="str">
        <f t="shared" si="1"/>
        <v>Dec</v>
      </c>
      <c r="D1267" s="1" t="s">
        <v>2005</v>
      </c>
      <c r="E1267" s="1" t="s">
        <v>41</v>
      </c>
      <c r="F1267" s="1" t="s">
        <v>226</v>
      </c>
      <c r="G1267" s="1" t="s">
        <v>227</v>
      </c>
      <c r="H1267" s="1" t="str">
        <f>IFERROR(__xludf.DUMMYFUNCTION("split(G1267,"" "")"),"Julie")</f>
        <v>Julie</v>
      </c>
      <c r="I1267" s="1" t="str">
        <f>IFERROR(__xludf.DUMMYFUNCTION("""COMPUTED_VALUE"""),"Creighton")</f>
        <v>Creighton</v>
      </c>
      <c r="J1267" s="1" t="s">
        <v>34</v>
      </c>
      <c r="K1267" s="1" t="s">
        <v>35</v>
      </c>
      <c r="L1267" s="1" t="str">
        <f t="shared" si="2"/>
        <v>Los Angeles</v>
      </c>
      <c r="M1267" s="1" t="s">
        <v>52</v>
      </c>
      <c r="N1267" s="1" t="str">
        <f t="shared" si="3"/>
        <v>California</v>
      </c>
      <c r="O1267" s="1">
        <v>90045.0</v>
      </c>
      <c r="P1267" s="1" t="s">
        <v>37</v>
      </c>
      <c r="Q1267" s="1" t="s">
        <v>38</v>
      </c>
      <c r="R1267" s="3">
        <v>142.86</v>
      </c>
      <c r="S1267" s="1">
        <v>9.0</v>
      </c>
      <c r="T1267" s="4">
        <v>142.19</v>
      </c>
    </row>
    <row r="1268">
      <c r="A1268" s="1" t="s">
        <v>2004</v>
      </c>
      <c r="B1268" s="2">
        <v>42362.0</v>
      </c>
      <c r="C1268" s="2" t="str">
        <f t="shared" si="1"/>
        <v>Dec</v>
      </c>
      <c r="D1268" s="1" t="s">
        <v>2005</v>
      </c>
      <c r="E1268" s="1" t="s">
        <v>41</v>
      </c>
      <c r="F1268" s="1" t="s">
        <v>226</v>
      </c>
      <c r="G1268" s="1" t="s">
        <v>227</v>
      </c>
      <c r="H1268" s="1" t="str">
        <f>IFERROR(__xludf.DUMMYFUNCTION("split(G1268,"" "")"),"Julie")</f>
        <v>Julie</v>
      </c>
      <c r="I1268" s="1" t="str">
        <f>IFERROR(__xludf.DUMMYFUNCTION("""COMPUTED_VALUE"""),"Creighton")</f>
        <v>Creighton</v>
      </c>
      <c r="J1268" s="1" t="s">
        <v>34</v>
      </c>
      <c r="K1268" s="1" t="s">
        <v>35</v>
      </c>
      <c r="L1268" s="1" t="str">
        <f t="shared" si="2"/>
        <v>Los Angeles</v>
      </c>
      <c r="M1268" s="1" t="s">
        <v>52</v>
      </c>
      <c r="N1268" s="1" t="str">
        <f t="shared" si="3"/>
        <v>California</v>
      </c>
      <c r="O1268" s="1">
        <v>90045.0</v>
      </c>
      <c r="P1268" s="1" t="s">
        <v>37</v>
      </c>
      <c r="Q1268" s="1" t="s">
        <v>27</v>
      </c>
      <c r="R1268" s="3">
        <v>292.272</v>
      </c>
      <c r="S1268" s="1">
        <v>9.0</v>
      </c>
      <c r="T1268" s="4">
        <v>291.82</v>
      </c>
    </row>
    <row r="1269">
      <c r="A1269" s="1" t="s">
        <v>2006</v>
      </c>
      <c r="B1269" s="2">
        <v>43366.0</v>
      </c>
      <c r="C1269" s="2" t="str">
        <f t="shared" si="1"/>
        <v>Sep</v>
      </c>
      <c r="D1269" s="1" t="s">
        <v>2007</v>
      </c>
      <c r="E1269" s="1" t="s">
        <v>41</v>
      </c>
      <c r="F1269" s="1" t="s">
        <v>1959</v>
      </c>
      <c r="G1269" s="1" t="s">
        <v>1960</v>
      </c>
      <c r="H1269" s="1" t="str">
        <f>IFERROR(__xludf.DUMMYFUNCTION("split(G1269,"" "")"),"Brooke")</f>
        <v>Brooke</v>
      </c>
      <c r="I1269" s="1" t="str">
        <f>IFERROR(__xludf.DUMMYFUNCTION("""COMPUTED_VALUE"""),"Gillingham")</f>
        <v>Gillingham</v>
      </c>
      <c r="J1269" s="1" t="s">
        <v>34</v>
      </c>
      <c r="K1269" s="1" t="s">
        <v>818</v>
      </c>
      <c r="L1269" s="1" t="str">
        <f t="shared" si="2"/>
        <v>Louisville</v>
      </c>
      <c r="M1269" s="1" t="s">
        <v>279</v>
      </c>
      <c r="N1269" s="1" t="str">
        <f t="shared" si="3"/>
        <v>Colorado</v>
      </c>
      <c r="O1269" s="1">
        <v>80027.0</v>
      </c>
      <c r="P1269" s="1" t="s">
        <v>37</v>
      </c>
      <c r="Q1269" s="1" t="s">
        <v>27</v>
      </c>
      <c r="R1269" s="3">
        <v>29.328</v>
      </c>
      <c r="S1269" s="1">
        <v>8.0</v>
      </c>
      <c r="T1269" s="4">
        <v>28.51</v>
      </c>
    </row>
    <row r="1270">
      <c r="A1270" s="1" t="s">
        <v>2008</v>
      </c>
      <c r="B1270" s="2">
        <v>43196.0</v>
      </c>
      <c r="C1270" s="2" t="str">
        <f t="shared" si="1"/>
        <v>Apr</v>
      </c>
      <c r="D1270" s="6">
        <v>43318.0</v>
      </c>
      <c r="E1270" s="1" t="s">
        <v>41</v>
      </c>
      <c r="F1270" s="1" t="s">
        <v>2009</v>
      </c>
      <c r="G1270" s="1" t="s">
        <v>2010</v>
      </c>
      <c r="H1270" s="1" t="str">
        <f>IFERROR(__xludf.DUMMYFUNCTION("split(G1270,"" "")"),"Dan")</f>
        <v>Dan</v>
      </c>
      <c r="I1270" s="1" t="str">
        <f>IFERROR(__xludf.DUMMYFUNCTION("""COMPUTED_VALUE"""),"Campbell")</f>
        <v>Campbell</v>
      </c>
      <c r="J1270" s="1" t="s">
        <v>23</v>
      </c>
      <c r="K1270" s="1" t="s">
        <v>1450</v>
      </c>
      <c r="L1270" s="1" t="str">
        <f t="shared" si="2"/>
        <v>Florence</v>
      </c>
      <c r="M1270" s="1" t="s">
        <v>220</v>
      </c>
      <c r="N1270" s="1" t="str">
        <f t="shared" si="3"/>
        <v>Alabama</v>
      </c>
      <c r="O1270" s="1">
        <v>35630.0</v>
      </c>
      <c r="P1270" s="1" t="s">
        <v>26</v>
      </c>
      <c r="Q1270" s="1" t="s">
        <v>38</v>
      </c>
      <c r="R1270" s="3">
        <v>12.48</v>
      </c>
      <c r="S1270" s="1">
        <v>3.0</v>
      </c>
      <c r="T1270" s="4">
        <v>11.51</v>
      </c>
    </row>
    <row r="1271">
      <c r="A1271" s="1" t="s">
        <v>2011</v>
      </c>
      <c r="B1271" s="2">
        <v>42846.0</v>
      </c>
      <c r="C1271" s="2" t="str">
        <f t="shared" si="1"/>
        <v>Apr</v>
      </c>
      <c r="D1271" s="1" t="s">
        <v>1738</v>
      </c>
      <c r="E1271" s="1" t="s">
        <v>41</v>
      </c>
      <c r="F1271" s="1" t="s">
        <v>1210</v>
      </c>
      <c r="G1271" s="1" t="s">
        <v>1211</v>
      </c>
      <c r="H1271" s="1" t="str">
        <f>IFERROR(__xludf.DUMMYFUNCTION("split(G1271,"" "")"),"Sibella")</f>
        <v>Sibella</v>
      </c>
      <c r="I1271" s="1" t="str">
        <f>IFERROR(__xludf.DUMMYFUNCTION("""COMPUTED_VALUE"""),"Parks")</f>
        <v>Parks</v>
      </c>
      <c r="J1271" s="1" t="s">
        <v>34</v>
      </c>
      <c r="K1271" s="1" t="s">
        <v>188</v>
      </c>
      <c r="L1271" s="1" t="str">
        <f t="shared" si="2"/>
        <v>Chicago</v>
      </c>
      <c r="M1271" s="1" t="s">
        <v>135</v>
      </c>
      <c r="N1271" s="1" t="str">
        <f t="shared" si="3"/>
        <v>Illinois</v>
      </c>
      <c r="O1271" s="1">
        <v>60623.0</v>
      </c>
      <c r="P1271" s="1" t="s">
        <v>71</v>
      </c>
      <c r="Q1271" s="1" t="s">
        <v>38</v>
      </c>
      <c r="R1271" s="3">
        <v>102.336</v>
      </c>
      <c r="S1271" s="1">
        <v>6.0</v>
      </c>
      <c r="T1271" s="4">
        <v>102.03</v>
      </c>
    </row>
    <row r="1272">
      <c r="A1272" s="1" t="s">
        <v>2011</v>
      </c>
      <c r="B1272" s="2">
        <v>42846.0</v>
      </c>
      <c r="C1272" s="2" t="str">
        <f t="shared" si="1"/>
        <v>Apr</v>
      </c>
      <c r="D1272" s="1" t="s">
        <v>1738</v>
      </c>
      <c r="E1272" s="1" t="s">
        <v>41</v>
      </c>
      <c r="F1272" s="1" t="s">
        <v>1210</v>
      </c>
      <c r="G1272" s="1" t="s">
        <v>1211</v>
      </c>
      <c r="H1272" s="1" t="str">
        <f>IFERROR(__xludf.DUMMYFUNCTION("split(G1272,"" "")"),"Sibella")</f>
        <v>Sibella</v>
      </c>
      <c r="I1272" s="1" t="str">
        <f>IFERROR(__xludf.DUMMYFUNCTION("""COMPUTED_VALUE"""),"Parks")</f>
        <v>Parks</v>
      </c>
      <c r="J1272" s="1" t="s">
        <v>34</v>
      </c>
      <c r="K1272" s="1" t="s">
        <v>188</v>
      </c>
      <c r="L1272" s="1" t="str">
        <f t="shared" si="2"/>
        <v>Chicago</v>
      </c>
      <c r="M1272" s="1" t="s">
        <v>135</v>
      </c>
      <c r="N1272" s="1" t="str">
        <f t="shared" si="3"/>
        <v>Illinois</v>
      </c>
      <c r="O1272" s="1">
        <v>60623.0</v>
      </c>
      <c r="P1272" s="1" t="s">
        <v>71</v>
      </c>
      <c r="Q1272" s="1" t="s">
        <v>38</v>
      </c>
      <c r="R1272" s="3">
        <v>48.792</v>
      </c>
      <c r="S1272" s="1">
        <v>6.0</v>
      </c>
      <c r="T1272" s="4">
        <v>48.47</v>
      </c>
    </row>
    <row r="1273">
      <c r="A1273" s="1" t="s">
        <v>2011</v>
      </c>
      <c r="B1273" s="2">
        <v>42846.0</v>
      </c>
      <c r="C1273" s="2" t="str">
        <f t="shared" si="1"/>
        <v>Apr</v>
      </c>
      <c r="D1273" s="1" t="s">
        <v>1738</v>
      </c>
      <c r="E1273" s="1" t="s">
        <v>41</v>
      </c>
      <c r="F1273" s="1" t="s">
        <v>1210</v>
      </c>
      <c r="G1273" s="1" t="s">
        <v>1211</v>
      </c>
      <c r="H1273" s="1" t="str">
        <f>IFERROR(__xludf.DUMMYFUNCTION("split(G1273,"" "")"),"Sibella")</f>
        <v>Sibella</v>
      </c>
      <c r="I1273" s="1" t="str">
        <f>IFERROR(__xludf.DUMMYFUNCTION("""COMPUTED_VALUE"""),"Parks")</f>
        <v>Parks</v>
      </c>
      <c r="J1273" s="1" t="s">
        <v>34</v>
      </c>
      <c r="K1273" s="1" t="s">
        <v>188</v>
      </c>
      <c r="L1273" s="1" t="str">
        <f t="shared" si="2"/>
        <v>Chicago</v>
      </c>
      <c r="M1273" s="1" t="s">
        <v>135</v>
      </c>
      <c r="N1273" s="1" t="str">
        <f t="shared" si="3"/>
        <v>Illinois</v>
      </c>
      <c r="O1273" s="1">
        <v>60623.0</v>
      </c>
      <c r="P1273" s="1" t="s">
        <v>71</v>
      </c>
      <c r="Q1273" s="1" t="s">
        <v>38</v>
      </c>
      <c r="R1273" s="3">
        <v>44.848</v>
      </c>
      <c r="S1273" s="1">
        <v>6.0</v>
      </c>
      <c r="T1273" s="4">
        <v>44.72</v>
      </c>
    </row>
    <row r="1274">
      <c r="A1274" s="1" t="s">
        <v>2012</v>
      </c>
      <c r="B1274" s="2">
        <v>42881.0</v>
      </c>
      <c r="C1274" s="2" t="str">
        <f t="shared" si="1"/>
        <v>May</v>
      </c>
      <c r="D1274" s="1" t="s">
        <v>2013</v>
      </c>
      <c r="E1274" s="1" t="s">
        <v>717</v>
      </c>
      <c r="F1274" s="1" t="s">
        <v>1801</v>
      </c>
      <c r="G1274" s="1" t="s">
        <v>1802</v>
      </c>
      <c r="H1274" s="1" t="str">
        <f>IFERROR(__xludf.DUMMYFUNCTION("split(G1274,"" "")"),"Maurice")</f>
        <v>Maurice</v>
      </c>
      <c r="I1274" s="1" t="str">
        <f>IFERROR(__xludf.DUMMYFUNCTION("""COMPUTED_VALUE"""),"Satty")</f>
        <v>Satty</v>
      </c>
      <c r="J1274" s="1" t="s">
        <v>23</v>
      </c>
      <c r="K1274" s="1" t="s">
        <v>69</v>
      </c>
      <c r="L1274" s="1" t="str">
        <f t="shared" si="2"/>
        <v>Fort Worth</v>
      </c>
      <c r="M1274" s="1" t="s">
        <v>70</v>
      </c>
      <c r="N1274" s="1" t="str">
        <f t="shared" si="3"/>
        <v>Texas</v>
      </c>
      <c r="O1274" s="1">
        <v>76106.0</v>
      </c>
      <c r="P1274" s="1" t="s">
        <v>71</v>
      </c>
      <c r="Q1274" s="1" t="s">
        <v>38</v>
      </c>
      <c r="R1274" s="3">
        <v>10.368</v>
      </c>
      <c r="S1274" s="1">
        <v>7.0</v>
      </c>
      <c r="T1274" s="4">
        <v>9.44</v>
      </c>
    </row>
    <row r="1275">
      <c r="A1275" s="1" t="s">
        <v>2012</v>
      </c>
      <c r="B1275" s="2">
        <v>42881.0</v>
      </c>
      <c r="C1275" s="2" t="str">
        <f t="shared" si="1"/>
        <v>May</v>
      </c>
      <c r="D1275" s="1" t="s">
        <v>2013</v>
      </c>
      <c r="E1275" s="1" t="s">
        <v>717</v>
      </c>
      <c r="F1275" s="1" t="s">
        <v>1801</v>
      </c>
      <c r="G1275" s="1" t="s">
        <v>1802</v>
      </c>
      <c r="H1275" s="1" t="str">
        <f>IFERROR(__xludf.DUMMYFUNCTION("split(G1275,"" "")"),"Maurice")</f>
        <v>Maurice</v>
      </c>
      <c r="I1275" s="1" t="str">
        <f>IFERROR(__xludf.DUMMYFUNCTION("""COMPUTED_VALUE"""),"Satty")</f>
        <v>Satty</v>
      </c>
      <c r="J1275" s="1" t="s">
        <v>23</v>
      </c>
      <c r="K1275" s="1" t="s">
        <v>69</v>
      </c>
      <c r="L1275" s="1" t="str">
        <f t="shared" si="2"/>
        <v>Fort Worth</v>
      </c>
      <c r="M1275" s="1" t="s">
        <v>70</v>
      </c>
      <c r="N1275" s="1" t="str">
        <f t="shared" si="3"/>
        <v>Texas</v>
      </c>
      <c r="O1275" s="1">
        <v>76106.0</v>
      </c>
      <c r="P1275" s="1" t="s">
        <v>71</v>
      </c>
      <c r="Q1275" s="1" t="s">
        <v>27</v>
      </c>
      <c r="R1275" s="3">
        <v>388.43</v>
      </c>
      <c r="S1275" s="1">
        <v>7.0</v>
      </c>
      <c r="T1275" s="4">
        <v>388.36</v>
      </c>
    </row>
    <row r="1276">
      <c r="A1276" s="1" t="s">
        <v>2012</v>
      </c>
      <c r="B1276" s="2">
        <v>42881.0</v>
      </c>
      <c r="C1276" s="2" t="str">
        <f t="shared" si="1"/>
        <v>May</v>
      </c>
      <c r="D1276" s="1" t="s">
        <v>2013</v>
      </c>
      <c r="E1276" s="1" t="s">
        <v>717</v>
      </c>
      <c r="F1276" s="1" t="s">
        <v>1801</v>
      </c>
      <c r="G1276" s="1" t="s">
        <v>1802</v>
      </c>
      <c r="H1276" s="1" t="str">
        <f>IFERROR(__xludf.DUMMYFUNCTION("split(G1276,"" "")"),"Maurice")</f>
        <v>Maurice</v>
      </c>
      <c r="I1276" s="1" t="str">
        <f>IFERROR(__xludf.DUMMYFUNCTION("""COMPUTED_VALUE"""),"Satty")</f>
        <v>Satty</v>
      </c>
      <c r="J1276" s="1" t="s">
        <v>23</v>
      </c>
      <c r="K1276" s="1" t="s">
        <v>69</v>
      </c>
      <c r="L1276" s="1" t="str">
        <f t="shared" si="2"/>
        <v>Fort Worth</v>
      </c>
      <c r="M1276" s="1" t="s">
        <v>70</v>
      </c>
      <c r="N1276" s="1" t="str">
        <f t="shared" si="3"/>
        <v>Texas</v>
      </c>
      <c r="O1276" s="1">
        <v>76106.0</v>
      </c>
      <c r="P1276" s="1" t="s">
        <v>71</v>
      </c>
      <c r="Q1276" s="1" t="s">
        <v>38</v>
      </c>
      <c r="R1276" s="3">
        <v>14.352</v>
      </c>
      <c r="S1276" s="1">
        <v>7.0</v>
      </c>
      <c r="T1276" s="4">
        <v>13.52</v>
      </c>
    </row>
    <row r="1277">
      <c r="A1277" s="1" t="s">
        <v>2012</v>
      </c>
      <c r="B1277" s="2">
        <v>42881.0</v>
      </c>
      <c r="C1277" s="2" t="str">
        <f t="shared" si="1"/>
        <v>May</v>
      </c>
      <c r="D1277" s="1" t="s">
        <v>2013</v>
      </c>
      <c r="E1277" s="1" t="s">
        <v>717</v>
      </c>
      <c r="F1277" s="1" t="s">
        <v>1801</v>
      </c>
      <c r="G1277" s="1" t="s">
        <v>1802</v>
      </c>
      <c r="H1277" s="1" t="str">
        <f>IFERROR(__xludf.DUMMYFUNCTION("split(G1277,"" "")"),"Maurice")</f>
        <v>Maurice</v>
      </c>
      <c r="I1277" s="1" t="str">
        <f>IFERROR(__xludf.DUMMYFUNCTION("""COMPUTED_VALUE"""),"Satty")</f>
        <v>Satty</v>
      </c>
      <c r="J1277" s="1" t="s">
        <v>23</v>
      </c>
      <c r="K1277" s="1" t="s">
        <v>69</v>
      </c>
      <c r="L1277" s="1" t="str">
        <f t="shared" si="2"/>
        <v>Fort Worth</v>
      </c>
      <c r="M1277" s="1" t="s">
        <v>70</v>
      </c>
      <c r="N1277" s="1" t="str">
        <f t="shared" si="3"/>
        <v>Texas</v>
      </c>
      <c r="O1277" s="1">
        <v>76106.0</v>
      </c>
      <c r="P1277" s="1" t="s">
        <v>71</v>
      </c>
      <c r="Q1277" s="1" t="s">
        <v>51</v>
      </c>
      <c r="R1277" s="3">
        <v>63.992</v>
      </c>
      <c r="S1277" s="1">
        <v>7.0</v>
      </c>
      <c r="T1277" s="4">
        <v>63.77</v>
      </c>
    </row>
    <row r="1278">
      <c r="A1278" s="1" t="s">
        <v>2014</v>
      </c>
      <c r="B1278" s="2">
        <v>42771.0</v>
      </c>
      <c r="C1278" s="2" t="str">
        <f t="shared" si="1"/>
        <v>Feb</v>
      </c>
      <c r="D1278" s="6">
        <v>42921.0</v>
      </c>
      <c r="E1278" s="1" t="s">
        <v>41</v>
      </c>
      <c r="F1278" s="1" t="s">
        <v>2015</v>
      </c>
      <c r="G1278" s="1" t="s">
        <v>2016</v>
      </c>
      <c r="H1278" s="1" t="str">
        <f>IFERROR(__xludf.DUMMYFUNCTION("split(G1278,"" "")"),"Bryan")</f>
        <v>Bryan</v>
      </c>
      <c r="I1278" s="1" t="str">
        <f>IFERROR(__xludf.DUMMYFUNCTION("""COMPUTED_VALUE"""),"Davis")</f>
        <v>Davis</v>
      </c>
      <c r="J1278" s="1" t="s">
        <v>23</v>
      </c>
      <c r="K1278" s="1" t="s">
        <v>129</v>
      </c>
      <c r="L1278" s="1" t="str">
        <f t="shared" si="2"/>
        <v>Houston</v>
      </c>
      <c r="M1278" s="1" t="s">
        <v>70</v>
      </c>
      <c r="N1278" s="1" t="str">
        <f t="shared" si="3"/>
        <v>Texas</v>
      </c>
      <c r="O1278" s="1">
        <v>77070.0</v>
      </c>
      <c r="P1278" s="1" t="s">
        <v>71</v>
      </c>
      <c r="Q1278" s="1" t="s">
        <v>38</v>
      </c>
      <c r="R1278" s="3">
        <v>86.352</v>
      </c>
      <c r="S1278" s="1">
        <v>7.0</v>
      </c>
      <c r="T1278" s="4">
        <v>85.45</v>
      </c>
    </row>
    <row r="1279">
      <c r="A1279" s="1" t="s">
        <v>2017</v>
      </c>
      <c r="B1279" s="2">
        <v>42225.0</v>
      </c>
      <c r="C1279" s="2" t="str">
        <f t="shared" si="1"/>
        <v>Aug</v>
      </c>
      <c r="D1279" s="6">
        <v>42317.0</v>
      </c>
      <c r="E1279" s="1" t="s">
        <v>121</v>
      </c>
      <c r="F1279" s="1" t="s">
        <v>1615</v>
      </c>
      <c r="G1279" s="1" t="s">
        <v>1616</v>
      </c>
      <c r="H1279" s="1" t="str">
        <f>IFERROR(__xludf.DUMMYFUNCTION("split(G1279,"" "")"),"Karen")</f>
        <v>Karen</v>
      </c>
      <c r="I1279" s="1" t="str">
        <f>IFERROR(__xludf.DUMMYFUNCTION("""COMPUTED_VALUE"""),"Carlisle")</f>
        <v>Carlisle</v>
      </c>
      <c r="J1279" s="1" t="s">
        <v>34</v>
      </c>
      <c r="K1279" s="1" t="s">
        <v>2018</v>
      </c>
      <c r="L1279" s="1" t="str">
        <f t="shared" si="2"/>
        <v>Macon</v>
      </c>
      <c r="M1279" s="1" t="s">
        <v>707</v>
      </c>
      <c r="N1279" s="1" t="str">
        <f t="shared" si="3"/>
        <v>Georgia</v>
      </c>
      <c r="O1279" s="1">
        <v>31204.0</v>
      </c>
      <c r="P1279" s="1" t="s">
        <v>26</v>
      </c>
      <c r="Q1279" s="1" t="s">
        <v>51</v>
      </c>
      <c r="R1279" s="3">
        <v>32.97</v>
      </c>
      <c r="S1279" s="1">
        <v>3.0</v>
      </c>
      <c r="T1279" s="4">
        <v>32.51</v>
      </c>
    </row>
    <row r="1280">
      <c r="A1280" s="1" t="s">
        <v>2017</v>
      </c>
      <c r="B1280" s="2">
        <v>42225.0</v>
      </c>
      <c r="C1280" s="2" t="str">
        <f t="shared" si="1"/>
        <v>Aug</v>
      </c>
      <c r="D1280" s="6">
        <v>42317.0</v>
      </c>
      <c r="E1280" s="1" t="s">
        <v>121</v>
      </c>
      <c r="F1280" s="1" t="s">
        <v>1615</v>
      </c>
      <c r="G1280" s="1" t="s">
        <v>1616</v>
      </c>
      <c r="H1280" s="1" t="str">
        <f>IFERROR(__xludf.DUMMYFUNCTION("split(G1280,"" "")"),"Karen")</f>
        <v>Karen</v>
      </c>
      <c r="I1280" s="1" t="str">
        <f>IFERROR(__xludf.DUMMYFUNCTION("""COMPUTED_VALUE"""),"Carlisle")</f>
        <v>Carlisle</v>
      </c>
      <c r="J1280" s="1" t="s">
        <v>34</v>
      </c>
      <c r="K1280" s="1" t="s">
        <v>2018</v>
      </c>
      <c r="L1280" s="1" t="str">
        <f t="shared" si="2"/>
        <v>Macon</v>
      </c>
      <c r="M1280" s="1" t="s">
        <v>707</v>
      </c>
      <c r="N1280" s="1" t="str">
        <f t="shared" si="3"/>
        <v>Georgia</v>
      </c>
      <c r="O1280" s="1">
        <v>31204.0</v>
      </c>
      <c r="P1280" s="1" t="s">
        <v>26</v>
      </c>
      <c r="Q1280" s="1" t="s">
        <v>51</v>
      </c>
      <c r="R1280" s="3">
        <v>83.88</v>
      </c>
      <c r="S1280" s="1">
        <v>3.0</v>
      </c>
      <c r="T1280" s="4">
        <v>83.08</v>
      </c>
    </row>
    <row r="1281">
      <c r="A1281" s="1" t="s">
        <v>2019</v>
      </c>
      <c r="B1281" s="2">
        <v>42864.0</v>
      </c>
      <c r="C1281" s="2" t="str">
        <f t="shared" si="1"/>
        <v>May</v>
      </c>
      <c r="D1281" s="6">
        <v>42895.0</v>
      </c>
      <c r="E1281" s="1" t="s">
        <v>121</v>
      </c>
      <c r="F1281" s="1" t="s">
        <v>1441</v>
      </c>
      <c r="G1281" s="1" t="s">
        <v>1442</v>
      </c>
      <c r="H1281" s="1" t="str">
        <f>IFERROR(__xludf.DUMMYFUNCTION("split(G1281,"" "")"),"Toby")</f>
        <v>Toby</v>
      </c>
      <c r="I1281" s="1" t="str">
        <f>IFERROR(__xludf.DUMMYFUNCTION("""COMPUTED_VALUE"""),"Ritter")</f>
        <v>Ritter</v>
      </c>
      <c r="J1281" s="1" t="s">
        <v>23</v>
      </c>
      <c r="K1281" s="1" t="s">
        <v>2020</v>
      </c>
      <c r="L1281" s="1" t="str">
        <f t="shared" si="2"/>
        <v>Cedar Rapids</v>
      </c>
      <c r="M1281" s="1" t="s">
        <v>298</v>
      </c>
      <c r="N1281" s="1" t="str">
        <f t="shared" si="3"/>
        <v>Iowa</v>
      </c>
      <c r="O1281" s="1">
        <v>52402.0</v>
      </c>
      <c r="P1281" s="1" t="s">
        <v>71</v>
      </c>
      <c r="Q1281" s="1" t="s">
        <v>51</v>
      </c>
      <c r="R1281" s="3">
        <v>278.4</v>
      </c>
      <c r="S1281" s="1">
        <v>5.0</v>
      </c>
      <c r="T1281" s="4">
        <v>278.21</v>
      </c>
    </row>
    <row r="1282">
      <c r="A1282" s="1" t="s">
        <v>2021</v>
      </c>
      <c r="B1282" s="2">
        <v>43347.0</v>
      </c>
      <c r="C1282" s="2" t="str">
        <f t="shared" si="1"/>
        <v>Sep</v>
      </c>
      <c r="D1282" s="6">
        <v>43408.0</v>
      </c>
      <c r="E1282" s="1" t="s">
        <v>121</v>
      </c>
      <c r="F1282" s="1" t="s">
        <v>920</v>
      </c>
      <c r="G1282" s="1" t="s">
        <v>921</v>
      </c>
      <c r="H1282" s="1" t="str">
        <f>IFERROR(__xludf.DUMMYFUNCTION("split(G1282,"" "")"),"#REF!")</f>
        <v>#REF!</v>
      </c>
      <c r="I1282" s="1"/>
      <c r="J1282" s="1" t="s">
        <v>23</v>
      </c>
      <c r="K1282" s="1" t="s">
        <v>849</v>
      </c>
      <c r="L1282" s="1" t="str">
        <f t="shared" si="2"/>
        <v>Jacksonville</v>
      </c>
      <c r="M1282" s="1" t="s">
        <v>145</v>
      </c>
      <c r="N1282" s="1" t="str">
        <f t="shared" si="3"/>
        <v>Florida</v>
      </c>
      <c r="O1282" s="1">
        <v>32216.0</v>
      </c>
      <c r="P1282" s="1" t="s">
        <v>26</v>
      </c>
      <c r="Q1282" s="1" t="s">
        <v>38</v>
      </c>
      <c r="R1282" s="3">
        <v>15.12</v>
      </c>
      <c r="S1282" s="1">
        <v>3.0</v>
      </c>
      <c r="T1282" s="4">
        <v>14.77</v>
      </c>
    </row>
    <row r="1283">
      <c r="A1283" s="1" t="s">
        <v>2021</v>
      </c>
      <c r="B1283" s="2">
        <v>43347.0</v>
      </c>
      <c r="C1283" s="2" t="str">
        <f t="shared" si="1"/>
        <v>Sep</v>
      </c>
      <c r="D1283" s="6">
        <v>43408.0</v>
      </c>
      <c r="E1283" s="1" t="s">
        <v>121</v>
      </c>
      <c r="F1283" s="1" t="s">
        <v>920</v>
      </c>
      <c r="G1283" s="1" t="s">
        <v>921</v>
      </c>
      <c r="H1283" s="1" t="str">
        <f>IFERROR(__xludf.DUMMYFUNCTION("split(G1283,"" "")"),"#REF!")</f>
        <v>#REF!</v>
      </c>
      <c r="I1283" s="1"/>
      <c r="J1283" s="1" t="s">
        <v>23</v>
      </c>
      <c r="K1283" s="1" t="s">
        <v>849</v>
      </c>
      <c r="L1283" s="1" t="str">
        <f t="shared" si="2"/>
        <v>Jacksonville</v>
      </c>
      <c r="M1283" s="1" t="s">
        <v>145</v>
      </c>
      <c r="N1283" s="1" t="str">
        <f t="shared" si="3"/>
        <v>Florida</v>
      </c>
      <c r="O1283" s="1">
        <v>32216.0</v>
      </c>
      <c r="P1283" s="1" t="s">
        <v>26</v>
      </c>
      <c r="Q1283" s="1" t="s">
        <v>38</v>
      </c>
      <c r="R1283" s="3">
        <v>17.43</v>
      </c>
      <c r="S1283" s="1">
        <v>3.0</v>
      </c>
      <c r="T1283" s="4">
        <v>17.32</v>
      </c>
    </row>
    <row r="1284">
      <c r="A1284" s="1" t="s">
        <v>2021</v>
      </c>
      <c r="B1284" s="2">
        <v>43347.0</v>
      </c>
      <c r="C1284" s="2" t="str">
        <f t="shared" si="1"/>
        <v>Sep</v>
      </c>
      <c r="D1284" s="6">
        <v>43408.0</v>
      </c>
      <c r="E1284" s="1" t="s">
        <v>121</v>
      </c>
      <c r="F1284" s="1" t="s">
        <v>920</v>
      </c>
      <c r="G1284" s="1" t="s">
        <v>921</v>
      </c>
      <c r="H1284" s="1" t="str">
        <f>IFERROR(__xludf.DUMMYFUNCTION("split(G1284,"" "")"),"#REF!")</f>
        <v>#REF!</v>
      </c>
      <c r="I1284" s="1"/>
      <c r="J1284" s="1" t="s">
        <v>23</v>
      </c>
      <c r="K1284" s="1" t="s">
        <v>849</v>
      </c>
      <c r="L1284" s="1" t="str">
        <f t="shared" si="2"/>
        <v>Jacksonville</v>
      </c>
      <c r="M1284" s="1" t="s">
        <v>145</v>
      </c>
      <c r="N1284" s="1" t="str">
        <f t="shared" si="3"/>
        <v>Florida</v>
      </c>
      <c r="O1284" s="1">
        <v>32216.0</v>
      </c>
      <c r="P1284" s="1" t="s">
        <v>26</v>
      </c>
      <c r="Q1284" s="1" t="s">
        <v>38</v>
      </c>
      <c r="R1284" s="3">
        <v>251.64</v>
      </c>
      <c r="S1284" s="1">
        <v>3.0</v>
      </c>
      <c r="T1284" s="4">
        <v>251.01</v>
      </c>
    </row>
    <row r="1285">
      <c r="A1285" s="1" t="s">
        <v>2022</v>
      </c>
      <c r="B1285" s="2">
        <v>42533.0</v>
      </c>
      <c r="C1285" s="2" t="str">
        <f t="shared" si="1"/>
        <v>Jun</v>
      </c>
      <c r="D1285" s="5">
        <v>42716.0</v>
      </c>
      <c r="E1285" s="1" t="s">
        <v>41</v>
      </c>
      <c r="F1285" s="1" t="s">
        <v>709</v>
      </c>
      <c r="G1285" s="1" t="s">
        <v>710</v>
      </c>
      <c r="H1285" s="1" t="str">
        <f>IFERROR(__xludf.DUMMYFUNCTION("split(G1285,"" "")"),"Katrina")</f>
        <v>Katrina</v>
      </c>
      <c r="I1285" s="1" t="str">
        <f>IFERROR(__xludf.DUMMYFUNCTION("""COMPUTED_VALUE"""),"Willman")</f>
        <v>Willman</v>
      </c>
      <c r="J1285" s="1" t="s">
        <v>23</v>
      </c>
      <c r="K1285" s="1" t="s">
        <v>685</v>
      </c>
      <c r="L1285" s="1" t="str">
        <f t="shared" si="2"/>
        <v>Austin</v>
      </c>
      <c r="M1285" s="1" t="s">
        <v>70</v>
      </c>
      <c r="N1285" s="1" t="str">
        <f t="shared" si="3"/>
        <v>Texas</v>
      </c>
      <c r="O1285" s="1">
        <v>78745.0</v>
      </c>
      <c r="P1285" s="1" t="s">
        <v>71</v>
      </c>
      <c r="Q1285" s="1" t="s">
        <v>38</v>
      </c>
      <c r="R1285" s="3">
        <v>2.772</v>
      </c>
      <c r="S1285" s="1">
        <v>7.0</v>
      </c>
      <c r="T1285" s="4">
        <v>2.43</v>
      </c>
    </row>
    <row r="1286">
      <c r="A1286" s="1" t="s">
        <v>2023</v>
      </c>
      <c r="B1286" s="2">
        <v>42912.0</v>
      </c>
      <c r="C1286" s="2" t="str">
        <f t="shared" si="1"/>
        <v>Jun</v>
      </c>
      <c r="D1286" s="6">
        <v>42801.0</v>
      </c>
      <c r="E1286" s="1" t="s">
        <v>41</v>
      </c>
      <c r="F1286" s="1" t="s">
        <v>2024</v>
      </c>
      <c r="G1286" s="1" t="s">
        <v>2025</v>
      </c>
      <c r="H1286" s="1" t="str">
        <f>IFERROR(__xludf.DUMMYFUNCTION("split(G1286,"" "")"),"Gene")</f>
        <v>Gene</v>
      </c>
      <c r="I1286" s="1" t="str">
        <f>IFERROR(__xludf.DUMMYFUNCTION("""COMPUTED_VALUE"""),"McClure")</f>
        <v>McClure</v>
      </c>
      <c r="J1286" s="1" t="s">
        <v>23</v>
      </c>
      <c r="K1286" s="1" t="s">
        <v>2026</v>
      </c>
      <c r="L1286" s="1" t="str">
        <f t="shared" si="2"/>
        <v>Providence</v>
      </c>
      <c r="M1286" s="1" t="s">
        <v>782</v>
      </c>
      <c r="N1286" s="1" t="str">
        <f t="shared" si="3"/>
        <v>Rhode Island</v>
      </c>
      <c r="O1286" s="1">
        <v>2908.0</v>
      </c>
      <c r="P1286" s="1" t="s">
        <v>100</v>
      </c>
      <c r="Q1286" s="1" t="s">
        <v>38</v>
      </c>
      <c r="R1286" s="3">
        <v>14.9</v>
      </c>
      <c r="S1286" s="1">
        <v>2.0</v>
      </c>
      <c r="T1286" s="4">
        <v>14.79</v>
      </c>
    </row>
    <row r="1287">
      <c r="A1287" s="1" t="s">
        <v>2027</v>
      </c>
      <c r="B1287" s="2">
        <v>42467.0</v>
      </c>
      <c r="C1287" s="2" t="str">
        <f t="shared" si="1"/>
        <v>Apr</v>
      </c>
      <c r="D1287" s="6">
        <v>42589.0</v>
      </c>
      <c r="E1287" s="1" t="s">
        <v>41</v>
      </c>
      <c r="F1287" s="1" t="s">
        <v>318</v>
      </c>
      <c r="G1287" s="1" t="s">
        <v>319</v>
      </c>
      <c r="H1287" s="1" t="str">
        <f>IFERROR(__xludf.DUMMYFUNCTION("split(G1287,"" "")"),"Alan")</f>
        <v>Alan</v>
      </c>
      <c r="I1287" s="1" t="str">
        <f>IFERROR(__xludf.DUMMYFUNCTION("""COMPUTED_VALUE"""),"Dominguez")</f>
        <v>Dominguez</v>
      </c>
      <c r="J1287" s="1" t="s">
        <v>68</v>
      </c>
      <c r="K1287" s="1" t="s">
        <v>174</v>
      </c>
      <c r="L1287" s="1" t="str">
        <f t="shared" si="2"/>
        <v>New York City</v>
      </c>
      <c r="M1287" s="1" t="s">
        <v>175</v>
      </c>
      <c r="N1287" s="1" t="str">
        <f t="shared" si="3"/>
        <v>New York</v>
      </c>
      <c r="O1287" s="1">
        <v>10035.0</v>
      </c>
      <c r="P1287" s="1" t="s">
        <v>100</v>
      </c>
      <c r="Q1287" s="1" t="s">
        <v>38</v>
      </c>
      <c r="R1287" s="3">
        <v>15.48</v>
      </c>
      <c r="S1287" s="1">
        <v>1.0</v>
      </c>
      <c r="T1287" s="4">
        <v>14.59</v>
      </c>
    </row>
    <row r="1288">
      <c r="A1288" s="1" t="s">
        <v>2028</v>
      </c>
      <c r="B1288" s="2">
        <v>43061.0</v>
      </c>
      <c r="C1288" s="2" t="str">
        <f t="shared" si="1"/>
        <v>Nov</v>
      </c>
      <c r="D1288" s="1" t="s">
        <v>2029</v>
      </c>
      <c r="E1288" s="1" t="s">
        <v>41</v>
      </c>
      <c r="F1288" s="1" t="s">
        <v>2030</v>
      </c>
      <c r="G1288" s="1" t="s">
        <v>2031</v>
      </c>
      <c r="H1288" s="1" t="str">
        <f>IFERROR(__xludf.DUMMYFUNCTION("split(G1288,"" "")"),"Todd")</f>
        <v>Todd</v>
      </c>
      <c r="I1288" s="1" t="str">
        <f>IFERROR(__xludf.DUMMYFUNCTION("""COMPUTED_VALUE"""),"Boyes")</f>
        <v>Boyes</v>
      </c>
      <c r="J1288" s="1" t="s">
        <v>34</v>
      </c>
      <c r="K1288" s="1" t="s">
        <v>174</v>
      </c>
      <c r="L1288" s="1" t="str">
        <f t="shared" si="2"/>
        <v>New York City</v>
      </c>
      <c r="M1288" s="1" t="s">
        <v>175</v>
      </c>
      <c r="N1288" s="1" t="str">
        <f t="shared" si="3"/>
        <v>New York</v>
      </c>
      <c r="O1288" s="1">
        <v>10009.0</v>
      </c>
      <c r="P1288" s="1" t="s">
        <v>100</v>
      </c>
      <c r="Q1288" s="1" t="s">
        <v>27</v>
      </c>
      <c r="R1288" s="3">
        <v>39.88</v>
      </c>
      <c r="S1288" s="1">
        <v>1.0</v>
      </c>
      <c r="T1288" s="4">
        <v>39.11</v>
      </c>
    </row>
    <row r="1289">
      <c r="A1289" s="1" t="s">
        <v>2028</v>
      </c>
      <c r="B1289" s="2">
        <v>43061.0</v>
      </c>
      <c r="C1289" s="2" t="str">
        <f t="shared" si="1"/>
        <v>Nov</v>
      </c>
      <c r="D1289" s="1" t="s">
        <v>2029</v>
      </c>
      <c r="E1289" s="1" t="s">
        <v>41</v>
      </c>
      <c r="F1289" s="1" t="s">
        <v>2030</v>
      </c>
      <c r="G1289" s="1" t="s">
        <v>2031</v>
      </c>
      <c r="H1289" s="1" t="str">
        <f>IFERROR(__xludf.DUMMYFUNCTION("split(G1289,"" "")"),"Todd")</f>
        <v>Todd</v>
      </c>
      <c r="I1289" s="1" t="str">
        <f>IFERROR(__xludf.DUMMYFUNCTION("""COMPUTED_VALUE"""),"Boyes")</f>
        <v>Boyes</v>
      </c>
      <c r="J1289" s="1" t="s">
        <v>34</v>
      </c>
      <c r="K1289" s="1" t="s">
        <v>174</v>
      </c>
      <c r="L1289" s="1" t="str">
        <f t="shared" si="2"/>
        <v>New York City</v>
      </c>
      <c r="M1289" s="1" t="s">
        <v>175</v>
      </c>
      <c r="N1289" s="1" t="str">
        <f t="shared" si="3"/>
        <v>New York</v>
      </c>
      <c r="O1289" s="1">
        <v>10009.0</v>
      </c>
      <c r="P1289" s="1" t="s">
        <v>100</v>
      </c>
      <c r="Q1289" s="1" t="s">
        <v>38</v>
      </c>
      <c r="R1289" s="3">
        <v>12.192</v>
      </c>
      <c r="S1289" s="1">
        <v>1.0</v>
      </c>
      <c r="T1289" s="4">
        <v>11.29</v>
      </c>
    </row>
    <row r="1290">
      <c r="A1290" s="1" t="s">
        <v>2028</v>
      </c>
      <c r="B1290" s="2">
        <v>43061.0</v>
      </c>
      <c r="C1290" s="2" t="str">
        <f t="shared" si="1"/>
        <v>Nov</v>
      </c>
      <c r="D1290" s="1" t="s">
        <v>2029</v>
      </c>
      <c r="E1290" s="1" t="s">
        <v>41</v>
      </c>
      <c r="F1290" s="1" t="s">
        <v>2030</v>
      </c>
      <c r="G1290" s="1" t="s">
        <v>2031</v>
      </c>
      <c r="H1290" s="1" t="str">
        <f>IFERROR(__xludf.DUMMYFUNCTION("split(G1290,"" "")"),"Todd")</f>
        <v>Todd</v>
      </c>
      <c r="I1290" s="1" t="str">
        <f>IFERROR(__xludf.DUMMYFUNCTION("""COMPUTED_VALUE"""),"Boyes")</f>
        <v>Boyes</v>
      </c>
      <c r="J1290" s="1" t="s">
        <v>34</v>
      </c>
      <c r="K1290" s="1" t="s">
        <v>174</v>
      </c>
      <c r="L1290" s="1" t="str">
        <f t="shared" si="2"/>
        <v>New York City</v>
      </c>
      <c r="M1290" s="1" t="s">
        <v>175</v>
      </c>
      <c r="N1290" s="1" t="str">
        <f t="shared" si="3"/>
        <v>New York</v>
      </c>
      <c r="O1290" s="1">
        <v>10009.0</v>
      </c>
      <c r="P1290" s="1" t="s">
        <v>100</v>
      </c>
      <c r="Q1290" s="1" t="s">
        <v>38</v>
      </c>
      <c r="R1290" s="3">
        <v>20.82</v>
      </c>
      <c r="S1290" s="1">
        <v>1.0</v>
      </c>
      <c r="T1290" s="4">
        <v>20.78</v>
      </c>
    </row>
    <row r="1291">
      <c r="A1291" s="1" t="s">
        <v>2032</v>
      </c>
      <c r="B1291" s="2">
        <v>43019.0</v>
      </c>
      <c r="C1291" s="2" t="str">
        <f t="shared" si="1"/>
        <v>Oct</v>
      </c>
      <c r="D1291" s="5">
        <v>43080.0</v>
      </c>
      <c r="E1291" s="1" t="s">
        <v>121</v>
      </c>
      <c r="F1291" s="1" t="s">
        <v>1184</v>
      </c>
      <c r="G1291" s="1" t="s">
        <v>1185</v>
      </c>
      <c r="H1291" s="1" t="str">
        <f>IFERROR(__xludf.DUMMYFUNCTION("split(G1291,"" "")"),"Chuck")</f>
        <v>Chuck</v>
      </c>
      <c r="I1291" s="1" t="str">
        <f>IFERROR(__xludf.DUMMYFUNCTION("""COMPUTED_VALUE"""),"Clark")</f>
        <v>Clark</v>
      </c>
      <c r="J1291" s="1" t="s">
        <v>68</v>
      </c>
      <c r="K1291" s="1" t="s">
        <v>87</v>
      </c>
      <c r="L1291" s="1" t="str">
        <f t="shared" si="2"/>
        <v>San Francisco</v>
      </c>
      <c r="M1291" s="1" t="s">
        <v>52</v>
      </c>
      <c r="N1291" s="1" t="str">
        <f t="shared" si="3"/>
        <v>California</v>
      </c>
      <c r="O1291" s="1">
        <v>94122.0</v>
      </c>
      <c r="P1291" s="1" t="s">
        <v>37</v>
      </c>
      <c r="Q1291" s="1" t="s">
        <v>38</v>
      </c>
      <c r="R1291" s="3">
        <v>13.216</v>
      </c>
      <c r="S1291" s="1">
        <v>9.0</v>
      </c>
      <c r="T1291" s="4">
        <v>13.11</v>
      </c>
    </row>
    <row r="1292">
      <c r="A1292" s="1" t="s">
        <v>2032</v>
      </c>
      <c r="B1292" s="2">
        <v>43019.0</v>
      </c>
      <c r="C1292" s="2" t="str">
        <f t="shared" si="1"/>
        <v>Oct</v>
      </c>
      <c r="D1292" s="5">
        <v>43080.0</v>
      </c>
      <c r="E1292" s="1" t="s">
        <v>121</v>
      </c>
      <c r="F1292" s="1" t="s">
        <v>1184</v>
      </c>
      <c r="G1292" s="1" t="s">
        <v>1185</v>
      </c>
      <c r="H1292" s="1" t="str">
        <f>IFERROR(__xludf.DUMMYFUNCTION("split(G1292,"" "")"),"Chuck")</f>
        <v>Chuck</v>
      </c>
      <c r="I1292" s="1" t="str">
        <f>IFERROR(__xludf.DUMMYFUNCTION("""COMPUTED_VALUE"""),"Clark")</f>
        <v>Clark</v>
      </c>
      <c r="J1292" s="1" t="s">
        <v>68</v>
      </c>
      <c r="K1292" s="1" t="s">
        <v>87</v>
      </c>
      <c r="L1292" s="1" t="str">
        <f t="shared" si="2"/>
        <v>San Francisco</v>
      </c>
      <c r="M1292" s="1" t="s">
        <v>52</v>
      </c>
      <c r="N1292" s="1" t="str">
        <f t="shared" si="3"/>
        <v>California</v>
      </c>
      <c r="O1292" s="1">
        <v>94122.0</v>
      </c>
      <c r="P1292" s="1" t="s">
        <v>37</v>
      </c>
      <c r="Q1292" s="1" t="s">
        <v>38</v>
      </c>
      <c r="R1292" s="3">
        <v>32.4</v>
      </c>
      <c r="S1292" s="1">
        <v>9.0</v>
      </c>
      <c r="T1292" s="4">
        <v>32.35</v>
      </c>
    </row>
    <row r="1293">
      <c r="A1293" s="1" t="s">
        <v>2033</v>
      </c>
      <c r="B1293" s="2">
        <v>42609.0</v>
      </c>
      <c r="C1293" s="2" t="str">
        <f t="shared" si="1"/>
        <v>Aug</v>
      </c>
      <c r="D1293" s="6">
        <v>42378.0</v>
      </c>
      <c r="E1293" s="1" t="s">
        <v>41</v>
      </c>
      <c r="F1293" s="1" t="s">
        <v>322</v>
      </c>
      <c r="G1293" s="1" t="s">
        <v>323</v>
      </c>
      <c r="H1293" s="1" t="str">
        <f>IFERROR(__xludf.DUMMYFUNCTION("split(G1293,"" "")"),"Philip")</f>
        <v>Philip</v>
      </c>
      <c r="I1293" s="1" t="str">
        <f>IFERROR(__xludf.DUMMYFUNCTION("""COMPUTED_VALUE"""),"Fox")</f>
        <v>Fox</v>
      </c>
      <c r="J1293" s="1" t="s">
        <v>23</v>
      </c>
      <c r="K1293" s="1" t="s">
        <v>542</v>
      </c>
      <c r="L1293" s="1" t="str">
        <f t="shared" si="2"/>
        <v>San Diego</v>
      </c>
      <c r="M1293" s="1" t="s">
        <v>52</v>
      </c>
      <c r="N1293" s="1" t="str">
        <f t="shared" si="3"/>
        <v>California</v>
      </c>
      <c r="O1293" s="1">
        <v>92105.0</v>
      </c>
      <c r="P1293" s="1" t="s">
        <v>37</v>
      </c>
      <c r="Q1293" s="1" t="s">
        <v>38</v>
      </c>
      <c r="R1293" s="3">
        <v>32.94</v>
      </c>
      <c r="S1293" s="1">
        <v>9.0</v>
      </c>
      <c r="T1293" s="4">
        <v>32.26</v>
      </c>
    </row>
    <row r="1294">
      <c r="A1294" s="1" t="s">
        <v>2033</v>
      </c>
      <c r="B1294" s="2">
        <v>42609.0</v>
      </c>
      <c r="C1294" s="2" t="str">
        <f t="shared" si="1"/>
        <v>Aug</v>
      </c>
      <c r="D1294" s="6">
        <v>42378.0</v>
      </c>
      <c r="E1294" s="1" t="s">
        <v>41</v>
      </c>
      <c r="F1294" s="1" t="s">
        <v>322</v>
      </c>
      <c r="G1294" s="1" t="s">
        <v>323</v>
      </c>
      <c r="H1294" s="1" t="str">
        <f>IFERROR(__xludf.DUMMYFUNCTION("split(G1294,"" "")"),"Philip")</f>
        <v>Philip</v>
      </c>
      <c r="I1294" s="1" t="str">
        <f>IFERROR(__xludf.DUMMYFUNCTION("""COMPUTED_VALUE"""),"Fox")</f>
        <v>Fox</v>
      </c>
      <c r="J1294" s="1" t="s">
        <v>23</v>
      </c>
      <c r="K1294" s="1" t="s">
        <v>542</v>
      </c>
      <c r="L1294" s="1" t="str">
        <f t="shared" si="2"/>
        <v>San Diego</v>
      </c>
      <c r="M1294" s="1" t="s">
        <v>52</v>
      </c>
      <c r="N1294" s="1" t="str">
        <f t="shared" si="3"/>
        <v>California</v>
      </c>
      <c r="O1294" s="1">
        <v>92105.0</v>
      </c>
      <c r="P1294" s="1" t="s">
        <v>37</v>
      </c>
      <c r="Q1294" s="1" t="s">
        <v>38</v>
      </c>
      <c r="R1294" s="3">
        <v>114.2</v>
      </c>
      <c r="S1294" s="1">
        <v>9.0</v>
      </c>
      <c r="T1294" s="4">
        <v>113.35</v>
      </c>
    </row>
    <row r="1295">
      <c r="A1295" s="1" t="s">
        <v>2033</v>
      </c>
      <c r="B1295" s="2">
        <v>42609.0</v>
      </c>
      <c r="C1295" s="2" t="str">
        <f t="shared" si="1"/>
        <v>Aug</v>
      </c>
      <c r="D1295" s="6">
        <v>42378.0</v>
      </c>
      <c r="E1295" s="1" t="s">
        <v>41</v>
      </c>
      <c r="F1295" s="1" t="s">
        <v>322</v>
      </c>
      <c r="G1295" s="1" t="s">
        <v>323</v>
      </c>
      <c r="H1295" s="1" t="str">
        <f>IFERROR(__xludf.DUMMYFUNCTION("split(G1295,"" "")"),"Philip")</f>
        <v>Philip</v>
      </c>
      <c r="I1295" s="1" t="str">
        <f>IFERROR(__xludf.DUMMYFUNCTION("""COMPUTED_VALUE"""),"Fox")</f>
        <v>Fox</v>
      </c>
      <c r="J1295" s="1" t="s">
        <v>23</v>
      </c>
      <c r="K1295" s="1" t="s">
        <v>542</v>
      </c>
      <c r="L1295" s="1" t="str">
        <f t="shared" si="2"/>
        <v>San Diego</v>
      </c>
      <c r="M1295" s="1" t="s">
        <v>52</v>
      </c>
      <c r="N1295" s="1" t="str">
        <f t="shared" si="3"/>
        <v>California</v>
      </c>
      <c r="O1295" s="1">
        <v>92105.0</v>
      </c>
      <c r="P1295" s="1" t="s">
        <v>37</v>
      </c>
      <c r="Q1295" s="1" t="s">
        <v>38</v>
      </c>
      <c r="R1295" s="3">
        <v>3.08</v>
      </c>
      <c r="S1295" s="1">
        <v>9.0</v>
      </c>
      <c r="T1295" s="4">
        <v>3.07</v>
      </c>
    </row>
    <row r="1296">
      <c r="A1296" s="1" t="s">
        <v>2034</v>
      </c>
      <c r="B1296" s="2">
        <v>42515.0</v>
      </c>
      <c r="C1296" s="2" t="str">
        <f t="shared" si="1"/>
        <v>May</v>
      </c>
      <c r="D1296" s="1" t="s">
        <v>2035</v>
      </c>
      <c r="E1296" s="1" t="s">
        <v>41</v>
      </c>
      <c r="F1296" s="1" t="s">
        <v>2036</v>
      </c>
      <c r="G1296" s="1" t="s">
        <v>2037</v>
      </c>
      <c r="H1296" s="1" t="str">
        <f>IFERROR(__xludf.DUMMYFUNCTION("split(G1296,"" "")"),"Justin")</f>
        <v>Justin</v>
      </c>
      <c r="I1296" s="1" t="str">
        <f>IFERROR(__xludf.DUMMYFUNCTION("""COMPUTED_VALUE"""),"Hirsh")</f>
        <v>Hirsh</v>
      </c>
      <c r="J1296" s="1" t="s">
        <v>23</v>
      </c>
      <c r="K1296" s="1" t="s">
        <v>2038</v>
      </c>
      <c r="L1296" s="1" t="str">
        <f t="shared" si="2"/>
        <v>Pueblo</v>
      </c>
      <c r="M1296" s="1" t="s">
        <v>279</v>
      </c>
      <c r="N1296" s="1" t="str">
        <f t="shared" si="3"/>
        <v>Colorado</v>
      </c>
      <c r="O1296" s="1">
        <v>81001.0</v>
      </c>
      <c r="P1296" s="1" t="s">
        <v>37</v>
      </c>
      <c r="Q1296" s="1" t="s">
        <v>38</v>
      </c>
      <c r="R1296" s="3">
        <v>845.728</v>
      </c>
      <c r="S1296" s="1">
        <v>8.0</v>
      </c>
      <c r="T1296" s="4">
        <v>844.99</v>
      </c>
    </row>
    <row r="1297">
      <c r="A1297" s="1" t="s">
        <v>2039</v>
      </c>
      <c r="B1297" s="2">
        <v>43464.0</v>
      </c>
      <c r="C1297" s="2" t="str">
        <f t="shared" si="1"/>
        <v>Dec</v>
      </c>
      <c r="D1297" s="6">
        <v>43525.0</v>
      </c>
      <c r="E1297" s="1" t="s">
        <v>41</v>
      </c>
      <c r="F1297" s="1" t="s">
        <v>2040</v>
      </c>
      <c r="G1297" s="1" t="s">
        <v>2041</v>
      </c>
      <c r="H1297" s="1" t="str">
        <f>IFERROR(__xludf.DUMMYFUNCTION("split(G1297,"" "")"),"Erica")</f>
        <v>Erica</v>
      </c>
      <c r="I1297" s="1" t="str">
        <f>IFERROR(__xludf.DUMMYFUNCTION("""COMPUTED_VALUE"""),"Bern")</f>
        <v>Bern</v>
      </c>
      <c r="J1297" s="1" t="s">
        <v>34</v>
      </c>
      <c r="K1297" s="1" t="s">
        <v>434</v>
      </c>
      <c r="L1297" s="1" t="str">
        <f t="shared" si="2"/>
        <v>Fairfield</v>
      </c>
      <c r="M1297" s="1" t="s">
        <v>52</v>
      </c>
      <c r="N1297" s="1" t="str">
        <f t="shared" si="3"/>
        <v>California</v>
      </c>
      <c r="O1297" s="1">
        <v>94533.0</v>
      </c>
      <c r="P1297" s="1" t="s">
        <v>37</v>
      </c>
      <c r="Q1297" s="1" t="s">
        <v>38</v>
      </c>
      <c r="R1297" s="3">
        <v>13.904</v>
      </c>
      <c r="S1297" s="1">
        <v>9.0</v>
      </c>
      <c r="T1297" s="4">
        <v>13.62</v>
      </c>
    </row>
    <row r="1298">
      <c r="A1298" s="1" t="s">
        <v>2039</v>
      </c>
      <c r="B1298" s="2">
        <v>43464.0</v>
      </c>
      <c r="C1298" s="2" t="str">
        <f t="shared" si="1"/>
        <v>Dec</v>
      </c>
      <c r="D1298" s="6">
        <v>43525.0</v>
      </c>
      <c r="E1298" s="1" t="s">
        <v>41</v>
      </c>
      <c r="F1298" s="1" t="s">
        <v>2040</v>
      </c>
      <c r="G1298" s="1" t="s">
        <v>2041</v>
      </c>
      <c r="H1298" s="1" t="str">
        <f>IFERROR(__xludf.DUMMYFUNCTION("split(G1298,"" "")"),"Erica")</f>
        <v>Erica</v>
      </c>
      <c r="I1298" s="1" t="str">
        <f>IFERROR(__xludf.DUMMYFUNCTION("""COMPUTED_VALUE"""),"Bern")</f>
        <v>Bern</v>
      </c>
      <c r="J1298" s="1" t="s">
        <v>34</v>
      </c>
      <c r="K1298" s="1" t="s">
        <v>434</v>
      </c>
      <c r="L1298" s="1" t="str">
        <f t="shared" si="2"/>
        <v>Fairfield</v>
      </c>
      <c r="M1298" s="1" t="s">
        <v>52</v>
      </c>
      <c r="N1298" s="1" t="str">
        <f t="shared" si="3"/>
        <v>California</v>
      </c>
      <c r="O1298" s="1">
        <v>94533.0</v>
      </c>
      <c r="P1298" s="1" t="s">
        <v>37</v>
      </c>
      <c r="Q1298" s="1" t="s">
        <v>38</v>
      </c>
      <c r="R1298" s="3">
        <v>20.72</v>
      </c>
      <c r="S1298" s="1">
        <v>9.0</v>
      </c>
      <c r="T1298" s="4">
        <v>19.89</v>
      </c>
    </row>
    <row r="1299">
      <c r="A1299" s="1" t="s">
        <v>2042</v>
      </c>
      <c r="B1299" s="2">
        <v>42959.0</v>
      </c>
      <c r="C1299" s="2" t="str">
        <f t="shared" si="1"/>
        <v>Aug</v>
      </c>
      <c r="D1299" s="5">
        <v>43081.0</v>
      </c>
      <c r="E1299" s="1" t="s">
        <v>20</v>
      </c>
      <c r="F1299" s="1" t="s">
        <v>2043</v>
      </c>
      <c r="G1299" s="1" t="s">
        <v>2044</v>
      </c>
      <c r="H1299" s="1" t="str">
        <f>IFERROR(__xludf.DUMMYFUNCTION("split(G1299,"" "")"),"Quincy")</f>
        <v>Quincy</v>
      </c>
      <c r="I1299" s="1" t="str">
        <f>IFERROR(__xludf.DUMMYFUNCTION("""COMPUTED_VALUE"""),"Jones")</f>
        <v>Jones</v>
      </c>
      <c r="J1299" s="1" t="s">
        <v>34</v>
      </c>
      <c r="K1299" s="1" t="s">
        <v>267</v>
      </c>
      <c r="L1299" s="1" t="str">
        <f t="shared" si="2"/>
        <v>Saint Paul</v>
      </c>
      <c r="M1299" s="1" t="s">
        <v>151</v>
      </c>
      <c r="N1299" s="1" t="str">
        <f t="shared" si="3"/>
        <v>Minnesota</v>
      </c>
      <c r="O1299" s="1">
        <v>55106.0</v>
      </c>
      <c r="P1299" s="1" t="s">
        <v>71</v>
      </c>
      <c r="Q1299" s="1" t="s">
        <v>51</v>
      </c>
      <c r="R1299" s="3">
        <v>114.95</v>
      </c>
      <c r="S1299" s="1">
        <v>5.0</v>
      </c>
      <c r="T1299" s="4">
        <v>113.97</v>
      </c>
    </row>
    <row r="1300">
      <c r="A1300" s="1" t="s">
        <v>2045</v>
      </c>
      <c r="B1300" s="2">
        <v>42470.0</v>
      </c>
      <c r="C1300" s="2" t="str">
        <f t="shared" si="1"/>
        <v>Apr</v>
      </c>
      <c r="D1300" s="6">
        <v>42561.0</v>
      </c>
      <c r="E1300" s="1" t="s">
        <v>121</v>
      </c>
      <c r="F1300" s="1" t="s">
        <v>1889</v>
      </c>
      <c r="G1300" s="1" t="s">
        <v>1890</v>
      </c>
      <c r="H1300" s="1" t="str">
        <f>IFERROR(__xludf.DUMMYFUNCTION("split(G1300,"" "")"),"Alex")</f>
        <v>Alex</v>
      </c>
      <c r="I1300" s="1" t="str">
        <f>IFERROR(__xludf.DUMMYFUNCTION("""COMPUTED_VALUE"""),"Avila")</f>
        <v>Avila</v>
      </c>
      <c r="J1300" s="1" t="s">
        <v>23</v>
      </c>
      <c r="K1300" s="1" t="s">
        <v>87</v>
      </c>
      <c r="L1300" s="1" t="str">
        <f t="shared" si="2"/>
        <v>San Francisco</v>
      </c>
      <c r="M1300" s="1" t="s">
        <v>52</v>
      </c>
      <c r="N1300" s="1" t="str">
        <f t="shared" si="3"/>
        <v>California</v>
      </c>
      <c r="O1300" s="1">
        <v>94109.0</v>
      </c>
      <c r="P1300" s="1" t="s">
        <v>37</v>
      </c>
      <c r="Q1300" s="1" t="s">
        <v>38</v>
      </c>
      <c r="R1300" s="3">
        <v>26.96</v>
      </c>
      <c r="S1300" s="1">
        <v>9.0</v>
      </c>
      <c r="T1300" s="4">
        <v>26.06</v>
      </c>
    </row>
    <row r="1301">
      <c r="A1301" s="1" t="s">
        <v>2046</v>
      </c>
      <c r="B1301" s="2">
        <v>43092.0</v>
      </c>
      <c r="C1301" s="2" t="str">
        <f t="shared" si="1"/>
        <v>Dec</v>
      </c>
      <c r="D1301" s="1" t="s">
        <v>2047</v>
      </c>
      <c r="E1301" s="1" t="s">
        <v>20</v>
      </c>
      <c r="F1301" s="1" t="s">
        <v>478</v>
      </c>
      <c r="G1301" s="1" t="s">
        <v>479</v>
      </c>
      <c r="H1301" s="1" t="str">
        <f>IFERROR(__xludf.DUMMYFUNCTION("split(G1301,"" "")"),"Logan")</f>
        <v>Logan</v>
      </c>
      <c r="I1301" s="1" t="str">
        <f>IFERROR(__xludf.DUMMYFUNCTION("""COMPUTED_VALUE"""),"Currie")</f>
        <v>Currie</v>
      </c>
      <c r="J1301" s="1" t="s">
        <v>23</v>
      </c>
      <c r="K1301" s="1" t="s">
        <v>197</v>
      </c>
      <c r="L1301" s="1" t="str">
        <f t="shared" si="2"/>
        <v>Springfield</v>
      </c>
      <c r="M1301" s="1" t="s">
        <v>198</v>
      </c>
      <c r="N1301" s="1" t="str">
        <f t="shared" si="3"/>
        <v>Virginia</v>
      </c>
      <c r="O1301" s="1">
        <v>22153.0</v>
      </c>
      <c r="P1301" s="1" t="s">
        <v>26</v>
      </c>
      <c r="Q1301" s="1" t="s">
        <v>27</v>
      </c>
      <c r="R1301" s="3">
        <v>572.76</v>
      </c>
      <c r="S1301" s="1">
        <v>2.0</v>
      </c>
      <c r="T1301" s="4">
        <v>572.23</v>
      </c>
    </row>
    <row r="1302">
      <c r="A1302" s="1" t="s">
        <v>2046</v>
      </c>
      <c r="B1302" s="2">
        <v>43092.0</v>
      </c>
      <c r="C1302" s="2" t="str">
        <f t="shared" si="1"/>
        <v>Dec</v>
      </c>
      <c r="D1302" s="1" t="s">
        <v>2047</v>
      </c>
      <c r="E1302" s="1" t="s">
        <v>20</v>
      </c>
      <c r="F1302" s="1" t="s">
        <v>478</v>
      </c>
      <c r="G1302" s="1" t="s">
        <v>479</v>
      </c>
      <c r="H1302" s="1" t="str">
        <f>IFERROR(__xludf.DUMMYFUNCTION("split(G1302,"" "")"),"Logan")</f>
        <v>Logan</v>
      </c>
      <c r="I1302" s="1" t="str">
        <f>IFERROR(__xludf.DUMMYFUNCTION("""COMPUTED_VALUE"""),"Currie")</f>
        <v>Currie</v>
      </c>
      <c r="J1302" s="1" t="s">
        <v>23</v>
      </c>
      <c r="K1302" s="1" t="s">
        <v>197</v>
      </c>
      <c r="L1302" s="1" t="str">
        <f t="shared" si="2"/>
        <v>Springfield</v>
      </c>
      <c r="M1302" s="1" t="s">
        <v>198</v>
      </c>
      <c r="N1302" s="1" t="str">
        <f t="shared" si="3"/>
        <v>Virginia</v>
      </c>
      <c r="O1302" s="1">
        <v>22153.0</v>
      </c>
      <c r="P1302" s="1" t="s">
        <v>26</v>
      </c>
      <c r="Q1302" s="1" t="s">
        <v>27</v>
      </c>
      <c r="R1302" s="3">
        <v>286.38</v>
      </c>
      <c r="S1302" s="1">
        <v>2.0</v>
      </c>
      <c r="T1302" s="4">
        <v>285.56</v>
      </c>
    </row>
    <row r="1303">
      <c r="A1303" s="1" t="s">
        <v>2048</v>
      </c>
      <c r="B1303" s="2">
        <v>42632.0</v>
      </c>
      <c r="C1303" s="2" t="str">
        <f t="shared" si="1"/>
        <v>Sep</v>
      </c>
      <c r="D1303" s="1" t="s">
        <v>2049</v>
      </c>
      <c r="E1303" s="1" t="s">
        <v>20</v>
      </c>
      <c r="F1303" s="1" t="s">
        <v>2050</v>
      </c>
      <c r="G1303" s="1" t="s">
        <v>2051</v>
      </c>
      <c r="H1303" s="1" t="str">
        <f>IFERROR(__xludf.DUMMYFUNCTION("split(G1303,"" "")"),"Tracy")</f>
        <v>Tracy</v>
      </c>
      <c r="I1303" s="1" t="str">
        <f>IFERROR(__xludf.DUMMYFUNCTION("""COMPUTED_VALUE"""),"Collins")</f>
        <v>Collins</v>
      </c>
      <c r="J1303" s="1" t="s">
        <v>68</v>
      </c>
      <c r="K1303" s="1" t="s">
        <v>628</v>
      </c>
      <c r="L1303" s="1" t="str">
        <f t="shared" si="2"/>
        <v>Arlington</v>
      </c>
      <c r="M1303" s="1" t="s">
        <v>198</v>
      </c>
      <c r="N1303" s="1" t="str">
        <f t="shared" si="3"/>
        <v>Virginia</v>
      </c>
      <c r="O1303" s="1">
        <v>22204.0</v>
      </c>
      <c r="P1303" s="1" t="s">
        <v>26</v>
      </c>
      <c r="Q1303" s="1" t="s">
        <v>27</v>
      </c>
      <c r="R1303" s="3">
        <v>61.96</v>
      </c>
      <c r="S1303" s="1">
        <v>2.0</v>
      </c>
      <c r="T1303" s="4">
        <v>61.66</v>
      </c>
    </row>
    <row r="1304">
      <c r="A1304" s="1" t="s">
        <v>2052</v>
      </c>
      <c r="B1304" s="2">
        <v>43166.0</v>
      </c>
      <c r="C1304" s="2" t="str">
        <f t="shared" si="1"/>
        <v>Mar</v>
      </c>
      <c r="D1304" s="6">
        <v>43288.0</v>
      </c>
      <c r="E1304" s="1" t="s">
        <v>41</v>
      </c>
      <c r="F1304" s="1" t="s">
        <v>2053</v>
      </c>
      <c r="G1304" s="1" t="s">
        <v>2054</v>
      </c>
      <c r="H1304" s="1" t="str">
        <f>IFERROR(__xludf.DUMMYFUNCTION("split(G1304,"" "")"),"Chuck")</f>
        <v>Chuck</v>
      </c>
      <c r="I1304" s="1" t="str">
        <f>IFERROR(__xludf.DUMMYFUNCTION("""COMPUTED_VALUE"""),"Sachs")</f>
        <v>Sachs</v>
      </c>
      <c r="J1304" s="1" t="s">
        <v>23</v>
      </c>
      <c r="K1304" s="1" t="s">
        <v>303</v>
      </c>
      <c r="L1304" s="1" t="str">
        <f t="shared" si="2"/>
        <v>Columbus</v>
      </c>
      <c r="M1304" s="1" t="s">
        <v>707</v>
      </c>
      <c r="N1304" s="1" t="str">
        <f t="shared" si="3"/>
        <v>Georgia</v>
      </c>
      <c r="O1304" s="1">
        <v>31907.0</v>
      </c>
      <c r="P1304" s="1" t="s">
        <v>26</v>
      </c>
      <c r="Q1304" s="1" t="s">
        <v>27</v>
      </c>
      <c r="R1304" s="3">
        <v>23.99</v>
      </c>
      <c r="S1304" s="1">
        <v>3.0</v>
      </c>
      <c r="T1304" s="4">
        <v>23.25</v>
      </c>
    </row>
    <row r="1305">
      <c r="A1305" s="1" t="s">
        <v>2052</v>
      </c>
      <c r="B1305" s="2">
        <v>43166.0</v>
      </c>
      <c r="C1305" s="2" t="str">
        <f t="shared" si="1"/>
        <v>Mar</v>
      </c>
      <c r="D1305" s="6">
        <v>43288.0</v>
      </c>
      <c r="E1305" s="1" t="s">
        <v>41</v>
      </c>
      <c r="F1305" s="1" t="s">
        <v>2053</v>
      </c>
      <c r="G1305" s="1" t="s">
        <v>2054</v>
      </c>
      <c r="H1305" s="1" t="str">
        <f>IFERROR(__xludf.DUMMYFUNCTION("split(G1305,"" "")"),"Chuck")</f>
        <v>Chuck</v>
      </c>
      <c r="I1305" s="1" t="str">
        <f>IFERROR(__xludf.DUMMYFUNCTION("""COMPUTED_VALUE"""),"Sachs")</f>
        <v>Sachs</v>
      </c>
      <c r="J1305" s="1" t="s">
        <v>23</v>
      </c>
      <c r="K1305" s="1" t="s">
        <v>303</v>
      </c>
      <c r="L1305" s="1" t="str">
        <f t="shared" si="2"/>
        <v>Columbus</v>
      </c>
      <c r="M1305" s="1" t="s">
        <v>707</v>
      </c>
      <c r="N1305" s="1" t="str">
        <f t="shared" si="3"/>
        <v>Georgia</v>
      </c>
      <c r="O1305" s="1">
        <v>31907.0</v>
      </c>
      <c r="P1305" s="1" t="s">
        <v>26</v>
      </c>
      <c r="Q1305" s="1" t="s">
        <v>51</v>
      </c>
      <c r="R1305" s="3">
        <v>287.97</v>
      </c>
      <c r="S1305" s="1">
        <v>3.0</v>
      </c>
      <c r="T1305" s="4">
        <v>287.78</v>
      </c>
    </row>
    <row r="1306">
      <c r="A1306" s="1" t="s">
        <v>2055</v>
      </c>
      <c r="B1306" s="2">
        <v>42930.0</v>
      </c>
      <c r="C1306" s="2" t="str">
        <f t="shared" si="1"/>
        <v>Jul</v>
      </c>
      <c r="D1306" s="1" t="s">
        <v>1006</v>
      </c>
      <c r="E1306" s="1" t="s">
        <v>20</v>
      </c>
      <c r="F1306" s="1" t="s">
        <v>1376</v>
      </c>
      <c r="G1306" s="1" t="s">
        <v>1377</v>
      </c>
      <c r="H1306" s="1" t="str">
        <f>IFERROR(__xludf.DUMMYFUNCTION("split(G1306,"" "")"),"Bryan")</f>
        <v>Bryan</v>
      </c>
      <c r="I1306" s="1" t="str">
        <f>IFERROR(__xludf.DUMMYFUNCTION("""COMPUTED_VALUE"""),"Mills")</f>
        <v>Mills</v>
      </c>
      <c r="J1306" s="1" t="s">
        <v>23</v>
      </c>
      <c r="K1306" s="1" t="s">
        <v>129</v>
      </c>
      <c r="L1306" s="1" t="str">
        <f t="shared" si="2"/>
        <v>Houston</v>
      </c>
      <c r="M1306" s="1" t="s">
        <v>70</v>
      </c>
      <c r="N1306" s="1" t="str">
        <f t="shared" si="3"/>
        <v>Texas</v>
      </c>
      <c r="O1306" s="1">
        <v>77036.0</v>
      </c>
      <c r="P1306" s="1" t="s">
        <v>71</v>
      </c>
      <c r="Q1306" s="1" t="s">
        <v>51</v>
      </c>
      <c r="R1306" s="3">
        <v>419.944</v>
      </c>
      <c r="S1306" s="1">
        <v>7.0</v>
      </c>
      <c r="T1306" s="4">
        <v>419.72</v>
      </c>
    </row>
    <row r="1307">
      <c r="A1307" s="1" t="s">
        <v>2056</v>
      </c>
      <c r="B1307" s="2">
        <v>42906.0</v>
      </c>
      <c r="C1307" s="2" t="str">
        <f t="shared" si="1"/>
        <v>Jun</v>
      </c>
      <c r="D1307" s="1" t="s">
        <v>2057</v>
      </c>
      <c r="E1307" s="1" t="s">
        <v>121</v>
      </c>
      <c r="F1307" s="1" t="s">
        <v>561</v>
      </c>
      <c r="G1307" s="1" t="s">
        <v>562</v>
      </c>
      <c r="H1307" s="1" t="str">
        <f>IFERROR(__xludf.DUMMYFUNCTION("split(G1307,"" "")"),"Roy")</f>
        <v>Roy</v>
      </c>
      <c r="I1307" s="1" t="str">
        <f>IFERROR(__xludf.DUMMYFUNCTION("""COMPUTED_VALUE"""),"Collins")</f>
        <v>Collins</v>
      </c>
      <c r="J1307" s="1" t="s">
        <v>23</v>
      </c>
      <c r="K1307" s="1" t="s">
        <v>355</v>
      </c>
      <c r="L1307" s="1" t="str">
        <f t="shared" si="2"/>
        <v>Pasadena</v>
      </c>
      <c r="M1307" s="1" t="s">
        <v>52</v>
      </c>
      <c r="N1307" s="1" t="str">
        <f t="shared" si="3"/>
        <v>California</v>
      </c>
      <c r="O1307" s="1">
        <v>91104.0</v>
      </c>
      <c r="P1307" s="1" t="s">
        <v>37</v>
      </c>
      <c r="Q1307" s="1" t="s">
        <v>38</v>
      </c>
      <c r="R1307" s="3">
        <v>46.76</v>
      </c>
      <c r="S1307" s="1">
        <v>9.0</v>
      </c>
      <c r="T1307" s="4">
        <v>46.62</v>
      </c>
    </row>
    <row r="1308">
      <c r="A1308" s="1" t="s">
        <v>2056</v>
      </c>
      <c r="B1308" s="2">
        <v>42906.0</v>
      </c>
      <c r="C1308" s="2" t="str">
        <f t="shared" si="1"/>
        <v>Jun</v>
      </c>
      <c r="D1308" s="1" t="s">
        <v>2057</v>
      </c>
      <c r="E1308" s="1" t="s">
        <v>121</v>
      </c>
      <c r="F1308" s="1" t="s">
        <v>561</v>
      </c>
      <c r="G1308" s="1" t="s">
        <v>562</v>
      </c>
      <c r="H1308" s="1" t="str">
        <f>IFERROR(__xludf.DUMMYFUNCTION("split(G1308,"" "")"),"Roy")</f>
        <v>Roy</v>
      </c>
      <c r="I1308" s="1" t="str">
        <f>IFERROR(__xludf.DUMMYFUNCTION("""COMPUTED_VALUE"""),"Collins")</f>
        <v>Collins</v>
      </c>
      <c r="J1308" s="1" t="s">
        <v>23</v>
      </c>
      <c r="K1308" s="1" t="s">
        <v>355</v>
      </c>
      <c r="L1308" s="1" t="str">
        <f t="shared" si="2"/>
        <v>Pasadena</v>
      </c>
      <c r="M1308" s="1" t="s">
        <v>52</v>
      </c>
      <c r="N1308" s="1" t="str">
        <f t="shared" si="3"/>
        <v>California</v>
      </c>
      <c r="O1308" s="1">
        <v>91104.0</v>
      </c>
      <c r="P1308" s="1" t="s">
        <v>37</v>
      </c>
      <c r="Q1308" s="1" t="s">
        <v>38</v>
      </c>
      <c r="R1308" s="3">
        <v>17.712</v>
      </c>
      <c r="S1308" s="1">
        <v>9.0</v>
      </c>
      <c r="T1308" s="4">
        <v>17.71</v>
      </c>
    </row>
    <row r="1309">
      <c r="A1309" s="1" t="s">
        <v>2056</v>
      </c>
      <c r="B1309" s="2">
        <v>42906.0</v>
      </c>
      <c r="C1309" s="2" t="str">
        <f t="shared" si="1"/>
        <v>Jun</v>
      </c>
      <c r="D1309" s="1" t="s">
        <v>2057</v>
      </c>
      <c r="E1309" s="1" t="s">
        <v>121</v>
      </c>
      <c r="F1309" s="1" t="s">
        <v>561</v>
      </c>
      <c r="G1309" s="1" t="s">
        <v>562</v>
      </c>
      <c r="H1309" s="1" t="str">
        <f>IFERROR(__xludf.DUMMYFUNCTION("split(G1309,"" "")"),"Roy")</f>
        <v>Roy</v>
      </c>
      <c r="I1309" s="1" t="str">
        <f>IFERROR(__xludf.DUMMYFUNCTION("""COMPUTED_VALUE"""),"Collins")</f>
        <v>Collins</v>
      </c>
      <c r="J1309" s="1" t="s">
        <v>23</v>
      </c>
      <c r="K1309" s="1" t="s">
        <v>355</v>
      </c>
      <c r="L1309" s="1" t="str">
        <f t="shared" si="2"/>
        <v>Pasadena</v>
      </c>
      <c r="M1309" s="1" t="s">
        <v>52</v>
      </c>
      <c r="N1309" s="1" t="str">
        <f t="shared" si="3"/>
        <v>California</v>
      </c>
      <c r="O1309" s="1">
        <v>91104.0</v>
      </c>
      <c r="P1309" s="1" t="s">
        <v>37</v>
      </c>
      <c r="Q1309" s="1" t="s">
        <v>38</v>
      </c>
      <c r="R1309" s="3">
        <v>21.78</v>
      </c>
      <c r="S1309" s="1">
        <v>9.0</v>
      </c>
      <c r="T1309" s="4">
        <v>21.26</v>
      </c>
    </row>
    <row r="1310">
      <c r="A1310" s="1" t="s">
        <v>2056</v>
      </c>
      <c r="B1310" s="2">
        <v>42906.0</v>
      </c>
      <c r="C1310" s="2" t="str">
        <f t="shared" si="1"/>
        <v>Jun</v>
      </c>
      <c r="D1310" s="1" t="s">
        <v>2057</v>
      </c>
      <c r="E1310" s="1" t="s">
        <v>121</v>
      </c>
      <c r="F1310" s="1" t="s">
        <v>561</v>
      </c>
      <c r="G1310" s="1" t="s">
        <v>562</v>
      </c>
      <c r="H1310" s="1" t="str">
        <f>IFERROR(__xludf.DUMMYFUNCTION("split(G1310,"" "")"),"Roy")</f>
        <v>Roy</v>
      </c>
      <c r="I1310" s="1" t="str">
        <f>IFERROR(__xludf.DUMMYFUNCTION("""COMPUTED_VALUE"""),"Collins")</f>
        <v>Collins</v>
      </c>
      <c r="J1310" s="1" t="s">
        <v>23</v>
      </c>
      <c r="K1310" s="1" t="s">
        <v>355</v>
      </c>
      <c r="L1310" s="1" t="str">
        <f t="shared" si="2"/>
        <v>Pasadena</v>
      </c>
      <c r="M1310" s="1" t="s">
        <v>52</v>
      </c>
      <c r="N1310" s="1" t="str">
        <f t="shared" si="3"/>
        <v>California</v>
      </c>
      <c r="O1310" s="1">
        <v>91104.0</v>
      </c>
      <c r="P1310" s="1" t="s">
        <v>37</v>
      </c>
      <c r="Q1310" s="1" t="s">
        <v>38</v>
      </c>
      <c r="R1310" s="3">
        <v>161.94</v>
      </c>
      <c r="S1310" s="1">
        <v>9.0</v>
      </c>
      <c r="T1310" s="4">
        <v>161.45</v>
      </c>
    </row>
    <row r="1311">
      <c r="A1311" s="1" t="s">
        <v>2056</v>
      </c>
      <c r="B1311" s="2">
        <v>42906.0</v>
      </c>
      <c r="C1311" s="2" t="str">
        <f t="shared" si="1"/>
        <v>Jun</v>
      </c>
      <c r="D1311" s="1" t="s">
        <v>2057</v>
      </c>
      <c r="E1311" s="1" t="s">
        <v>121</v>
      </c>
      <c r="F1311" s="1" t="s">
        <v>561</v>
      </c>
      <c r="G1311" s="1" t="s">
        <v>562</v>
      </c>
      <c r="H1311" s="1" t="str">
        <f>IFERROR(__xludf.DUMMYFUNCTION("split(G1311,"" "")"),"Roy")</f>
        <v>Roy</v>
      </c>
      <c r="I1311" s="1" t="str">
        <f>IFERROR(__xludf.DUMMYFUNCTION("""COMPUTED_VALUE"""),"Collins")</f>
        <v>Collins</v>
      </c>
      <c r="J1311" s="1" t="s">
        <v>23</v>
      </c>
      <c r="K1311" s="1" t="s">
        <v>355</v>
      </c>
      <c r="L1311" s="1" t="str">
        <f t="shared" si="2"/>
        <v>Pasadena</v>
      </c>
      <c r="M1311" s="1" t="s">
        <v>52</v>
      </c>
      <c r="N1311" s="1" t="str">
        <f t="shared" si="3"/>
        <v>California</v>
      </c>
      <c r="O1311" s="1">
        <v>91104.0</v>
      </c>
      <c r="P1311" s="1" t="s">
        <v>37</v>
      </c>
      <c r="Q1311" s="1" t="s">
        <v>27</v>
      </c>
      <c r="R1311" s="3">
        <v>161.568</v>
      </c>
      <c r="S1311" s="1">
        <v>9.0</v>
      </c>
      <c r="T1311" s="4">
        <v>161.22</v>
      </c>
    </row>
    <row r="1312">
      <c r="A1312" s="1" t="s">
        <v>2058</v>
      </c>
      <c r="B1312" s="2">
        <v>42990.0</v>
      </c>
      <c r="C1312" s="2" t="str">
        <f t="shared" si="1"/>
        <v>Sep</v>
      </c>
      <c r="D1312" s="1" t="s">
        <v>89</v>
      </c>
      <c r="E1312" s="1" t="s">
        <v>41</v>
      </c>
      <c r="F1312" s="1" t="s">
        <v>1152</v>
      </c>
      <c r="G1312" s="1" t="s">
        <v>1153</v>
      </c>
      <c r="H1312" s="1" t="str">
        <f>IFERROR(__xludf.DUMMYFUNCTION("split(G1312,"" "")"),"Fred")</f>
        <v>Fred</v>
      </c>
      <c r="I1312" s="1" t="str">
        <f>IFERROR(__xludf.DUMMYFUNCTION("""COMPUTED_VALUE"""),"McMath")</f>
        <v>McMath</v>
      </c>
      <c r="J1312" s="1" t="s">
        <v>23</v>
      </c>
      <c r="K1312" s="1" t="s">
        <v>822</v>
      </c>
      <c r="L1312" s="1" t="str">
        <f t="shared" si="2"/>
        <v>Lawrence</v>
      </c>
      <c r="M1312" s="1" t="s">
        <v>694</v>
      </c>
      <c r="N1312" s="1" t="str">
        <f t="shared" si="3"/>
        <v>Massachusetts</v>
      </c>
      <c r="O1312" s="1">
        <v>1841.0</v>
      </c>
      <c r="P1312" s="1" t="s">
        <v>100</v>
      </c>
      <c r="Q1312" s="1" t="s">
        <v>38</v>
      </c>
      <c r="R1312" s="3">
        <v>3.69</v>
      </c>
      <c r="S1312" s="1">
        <v>1.0</v>
      </c>
      <c r="T1312" s="4">
        <v>2.7</v>
      </c>
    </row>
    <row r="1313">
      <c r="A1313" s="1" t="s">
        <v>2058</v>
      </c>
      <c r="B1313" s="2">
        <v>42990.0</v>
      </c>
      <c r="C1313" s="2" t="str">
        <f t="shared" si="1"/>
        <v>Sep</v>
      </c>
      <c r="D1313" s="1" t="s">
        <v>89</v>
      </c>
      <c r="E1313" s="1" t="s">
        <v>41</v>
      </c>
      <c r="F1313" s="1" t="s">
        <v>1152</v>
      </c>
      <c r="G1313" s="1" t="s">
        <v>1153</v>
      </c>
      <c r="H1313" s="1" t="str">
        <f>IFERROR(__xludf.DUMMYFUNCTION("split(G1313,"" "")"),"Fred")</f>
        <v>Fred</v>
      </c>
      <c r="I1313" s="1" t="str">
        <f>IFERROR(__xludf.DUMMYFUNCTION("""COMPUTED_VALUE"""),"McMath")</f>
        <v>McMath</v>
      </c>
      <c r="J1313" s="1" t="s">
        <v>23</v>
      </c>
      <c r="K1313" s="1" t="s">
        <v>822</v>
      </c>
      <c r="L1313" s="1" t="str">
        <f t="shared" si="2"/>
        <v>Lawrence</v>
      </c>
      <c r="M1313" s="1" t="s">
        <v>694</v>
      </c>
      <c r="N1313" s="1" t="str">
        <f t="shared" si="3"/>
        <v>Massachusetts</v>
      </c>
      <c r="O1313" s="1">
        <v>1841.0</v>
      </c>
      <c r="P1313" s="1" t="s">
        <v>100</v>
      </c>
      <c r="Q1313" s="1" t="s">
        <v>38</v>
      </c>
      <c r="R1313" s="3">
        <v>122.12</v>
      </c>
      <c r="S1313" s="1">
        <v>1.0</v>
      </c>
      <c r="T1313" s="4">
        <v>121.37</v>
      </c>
    </row>
    <row r="1314">
      <c r="A1314" s="1" t="s">
        <v>2059</v>
      </c>
      <c r="B1314" s="2">
        <v>43002.0</v>
      </c>
      <c r="C1314" s="2" t="str">
        <f t="shared" si="1"/>
        <v>Sep</v>
      </c>
      <c r="D1314" s="6">
        <v>42745.0</v>
      </c>
      <c r="E1314" s="1" t="s">
        <v>41</v>
      </c>
      <c r="F1314" s="1" t="s">
        <v>74</v>
      </c>
      <c r="G1314" s="1" t="s">
        <v>75</v>
      </c>
      <c r="H1314" s="1" t="str">
        <f>IFERROR(__xludf.DUMMYFUNCTION("split(G1314,"" "")"),"Pete")</f>
        <v>Pete</v>
      </c>
      <c r="I1314" s="1" t="str">
        <f>IFERROR(__xludf.DUMMYFUNCTION("""COMPUTED_VALUE"""),"Kriz")</f>
        <v>Kriz</v>
      </c>
      <c r="J1314" s="1" t="s">
        <v>23</v>
      </c>
      <c r="K1314" s="1" t="s">
        <v>303</v>
      </c>
      <c r="L1314" s="1" t="str">
        <f t="shared" si="2"/>
        <v>Columbus</v>
      </c>
      <c r="M1314" s="1" t="s">
        <v>304</v>
      </c>
      <c r="N1314" s="1" t="str">
        <f t="shared" si="3"/>
        <v>Ohio</v>
      </c>
      <c r="O1314" s="1">
        <v>43229.0</v>
      </c>
      <c r="P1314" s="1" t="s">
        <v>100</v>
      </c>
      <c r="Q1314" s="1" t="s">
        <v>27</v>
      </c>
      <c r="R1314" s="3">
        <v>155.372</v>
      </c>
      <c r="S1314" s="1">
        <v>4.0</v>
      </c>
      <c r="T1314" s="4">
        <v>154.79</v>
      </c>
    </row>
    <row r="1315">
      <c r="A1315" s="1" t="s">
        <v>2060</v>
      </c>
      <c r="B1315" s="2">
        <v>43087.0</v>
      </c>
      <c r="C1315" s="2" t="str">
        <f t="shared" si="1"/>
        <v>Dec</v>
      </c>
      <c r="D1315" s="1" t="s">
        <v>2061</v>
      </c>
      <c r="E1315" s="1" t="s">
        <v>41</v>
      </c>
      <c r="F1315" s="1" t="s">
        <v>2062</v>
      </c>
      <c r="G1315" s="1" t="s">
        <v>2063</v>
      </c>
      <c r="H1315" s="1" t="str">
        <f>IFERROR(__xludf.DUMMYFUNCTION("split(G1315,"" "")"),"Henry")</f>
        <v>Henry</v>
      </c>
      <c r="I1315" s="1" t="str">
        <f>IFERROR(__xludf.DUMMYFUNCTION("""COMPUTED_VALUE"""),"Goldwyn")</f>
        <v>Goldwyn</v>
      </c>
      <c r="J1315" s="1" t="s">
        <v>34</v>
      </c>
      <c r="K1315" s="1" t="s">
        <v>35</v>
      </c>
      <c r="L1315" s="1" t="str">
        <f t="shared" si="2"/>
        <v>Los Angeles</v>
      </c>
      <c r="M1315" s="1" t="s">
        <v>52</v>
      </c>
      <c r="N1315" s="1" t="str">
        <f t="shared" si="3"/>
        <v>California</v>
      </c>
      <c r="O1315" s="1">
        <v>90032.0</v>
      </c>
      <c r="P1315" s="1" t="s">
        <v>37</v>
      </c>
      <c r="Q1315" s="1" t="s">
        <v>38</v>
      </c>
      <c r="R1315" s="3">
        <v>38.88</v>
      </c>
      <c r="S1315" s="1">
        <v>9.0</v>
      </c>
      <c r="T1315" s="4">
        <v>38.0</v>
      </c>
    </row>
    <row r="1316">
      <c r="A1316" s="1" t="s">
        <v>2060</v>
      </c>
      <c r="B1316" s="2">
        <v>43087.0</v>
      </c>
      <c r="C1316" s="2" t="str">
        <f t="shared" si="1"/>
        <v>Dec</v>
      </c>
      <c r="D1316" s="1" t="s">
        <v>2061</v>
      </c>
      <c r="E1316" s="1" t="s">
        <v>41</v>
      </c>
      <c r="F1316" s="1" t="s">
        <v>2062</v>
      </c>
      <c r="G1316" s="1" t="s">
        <v>2063</v>
      </c>
      <c r="H1316" s="1" t="str">
        <f>IFERROR(__xludf.DUMMYFUNCTION("split(G1316,"" "")"),"Henry")</f>
        <v>Henry</v>
      </c>
      <c r="I1316" s="1" t="str">
        <f>IFERROR(__xludf.DUMMYFUNCTION("""COMPUTED_VALUE"""),"Goldwyn")</f>
        <v>Goldwyn</v>
      </c>
      <c r="J1316" s="1" t="s">
        <v>34</v>
      </c>
      <c r="K1316" s="1" t="s">
        <v>35</v>
      </c>
      <c r="L1316" s="1" t="str">
        <f t="shared" si="2"/>
        <v>Los Angeles</v>
      </c>
      <c r="M1316" s="1" t="s">
        <v>52</v>
      </c>
      <c r="N1316" s="1" t="str">
        <f t="shared" si="3"/>
        <v>California</v>
      </c>
      <c r="O1316" s="1">
        <v>90032.0</v>
      </c>
      <c r="P1316" s="1" t="s">
        <v>37</v>
      </c>
      <c r="Q1316" s="1" t="s">
        <v>27</v>
      </c>
      <c r="R1316" s="3">
        <v>183.84</v>
      </c>
      <c r="S1316" s="1">
        <v>9.0</v>
      </c>
      <c r="T1316" s="4">
        <v>183.21</v>
      </c>
    </row>
    <row r="1317">
      <c r="A1317" s="1" t="s">
        <v>2060</v>
      </c>
      <c r="B1317" s="2">
        <v>43087.0</v>
      </c>
      <c r="C1317" s="2" t="str">
        <f t="shared" si="1"/>
        <v>Dec</v>
      </c>
      <c r="D1317" s="1" t="s">
        <v>2061</v>
      </c>
      <c r="E1317" s="1" t="s">
        <v>41</v>
      </c>
      <c r="F1317" s="1" t="s">
        <v>2062</v>
      </c>
      <c r="G1317" s="1" t="s">
        <v>2063</v>
      </c>
      <c r="H1317" s="1" t="str">
        <f>IFERROR(__xludf.DUMMYFUNCTION("split(G1317,"" "")"),"Henry")</f>
        <v>Henry</v>
      </c>
      <c r="I1317" s="1" t="str">
        <f>IFERROR(__xludf.DUMMYFUNCTION("""COMPUTED_VALUE"""),"Goldwyn")</f>
        <v>Goldwyn</v>
      </c>
      <c r="J1317" s="1" t="s">
        <v>34</v>
      </c>
      <c r="K1317" s="1" t="s">
        <v>35</v>
      </c>
      <c r="L1317" s="1" t="str">
        <f t="shared" si="2"/>
        <v>Los Angeles</v>
      </c>
      <c r="M1317" s="1" t="s">
        <v>52</v>
      </c>
      <c r="N1317" s="1" t="str">
        <f t="shared" si="3"/>
        <v>California</v>
      </c>
      <c r="O1317" s="1">
        <v>90032.0</v>
      </c>
      <c r="P1317" s="1" t="s">
        <v>37</v>
      </c>
      <c r="Q1317" s="1" t="s">
        <v>38</v>
      </c>
      <c r="R1317" s="3">
        <v>579.3</v>
      </c>
      <c r="S1317" s="1">
        <v>9.0</v>
      </c>
      <c r="T1317" s="4">
        <v>579.25</v>
      </c>
    </row>
    <row r="1318">
      <c r="A1318" s="1" t="s">
        <v>2064</v>
      </c>
      <c r="B1318" s="2">
        <v>43385.0</v>
      </c>
      <c r="C1318" s="2" t="str">
        <f t="shared" si="1"/>
        <v>Oct</v>
      </c>
      <c r="D1318" s="1" t="s">
        <v>485</v>
      </c>
      <c r="E1318" s="1" t="s">
        <v>41</v>
      </c>
      <c r="F1318" s="1" t="s">
        <v>353</v>
      </c>
      <c r="G1318" s="1" t="s">
        <v>354</v>
      </c>
      <c r="H1318" s="1" t="str">
        <f>IFERROR(__xludf.DUMMYFUNCTION("split(G1318,"" "")"),"Helen")</f>
        <v>Helen</v>
      </c>
      <c r="I1318" s="1" t="str">
        <f>IFERROR(__xludf.DUMMYFUNCTION("""COMPUTED_VALUE"""),"Andreada")</f>
        <v>Andreada</v>
      </c>
      <c r="J1318" s="1" t="s">
        <v>23</v>
      </c>
      <c r="K1318" s="1" t="s">
        <v>98</v>
      </c>
      <c r="L1318" s="1" t="str">
        <f t="shared" si="2"/>
        <v>Philadelphia</v>
      </c>
      <c r="M1318" s="1" t="s">
        <v>99</v>
      </c>
      <c r="N1318" s="1" t="str">
        <f t="shared" si="3"/>
        <v>Pennsylvania</v>
      </c>
      <c r="O1318" s="1">
        <v>19120.0</v>
      </c>
      <c r="P1318" s="1" t="s">
        <v>100</v>
      </c>
      <c r="Q1318" s="1" t="s">
        <v>51</v>
      </c>
      <c r="R1318" s="3">
        <v>14.2</v>
      </c>
      <c r="S1318" s="1">
        <v>1.0</v>
      </c>
      <c r="T1318" s="4">
        <v>13.64</v>
      </c>
    </row>
    <row r="1319">
      <c r="A1319" s="1" t="s">
        <v>2065</v>
      </c>
      <c r="B1319" s="2">
        <v>42011.0</v>
      </c>
      <c r="C1319" s="2" t="str">
        <f t="shared" si="1"/>
        <v>Jan</v>
      </c>
      <c r="D1319" s="6">
        <v>42131.0</v>
      </c>
      <c r="E1319" s="1" t="s">
        <v>41</v>
      </c>
      <c r="F1319" s="1" t="s">
        <v>2066</v>
      </c>
      <c r="G1319" s="1" t="s">
        <v>2067</v>
      </c>
      <c r="H1319" s="1" t="str">
        <f>IFERROR(__xludf.DUMMYFUNCTION("split(G1319,"" "")"),"Laurel")</f>
        <v>Laurel</v>
      </c>
      <c r="I1319" s="1" t="str">
        <f>IFERROR(__xludf.DUMMYFUNCTION("""COMPUTED_VALUE"""),"Workman")</f>
        <v>Workman</v>
      </c>
      <c r="J1319" s="1" t="s">
        <v>34</v>
      </c>
      <c r="K1319" s="1" t="s">
        <v>2068</v>
      </c>
      <c r="L1319" s="1" t="str">
        <f t="shared" si="2"/>
        <v>Deltona</v>
      </c>
      <c r="M1319" s="1" t="s">
        <v>145</v>
      </c>
      <c r="N1319" s="1" t="str">
        <f t="shared" si="3"/>
        <v>Florida</v>
      </c>
      <c r="O1319" s="1">
        <v>32725.0</v>
      </c>
      <c r="P1319" s="1" t="s">
        <v>26</v>
      </c>
      <c r="Q1319" s="1" t="s">
        <v>51</v>
      </c>
      <c r="R1319" s="3">
        <v>575.92</v>
      </c>
      <c r="S1319" s="1">
        <v>3.0</v>
      </c>
      <c r="T1319" s="4">
        <v>574.96</v>
      </c>
    </row>
    <row r="1320">
      <c r="A1320" s="1" t="s">
        <v>2065</v>
      </c>
      <c r="B1320" s="2">
        <v>42011.0</v>
      </c>
      <c r="C1320" s="2" t="str">
        <f t="shared" si="1"/>
        <v>Jan</v>
      </c>
      <c r="D1320" s="6">
        <v>42131.0</v>
      </c>
      <c r="E1320" s="1" t="s">
        <v>41</v>
      </c>
      <c r="F1320" s="1" t="s">
        <v>2066</v>
      </c>
      <c r="G1320" s="1" t="s">
        <v>2067</v>
      </c>
      <c r="H1320" s="1" t="str">
        <f>IFERROR(__xludf.DUMMYFUNCTION("split(G1320,"" "")"),"Laurel")</f>
        <v>Laurel</v>
      </c>
      <c r="I1320" s="1" t="str">
        <f>IFERROR(__xludf.DUMMYFUNCTION("""COMPUTED_VALUE"""),"Workman")</f>
        <v>Workman</v>
      </c>
      <c r="J1320" s="1" t="s">
        <v>34</v>
      </c>
      <c r="K1320" s="1" t="s">
        <v>2068</v>
      </c>
      <c r="L1320" s="1" t="str">
        <f t="shared" si="2"/>
        <v>Deltona</v>
      </c>
      <c r="M1320" s="1" t="s">
        <v>145</v>
      </c>
      <c r="N1320" s="1" t="str">
        <f t="shared" si="3"/>
        <v>Florida</v>
      </c>
      <c r="O1320" s="1">
        <v>32725.0</v>
      </c>
      <c r="P1320" s="1" t="s">
        <v>26</v>
      </c>
      <c r="Q1320" s="1" t="s">
        <v>38</v>
      </c>
      <c r="R1320" s="3">
        <v>5.184</v>
      </c>
      <c r="S1320" s="1">
        <v>3.0</v>
      </c>
      <c r="T1320" s="4">
        <v>4.82</v>
      </c>
    </row>
    <row r="1321">
      <c r="A1321" s="1" t="s">
        <v>2069</v>
      </c>
      <c r="B1321" s="2">
        <v>43161.0</v>
      </c>
      <c r="C1321" s="2" t="str">
        <f t="shared" si="1"/>
        <v>Mar</v>
      </c>
      <c r="D1321" s="6">
        <v>43314.0</v>
      </c>
      <c r="E1321" s="1" t="s">
        <v>41</v>
      </c>
      <c r="F1321" s="1" t="s">
        <v>2070</v>
      </c>
      <c r="G1321" s="1" t="s">
        <v>2071</v>
      </c>
      <c r="H1321" s="1" t="str">
        <f>IFERROR(__xludf.DUMMYFUNCTION("split(G1321,"" "")"),"Matt")</f>
        <v>Matt</v>
      </c>
      <c r="I1321" s="1" t="str">
        <f>IFERROR(__xludf.DUMMYFUNCTION("""COMPUTED_VALUE"""),"Collins")</f>
        <v>Collins</v>
      </c>
      <c r="J1321" s="1" t="s">
        <v>23</v>
      </c>
      <c r="K1321" s="1" t="s">
        <v>579</v>
      </c>
      <c r="L1321" s="1" t="str">
        <f t="shared" si="2"/>
        <v>Cincinnati</v>
      </c>
      <c r="M1321" s="1" t="s">
        <v>304</v>
      </c>
      <c r="N1321" s="1" t="str">
        <f t="shared" si="3"/>
        <v>Ohio</v>
      </c>
      <c r="O1321" s="1">
        <v>45231.0</v>
      </c>
      <c r="P1321" s="1" t="s">
        <v>100</v>
      </c>
      <c r="Q1321" s="1" t="s">
        <v>38</v>
      </c>
      <c r="R1321" s="3">
        <v>5.229</v>
      </c>
      <c r="S1321" s="1">
        <v>4.0</v>
      </c>
      <c r="T1321" s="4">
        <v>4.59</v>
      </c>
    </row>
    <row r="1322">
      <c r="A1322" s="1" t="s">
        <v>2069</v>
      </c>
      <c r="B1322" s="2">
        <v>43161.0</v>
      </c>
      <c r="C1322" s="2" t="str">
        <f t="shared" si="1"/>
        <v>Mar</v>
      </c>
      <c r="D1322" s="6">
        <v>43314.0</v>
      </c>
      <c r="E1322" s="1" t="s">
        <v>41</v>
      </c>
      <c r="F1322" s="1" t="s">
        <v>2070</v>
      </c>
      <c r="G1322" s="1" t="s">
        <v>2071</v>
      </c>
      <c r="H1322" s="1" t="str">
        <f>IFERROR(__xludf.DUMMYFUNCTION("split(G1322,"" "")"),"Matt")</f>
        <v>Matt</v>
      </c>
      <c r="I1322" s="1" t="str">
        <f>IFERROR(__xludf.DUMMYFUNCTION("""COMPUTED_VALUE"""),"Collins")</f>
        <v>Collins</v>
      </c>
      <c r="J1322" s="1" t="s">
        <v>23</v>
      </c>
      <c r="K1322" s="1" t="s">
        <v>579</v>
      </c>
      <c r="L1322" s="1" t="str">
        <f t="shared" si="2"/>
        <v>Cincinnati</v>
      </c>
      <c r="M1322" s="1" t="s">
        <v>304</v>
      </c>
      <c r="N1322" s="1" t="str">
        <f t="shared" si="3"/>
        <v>Ohio</v>
      </c>
      <c r="O1322" s="1">
        <v>45231.0</v>
      </c>
      <c r="P1322" s="1" t="s">
        <v>100</v>
      </c>
      <c r="Q1322" s="1" t="s">
        <v>38</v>
      </c>
      <c r="R1322" s="3">
        <v>285.552</v>
      </c>
      <c r="S1322" s="1">
        <v>4.0</v>
      </c>
      <c r="T1322" s="4">
        <v>285.41</v>
      </c>
    </row>
    <row r="1323">
      <c r="A1323" s="1" t="s">
        <v>2072</v>
      </c>
      <c r="B1323" s="2">
        <v>43162.0</v>
      </c>
      <c r="C1323" s="2" t="str">
        <f t="shared" si="1"/>
        <v>Mar</v>
      </c>
      <c r="D1323" s="6">
        <v>43315.0</v>
      </c>
      <c r="E1323" s="1" t="s">
        <v>41</v>
      </c>
      <c r="F1323" s="1" t="s">
        <v>2073</v>
      </c>
      <c r="G1323" s="1" t="s">
        <v>2074</v>
      </c>
      <c r="H1323" s="1" t="str">
        <f>IFERROR(__xludf.DUMMYFUNCTION("split(G1323,"" "")"),"Liz")</f>
        <v>Liz</v>
      </c>
      <c r="I1323" s="1" t="str">
        <f>IFERROR(__xludf.DUMMYFUNCTION("""COMPUTED_VALUE"""),"Preis")</f>
        <v>Preis</v>
      </c>
      <c r="J1323" s="1" t="s">
        <v>23</v>
      </c>
      <c r="K1323" s="1" t="s">
        <v>2075</v>
      </c>
      <c r="L1323" s="1" t="str">
        <f t="shared" si="2"/>
        <v>Murray</v>
      </c>
      <c r="M1323" s="1" t="s">
        <v>25</v>
      </c>
      <c r="N1323" s="1" t="str">
        <f t="shared" si="3"/>
        <v>Kentucky</v>
      </c>
      <c r="O1323" s="1">
        <v>42071.0</v>
      </c>
      <c r="P1323" s="1" t="s">
        <v>26</v>
      </c>
      <c r="Q1323" s="1" t="s">
        <v>38</v>
      </c>
      <c r="R1323" s="3">
        <v>72.8</v>
      </c>
      <c r="S1323" s="1">
        <v>4.0</v>
      </c>
      <c r="T1323" s="4">
        <v>72.63</v>
      </c>
    </row>
    <row r="1324">
      <c r="A1324" s="1" t="s">
        <v>2076</v>
      </c>
      <c r="B1324" s="2">
        <v>43353.0</v>
      </c>
      <c r="C1324" s="2" t="str">
        <f t="shared" si="1"/>
        <v>Sep</v>
      </c>
      <c r="D1324" s="5">
        <v>43383.0</v>
      </c>
      <c r="E1324" s="1" t="s">
        <v>121</v>
      </c>
      <c r="F1324" s="1" t="s">
        <v>2077</v>
      </c>
      <c r="G1324" s="1" t="s">
        <v>2078</v>
      </c>
      <c r="H1324" s="1" t="str">
        <f>IFERROR(__xludf.DUMMYFUNCTION("split(G1324,"" "")"),"Evan")</f>
        <v>Evan</v>
      </c>
      <c r="I1324" s="1" t="str">
        <f>IFERROR(__xludf.DUMMYFUNCTION("""COMPUTED_VALUE"""),"Bailliet")</f>
        <v>Bailliet</v>
      </c>
      <c r="J1324" s="1" t="s">
        <v>23</v>
      </c>
      <c r="K1324" s="1" t="s">
        <v>315</v>
      </c>
      <c r="L1324" s="1" t="str">
        <f t="shared" si="2"/>
        <v>Wilmington</v>
      </c>
      <c r="M1324" s="1" t="s">
        <v>58</v>
      </c>
      <c r="N1324" s="1" t="str">
        <f t="shared" si="3"/>
        <v>North Carolina</v>
      </c>
      <c r="O1324" s="1">
        <v>28403.0</v>
      </c>
      <c r="P1324" s="1" t="s">
        <v>26</v>
      </c>
      <c r="Q1324" s="1" t="s">
        <v>38</v>
      </c>
      <c r="R1324" s="3">
        <v>10.816</v>
      </c>
      <c r="S1324" s="1">
        <v>2.0</v>
      </c>
      <c r="T1324" s="4">
        <v>10.77</v>
      </c>
    </row>
    <row r="1325">
      <c r="A1325" s="1" t="s">
        <v>2079</v>
      </c>
      <c r="B1325" s="2">
        <v>42275.0</v>
      </c>
      <c r="C1325" s="2" t="str">
        <f t="shared" si="1"/>
        <v>Sep</v>
      </c>
      <c r="D1325" s="6">
        <v>42073.0</v>
      </c>
      <c r="E1325" s="1" t="s">
        <v>41</v>
      </c>
      <c r="F1325" s="1" t="s">
        <v>2080</v>
      </c>
      <c r="G1325" s="1" t="s">
        <v>2081</v>
      </c>
      <c r="H1325" s="1" t="str">
        <f>IFERROR(__xludf.DUMMYFUNCTION("split(G1325,"" "")"),"George")</f>
        <v>George</v>
      </c>
      <c r="I1325" s="1" t="str">
        <f>IFERROR(__xludf.DUMMYFUNCTION("""COMPUTED_VALUE"""),"Zrebassa")</f>
        <v>Zrebassa</v>
      </c>
      <c r="J1325" s="1" t="s">
        <v>34</v>
      </c>
      <c r="K1325" s="1" t="s">
        <v>822</v>
      </c>
      <c r="L1325" s="1" t="str">
        <f t="shared" si="2"/>
        <v>Lawrence</v>
      </c>
      <c r="M1325" s="1" t="s">
        <v>694</v>
      </c>
      <c r="N1325" s="1" t="str">
        <f t="shared" si="3"/>
        <v>Massachusetts</v>
      </c>
      <c r="O1325" s="1">
        <v>1841.0</v>
      </c>
      <c r="P1325" s="1" t="s">
        <v>100</v>
      </c>
      <c r="Q1325" s="1" t="s">
        <v>38</v>
      </c>
      <c r="R1325" s="3">
        <v>46.26</v>
      </c>
      <c r="S1325" s="1">
        <v>1.0</v>
      </c>
      <c r="T1325" s="4">
        <v>45.29</v>
      </c>
    </row>
    <row r="1326">
      <c r="A1326" s="1" t="s">
        <v>2082</v>
      </c>
      <c r="B1326" s="2">
        <v>42151.0</v>
      </c>
      <c r="C1326" s="2" t="str">
        <f t="shared" si="1"/>
        <v>May</v>
      </c>
      <c r="D1326" s="1" t="s">
        <v>2083</v>
      </c>
      <c r="E1326" s="1" t="s">
        <v>121</v>
      </c>
      <c r="F1326" s="1" t="s">
        <v>486</v>
      </c>
      <c r="G1326" s="1" t="s">
        <v>487</v>
      </c>
      <c r="H1326" s="1" t="str">
        <f>IFERROR(__xludf.DUMMYFUNCTION("split(G1326,"" "")"),"Laurel")</f>
        <v>Laurel</v>
      </c>
      <c r="I1326" s="1" t="str">
        <f>IFERROR(__xludf.DUMMYFUNCTION("""COMPUTED_VALUE"""),"Elliston")</f>
        <v>Elliston</v>
      </c>
      <c r="J1326" s="1" t="s">
        <v>23</v>
      </c>
      <c r="K1326" s="1" t="s">
        <v>188</v>
      </c>
      <c r="L1326" s="1" t="str">
        <f t="shared" si="2"/>
        <v>Chicago</v>
      </c>
      <c r="M1326" s="1" t="s">
        <v>135</v>
      </c>
      <c r="N1326" s="1" t="str">
        <f t="shared" si="3"/>
        <v>Illinois</v>
      </c>
      <c r="O1326" s="1">
        <v>60653.0</v>
      </c>
      <c r="P1326" s="1" t="s">
        <v>71</v>
      </c>
      <c r="Q1326" s="1" t="s">
        <v>38</v>
      </c>
      <c r="R1326" s="3">
        <v>17.46</v>
      </c>
      <c r="S1326" s="1">
        <v>6.0</v>
      </c>
      <c r="T1326" s="4">
        <v>16.75</v>
      </c>
    </row>
    <row r="1327">
      <c r="A1327" s="1" t="s">
        <v>2084</v>
      </c>
      <c r="B1327" s="2">
        <v>42535.0</v>
      </c>
      <c r="C1327" s="2" t="str">
        <f t="shared" si="1"/>
        <v>Jun</v>
      </c>
      <c r="D1327" s="1" t="s">
        <v>2085</v>
      </c>
      <c r="E1327" s="1" t="s">
        <v>41</v>
      </c>
      <c r="F1327" s="1" t="s">
        <v>318</v>
      </c>
      <c r="G1327" s="1" t="s">
        <v>319</v>
      </c>
      <c r="H1327" s="1" t="str">
        <f>IFERROR(__xludf.DUMMYFUNCTION("split(G1327,"" "")"),"Alan")</f>
        <v>Alan</v>
      </c>
      <c r="I1327" s="1" t="str">
        <f>IFERROR(__xludf.DUMMYFUNCTION("""COMPUTED_VALUE"""),"Dominguez")</f>
        <v>Dominguez</v>
      </c>
      <c r="J1327" s="1" t="s">
        <v>68</v>
      </c>
      <c r="K1327" s="1" t="s">
        <v>98</v>
      </c>
      <c r="L1327" s="1" t="str">
        <f t="shared" si="2"/>
        <v>Philadelphia</v>
      </c>
      <c r="M1327" s="1" t="s">
        <v>99</v>
      </c>
      <c r="N1327" s="1" t="str">
        <f t="shared" si="3"/>
        <v>Pennsylvania</v>
      </c>
      <c r="O1327" s="1">
        <v>19120.0</v>
      </c>
      <c r="P1327" s="1" t="s">
        <v>100</v>
      </c>
      <c r="Q1327" s="1" t="s">
        <v>27</v>
      </c>
      <c r="R1327" s="3">
        <v>51.072</v>
      </c>
      <c r="S1327" s="1">
        <v>1.0</v>
      </c>
      <c r="T1327" s="4">
        <v>50.77</v>
      </c>
    </row>
    <row r="1328">
      <c r="A1328" s="1" t="s">
        <v>2086</v>
      </c>
      <c r="B1328" s="2">
        <v>42824.0</v>
      </c>
      <c r="C1328" s="2" t="str">
        <f t="shared" si="1"/>
        <v>Mar</v>
      </c>
      <c r="D1328" s="6">
        <v>42739.0</v>
      </c>
      <c r="E1328" s="1" t="s">
        <v>121</v>
      </c>
      <c r="F1328" s="1" t="s">
        <v>2087</v>
      </c>
      <c r="G1328" s="1" t="s">
        <v>2088</v>
      </c>
      <c r="H1328" s="1" t="str">
        <f>IFERROR(__xludf.DUMMYFUNCTION("split(G1328,"" "")"),"Cathy")</f>
        <v>Cathy</v>
      </c>
      <c r="I1328" s="1" t="str">
        <f>IFERROR(__xludf.DUMMYFUNCTION("""COMPUTED_VALUE"""),"Prescott")</f>
        <v>Prescott</v>
      </c>
      <c r="J1328" s="1" t="s">
        <v>34</v>
      </c>
      <c r="K1328" s="1" t="s">
        <v>2089</v>
      </c>
      <c r="L1328" s="1" t="str">
        <f t="shared" si="2"/>
        <v>Norwich</v>
      </c>
      <c r="M1328" s="1" t="s">
        <v>435</v>
      </c>
      <c r="N1328" s="1" t="str">
        <f t="shared" si="3"/>
        <v>Connecticut</v>
      </c>
      <c r="O1328" s="1">
        <v>6360.0</v>
      </c>
      <c r="P1328" s="1" t="s">
        <v>100</v>
      </c>
      <c r="Q1328" s="1" t="s">
        <v>38</v>
      </c>
      <c r="R1328" s="3">
        <v>11.34</v>
      </c>
      <c r="S1328" s="1">
        <v>6.0</v>
      </c>
      <c r="T1328" s="4">
        <v>11.27</v>
      </c>
    </row>
    <row r="1329">
      <c r="A1329" s="1" t="s">
        <v>2090</v>
      </c>
      <c r="B1329" s="2">
        <v>43388.0</v>
      </c>
      <c r="C1329" s="2" t="str">
        <f t="shared" si="1"/>
        <v>Oct</v>
      </c>
      <c r="D1329" s="1" t="s">
        <v>2091</v>
      </c>
      <c r="E1329" s="1" t="s">
        <v>20</v>
      </c>
      <c r="F1329" s="1" t="s">
        <v>2092</v>
      </c>
      <c r="G1329" s="1" t="s">
        <v>2093</v>
      </c>
      <c r="H1329" s="1" t="str">
        <f>IFERROR(__xludf.DUMMYFUNCTION("split(G1329,"" "")"),"Frank")</f>
        <v>Frank</v>
      </c>
      <c r="I1329" s="1" t="str">
        <f>IFERROR(__xludf.DUMMYFUNCTION("""COMPUTED_VALUE"""),"Gastineau")</f>
        <v>Gastineau</v>
      </c>
      <c r="J1329" s="1" t="s">
        <v>68</v>
      </c>
      <c r="K1329" s="1" t="s">
        <v>87</v>
      </c>
      <c r="L1329" s="1" t="str">
        <f t="shared" si="2"/>
        <v>San Francisco</v>
      </c>
      <c r="M1329" s="1" t="s">
        <v>52</v>
      </c>
      <c r="N1329" s="1" t="str">
        <f t="shared" si="3"/>
        <v>California</v>
      </c>
      <c r="O1329" s="1">
        <v>94110.0</v>
      </c>
      <c r="P1329" s="1" t="s">
        <v>37</v>
      </c>
      <c r="Q1329" s="1" t="s">
        <v>38</v>
      </c>
      <c r="R1329" s="3">
        <v>87.92</v>
      </c>
      <c r="S1329" s="1">
        <v>9.0</v>
      </c>
      <c r="T1329" s="4">
        <v>87.9</v>
      </c>
    </row>
    <row r="1330">
      <c r="A1330" s="1" t="s">
        <v>2094</v>
      </c>
      <c r="B1330" s="2">
        <v>42878.0</v>
      </c>
      <c r="C1330" s="2" t="str">
        <f t="shared" si="1"/>
        <v>May</v>
      </c>
      <c r="D1330" s="1" t="s">
        <v>2095</v>
      </c>
      <c r="E1330" s="1" t="s">
        <v>41</v>
      </c>
      <c r="F1330" s="1" t="s">
        <v>2096</v>
      </c>
      <c r="G1330" s="1" t="s">
        <v>2097</v>
      </c>
      <c r="H1330" s="1" t="str">
        <f>IFERROR(__xludf.DUMMYFUNCTION("split(G1330,"" "")"),"Lisa")</f>
        <v>Lisa</v>
      </c>
      <c r="I1330" s="1" t="str">
        <f>IFERROR(__xludf.DUMMYFUNCTION("""COMPUTED_VALUE"""),"DeCherney")</f>
        <v>DeCherney</v>
      </c>
      <c r="J1330" s="1" t="s">
        <v>23</v>
      </c>
      <c r="K1330" s="1" t="s">
        <v>87</v>
      </c>
      <c r="L1330" s="1" t="str">
        <f t="shared" si="2"/>
        <v>San Francisco</v>
      </c>
      <c r="M1330" s="1" t="s">
        <v>52</v>
      </c>
      <c r="N1330" s="1" t="str">
        <f t="shared" si="3"/>
        <v>California</v>
      </c>
      <c r="O1330" s="1">
        <v>94109.0</v>
      </c>
      <c r="P1330" s="1" t="s">
        <v>37</v>
      </c>
      <c r="Q1330" s="1" t="s">
        <v>27</v>
      </c>
      <c r="R1330" s="3">
        <v>37.05</v>
      </c>
      <c r="S1330" s="1">
        <v>9.0</v>
      </c>
      <c r="T1330" s="4">
        <v>36.89</v>
      </c>
    </row>
    <row r="1331">
      <c r="A1331" s="1" t="s">
        <v>2098</v>
      </c>
      <c r="B1331" s="2">
        <v>43137.0</v>
      </c>
      <c r="C1331" s="2" t="str">
        <f t="shared" si="1"/>
        <v>Feb</v>
      </c>
      <c r="D1331" s="6">
        <v>43257.0</v>
      </c>
      <c r="E1331" s="1" t="s">
        <v>41</v>
      </c>
      <c r="F1331" s="1" t="s">
        <v>2099</v>
      </c>
      <c r="G1331" s="1" t="s">
        <v>2100</v>
      </c>
      <c r="H1331" s="1" t="str">
        <f>IFERROR(__xludf.DUMMYFUNCTION("split(G1331,"" "")"),"Alejandro")</f>
        <v>Alejandro</v>
      </c>
      <c r="I1331" s="1" t="str">
        <f>IFERROR(__xludf.DUMMYFUNCTION("""COMPUTED_VALUE"""),"Ballentine")</f>
        <v>Ballentine</v>
      </c>
      <c r="J1331" s="1" t="s">
        <v>68</v>
      </c>
      <c r="K1331" s="1" t="s">
        <v>1472</v>
      </c>
      <c r="L1331" s="1" t="str">
        <f t="shared" si="2"/>
        <v>Lorain</v>
      </c>
      <c r="M1331" s="1" t="s">
        <v>304</v>
      </c>
      <c r="N1331" s="1" t="str">
        <f t="shared" si="3"/>
        <v>Ohio</v>
      </c>
      <c r="O1331" s="1">
        <v>44052.0</v>
      </c>
      <c r="P1331" s="1" t="s">
        <v>100</v>
      </c>
      <c r="Q1331" s="1" t="s">
        <v>51</v>
      </c>
      <c r="R1331" s="3">
        <v>2.97</v>
      </c>
      <c r="S1331" s="1">
        <v>4.0</v>
      </c>
      <c r="T1331" s="4">
        <v>2.87</v>
      </c>
    </row>
    <row r="1332">
      <c r="A1332" s="1" t="s">
        <v>2098</v>
      </c>
      <c r="B1332" s="2">
        <v>43137.0</v>
      </c>
      <c r="C1332" s="2" t="str">
        <f t="shared" si="1"/>
        <v>Feb</v>
      </c>
      <c r="D1332" s="6">
        <v>43257.0</v>
      </c>
      <c r="E1332" s="1" t="s">
        <v>41</v>
      </c>
      <c r="F1332" s="1" t="s">
        <v>2099</v>
      </c>
      <c r="G1332" s="1" t="s">
        <v>2100</v>
      </c>
      <c r="H1332" s="1" t="str">
        <f>IFERROR(__xludf.DUMMYFUNCTION("split(G1332,"" "")"),"Alejandro")</f>
        <v>Alejandro</v>
      </c>
      <c r="I1332" s="1" t="str">
        <f>IFERROR(__xludf.DUMMYFUNCTION("""COMPUTED_VALUE"""),"Ballentine")</f>
        <v>Ballentine</v>
      </c>
      <c r="J1332" s="1" t="s">
        <v>68</v>
      </c>
      <c r="K1332" s="1" t="s">
        <v>1472</v>
      </c>
      <c r="L1332" s="1" t="str">
        <f t="shared" si="2"/>
        <v>Lorain</v>
      </c>
      <c r="M1332" s="1" t="s">
        <v>304</v>
      </c>
      <c r="N1332" s="1" t="str">
        <f t="shared" si="3"/>
        <v>Ohio</v>
      </c>
      <c r="O1332" s="1">
        <v>44052.0</v>
      </c>
      <c r="P1332" s="1" t="s">
        <v>100</v>
      </c>
      <c r="Q1332" s="1" t="s">
        <v>38</v>
      </c>
      <c r="R1332" s="3">
        <v>27.44</v>
      </c>
      <c r="S1332" s="1">
        <v>4.0</v>
      </c>
      <c r="T1332" s="4">
        <v>27.29</v>
      </c>
    </row>
    <row r="1333">
      <c r="A1333" s="1" t="s">
        <v>2101</v>
      </c>
      <c r="B1333" s="2">
        <v>42051.0</v>
      </c>
      <c r="C1333" s="2" t="str">
        <f t="shared" si="1"/>
        <v>Feb</v>
      </c>
      <c r="D1333" s="1" t="s">
        <v>2102</v>
      </c>
      <c r="E1333" s="1" t="s">
        <v>41</v>
      </c>
      <c r="F1333" s="1" t="s">
        <v>2103</v>
      </c>
      <c r="G1333" s="1" t="s">
        <v>2104</v>
      </c>
      <c r="H1333" s="1" t="str">
        <f>IFERROR(__xludf.DUMMYFUNCTION("split(G1333,"" "")"),"Michael")</f>
        <v>Michael</v>
      </c>
      <c r="I1333" s="1" t="str">
        <f>IFERROR(__xludf.DUMMYFUNCTION("""COMPUTED_VALUE"""),"Nguyen")</f>
        <v>Nguyen</v>
      </c>
      <c r="J1333" s="1" t="s">
        <v>23</v>
      </c>
      <c r="K1333" s="1" t="s">
        <v>480</v>
      </c>
      <c r="L1333" s="1" t="str">
        <f t="shared" si="2"/>
        <v>Dallas</v>
      </c>
      <c r="M1333" s="1" t="s">
        <v>70</v>
      </c>
      <c r="N1333" s="1" t="str">
        <f t="shared" si="3"/>
        <v>Texas</v>
      </c>
      <c r="O1333" s="1">
        <v>75220.0</v>
      </c>
      <c r="P1333" s="1" t="s">
        <v>71</v>
      </c>
      <c r="Q1333" s="1" t="s">
        <v>38</v>
      </c>
      <c r="R1333" s="3">
        <v>1.08</v>
      </c>
      <c r="S1333" s="1">
        <v>7.0</v>
      </c>
      <c r="T1333" s="4">
        <v>0.93</v>
      </c>
    </row>
    <row r="1334">
      <c r="A1334" s="1" t="s">
        <v>2101</v>
      </c>
      <c r="B1334" s="2">
        <v>42051.0</v>
      </c>
      <c r="C1334" s="2" t="str">
        <f t="shared" si="1"/>
        <v>Feb</v>
      </c>
      <c r="D1334" s="1" t="s">
        <v>2102</v>
      </c>
      <c r="E1334" s="1" t="s">
        <v>41</v>
      </c>
      <c r="F1334" s="1" t="s">
        <v>2103</v>
      </c>
      <c r="G1334" s="1" t="s">
        <v>2104</v>
      </c>
      <c r="H1334" s="1" t="str">
        <f>IFERROR(__xludf.DUMMYFUNCTION("split(G1334,"" "")"),"Michael")</f>
        <v>Michael</v>
      </c>
      <c r="I1334" s="1" t="str">
        <f>IFERROR(__xludf.DUMMYFUNCTION("""COMPUTED_VALUE"""),"Nguyen")</f>
        <v>Nguyen</v>
      </c>
      <c r="J1334" s="1" t="s">
        <v>23</v>
      </c>
      <c r="K1334" s="1" t="s">
        <v>480</v>
      </c>
      <c r="L1334" s="1" t="str">
        <f t="shared" si="2"/>
        <v>Dallas</v>
      </c>
      <c r="M1334" s="1" t="s">
        <v>70</v>
      </c>
      <c r="N1334" s="1" t="str">
        <f t="shared" si="3"/>
        <v>Texas</v>
      </c>
      <c r="O1334" s="1">
        <v>75220.0</v>
      </c>
      <c r="P1334" s="1" t="s">
        <v>71</v>
      </c>
      <c r="Q1334" s="1" t="s">
        <v>38</v>
      </c>
      <c r="R1334" s="3">
        <v>7.96</v>
      </c>
      <c r="S1334" s="1">
        <v>7.0</v>
      </c>
      <c r="T1334" s="4">
        <v>7.64</v>
      </c>
    </row>
    <row r="1335">
      <c r="A1335" s="1" t="s">
        <v>2105</v>
      </c>
      <c r="B1335" s="2">
        <v>42160.0</v>
      </c>
      <c r="C1335" s="2" t="str">
        <f t="shared" si="1"/>
        <v>Jun</v>
      </c>
      <c r="D1335" s="6">
        <v>42282.0</v>
      </c>
      <c r="E1335" s="1" t="s">
        <v>41</v>
      </c>
      <c r="F1335" s="1" t="s">
        <v>66</v>
      </c>
      <c r="G1335" s="1" t="s">
        <v>67</v>
      </c>
      <c r="H1335" s="1" t="str">
        <f>IFERROR(__xludf.DUMMYFUNCTION("split(G1335,"" "")"),"Harold")</f>
        <v>Harold</v>
      </c>
      <c r="I1335" s="1" t="str">
        <f>IFERROR(__xludf.DUMMYFUNCTION("""COMPUTED_VALUE"""),"Pawlan")</f>
        <v>Pawlan</v>
      </c>
      <c r="J1335" s="1" t="s">
        <v>68</v>
      </c>
      <c r="K1335" s="1" t="s">
        <v>35</v>
      </c>
      <c r="L1335" s="1" t="str">
        <f t="shared" si="2"/>
        <v>Los Angeles</v>
      </c>
      <c r="M1335" s="1" t="s">
        <v>52</v>
      </c>
      <c r="N1335" s="1" t="str">
        <f t="shared" si="3"/>
        <v>California</v>
      </c>
      <c r="O1335" s="1">
        <v>90049.0</v>
      </c>
      <c r="P1335" s="1" t="s">
        <v>37</v>
      </c>
      <c r="Q1335" s="1" t="s">
        <v>38</v>
      </c>
      <c r="R1335" s="3">
        <v>140.736</v>
      </c>
      <c r="S1335" s="1">
        <v>9.0</v>
      </c>
      <c r="T1335" s="4">
        <v>139.83</v>
      </c>
    </row>
    <row r="1336">
      <c r="A1336" s="1" t="s">
        <v>2106</v>
      </c>
      <c r="B1336" s="2">
        <v>42871.0</v>
      </c>
      <c r="C1336" s="2" t="str">
        <f t="shared" si="1"/>
        <v>May</v>
      </c>
      <c r="D1336" s="1" t="s">
        <v>983</v>
      </c>
      <c r="E1336" s="1" t="s">
        <v>41</v>
      </c>
      <c r="F1336" s="1" t="s">
        <v>2107</v>
      </c>
      <c r="G1336" s="1" t="s">
        <v>2108</v>
      </c>
      <c r="H1336" s="1" t="str">
        <f>IFERROR(__xludf.DUMMYFUNCTION("split(G1336,"" "")"),"Jim")</f>
        <v>Jim</v>
      </c>
      <c r="I1336" s="1" t="str">
        <f>IFERROR(__xludf.DUMMYFUNCTION("""COMPUTED_VALUE"""),"Radford")</f>
        <v>Radford</v>
      </c>
      <c r="J1336" s="1" t="s">
        <v>23</v>
      </c>
      <c r="K1336" s="1" t="s">
        <v>2109</v>
      </c>
      <c r="L1336" s="1" t="str">
        <f t="shared" si="2"/>
        <v>Middletown</v>
      </c>
      <c r="M1336" s="1" t="s">
        <v>435</v>
      </c>
      <c r="N1336" s="1" t="str">
        <f t="shared" si="3"/>
        <v>Connecticut</v>
      </c>
      <c r="O1336" s="1">
        <v>6457.0</v>
      </c>
      <c r="P1336" s="1" t="s">
        <v>100</v>
      </c>
      <c r="Q1336" s="1" t="s">
        <v>38</v>
      </c>
      <c r="R1336" s="3">
        <v>552.56</v>
      </c>
      <c r="S1336" s="1">
        <v>6.0</v>
      </c>
      <c r="T1336" s="4">
        <v>551.95</v>
      </c>
    </row>
    <row r="1337">
      <c r="A1337" s="1" t="s">
        <v>2110</v>
      </c>
      <c r="B1337" s="2">
        <v>43135.0</v>
      </c>
      <c r="C1337" s="2" t="str">
        <f t="shared" si="1"/>
        <v>Feb</v>
      </c>
      <c r="D1337" s="6">
        <v>43285.0</v>
      </c>
      <c r="E1337" s="1" t="s">
        <v>41</v>
      </c>
      <c r="F1337" s="1" t="s">
        <v>2111</v>
      </c>
      <c r="G1337" s="1" t="s">
        <v>2112</v>
      </c>
      <c r="H1337" s="1" t="str">
        <f>IFERROR(__xludf.DUMMYFUNCTION("split(G1337,"" "")"),"Jamie")</f>
        <v>Jamie</v>
      </c>
      <c r="I1337" s="1" t="str">
        <f>IFERROR(__xludf.DUMMYFUNCTION("""COMPUTED_VALUE"""),"Frazer")</f>
        <v>Frazer</v>
      </c>
      <c r="J1337" s="1" t="s">
        <v>23</v>
      </c>
      <c r="K1337" s="1" t="s">
        <v>35</v>
      </c>
      <c r="L1337" s="1" t="str">
        <f t="shared" si="2"/>
        <v>Los Angeles</v>
      </c>
      <c r="M1337" s="1" t="s">
        <v>52</v>
      </c>
      <c r="N1337" s="1" t="str">
        <f t="shared" si="3"/>
        <v>California</v>
      </c>
      <c r="O1337" s="1">
        <v>90008.0</v>
      </c>
      <c r="P1337" s="1" t="s">
        <v>37</v>
      </c>
      <c r="Q1337" s="1" t="s">
        <v>27</v>
      </c>
      <c r="R1337" s="3">
        <v>25.11</v>
      </c>
      <c r="S1337" s="1">
        <v>9.0</v>
      </c>
      <c r="T1337" s="4">
        <v>24.28</v>
      </c>
    </row>
    <row r="1338">
      <c r="A1338" s="1" t="s">
        <v>2113</v>
      </c>
      <c r="B1338" s="2">
        <v>43190.0</v>
      </c>
      <c r="C1338" s="2" t="str">
        <f t="shared" si="1"/>
        <v>Mar</v>
      </c>
      <c r="D1338" s="6">
        <v>43135.0</v>
      </c>
      <c r="E1338" s="1" t="s">
        <v>20</v>
      </c>
      <c r="F1338" s="1" t="s">
        <v>2114</v>
      </c>
      <c r="G1338" s="1" t="s">
        <v>2115</v>
      </c>
      <c r="H1338" s="1" t="str">
        <f>IFERROR(__xludf.DUMMYFUNCTION("split(G1338,"" "")"),"Chad")</f>
        <v>Chad</v>
      </c>
      <c r="I1338" s="1" t="str">
        <f>IFERROR(__xludf.DUMMYFUNCTION("""COMPUTED_VALUE"""),"McGuire")</f>
        <v>McGuire</v>
      </c>
      <c r="J1338" s="1" t="s">
        <v>23</v>
      </c>
      <c r="K1338" s="1" t="s">
        <v>174</v>
      </c>
      <c r="L1338" s="1" t="str">
        <f t="shared" si="2"/>
        <v>New York City</v>
      </c>
      <c r="M1338" s="1" t="s">
        <v>175</v>
      </c>
      <c r="N1338" s="1" t="str">
        <f t="shared" si="3"/>
        <v>New York</v>
      </c>
      <c r="O1338" s="1">
        <v>10011.0</v>
      </c>
      <c r="P1338" s="1" t="s">
        <v>100</v>
      </c>
      <c r="Q1338" s="1" t="s">
        <v>27</v>
      </c>
      <c r="R1338" s="3">
        <v>29.78</v>
      </c>
      <c r="S1338" s="1">
        <v>1.0</v>
      </c>
      <c r="T1338" s="4">
        <v>29.58</v>
      </c>
    </row>
    <row r="1339">
      <c r="A1339" s="1" t="s">
        <v>2113</v>
      </c>
      <c r="B1339" s="2">
        <v>43190.0</v>
      </c>
      <c r="C1339" s="2" t="str">
        <f t="shared" si="1"/>
        <v>Mar</v>
      </c>
      <c r="D1339" s="6">
        <v>43135.0</v>
      </c>
      <c r="E1339" s="1" t="s">
        <v>20</v>
      </c>
      <c r="F1339" s="1" t="s">
        <v>2114</v>
      </c>
      <c r="G1339" s="1" t="s">
        <v>2115</v>
      </c>
      <c r="H1339" s="1" t="str">
        <f>IFERROR(__xludf.DUMMYFUNCTION("split(G1339,"" "")"),"Chad")</f>
        <v>Chad</v>
      </c>
      <c r="I1339" s="1" t="str">
        <f>IFERROR(__xludf.DUMMYFUNCTION("""COMPUTED_VALUE"""),"McGuire")</f>
        <v>McGuire</v>
      </c>
      <c r="J1339" s="1" t="s">
        <v>23</v>
      </c>
      <c r="K1339" s="1" t="s">
        <v>174</v>
      </c>
      <c r="L1339" s="1" t="str">
        <f t="shared" si="2"/>
        <v>New York City</v>
      </c>
      <c r="M1339" s="1" t="s">
        <v>175</v>
      </c>
      <c r="N1339" s="1" t="str">
        <f t="shared" si="3"/>
        <v>New York</v>
      </c>
      <c r="O1339" s="1">
        <v>10011.0</v>
      </c>
      <c r="P1339" s="1" t="s">
        <v>100</v>
      </c>
      <c r="Q1339" s="1" t="s">
        <v>51</v>
      </c>
      <c r="R1339" s="3">
        <v>677.58</v>
      </c>
      <c r="S1339" s="1">
        <v>1.0</v>
      </c>
      <c r="T1339" s="4">
        <v>677.48</v>
      </c>
    </row>
    <row r="1340">
      <c r="A1340" s="1" t="s">
        <v>2113</v>
      </c>
      <c r="B1340" s="2">
        <v>43190.0</v>
      </c>
      <c r="C1340" s="2" t="str">
        <f t="shared" si="1"/>
        <v>Mar</v>
      </c>
      <c r="D1340" s="6">
        <v>43135.0</v>
      </c>
      <c r="E1340" s="1" t="s">
        <v>20</v>
      </c>
      <c r="F1340" s="1" t="s">
        <v>2114</v>
      </c>
      <c r="G1340" s="1" t="s">
        <v>2115</v>
      </c>
      <c r="H1340" s="1" t="str">
        <f>IFERROR(__xludf.DUMMYFUNCTION("split(G1340,"" "")"),"Chad")</f>
        <v>Chad</v>
      </c>
      <c r="I1340" s="1" t="str">
        <f>IFERROR(__xludf.DUMMYFUNCTION("""COMPUTED_VALUE"""),"McGuire")</f>
        <v>McGuire</v>
      </c>
      <c r="J1340" s="1" t="s">
        <v>23</v>
      </c>
      <c r="K1340" s="1" t="s">
        <v>174</v>
      </c>
      <c r="L1340" s="1" t="str">
        <f t="shared" si="2"/>
        <v>New York City</v>
      </c>
      <c r="M1340" s="1" t="s">
        <v>175</v>
      </c>
      <c r="N1340" s="1" t="str">
        <f t="shared" si="3"/>
        <v>New York</v>
      </c>
      <c r="O1340" s="1">
        <v>10011.0</v>
      </c>
      <c r="P1340" s="1" t="s">
        <v>100</v>
      </c>
      <c r="Q1340" s="1" t="s">
        <v>38</v>
      </c>
      <c r="R1340" s="3">
        <v>75.04</v>
      </c>
      <c r="S1340" s="1">
        <v>1.0</v>
      </c>
      <c r="T1340" s="4">
        <v>74.14</v>
      </c>
    </row>
    <row r="1341">
      <c r="A1341" s="1" t="s">
        <v>2116</v>
      </c>
      <c r="B1341" s="2">
        <v>43132.0</v>
      </c>
      <c r="C1341" s="2" t="str">
        <f t="shared" si="1"/>
        <v>Feb</v>
      </c>
      <c r="D1341" s="6">
        <v>43191.0</v>
      </c>
      <c r="E1341" s="1" t="s">
        <v>121</v>
      </c>
      <c r="F1341" s="1" t="s">
        <v>2117</v>
      </c>
      <c r="G1341" s="1" t="s">
        <v>2118</v>
      </c>
      <c r="H1341" s="1" t="str">
        <f>IFERROR(__xludf.DUMMYFUNCTION("split(G1341,"" "")"),"Aaron")</f>
        <v>Aaron</v>
      </c>
      <c r="I1341" s="1" t="str">
        <f>IFERROR(__xludf.DUMMYFUNCTION("""COMPUTED_VALUE"""),"Smayling")</f>
        <v>Smayling</v>
      </c>
      <c r="J1341" s="1" t="s">
        <v>34</v>
      </c>
      <c r="K1341" s="1" t="s">
        <v>849</v>
      </c>
      <c r="L1341" s="1" t="str">
        <f t="shared" si="2"/>
        <v>Jacksonville</v>
      </c>
      <c r="M1341" s="1" t="s">
        <v>58</v>
      </c>
      <c r="N1341" s="1" t="str">
        <f t="shared" si="3"/>
        <v>North Carolina</v>
      </c>
      <c r="O1341" s="1">
        <v>28540.0</v>
      </c>
      <c r="P1341" s="1" t="s">
        <v>26</v>
      </c>
      <c r="Q1341" s="1" t="s">
        <v>51</v>
      </c>
      <c r="R1341" s="3">
        <v>695.7</v>
      </c>
      <c r="S1341" s="1">
        <v>2.0</v>
      </c>
      <c r="T1341" s="4">
        <v>695.28</v>
      </c>
    </row>
    <row r="1342">
      <c r="A1342" s="1" t="s">
        <v>2116</v>
      </c>
      <c r="B1342" s="2">
        <v>43132.0</v>
      </c>
      <c r="C1342" s="2" t="str">
        <f t="shared" si="1"/>
        <v>Feb</v>
      </c>
      <c r="D1342" s="6">
        <v>43191.0</v>
      </c>
      <c r="E1342" s="1" t="s">
        <v>121</v>
      </c>
      <c r="F1342" s="1" t="s">
        <v>2117</v>
      </c>
      <c r="G1342" s="1" t="s">
        <v>2118</v>
      </c>
      <c r="H1342" s="1" t="str">
        <f>IFERROR(__xludf.DUMMYFUNCTION("split(G1342,"" "")"),"Aaron")</f>
        <v>Aaron</v>
      </c>
      <c r="I1342" s="1" t="str">
        <f>IFERROR(__xludf.DUMMYFUNCTION("""COMPUTED_VALUE"""),"Smayling")</f>
        <v>Smayling</v>
      </c>
      <c r="J1342" s="1" t="s">
        <v>34</v>
      </c>
      <c r="K1342" s="1" t="s">
        <v>849</v>
      </c>
      <c r="L1342" s="1" t="str">
        <f t="shared" si="2"/>
        <v>Jacksonville</v>
      </c>
      <c r="M1342" s="1" t="s">
        <v>58</v>
      </c>
      <c r="N1342" s="1" t="str">
        <f t="shared" si="3"/>
        <v>North Carolina</v>
      </c>
      <c r="O1342" s="1">
        <v>28540.0</v>
      </c>
      <c r="P1342" s="1" t="s">
        <v>26</v>
      </c>
      <c r="Q1342" s="1" t="s">
        <v>38</v>
      </c>
      <c r="R1342" s="3">
        <v>15.66</v>
      </c>
      <c r="S1342" s="1">
        <v>2.0</v>
      </c>
      <c r="T1342" s="4">
        <v>14.93</v>
      </c>
    </row>
    <row r="1343">
      <c r="A1343" s="1" t="s">
        <v>2116</v>
      </c>
      <c r="B1343" s="2">
        <v>43132.0</v>
      </c>
      <c r="C1343" s="2" t="str">
        <f t="shared" si="1"/>
        <v>Feb</v>
      </c>
      <c r="D1343" s="6">
        <v>43191.0</v>
      </c>
      <c r="E1343" s="1" t="s">
        <v>121</v>
      </c>
      <c r="F1343" s="1" t="s">
        <v>2117</v>
      </c>
      <c r="G1343" s="1" t="s">
        <v>2118</v>
      </c>
      <c r="H1343" s="1" t="str">
        <f>IFERROR(__xludf.DUMMYFUNCTION("split(G1343,"" "")"),"Aaron")</f>
        <v>Aaron</v>
      </c>
      <c r="I1343" s="1" t="str">
        <f>IFERROR(__xludf.DUMMYFUNCTION("""COMPUTED_VALUE"""),"Smayling")</f>
        <v>Smayling</v>
      </c>
      <c r="J1343" s="1" t="s">
        <v>34</v>
      </c>
      <c r="K1343" s="1" t="s">
        <v>849</v>
      </c>
      <c r="L1343" s="1" t="str">
        <f t="shared" si="2"/>
        <v>Jacksonville</v>
      </c>
      <c r="M1343" s="1" t="s">
        <v>58</v>
      </c>
      <c r="N1343" s="1" t="str">
        <f t="shared" si="3"/>
        <v>North Carolina</v>
      </c>
      <c r="O1343" s="1">
        <v>28540.0</v>
      </c>
      <c r="P1343" s="1" t="s">
        <v>26</v>
      </c>
      <c r="Q1343" s="1" t="s">
        <v>38</v>
      </c>
      <c r="R1343" s="3">
        <v>28.854</v>
      </c>
      <c r="S1343" s="1">
        <v>2.0</v>
      </c>
      <c r="T1343" s="4">
        <v>28.41</v>
      </c>
    </row>
    <row r="1344">
      <c r="A1344" s="1" t="s">
        <v>2119</v>
      </c>
      <c r="B1344" s="2">
        <v>42518.0</v>
      </c>
      <c r="C1344" s="2" t="str">
        <f t="shared" si="1"/>
        <v>May</v>
      </c>
      <c r="D1344" s="6">
        <v>42375.0</v>
      </c>
      <c r="E1344" s="1" t="s">
        <v>41</v>
      </c>
      <c r="F1344" s="1" t="s">
        <v>249</v>
      </c>
      <c r="G1344" s="1" t="s">
        <v>250</v>
      </c>
      <c r="H1344" s="1" t="str">
        <f>IFERROR(__xludf.DUMMYFUNCTION("split(G1344,"" "")"),"Karl")</f>
        <v>Karl</v>
      </c>
      <c r="I1344" s="1" t="str">
        <f>IFERROR(__xludf.DUMMYFUNCTION("""COMPUTED_VALUE"""),"Braun")</f>
        <v>Braun</v>
      </c>
      <c r="J1344" s="1" t="s">
        <v>23</v>
      </c>
      <c r="K1344" s="1" t="s">
        <v>2120</v>
      </c>
      <c r="L1344" s="1" t="str">
        <f t="shared" si="2"/>
        <v>Freeport</v>
      </c>
      <c r="M1344" s="1" t="s">
        <v>175</v>
      </c>
      <c r="N1344" s="1" t="str">
        <f t="shared" si="3"/>
        <v>New York</v>
      </c>
      <c r="O1344" s="1">
        <v>11520.0</v>
      </c>
      <c r="P1344" s="1" t="s">
        <v>100</v>
      </c>
      <c r="Q1344" s="1" t="s">
        <v>38</v>
      </c>
      <c r="R1344" s="3">
        <v>47.82</v>
      </c>
      <c r="S1344" s="1">
        <v>1.0</v>
      </c>
      <c r="T1344" s="4">
        <v>47.44</v>
      </c>
    </row>
    <row r="1345">
      <c r="A1345" s="1" t="s">
        <v>2119</v>
      </c>
      <c r="B1345" s="2">
        <v>42518.0</v>
      </c>
      <c r="C1345" s="2" t="str">
        <f t="shared" si="1"/>
        <v>May</v>
      </c>
      <c r="D1345" s="6">
        <v>42375.0</v>
      </c>
      <c r="E1345" s="1" t="s">
        <v>41</v>
      </c>
      <c r="F1345" s="1" t="s">
        <v>249</v>
      </c>
      <c r="G1345" s="1" t="s">
        <v>250</v>
      </c>
      <c r="H1345" s="1" t="str">
        <f>IFERROR(__xludf.DUMMYFUNCTION("split(G1345,"" "")"),"Karl")</f>
        <v>Karl</v>
      </c>
      <c r="I1345" s="1" t="str">
        <f>IFERROR(__xludf.DUMMYFUNCTION("""COMPUTED_VALUE"""),"Braun")</f>
        <v>Braun</v>
      </c>
      <c r="J1345" s="1" t="s">
        <v>23</v>
      </c>
      <c r="K1345" s="1" t="s">
        <v>2120</v>
      </c>
      <c r="L1345" s="1" t="str">
        <f t="shared" si="2"/>
        <v>Freeport</v>
      </c>
      <c r="M1345" s="1" t="s">
        <v>175</v>
      </c>
      <c r="N1345" s="1" t="str">
        <f t="shared" si="3"/>
        <v>New York</v>
      </c>
      <c r="O1345" s="1">
        <v>11520.0</v>
      </c>
      <c r="P1345" s="1" t="s">
        <v>100</v>
      </c>
      <c r="Q1345" s="1" t="s">
        <v>38</v>
      </c>
      <c r="R1345" s="3">
        <v>13.05</v>
      </c>
      <c r="S1345" s="1">
        <v>1.0</v>
      </c>
      <c r="T1345" s="4">
        <v>12.85</v>
      </c>
    </row>
    <row r="1346">
      <c r="A1346" s="1" t="s">
        <v>2121</v>
      </c>
      <c r="B1346" s="2">
        <v>42080.0</v>
      </c>
      <c r="C1346" s="2" t="str">
        <f t="shared" si="1"/>
        <v>Mar</v>
      </c>
      <c r="D1346" s="1" t="s">
        <v>2122</v>
      </c>
      <c r="E1346" s="1" t="s">
        <v>41</v>
      </c>
      <c r="F1346" s="1" t="s">
        <v>968</v>
      </c>
      <c r="G1346" s="1" t="s">
        <v>969</v>
      </c>
      <c r="H1346" s="1" t="str">
        <f>IFERROR(__xludf.DUMMYFUNCTION("split(G1346,"" "")"),"Bradley")</f>
        <v>Bradley</v>
      </c>
      <c r="I1346" s="1" t="str">
        <f>IFERROR(__xludf.DUMMYFUNCTION("""COMPUTED_VALUE"""),"Nguyen")</f>
        <v>Nguyen</v>
      </c>
      <c r="J1346" s="1" t="s">
        <v>23</v>
      </c>
      <c r="K1346" s="1" t="s">
        <v>533</v>
      </c>
      <c r="L1346" s="1" t="str">
        <f t="shared" si="2"/>
        <v>Lakeville</v>
      </c>
      <c r="M1346" s="1" t="s">
        <v>151</v>
      </c>
      <c r="N1346" s="1" t="str">
        <f t="shared" si="3"/>
        <v>Minnesota</v>
      </c>
      <c r="O1346" s="1">
        <v>55044.0</v>
      </c>
      <c r="P1346" s="1" t="s">
        <v>71</v>
      </c>
      <c r="Q1346" s="1" t="s">
        <v>38</v>
      </c>
      <c r="R1346" s="3">
        <v>93.78</v>
      </c>
      <c r="S1346" s="1">
        <v>5.0</v>
      </c>
      <c r="T1346" s="4">
        <v>93.01</v>
      </c>
    </row>
    <row r="1347">
      <c r="A1347" s="1" t="s">
        <v>2121</v>
      </c>
      <c r="B1347" s="2">
        <v>42080.0</v>
      </c>
      <c r="C1347" s="2" t="str">
        <f t="shared" si="1"/>
        <v>Mar</v>
      </c>
      <c r="D1347" s="1" t="s">
        <v>2122</v>
      </c>
      <c r="E1347" s="1" t="s">
        <v>41</v>
      </c>
      <c r="F1347" s="1" t="s">
        <v>968</v>
      </c>
      <c r="G1347" s="1" t="s">
        <v>969</v>
      </c>
      <c r="H1347" s="1" t="str">
        <f>IFERROR(__xludf.DUMMYFUNCTION("split(G1347,"" "")"),"Bradley")</f>
        <v>Bradley</v>
      </c>
      <c r="I1347" s="1" t="str">
        <f>IFERROR(__xludf.DUMMYFUNCTION("""COMPUTED_VALUE"""),"Nguyen")</f>
        <v>Nguyen</v>
      </c>
      <c r="J1347" s="1" t="s">
        <v>23</v>
      </c>
      <c r="K1347" s="1" t="s">
        <v>533</v>
      </c>
      <c r="L1347" s="1" t="str">
        <f t="shared" si="2"/>
        <v>Lakeville</v>
      </c>
      <c r="M1347" s="1" t="s">
        <v>151</v>
      </c>
      <c r="N1347" s="1" t="str">
        <f t="shared" si="3"/>
        <v>Minnesota</v>
      </c>
      <c r="O1347" s="1">
        <v>55044.0</v>
      </c>
      <c r="P1347" s="1" t="s">
        <v>71</v>
      </c>
      <c r="Q1347" s="1" t="s">
        <v>38</v>
      </c>
      <c r="R1347" s="3">
        <v>47.18</v>
      </c>
      <c r="S1347" s="1">
        <v>5.0</v>
      </c>
      <c r="T1347" s="4">
        <v>46.28</v>
      </c>
    </row>
    <row r="1348">
      <c r="A1348" s="1" t="s">
        <v>2121</v>
      </c>
      <c r="B1348" s="2">
        <v>42080.0</v>
      </c>
      <c r="C1348" s="2" t="str">
        <f t="shared" si="1"/>
        <v>Mar</v>
      </c>
      <c r="D1348" s="1" t="s">
        <v>2122</v>
      </c>
      <c r="E1348" s="1" t="s">
        <v>41</v>
      </c>
      <c r="F1348" s="1" t="s">
        <v>968</v>
      </c>
      <c r="G1348" s="1" t="s">
        <v>969</v>
      </c>
      <c r="H1348" s="1" t="str">
        <f>IFERROR(__xludf.DUMMYFUNCTION("split(G1348,"" "")"),"Bradley")</f>
        <v>Bradley</v>
      </c>
      <c r="I1348" s="1" t="str">
        <f>IFERROR(__xludf.DUMMYFUNCTION("""COMPUTED_VALUE"""),"Nguyen")</f>
        <v>Nguyen</v>
      </c>
      <c r="J1348" s="1" t="s">
        <v>23</v>
      </c>
      <c r="K1348" s="1" t="s">
        <v>533</v>
      </c>
      <c r="L1348" s="1" t="str">
        <f t="shared" si="2"/>
        <v>Lakeville</v>
      </c>
      <c r="M1348" s="1" t="s">
        <v>151</v>
      </c>
      <c r="N1348" s="1" t="str">
        <f t="shared" si="3"/>
        <v>Minnesota</v>
      </c>
      <c r="O1348" s="1">
        <v>55044.0</v>
      </c>
      <c r="P1348" s="1" t="s">
        <v>71</v>
      </c>
      <c r="Q1348" s="1" t="s">
        <v>38</v>
      </c>
      <c r="R1348" s="3">
        <v>19.68</v>
      </c>
      <c r="S1348" s="1">
        <v>5.0</v>
      </c>
      <c r="T1348" s="4">
        <v>19.03</v>
      </c>
    </row>
    <row r="1349">
      <c r="A1349" s="1" t="s">
        <v>2121</v>
      </c>
      <c r="B1349" s="2">
        <v>42080.0</v>
      </c>
      <c r="C1349" s="2" t="str">
        <f t="shared" si="1"/>
        <v>Mar</v>
      </c>
      <c r="D1349" s="1" t="s">
        <v>2122</v>
      </c>
      <c r="E1349" s="1" t="s">
        <v>41</v>
      </c>
      <c r="F1349" s="1" t="s">
        <v>968</v>
      </c>
      <c r="G1349" s="1" t="s">
        <v>969</v>
      </c>
      <c r="H1349" s="1" t="str">
        <f>IFERROR(__xludf.DUMMYFUNCTION("split(G1349,"" "")"),"Bradley")</f>
        <v>Bradley</v>
      </c>
      <c r="I1349" s="1" t="str">
        <f>IFERROR(__xludf.DUMMYFUNCTION("""COMPUTED_VALUE"""),"Nguyen")</f>
        <v>Nguyen</v>
      </c>
      <c r="J1349" s="1" t="s">
        <v>23</v>
      </c>
      <c r="K1349" s="1" t="s">
        <v>533</v>
      </c>
      <c r="L1349" s="1" t="str">
        <f t="shared" si="2"/>
        <v>Lakeville</v>
      </c>
      <c r="M1349" s="1" t="s">
        <v>151</v>
      </c>
      <c r="N1349" s="1" t="str">
        <f t="shared" si="3"/>
        <v>Minnesota</v>
      </c>
      <c r="O1349" s="1">
        <v>55044.0</v>
      </c>
      <c r="P1349" s="1" t="s">
        <v>71</v>
      </c>
      <c r="Q1349" s="1" t="s">
        <v>38</v>
      </c>
      <c r="R1349" s="3">
        <v>53.4</v>
      </c>
      <c r="S1349" s="1">
        <v>5.0</v>
      </c>
      <c r="T1349" s="4">
        <v>52.76</v>
      </c>
    </row>
    <row r="1350">
      <c r="A1350" s="1" t="s">
        <v>2121</v>
      </c>
      <c r="B1350" s="2">
        <v>42080.0</v>
      </c>
      <c r="C1350" s="2" t="str">
        <f t="shared" si="1"/>
        <v>Mar</v>
      </c>
      <c r="D1350" s="1" t="s">
        <v>2122</v>
      </c>
      <c r="E1350" s="1" t="s">
        <v>41</v>
      </c>
      <c r="F1350" s="1" t="s">
        <v>968</v>
      </c>
      <c r="G1350" s="1" t="s">
        <v>969</v>
      </c>
      <c r="H1350" s="1" t="str">
        <f>IFERROR(__xludf.DUMMYFUNCTION("split(G1350,"" "")"),"Bradley")</f>
        <v>Bradley</v>
      </c>
      <c r="I1350" s="1" t="str">
        <f>IFERROR(__xludf.DUMMYFUNCTION("""COMPUTED_VALUE"""),"Nguyen")</f>
        <v>Nguyen</v>
      </c>
      <c r="J1350" s="1" t="s">
        <v>23</v>
      </c>
      <c r="K1350" s="1" t="s">
        <v>533</v>
      </c>
      <c r="L1350" s="1" t="str">
        <f t="shared" si="2"/>
        <v>Lakeville</v>
      </c>
      <c r="M1350" s="1" t="s">
        <v>151</v>
      </c>
      <c r="N1350" s="1" t="str">
        <f t="shared" si="3"/>
        <v>Minnesota</v>
      </c>
      <c r="O1350" s="1">
        <v>55044.0</v>
      </c>
      <c r="P1350" s="1" t="s">
        <v>71</v>
      </c>
      <c r="Q1350" s="1" t="s">
        <v>38</v>
      </c>
      <c r="R1350" s="3">
        <v>35.88</v>
      </c>
      <c r="S1350" s="1">
        <v>5.0</v>
      </c>
      <c r="T1350" s="4">
        <v>35.3</v>
      </c>
    </row>
    <row r="1351">
      <c r="A1351" s="1" t="s">
        <v>2123</v>
      </c>
      <c r="B1351" s="2">
        <v>42073.0</v>
      </c>
      <c r="C1351" s="2" t="str">
        <f t="shared" si="1"/>
        <v>Mar</v>
      </c>
      <c r="D1351" s="6">
        <v>42226.0</v>
      </c>
      <c r="E1351" s="1" t="s">
        <v>20</v>
      </c>
      <c r="F1351" s="1" t="s">
        <v>2124</v>
      </c>
      <c r="G1351" s="1" t="s">
        <v>2125</v>
      </c>
      <c r="H1351" s="1" t="str">
        <f>IFERROR(__xludf.DUMMYFUNCTION("split(G1351,"" "")"),"Beth")</f>
        <v>Beth</v>
      </c>
      <c r="I1351" s="1" t="str">
        <f>IFERROR(__xludf.DUMMYFUNCTION("""COMPUTED_VALUE"""),"Paige")</f>
        <v>Paige</v>
      </c>
      <c r="J1351" s="1" t="s">
        <v>23</v>
      </c>
      <c r="K1351" s="1" t="s">
        <v>1329</v>
      </c>
      <c r="L1351" s="1" t="str">
        <f t="shared" si="2"/>
        <v>Evanston</v>
      </c>
      <c r="M1351" s="1" t="s">
        <v>135</v>
      </c>
      <c r="N1351" s="1" t="str">
        <f t="shared" si="3"/>
        <v>Illinois</v>
      </c>
      <c r="O1351" s="1">
        <v>60201.0</v>
      </c>
      <c r="P1351" s="1" t="s">
        <v>71</v>
      </c>
      <c r="Q1351" s="1" t="s">
        <v>27</v>
      </c>
      <c r="R1351" s="3">
        <v>258.279</v>
      </c>
      <c r="S1351" s="1">
        <v>6.0</v>
      </c>
      <c r="T1351" s="4">
        <v>257.86</v>
      </c>
    </row>
    <row r="1352">
      <c r="A1352" s="1" t="s">
        <v>2126</v>
      </c>
      <c r="B1352" s="2">
        <v>42822.0</v>
      </c>
      <c r="C1352" s="2" t="str">
        <f t="shared" si="1"/>
        <v>Mar</v>
      </c>
      <c r="D1352" s="1" t="s">
        <v>2127</v>
      </c>
      <c r="E1352" s="1" t="s">
        <v>121</v>
      </c>
      <c r="F1352" s="1" t="s">
        <v>2117</v>
      </c>
      <c r="G1352" s="1" t="s">
        <v>2118</v>
      </c>
      <c r="H1352" s="1" t="str">
        <f>IFERROR(__xludf.DUMMYFUNCTION("split(G1352,"" "")"),"Aaron")</f>
        <v>Aaron</v>
      </c>
      <c r="I1352" s="1" t="str">
        <f>IFERROR(__xludf.DUMMYFUNCTION("""COMPUTED_VALUE"""),"Smayling")</f>
        <v>Smayling</v>
      </c>
      <c r="J1352" s="1" t="s">
        <v>34</v>
      </c>
      <c r="K1352" s="1" t="s">
        <v>628</v>
      </c>
      <c r="L1352" s="1" t="str">
        <f t="shared" si="2"/>
        <v>Arlington</v>
      </c>
      <c r="M1352" s="1" t="s">
        <v>198</v>
      </c>
      <c r="N1352" s="1" t="str">
        <f t="shared" si="3"/>
        <v>Virginia</v>
      </c>
      <c r="O1352" s="1">
        <v>22204.0</v>
      </c>
      <c r="P1352" s="1" t="s">
        <v>26</v>
      </c>
      <c r="Q1352" s="1" t="s">
        <v>38</v>
      </c>
      <c r="R1352" s="3">
        <v>31.4</v>
      </c>
      <c r="S1352" s="1">
        <v>2.0</v>
      </c>
      <c r="T1352" s="4">
        <v>30.72</v>
      </c>
    </row>
    <row r="1353">
      <c r="A1353" s="1" t="s">
        <v>2128</v>
      </c>
      <c r="B1353" s="2">
        <v>43195.0</v>
      </c>
      <c r="C1353" s="2" t="str">
        <f t="shared" si="1"/>
        <v>Apr</v>
      </c>
      <c r="D1353" s="6">
        <v>43348.0</v>
      </c>
      <c r="E1353" s="1" t="s">
        <v>41</v>
      </c>
      <c r="F1353" s="1" t="s">
        <v>1642</v>
      </c>
      <c r="G1353" s="1" t="s">
        <v>1643</v>
      </c>
      <c r="H1353" s="1" t="str">
        <f>IFERROR(__xludf.DUMMYFUNCTION("split(G1353,"" "")"),"Lindsay")</f>
        <v>Lindsay</v>
      </c>
      <c r="I1353" s="1" t="str">
        <f>IFERROR(__xludf.DUMMYFUNCTION("""COMPUTED_VALUE"""),"Williams")</f>
        <v>Williams</v>
      </c>
      <c r="J1353" s="1" t="s">
        <v>34</v>
      </c>
      <c r="K1353" s="1" t="s">
        <v>87</v>
      </c>
      <c r="L1353" s="1" t="str">
        <f t="shared" si="2"/>
        <v>San Francisco</v>
      </c>
      <c r="M1353" s="1" t="s">
        <v>52</v>
      </c>
      <c r="N1353" s="1" t="str">
        <f t="shared" si="3"/>
        <v>California</v>
      </c>
      <c r="O1353" s="1">
        <v>94109.0</v>
      </c>
      <c r="P1353" s="1" t="s">
        <v>37</v>
      </c>
      <c r="Q1353" s="1" t="s">
        <v>51</v>
      </c>
      <c r="R1353" s="3">
        <v>183.96</v>
      </c>
      <c r="S1353" s="1">
        <v>9.0</v>
      </c>
      <c r="T1353" s="4">
        <v>183.21</v>
      </c>
    </row>
    <row r="1354">
      <c r="A1354" s="1" t="s">
        <v>2128</v>
      </c>
      <c r="B1354" s="2">
        <v>43195.0</v>
      </c>
      <c r="C1354" s="2" t="str">
        <f t="shared" si="1"/>
        <v>Apr</v>
      </c>
      <c r="D1354" s="6">
        <v>43348.0</v>
      </c>
      <c r="E1354" s="1" t="s">
        <v>41</v>
      </c>
      <c r="F1354" s="1" t="s">
        <v>1642</v>
      </c>
      <c r="G1354" s="1" t="s">
        <v>1643</v>
      </c>
      <c r="H1354" s="1" t="str">
        <f>IFERROR(__xludf.DUMMYFUNCTION("split(G1354,"" "")"),"Lindsay")</f>
        <v>Lindsay</v>
      </c>
      <c r="I1354" s="1" t="str">
        <f>IFERROR(__xludf.DUMMYFUNCTION("""COMPUTED_VALUE"""),"Williams")</f>
        <v>Williams</v>
      </c>
      <c r="J1354" s="1" t="s">
        <v>34</v>
      </c>
      <c r="K1354" s="1" t="s">
        <v>87</v>
      </c>
      <c r="L1354" s="1" t="str">
        <f t="shared" si="2"/>
        <v>San Francisco</v>
      </c>
      <c r="M1354" s="1" t="s">
        <v>52</v>
      </c>
      <c r="N1354" s="1" t="str">
        <f t="shared" si="3"/>
        <v>California</v>
      </c>
      <c r="O1354" s="1">
        <v>94109.0</v>
      </c>
      <c r="P1354" s="1" t="s">
        <v>37</v>
      </c>
      <c r="Q1354" s="1" t="s">
        <v>38</v>
      </c>
      <c r="R1354" s="3">
        <v>17.61</v>
      </c>
      <c r="S1354" s="1">
        <v>9.0</v>
      </c>
      <c r="T1354" s="4">
        <v>16.73</v>
      </c>
    </row>
    <row r="1355">
      <c r="A1355" s="1" t="s">
        <v>2128</v>
      </c>
      <c r="B1355" s="2">
        <v>43195.0</v>
      </c>
      <c r="C1355" s="2" t="str">
        <f t="shared" si="1"/>
        <v>Apr</v>
      </c>
      <c r="D1355" s="6">
        <v>43348.0</v>
      </c>
      <c r="E1355" s="1" t="s">
        <v>41</v>
      </c>
      <c r="F1355" s="1" t="s">
        <v>1642</v>
      </c>
      <c r="G1355" s="1" t="s">
        <v>1643</v>
      </c>
      <c r="H1355" s="1" t="str">
        <f>IFERROR(__xludf.DUMMYFUNCTION("split(G1355,"" "")"),"Lindsay")</f>
        <v>Lindsay</v>
      </c>
      <c r="I1355" s="1" t="str">
        <f>IFERROR(__xludf.DUMMYFUNCTION("""COMPUTED_VALUE"""),"Williams")</f>
        <v>Williams</v>
      </c>
      <c r="J1355" s="1" t="s">
        <v>34</v>
      </c>
      <c r="K1355" s="1" t="s">
        <v>87</v>
      </c>
      <c r="L1355" s="1" t="str">
        <f t="shared" si="2"/>
        <v>San Francisco</v>
      </c>
      <c r="M1355" s="1" t="s">
        <v>52</v>
      </c>
      <c r="N1355" s="1" t="str">
        <f t="shared" si="3"/>
        <v>California</v>
      </c>
      <c r="O1355" s="1">
        <v>94109.0</v>
      </c>
      <c r="P1355" s="1" t="s">
        <v>37</v>
      </c>
      <c r="Q1355" s="1" t="s">
        <v>27</v>
      </c>
      <c r="R1355" s="3">
        <v>300.904</v>
      </c>
      <c r="S1355" s="1">
        <v>9.0</v>
      </c>
      <c r="T1355" s="4">
        <v>299.98</v>
      </c>
    </row>
    <row r="1356">
      <c r="A1356" s="1" t="s">
        <v>2129</v>
      </c>
      <c r="B1356" s="2">
        <v>42131.0</v>
      </c>
      <c r="C1356" s="2" t="str">
        <f t="shared" si="1"/>
        <v>May</v>
      </c>
      <c r="D1356" s="6">
        <v>42131.0</v>
      </c>
      <c r="E1356" s="1" t="s">
        <v>717</v>
      </c>
      <c r="F1356" s="1" t="s">
        <v>2009</v>
      </c>
      <c r="G1356" s="1" t="s">
        <v>2010</v>
      </c>
      <c r="H1356" s="1" t="str">
        <f>IFERROR(__xludf.DUMMYFUNCTION("split(G1356,"" "")"),"Dan")</f>
        <v>Dan</v>
      </c>
      <c r="I1356" s="1" t="str">
        <f>IFERROR(__xludf.DUMMYFUNCTION("""COMPUTED_VALUE"""),"Campbell")</f>
        <v>Campbell</v>
      </c>
      <c r="J1356" s="1" t="s">
        <v>23</v>
      </c>
      <c r="K1356" s="1" t="s">
        <v>129</v>
      </c>
      <c r="L1356" s="1" t="str">
        <f t="shared" si="2"/>
        <v>Houston</v>
      </c>
      <c r="M1356" s="1" t="s">
        <v>70</v>
      </c>
      <c r="N1356" s="1" t="str">
        <f t="shared" si="3"/>
        <v>Texas</v>
      </c>
      <c r="O1356" s="1">
        <v>77036.0</v>
      </c>
      <c r="P1356" s="1" t="s">
        <v>71</v>
      </c>
      <c r="Q1356" s="1" t="s">
        <v>38</v>
      </c>
      <c r="R1356" s="3">
        <v>220.776</v>
      </c>
      <c r="S1356" s="1">
        <v>7.0</v>
      </c>
      <c r="T1356" s="4">
        <v>220.33</v>
      </c>
    </row>
    <row r="1357">
      <c r="A1357" s="1" t="s">
        <v>2129</v>
      </c>
      <c r="B1357" s="2">
        <v>42131.0</v>
      </c>
      <c r="C1357" s="2" t="str">
        <f t="shared" si="1"/>
        <v>May</v>
      </c>
      <c r="D1357" s="6">
        <v>42131.0</v>
      </c>
      <c r="E1357" s="1" t="s">
        <v>717</v>
      </c>
      <c r="F1357" s="1" t="s">
        <v>2009</v>
      </c>
      <c r="G1357" s="1" t="s">
        <v>2010</v>
      </c>
      <c r="H1357" s="1" t="str">
        <f>IFERROR(__xludf.DUMMYFUNCTION("split(G1357,"" "")"),"Dan")</f>
        <v>Dan</v>
      </c>
      <c r="I1357" s="1" t="str">
        <f>IFERROR(__xludf.DUMMYFUNCTION("""COMPUTED_VALUE"""),"Campbell")</f>
        <v>Campbell</v>
      </c>
      <c r="J1357" s="1" t="s">
        <v>23</v>
      </c>
      <c r="K1357" s="1" t="s">
        <v>129</v>
      </c>
      <c r="L1357" s="1" t="str">
        <f t="shared" si="2"/>
        <v>Houston</v>
      </c>
      <c r="M1357" s="1" t="s">
        <v>70</v>
      </c>
      <c r="N1357" s="1" t="str">
        <f t="shared" si="3"/>
        <v>Texas</v>
      </c>
      <c r="O1357" s="1">
        <v>77036.0</v>
      </c>
      <c r="P1357" s="1" t="s">
        <v>71</v>
      </c>
      <c r="Q1357" s="1" t="s">
        <v>38</v>
      </c>
      <c r="R1357" s="3">
        <v>281.424</v>
      </c>
      <c r="S1357" s="1">
        <v>7.0</v>
      </c>
      <c r="T1357" s="4">
        <v>281.24</v>
      </c>
    </row>
    <row r="1358">
      <c r="A1358" s="1" t="s">
        <v>2130</v>
      </c>
      <c r="B1358" s="2">
        <v>42860.0</v>
      </c>
      <c r="C1358" s="2" t="str">
        <f t="shared" si="1"/>
        <v>May</v>
      </c>
      <c r="D1358" s="6">
        <v>42921.0</v>
      </c>
      <c r="E1358" s="1" t="s">
        <v>121</v>
      </c>
      <c r="F1358" s="1" t="s">
        <v>2131</v>
      </c>
      <c r="G1358" s="1" t="s">
        <v>2132</v>
      </c>
      <c r="H1358" s="1" t="str">
        <f>IFERROR(__xludf.DUMMYFUNCTION("split(G1358,"" "")"),"Natalie")</f>
        <v>Natalie</v>
      </c>
      <c r="I1358" s="1" t="str">
        <f>IFERROR(__xludf.DUMMYFUNCTION("""COMPUTED_VALUE"""),"DeCherney")</f>
        <v>DeCherney</v>
      </c>
      <c r="J1358" s="1" t="s">
        <v>23</v>
      </c>
      <c r="K1358" s="1" t="s">
        <v>818</v>
      </c>
      <c r="L1358" s="1" t="str">
        <f t="shared" si="2"/>
        <v>Louisville</v>
      </c>
      <c r="M1358" s="1" t="s">
        <v>25</v>
      </c>
      <c r="N1358" s="1" t="str">
        <f t="shared" si="3"/>
        <v>Kentucky</v>
      </c>
      <c r="O1358" s="1">
        <v>40214.0</v>
      </c>
      <c r="P1358" s="1" t="s">
        <v>26</v>
      </c>
      <c r="Q1358" s="1" t="s">
        <v>38</v>
      </c>
      <c r="R1358" s="3">
        <v>79.14</v>
      </c>
      <c r="S1358" s="1">
        <v>4.0</v>
      </c>
      <c r="T1358" s="4">
        <v>78.65</v>
      </c>
    </row>
    <row r="1359">
      <c r="A1359" s="1" t="s">
        <v>2133</v>
      </c>
      <c r="B1359" s="2">
        <v>43216.0</v>
      </c>
      <c r="C1359" s="2" t="str">
        <f t="shared" si="1"/>
        <v>Apr</v>
      </c>
      <c r="D1359" s="1" t="s">
        <v>1842</v>
      </c>
      <c r="E1359" s="1" t="s">
        <v>121</v>
      </c>
      <c r="F1359" s="1" t="s">
        <v>2134</v>
      </c>
      <c r="G1359" s="1" t="s">
        <v>2135</v>
      </c>
      <c r="H1359" s="1" t="str">
        <f>IFERROR(__xludf.DUMMYFUNCTION("split(G1359,"" "")"),"Larry")</f>
        <v>Larry</v>
      </c>
      <c r="I1359" s="1" t="str">
        <f>IFERROR(__xludf.DUMMYFUNCTION("""COMPUTED_VALUE"""),"Blacks")</f>
        <v>Blacks</v>
      </c>
      <c r="J1359" s="1" t="s">
        <v>23</v>
      </c>
      <c r="K1359" s="1" t="s">
        <v>69</v>
      </c>
      <c r="L1359" s="1" t="str">
        <f t="shared" si="2"/>
        <v>Fort Worth</v>
      </c>
      <c r="M1359" s="1" t="s">
        <v>70</v>
      </c>
      <c r="N1359" s="1" t="str">
        <f t="shared" si="3"/>
        <v>Texas</v>
      </c>
      <c r="O1359" s="1">
        <v>76106.0</v>
      </c>
      <c r="P1359" s="1" t="s">
        <v>71</v>
      </c>
      <c r="Q1359" s="1" t="s">
        <v>27</v>
      </c>
      <c r="R1359" s="3">
        <v>1.988</v>
      </c>
      <c r="S1359" s="1">
        <v>7.0</v>
      </c>
      <c r="T1359" s="4">
        <v>1.11</v>
      </c>
    </row>
    <row r="1360">
      <c r="A1360" s="1" t="s">
        <v>2136</v>
      </c>
      <c r="B1360" s="2">
        <v>42273.0</v>
      </c>
      <c r="C1360" s="2" t="str">
        <f t="shared" si="1"/>
        <v>Sep</v>
      </c>
      <c r="D1360" s="6">
        <v>42014.0</v>
      </c>
      <c r="E1360" s="1" t="s">
        <v>20</v>
      </c>
      <c r="F1360" s="1" t="s">
        <v>2137</v>
      </c>
      <c r="G1360" s="1" t="s">
        <v>2138</v>
      </c>
      <c r="H1360" s="1" t="str">
        <f>IFERROR(__xludf.DUMMYFUNCTION("split(G1360,"" "")"),"Kean")</f>
        <v>Kean</v>
      </c>
      <c r="I1360" s="1" t="str">
        <f>IFERROR(__xludf.DUMMYFUNCTION("""COMPUTED_VALUE"""),"Takahito")</f>
        <v>Takahito</v>
      </c>
      <c r="J1360" s="1" t="s">
        <v>23</v>
      </c>
      <c r="K1360" s="1" t="s">
        <v>35</v>
      </c>
      <c r="L1360" s="1" t="str">
        <f t="shared" si="2"/>
        <v>Los Angeles</v>
      </c>
      <c r="M1360" s="1" t="s">
        <v>52</v>
      </c>
      <c r="N1360" s="1" t="str">
        <f t="shared" si="3"/>
        <v>California</v>
      </c>
      <c r="O1360" s="1">
        <v>90049.0</v>
      </c>
      <c r="P1360" s="1" t="s">
        <v>37</v>
      </c>
      <c r="Q1360" s="1" t="s">
        <v>27</v>
      </c>
      <c r="R1360" s="3">
        <v>145.568</v>
      </c>
      <c r="S1360" s="1">
        <v>9.0</v>
      </c>
      <c r="T1360" s="4">
        <v>145.04</v>
      </c>
    </row>
    <row r="1361">
      <c r="A1361" s="1" t="s">
        <v>2139</v>
      </c>
      <c r="B1361" s="2">
        <v>43392.0</v>
      </c>
      <c r="C1361" s="2" t="str">
        <f t="shared" si="1"/>
        <v>Oct</v>
      </c>
      <c r="D1361" s="1" t="s">
        <v>2140</v>
      </c>
      <c r="E1361" s="1" t="s">
        <v>41</v>
      </c>
      <c r="F1361" s="1" t="s">
        <v>2141</v>
      </c>
      <c r="G1361" s="1" t="s">
        <v>2142</v>
      </c>
      <c r="H1361" s="1" t="str">
        <f>IFERROR(__xludf.DUMMYFUNCTION("split(G1361,"" "")"),"Harry")</f>
        <v>Harry</v>
      </c>
      <c r="I1361" s="1" t="str">
        <f>IFERROR(__xludf.DUMMYFUNCTION("""COMPUTED_VALUE"""),"Marie")</f>
        <v>Marie</v>
      </c>
      <c r="J1361" s="1" t="s">
        <v>34</v>
      </c>
      <c r="K1361" s="1" t="s">
        <v>98</v>
      </c>
      <c r="L1361" s="1" t="str">
        <f t="shared" si="2"/>
        <v>Philadelphia</v>
      </c>
      <c r="M1361" s="1" t="s">
        <v>99</v>
      </c>
      <c r="N1361" s="1" t="str">
        <f t="shared" si="3"/>
        <v>Pennsylvania</v>
      </c>
      <c r="O1361" s="1">
        <v>19120.0</v>
      </c>
      <c r="P1361" s="1" t="s">
        <v>100</v>
      </c>
      <c r="Q1361" s="1" t="s">
        <v>38</v>
      </c>
      <c r="R1361" s="3">
        <v>123.256</v>
      </c>
      <c r="S1361" s="1">
        <v>1.0</v>
      </c>
      <c r="T1361" s="4">
        <v>122.68</v>
      </c>
    </row>
    <row r="1362">
      <c r="A1362" s="1" t="s">
        <v>2139</v>
      </c>
      <c r="B1362" s="2">
        <v>43392.0</v>
      </c>
      <c r="C1362" s="2" t="str">
        <f t="shared" si="1"/>
        <v>Oct</v>
      </c>
      <c r="D1362" s="1" t="s">
        <v>2140</v>
      </c>
      <c r="E1362" s="1" t="s">
        <v>41</v>
      </c>
      <c r="F1362" s="1" t="s">
        <v>2141</v>
      </c>
      <c r="G1362" s="1" t="s">
        <v>2142</v>
      </c>
      <c r="H1362" s="1" t="str">
        <f>IFERROR(__xludf.DUMMYFUNCTION("split(G1362,"" "")"),"Harry")</f>
        <v>Harry</v>
      </c>
      <c r="I1362" s="1" t="str">
        <f>IFERROR(__xludf.DUMMYFUNCTION("""COMPUTED_VALUE"""),"Marie")</f>
        <v>Marie</v>
      </c>
      <c r="J1362" s="1" t="s">
        <v>34</v>
      </c>
      <c r="K1362" s="1" t="s">
        <v>98</v>
      </c>
      <c r="L1362" s="1" t="str">
        <f t="shared" si="2"/>
        <v>Philadelphia</v>
      </c>
      <c r="M1362" s="1" t="s">
        <v>99</v>
      </c>
      <c r="N1362" s="1" t="str">
        <f t="shared" si="3"/>
        <v>Pennsylvania</v>
      </c>
      <c r="O1362" s="1">
        <v>19120.0</v>
      </c>
      <c r="P1362" s="1" t="s">
        <v>100</v>
      </c>
      <c r="Q1362" s="1" t="s">
        <v>38</v>
      </c>
      <c r="R1362" s="3">
        <v>23.68</v>
      </c>
      <c r="S1362" s="1">
        <v>1.0</v>
      </c>
      <c r="T1362" s="4">
        <v>22.7</v>
      </c>
    </row>
    <row r="1363">
      <c r="A1363" s="1" t="s">
        <v>2139</v>
      </c>
      <c r="B1363" s="2">
        <v>43392.0</v>
      </c>
      <c r="C1363" s="2" t="str">
        <f t="shared" si="1"/>
        <v>Oct</v>
      </c>
      <c r="D1363" s="1" t="s">
        <v>2140</v>
      </c>
      <c r="E1363" s="1" t="s">
        <v>41</v>
      </c>
      <c r="F1363" s="1" t="s">
        <v>2141</v>
      </c>
      <c r="G1363" s="1" t="s">
        <v>2142</v>
      </c>
      <c r="H1363" s="1" t="str">
        <f>IFERROR(__xludf.DUMMYFUNCTION("split(G1363,"" "")"),"Harry")</f>
        <v>Harry</v>
      </c>
      <c r="I1363" s="1" t="str">
        <f>IFERROR(__xludf.DUMMYFUNCTION("""COMPUTED_VALUE"""),"Marie")</f>
        <v>Marie</v>
      </c>
      <c r="J1363" s="1" t="s">
        <v>34</v>
      </c>
      <c r="K1363" s="1" t="s">
        <v>98</v>
      </c>
      <c r="L1363" s="1" t="str">
        <f t="shared" si="2"/>
        <v>Philadelphia</v>
      </c>
      <c r="M1363" s="1" t="s">
        <v>99</v>
      </c>
      <c r="N1363" s="1" t="str">
        <f t="shared" si="3"/>
        <v>Pennsylvania</v>
      </c>
      <c r="O1363" s="1">
        <v>19120.0</v>
      </c>
      <c r="P1363" s="1" t="s">
        <v>100</v>
      </c>
      <c r="Q1363" s="1" t="s">
        <v>51</v>
      </c>
      <c r="R1363" s="3">
        <v>309.576</v>
      </c>
      <c r="S1363" s="1">
        <v>1.0</v>
      </c>
      <c r="T1363" s="4">
        <v>308.69</v>
      </c>
    </row>
    <row r="1364">
      <c r="A1364" s="1" t="s">
        <v>2143</v>
      </c>
      <c r="B1364" s="2">
        <v>43384.0</v>
      </c>
      <c r="C1364" s="2" t="str">
        <f t="shared" si="1"/>
        <v>Oct</v>
      </c>
      <c r="D1364" s="5">
        <v>43415.0</v>
      </c>
      <c r="E1364" s="1" t="s">
        <v>121</v>
      </c>
      <c r="F1364" s="1" t="s">
        <v>2144</v>
      </c>
      <c r="G1364" s="1" t="s">
        <v>2145</v>
      </c>
      <c r="H1364" s="1" t="str">
        <f>IFERROR(__xludf.DUMMYFUNCTION("split(G1364,"" "")"),"Ann")</f>
        <v>Ann</v>
      </c>
      <c r="I1364" s="1" t="str">
        <f>IFERROR(__xludf.DUMMYFUNCTION("""COMPUTED_VALUE"""),"Blume")</f>
        <v>Blume</v>
      </c>
      <c r="J1364" s="1" t="s">
        <v>34</v>
      </c>
      <c r="K1364" s="1" t="s">
        <v>729</v>
      </c>
      <c r="L1364" s="1" t="str">
        <f t="shared" si="2"/>
        <v>Tucson</v>
      </c>
      <c r="M1364" s="1" t="s">
        <v>193</v>
      </c>
      <c r="N1364" s="1" t="str">
        <f t="shared" si="3"/>
        <v>Arizona</v>
      </c>
      <c r="O1364" s="1">
        <v>85705.0</v>
      </c>
      <c r="P1364" s="1" t="s">
        <v>37</v>
      </c>
      <c r="Q1364" s="1" t="s">
        <v>38</v>
      </c>
      <c r="R1364" s="3">
        <v>38.388</v>
      </c>
      <c r="S1364" s="1">
        <v>8.0</v>
      </c>
      <c r="T1364" s="4">
        <v>38.26</v>
      </c>
    </row>
    <row r="1365">
      <c r="A1365" s="1" t="s">
        <v>2143</v>
      </c>
      <c r="B1365" s="2">
        <v>43384.0</v>
      </c>
      <c r="C1365" s="2" t="str">
        <f t="shared" si="1"/>
        <v>Oct</v>
      </c>
      <c r="D1365" s="5">
        <v>43415.0</v>
      </c>
      <c r="E1365" s="1" t="s">
        <v>121</v>
      </c>
      <c r="F1365" s="1" t="s">
        <v>2144</v>
      </c>
      <c r="G1365" s="1" t="s">
        <v>2145</v>
      </c>
      <c r="H1365" s="1" t="str">
        <f>IFERROR(__xludf.DUMMYFUNCTION("split(G1365,"" "")"),"Ann")</f>
        <v>Ann</v>
      </c>
      <c r="I1365" s="1" t="str">
        <f>IFERROR(__xludf.DUMMYFUNCTION("""COMPUTED_VALUE"""),"Blume")</f>
        <v>Blume</v>
      </c>
      <c r="J1365" s="1" t="s">
        <v>34</v>
      </c>
      <c r="K1365" s="1" t="s">
        <v>729</v>
      </c>
      <c r="L1365" s="1" t="str">
        <f t="shared" si="2"/>
        <v>Tucson</v>
      </c>
      <c r="M1365" s="1" t="s">
        <v>193</v>
      </c>
      <c r="N1365" s="1" t="str">
        <f t="shared" si="3"/>
        <v>Arizona</v>
      </c>
      <c r="O1365" s="1">
        <v>85705.0</v>
      </c>
      <c r="P1365" s="1" t="s">
        <v>37</v>
      </c>
      <c r="Q1365" s="1" t="s">
        <v>51</v>
      </c>
      <c r="R1365" s="3">
        <v>95.994</v>
      </c>
      <c r="S1365" s="1">
        <v>8.0</v>
      </c>
      <c r="T1365" s="4">
        <v>95.61</v>
      </c>
    </row>
    <row r="1366">
      <c r="A1366" s="1" t="s">
        <v>2143</v>
      </c>
      <c r="B1366" s="2">
        <v>43384.0</v>
      </c>
      <c r="C1366" s="2" t="str">
        <f t="shared" si="1"/>
        <v>Oct</v>
      </c>
      <c r="D1366" s="5">
        <v>43415.0</v>
      </c>
      <c r="E1366" s="1" t="s">
        <v>121</v>
      </c>
      <c r="F1366" s="1" t="s">
        <v>2144</v>
      </c>
      <c r="G1366" s="1" t="s">
        <v>2145</v>
      </c>
      <c r="H1366" s="1" t="str">
        <f>IFERROR(__xludf.DUMMYFUNCTION("split(G1366,"" "")"),"Ann")</f>
        <v>Ann</v>
      </c>
      <c r="I1366" s="1" t="str">
        <f>IFERROR(__xludf.DUMMYFUNCTION("""COMPUTED_VALUE"""),"Blume")</f>
        <v>Blume</v>
      </c>
      <c r="J1366" s="1" t="s">
        <v>34</v>
      </c>
      <c r="K1366" s="1" t="s">
        <v>729</v>
      </c>
      <c r="L1366" s="1" t="str">
        <f t="shared" si="2"/>
        <v>Tucson</v>
      </c>
      <c r="M1366" s="1" t="s">
        <v>193</v>
      </c>
      <c r="N1366" s="1" t="str">
        <f t="shared" si="3"/>
        <v>Arizona</v>
      </c>
      <c r="O1366" s="1">
        <v>85705.0</v>
      </c>
      <c r="P1366" s="1" t="s">
        <v>37</v>
      </c>
      <c r="Q1366" s="1" t="s">
        <v>51</v>
      </c>
      <c r="R1366" s="3">
        <v>239.952</v>
      </c>
      <c r="S1366" s="1">
        <v>8.0</v>
      </c>
      <c r="T1366" s="4">
        <v>238.97</v>
      </c>
    </row>
    <row r="1367">
      <c r="A1367" s="1" t="s">
        <v>2143</v>
      </c>
      <c r="B1367" s="2">
        <v>43384.0</v>
      </c>
      <c r="C1367" s="2" t="str">
        <f t="shared" si="1"/>
        <v>Oct</v>
      </c>
      <c r="D1367" s="5">
        <v>43415.0</v>
      </c>
      <c r="E1367" s="1" t="s">
        <v>121</v>
      </c>
      <c r="F1367" s="1" t="s">
        <v>2144</v>
      </c>
      <c r="G1367" s="1" t="s">
        <v>2145</v>
      </c>
      <c r="H1367" s="1" t="str">
        <f>IFERROR(__xludf.DUMMYFUNCTION("split(G1367,"" "")"),"Ann")</f>
        <v>Ann</v>
      </c>
      <c r="I1367" s="1" t="str">
        <f>IFERROR(__xludf.DUMMYFUNCTION("""COMPUTED_VALUE"""),"Blume")</f>
        <v>Blume</v>
      </c>
      <c r="J1367" s="1" t="s">
        <v>34</v>
      </c>
      <c r="K1367" s="1" t="s">
        <v>729</v>
      </c>
      <c r="L1367" s="1" t="str">
        <f t="shared" si="2"/>
        <v>Tucson</v>
      </c>
      <c r="M1367" s="1" t="s">
        <v>193</v>
      </c>
      <c r="N1367" s="1" t="str">
        <f t="shared" si="3"/>
        <v>Arizona</v>
      </c>
      <c r="O1367" s="1">
        <v>85705.0</v>
      </c>
      <c r="P1367" s="1" t="s">
        <v>37</v>
      </c>
      <c r="Q1367" s="1" t="s">
        <v>51</v>
      </c>
      <c r="R1367" s="3">
        <v>201.584</v>
      </c>
      <c r="S1367" s="1">
        <v>8.0</v>
      </c>
      <c r="T1367" s="4">
        <v>201.48</v>
      </c>
    </row>
    <row r="1368">
      <c r="A1368" s="1" t="s">
        <v>2143</v>
      </c>
      <c r="B1368" s="2">
        <v>43384.0</v>
      </c>
      <c r="C1368" s="2" t="str">
        <f t="shared" si="1"/>
        <v>Oct</v>
      </c>
      <c r="D1368" s="5">
        <v>43415.0</v>
      </c>
      <c r="E1368" s="1" t="s">
        <v>121</v>
      </c>
      <c r="F1368" s="1" t="s">
        <v>2144</v>
      </c>
      <c r="G1368" s="1" t="s">
        <v>2145</v>
      </c>
      <c r="H1368" s="1" t="str">
        <f>IFERROR(__xludf.DUMMYFUNCTION("split(G1368,"" "")"),"Ann")</f>
        <v>Ann</v>
      </c>
      <c r="I1368" s="1" t="str">
        <f>IFERROR(__xludf.DUMMYFUNCTION("""COMPUTED_VALUE"""),"Blume")</f>
        <v>Blume</v>
      </c>
      <c r="J1368" s="1" t="s">
        <v>34</v>
      </c>
      <c r="K1368" s="1" t="s">
        <v>729</v>
      </c>
      <c r="L1368" s="1" t="str">
        <f t="shared" si="2"/>
        <v>Tucson</v>
      </c>
      <c r="M1368" s="1" t="s">
        <v>193</v>
      </c>
      <c r="N1368" s="1" t="str">
        <f t="shared" si="3"/>
        <v>Arizona</v>
      </c>
      <c r="O1368" s="1">
        <v>85705.0</v>
      </c>
      <c r="P1368" s="1" t="s">
        <v>37</v>
      </c>
      <c r="Q1368" s="1" t="s">
        <v>27</v>
      </c>
      <c r="R1368" s="3">
        <v>899.136</v>
      </c>
      <c r="S1368" s="1">
        <v>8.0</v>
      </c>
      <c r="T1368" s="4">
        <v>898.82</v>
      </c>
    </row>
    <row r="1369">
      <c r="A1369" s="1" t="s">
        <v>2146</v>
      </c>
      <c r="B1369" s="2">
        <v>43319.0</v>
      </c>
      <c r="C1369" s="2" t="str">
        <f t="shared" si="1"/>
        <v>Aug</v>
      </c>
      <c r="D1369" s="6">
        <v>43411.0</v>
      </c>
      <c r="E1369" s="1" t="s">
        <v>121</v>
      </c>
      <c r="F1369" s="1" t="s">
        <v>2147</v>
      </c>
      <c r="G1369" s="1" t="s">
        <v>2148</v>
      </c>
      <c r="H1369" s="1" t="str">
        <f>IFERROR(__xludf.DUMMYFUNCTION("split(G1369,"" "")"),"Sam")</f>
        <v>Sam</v>
      </c>
      <c r="I1369" s="1" t="str">
        <f>IFERROR(__xludf.DUMMYFUNCTION("""COMPUTED_VALUE"""),"Zeldin")</f>
        <v>Zeldin</v>
      </c>
      <c r="J1369" s="1" t="s">
        <v>68</v>
      </c>
      <c r="K1369" s="1" t="s">
        <v>2149</v>
      </c>
      <c r="L1369" s="1" t="str">
        <f t="shared" si="2"/>
        <v>Pico Rivera</v>
      </c>
      <c r="M1369" s="1" t="s">
        <v>52</v>
      </c>
      <c r="N1369" s="1" t="str">
        <f t="shared" si="3"/>
        <v>California</v>
      </c>
      <c r="O1369" s="1">
        <v>90660.0</v>
      </c>
      <c r="P1369" s="1" t="s">
        <v>37</v>
      </c>
      <c r="Q1369" s="1" t="s">
        <v>27</v>
      </c>
      <c r="R1369" s="3">
        <v>145.9</v>
      </c>
      <c r="S1369" s="1">
        <v>9.0</v>
      </c>
      <c r="T1369" s="4">
        <v>145.41</v>
      </c>
    </row>
    <row r="1370">
      <c r="A1370" s="1" t="s">
        <v>2150</v>
      </c>
      <c r="B1370" s="2">
        <v>42728.0</v>
      </c>
      <c r="C1370" s="2" t="str">
        <f t="shared" si="1"/>
        <v>Dec</v>
      </c>
      <c r="D1370" s="1" t="s">
        <v>2151</v>
      </c>
      <c r="E1370" s="1" t="s">
        <v>41</v>
      </c>
      <c r="F1370" s="1" t="s">
        <v>2107</v>
      </c>
      <c r="G1370" s="1" t="s">
        <v>2108</v>
      </c>
      <c r="H1370" s="1" t="str">
        <f>IFERROR(__xludf.DUMMYFUNCTION("split(G1370,"" "")"),"Jim")</f>
        <v>Jim</v>
      </c>
      <c r="I1370" s="1" t="str">
        <f>IFERROR(__xludf.DUMMYFUNCTION("""COMPUTED_VALUE"""),"Radford")</f>
        <v>Radford</v>
      </c>
      <c r="J1370" s="1" t="s">
        <v>23</v>
      </c>
      <c r="K1370" s="1" t="s">
        <v>610</v>
      </c>
      <c r="L1370" s="1" t="str">
        <f t="shared" si="2"/>
        <v>Colorado Springs</v>
      </c>
      <c r="M1370" s="1" t="s">
        <v>279</v>
      </c>
      <c r="N1370" s="1" t="str">
        <f t="shared" si="3"/>
        <v>Colorado</v>
      </c>
      <c r="O1370" s="1">
        <v>80906.0</v>
      </c>
      <c r="P1370" s="1" t="s">
        <v>37</v>
      </c>
      <c r="Q1370" s="1" t="s">
        <v>27</v>
      </c>
      <c r="R1370" s="3">
        <v>590.058</v>
      </c>
      <c r="S1370" s="1">
        <v>8.0</v>
      </c>
      <c r="T1370" s="4">
        <v>589.64</v>
      </c>
    </row>
    <row r="1371">
      <c r="A1371" s="1" t="s">
        <v>2150</v>
      </c>
      <c r="B1371" s="2">
        <v>42728.0</v>
      </c>
      <c r="C1371" s="2" t="str">
        <f t="shared" si="1"/>
        <v>Dec</v>
      </c>
      <c r="D1371" s="1" t="s">
        <v>2151</v>
      </c>
      <c r="E1371" s="1" t="s">
        <v>41</v>
      </c>
      <c r="F1371" s="1" t="s">
        <v>2107</v>
      </c>
      <c r="G1371" s="1" t="s">
        <v>2108</v>
      </c>
      <c r="H1371" s="1" t="str">
        <f>IFERROR(__xludf.DUMMYFUNCTION("split(G1371,"" "")"),"Jim")</f>
        <v>Jim</v>
      </c>
      <c r="I1371" s="1" t="str">
        <f>IFERROR(__xludf.DUMMYFUNCTION("""COMPUTED_VALUE"""),"Radford")</f>
        <v>Radford</v>
      </c>
      <c r="J1371" s="1" t="s">
        <v>23</v>
      </c>
      <c r="K1371" s="1" t="s">
        <v>610</v>
      </c>
      <c r="L1371" s="1" t="str">
        <f t="shared" si="2"/>
        <v>Colorado Springs</v>
      </c>
      <c r="M1371" s="1" t="s">
        <v>279</v>
      </c>
      <c r="N1371" s="1" t="str">
        <f t="shared" si="3"/>
        <v>Colorado</v>
      </c>
      <c r="O1371" s="1">
        <v>80906.0</v>
      </c>
      <c r="P1371" s="1" t="s">
        <v>37</v>
      </c>
      <c r="Q1371" s="1" t="s">
        <v>38</v>
      </c>
      <c r="R1371" s="3">
        <v>14.04</v>
      </c>
      <c r="S1371" s="1">
        <v>8.0</v>
      </c>
      <c r="T1371" s="4">
        <v>13.66</v>
      </c>
    </row>
    <row r="1372">
      <c r="A1372" s="1" t="s">
        <v>2152</v>
      </c>
      <c r="B1372" s="2">
        <v>43284.0</v>
      </c>
      <c r="C1372" s="2" t="str">
        <f t="shared" si="1"/>
        <v>Jul</v>
      </c>
      <c r="D1372" s="6">
        <v>43437.0</v>
      </c>
      <c r="E1372" s="1" t="s">
        <v>41</v>
      </c>
      <c r="F1372" s="1" t="s">
        <v>2153</v>
      </c>
      <c r="G1372" s="1" t="s">
        <v>2154</v>
      </c>
      <c r="H1372" s="1" t="str">
        <f>IFERROR(__xludf.DUMMYFUNCTION("split(G1372,"" "")"),"Michael")</f>
        <v>Michael</v>
      </c>
      <c r="I1372" s="1" t="str">
        <f>IFERROR(__xludf.DUMMYFUNCTION("""COMPUTED_VALUE"""),"Granlund")</f>
        <v>Granlund</v>
      </c>
      <c r="J1372" s="1" t="s">
        <v>68</v>
      </c>
      <c r="K1372" s="1" t="s">
        <v>1828</v>
      </c>
      <c r="L1372" s="1" t="str">
        <f t="shared" si="2"/>
        <v>Clinton</v>
      </c>
      <c r="M1372" s="1" t="s">
        <v>1542</v>
      </c>
      <c r="N1372" s="1" t="str">
        <f t="shared" si="3"/>
        <v>Maryland</v>
      </c>
      <c r="O1372" s="1">
        <v>20735.0</v>
      </c>
      <c r="P1372" s="1" t="s">
        <v>100</v>
      </c>
      <c r="Q1372" s="1" t="s">
        <v>51</v>
      </c>
      <c r="R1372" s="3">
        <v>49.08</v>
      </c>
      <c r="S1372" s="1">
        <v>2.0</v>
      </c>
      <c r="T1372" s="4">
        <v>48.6</v>
      </c>
    </row>
    <row r="1373">
      <c r="A1373" s="1" t="s">
        <v>2155</v>
      </c>
      <c r="B1373" s="2">
        <v>42008.0</v>
      </c>
      <c r="C1373" s="2" t="str">
        <f t="shared" si="1"/>
        <v>Jan</v>
      </c>
      <c r="D1373" s="6">
        <v>42159.0</v>
      </c>
      <c r="E1373" s="1" t="s">
        <v>20</v>
      </c>
      <c r="F1373" s="1" t="s">
        <v>183</v>
      </c>
      <c r="G1373" s="1" t="s">
        <v>184</v>
      </c>
      <c r="H1373" s="1" t="str">
        <f>IFERROR(__xludf.DUMMYFUNCTION("split(G1373,"" "")"),"Kunst")</f>
        <v>Kunst</v>
      </c>
      <c r="I1373" s="1" t="str">
        <f>IFERROR(__xludf.DUMMYFUNCTION("""COMPUTED_VALUE"""),"Miller")</f>
        <v>Miller</v>
      </c>
      <c r="J1373" s="1" t="s">
        <v>23</v>
      </c>
      <c r="K1373" s="1" t="s">
        <v>1166</v>
      </c>
      <c r="L1373" s="1" t="str">
        <f t="shared" si="2"/>
        <v>Vallejo</v>
      </c>
      <c r="M1373" s="1" t="s">
        <v>52</v>
      </c>
      <c r="N1373" s="1" t="str">
        <f t="shared" si="3"/>
        <v>California</v>
      </c>
      <c r="O1373" s="1">
        <v>94591.0</v>
      </c>
      <c r="P1373" s="1" t="s">
        <v>37</v>
      </c>
      <c r="Q1373" s="1" t="s">
        <v>38</v>
      </c>
      <c r="R1373" s="3">
        <v>29.6</v>
      </c>
      <c r="S1373" s="1">
        <v>9.0</v>
      </c>
      <c r="T1373" s="4">
        <v>29.5</v>
      </c>
    </row>
    <row r="1374">
      <c r="A1374" s="1" t="s">
        <v>2155</v>
      </c>
      <c r="B1374" s="2">
        <v>42008.0</v>
      </c>
      <c r="C1374" s="2" t="str">
        <f t="shared" si="1"/>
        <v>Jan</v>
      </c>
      <c r="D1374" s="6">
        <v>42159.0</v>
      </c>
      <c r="E1374" s="1" t="s">
        <v>20</v>
      </c>
      <c r="F1374" s="1" t="s">
        <v>183</v>
      </c>
      <c r="G1374" s="1" t="s">
        <v>184</v>
      </c>
      <c r="H1374" s="1" t="str">
        <f>IFERROR(__xludf.DUMMYFUNCTION("split(G1374,"" "")"),"Kunst")</f>
        <v>Kunst</v>
      </c>
      <c r="I1374" s="1" t="str">
        <f>IFERROR(__xludf.DUMMYFUNCTION("""COMPUTED_VALUE"""),"Miller")</f>
        <v>Miller</v>
      </c>
      <c r="J1374" s="1" t="s">
        <v>23</v>
      </c>
      <c r="K1374" s="1" t="s">
        <v>1166</v>
      </c>
      <c r="L1374" s="1" t="str">
        <f t="shared" si="2"/>
        <v>Vallejo</v>
      </c>
      <c r="M1374" s="1" t="s">
        <v>52</v>
      </c>
      <c r="N1374" s="1" t="str">
        <f t="shared" si="3"/>
        <v>California</v>
      </c>
      <c r="O1374" s="1">
        <v>94591.0</v>
      </c>
      <c r="P1374" s="1" t="s">
        <v>37</v>
      </c>
      <c r="Q1374" s="1" t="s">
        <v>38</v>
      </c>
      <c r="R1374" s="3">
        <v>17.088</v>
      </c>
      <c r="S1374" s="1">
        <v>9.0</v>
      </c>
      <c r="T1374" s="4">
        <v>16.94</v>
      </c>
    </row>
    <row r="1375">
      <c r="A1375" s="1" t="s">
        <v>2156</v>
      </c>
      <c r="B1375" s="2">
        <v>42627.0</v>
      </c>
      <c r="C1375" s="2" t="str">
        <f t="shared" si="1"/>
        <v>Sep</v>
      </c>
      <c r="D1375" s="1" t="s">
        <v>1715</v>
      </c>
      <c r="E1375" s="1" t="s">
        <v>41</v>
      </c>
      <c r="F1375" s="1" t="s">
        <v>1137</v>
      </c>
      <c r="G1375" s="1" t="s">
        <v>1138</v>
      </c>
      <c r="H1375" s="1" t="str">
        <f>IFERROR(__xludf.DUMMYFUNCTION("split(G1375,"" "")"),"Christina")</f>
        <v>Christina</v>
      </c>
      <c r="I1375" s="1" t="str">
        <f>IFERROR(__xludf.DUMMYFUNCTION("""COMPUTED_VALUE"""),"Anderson")</f>
        <v>Anderson</v>
      </c>
      <c r="J1375" s="1" t="s">
        <v>23</v>
      </c>
      <c r="K1375" s="1" t="s">
        <v>2157</v>
      </c>
      <c r="L1375" s="1" t="str">
        <f t="shared" si="2"/>
        <v>Provo</v>
      </c>
      <c r="M1375" s="1" t="s">
        <v>83</v>
      </c>
      <c r="N1375" s="1" t="str">
        <f t="shared" si="3"/>
        <v>Utah</v>
      </c>
      <c r="O1375" s="1">
        <v>84604.0</v>
      </c>
      <c r="P1375" s="1" t="s">
        <v>37</v>
      </c>
      <c r="Q1375" s="1" t="s">
        <v>27</v>
      </c>
      <c r="R1375" s="3">
        <v>912.75</v>
      </c>
      <c r="S1375" s="1">
        <v>8.0</v>
      </c>
      <c r="T1375" s="4">
        <v>912.27</v>
      </c>
    </row>
    <row r="1376">
      <c r="A1376" s="1" t="s">
        <v>2158</v>
      </c>
      <c r="B1376" s="2">
        <v>42102.0</v>
      </c>
      <c r="C1376" s="2" t="str">
        <f t="shared" si="1"/>
        <v>Apr</v>
      </c>
      <c r="D1376" s="6">
        <v>42255.0</v>
      </c>
      <c r="E1376" s="1" t="s">
        <v>20</v>
      </c>
      <c r="F1376" s="1" t="s">
        <v>515</v>
      </c>
      <c r="G1376" s="1" t="s">
        <v>516</v>
      </c>
      <c r="H1376" s="1" t="str">
        <f>IFERROR(__xludf.DUMMYFUNCTION("split(G1376,"" "")"),"Valerie")</f>
        <v>Valerie</v>
      </c>
      <c r="I1376" s="1" t="str">
        <f>IFERROR(__xludf.DUMMYFUNCTION("""COMPUTED_VALUE"""),"Dominguez")</f>
        <v>Dominguez</v>
      </c>
      <c r="J1376" s="1" t="s">
        <v>23</v>
      </c>
      <c r="K1376" s="1" t="s">
        <v>2159</v>
      </c>
      <c r="L1376" s="1" t="str">
        <f t="shared" si="2"/>
        <v>Pleasant Grove</v>
      </c>
      <c r="M1376" s="1" t="s">
        <v>83</v>
      </c>
      <c r="N1376" s="1" t="str">
        <f t="shared" si="3"/>
        <v>Utah</v>
      </c>
      <c r="O1376" s="1">
        <v>84062.0</v>
      </c>
      <c r="P1376" s="1" t="s">
        <v>37</v>
      </c>
      <c r="Q1376" s="1" t="s">
        <v>38</v>
      </c>
      <c r="R1376" s="3">
        <v>1089.75</v>
      </c>
      <c r="S1376" s="1">
        <v>8.0</v>
      </c>
      <c r="T1376" s="4">
        <v>1089.44</v>
      </c>
    </row>
    <row r="1377">
      <c r="A1377" s="1" t="s">
        <v>2158</v>
      </c>
      <c r="B1377" s="2">
        <v>42102.0</v>
      </c>
      <c r="C1377" s="2" t="str">
        <f t="shared" si="1"/>
        <v>Apr</v>
      </c>
      <c r="D1377" s="6">
        <v>42255.0</v>
      </c>
      <c r="E1377" s="1" t="s">
        <v>20</v>
      </c>
      <c r="F1377" s="1" t="s">
        <v>515</v>
      </c>
      <c r="G1377" s="1" t="s">
        <v>516</v>
      </c>
      <c r="H1377" s="1" t="str">
        <f>IFERROR(__xludf.DUMMYFUNCTION("split(G1377,"" "")"),"Valerie")</f>
        <v>Valerie</v>
      </c>
      <c r="I1377" s="1" t="str">
        <f>IFERROR(__xludf.DUMMYFUNCTION("""COMPUTED_VALUE"""),"Dominguez")</f>
        <v>Dominguez</v>
      </c>
      <c r="J1377" s="1" t="s">
        <v>23</v>
      </c>
      <c r="K1377" s="1" t="s">
        <v>2159</v>
      </c>
      <c r="L1377" s="1" t="str">
        <f t="shared" si="2"/>
        <v>Pleasant Grove</v>
      </c>
      <c r="M1377" s="1" t="s">
        <v>83</v>
      </c>
      <c r="N1377" s="1" t="str">
        <f t="shared" si="3"/>
        <v>Utah</v>
      </c>
      <c r="O1377" s="1">
        <v>84062.0</v>
      </c>
      <c r="P1377" s="1" t="s">
        <v>37</v>
      </c>
      <c r="Q1377" s="1" t="s">
        <v>38</v>
      </c>
      <c r="R1377" s="3">
        <v>447.84</v>
      </c>
      <c r="S1377" s="1">
        <v>8.0</v>
      </c>
      <c r="T1377" s="4">
        <v>447.4</v>
      </c>
    </row>
    <row r="1378">
      <c r="A1378" s="1" t="s">
        <v>2158</v>
      </c>
      <c r="B1378" s="2">
        <v>42102.0</v>
      </c>
      <c r="C1378" s="2" t="str">
        <f t="shared" si="1"/>
        <v>Apr</v>
      </c>
      <c r="D1378" s="6">
        <v>42255.0</v>
      </c>
      <c r="E1378" s="1" t="s">
        <v>20</v>
      </c>
      <c r="F1378" s="1" t="s">
        <v>515</v>
      </c>
      <c r="G1378" s="1" t="s">
        <v>516</v>
      </c>
      <c r="H1378" s="1" t="str">
        <f>IFERROR(__xludf.DUMMYFUNCTION("split(G1378,"" "")"),"Valerie")</f>
        <v>Valerie</v>
      </c>
      <c r="I1378" s="1" t="str">
        <f>IFERROR(__xludf.DUMMYFUNCTION("""COMPUTED_VALUE"""),"Dominguez")</f>
        <v>Dominguez</v>
      </c>
      <c r="J1378" s="1" t="s">
        <v>23</v>
      </c>
      <c r="K1378" s="1" t="s">
        <v>2159</v>
      </c>
      <c r="L1378" s="1" t="str">
        <f t="shared" si="2"/>
        <v>Pleasant Grove</v>
      </c>
      <c r="M1378" s="1" t="s">
        <v>83</v>
      </c>
      <c r="N1378" s="1" t="str">
        <f t="shared" si="3"/>
        <v>Utah</v>
      </c>
      <c r="O1378" s="1">
        <v>84062.0</v>
      </c>
      <c r="P1378" s="1" t="s">
        <v>37</v>
      </c>
      <c r="Q1378" s="1" t="s">
        <v>38</v>
      </c>
      <c r="R1378" s="3">
        <v>16.4</v>
      </c>
      <c r="S1378" s="1">
        <v>8.0</v>
      </c>
      <c r="T1378" s="4">
        <v>15.73</v>
      </c>
    </row>
    <row r="1379">
      <c r="A1379" s="1" t="s">
        <v>2158</v>
      </c>
      <c r="B1379" s="2">
        <v>42102.0</v>
      </c>
      <c r="C1379" s="2" t="str">
        <f t="shared" si="1"/>
        <v>Apr</v>
      </c>
      <c r="D1379" s="6">
        <v>42255.0</v>
      </c>
      <c r="E1379" s="1" t="s">
        <v>20</v>
      </c>
      <c r="F1379" s="1" t="s">
        <v>515</v>
      </c>
      <c r="G1379" s="1" t="s">
        <v>516</v>
      </c>
      <c r="H1379" s="1" t="str">
        <f>IFERROR(__xludf.DUMMYFUNCTION("split(G1379,"" "")"),"Valerie")</f>
        <v>Valerie</v>
      </c>
      <c r="I1379" s="1" t="str">
        <f>IFERROR(__xludf.DUMMYFUNCTION("""COMPUTED_VALUE"""),"Dominguez")</f>
        <v>Dominguez</v>
      </c>
      <c r="J1379" s="1" t="s">
        <v>23</v>
      </c>
      <c r="K1379" s="1" t="s">
        <v>2159</v>
      </c>
      <c r="L1379" s="1" t="str">
        <f t="shared" si="2"/>
        <v>Pleasant Grove</v>
      </c>
      <c r="M1379" s="1" t="s">
        <v>83</v>
      </c>
      <c r="N1379" s="1" t="str">
        <f t="shared" si="3"/>
        <v>Utah</v>
      </c>
      <c r="O1379" s="1">
        <v>84062.0</v>
      </c>
      <c r="P1379" s="1" t="s">
        <v>37</v>
      </c>
      <c r="Q1379" s="1" t="s">
        <v>51</v>
      </c>
      <c r="R1379" s="3">
        <v>399.96</v>
      </c>
      <c r="S1379" s="1">
        <v>8.0</v>
      </c>
      <c r="T1379" s="4">
        <v>399.87</v>
      </c>
    </row>
    <row r="1380">
      <c r="A1380" s="1" t="s">
        <v>2158</v>
      </c>
      <c r="B1380" s="2">
        <v>42102.0</v>
      </c>
      <c r="C1380" s="2" t="str">
        <f t="shared" si="1"/>
        <v>Apr</v>
      </c>
      <c r="D1380" s="6">
        <v>42255.0</v>
      </c>
      <c r="E1380" s="1" t="s">
        <v>20</v>
      </c>
      <c r="F1380" s="1" t="s">
        <v>515</v>
      </c>
      <c r="G1380" s="1" t="s">
        <v>516</v>
      </c>
      <c r="H1380" s="1" t="str">
        <f>IFERROR(__xludf.DUMMYFUNCTION("split(G1380,"" "")"),"Valerie")</f>
        <v>Valerie</v>
      </c>
      <c r="I1380" s="1" t="str">
        <f>IFERROR(__xludf.DUMMYFUNCTION("""COMPUTED_VALUE"""),"Dominguez")</f>
        <v>Dominguez</v>
      </c>
      <c r="J1380" s="1" t="s">
        <v>23</v>
      </c>
      <c r="K1380" s="1" t="s">
        <v>2159</v>
      </c>
      <c r="L1380" s="1" t="str">
        <f t="shared" si="2"/>
        <v>Pleasant Grove</v>
      </c>
      <c r="M1380" s="1" t="s">
        <v>83</v>
      </c>
      <c r="N1380" s="1" t="str">
        <f t="shared" si="3"/>
        <v>Utah</v>
      </c>
      <c r="O1380" s="1">
        <v>84062.0</v>
      </c>
      <c r="P1380" s="1" t="s">
        <v>37</v>
      </c>
      <c r="Q1380" s="1" t="s">
        <v>38</v>
      </c>
      <c r="R1380" s="3">
        <v>158.9</v>
      </c>
      <c r="S1380" s="1">
        <v>8.0</v>
      </c>
      <c r="T1380" s="4">
        <v>158.17</v>
      </c>
    </row>
    <row r="1381">
      <c r="A1381" s="1" t="s">
        <v>2158</v>
      </c>
      <c r="B1381" s="2">
        <v>42102.0</v>
      </c>
      <c r="C1381" s="2" t="str">
        <f t="shared" si="1"/>
        <v>Apr</v>
      </c>
      <c r="D1381" s="6">
        <v>42255.0</v>
      </c>
      <c r="E1381" s="1" t="s">
        <v>20</v>
      </c>
      <c r="F1381" s="1" t="s">
        <v>515</v>
      </c>
      <c r="G1381" s="1" t="s">
        <v>516</v>
      </c>
      <c r="H1381" s="1" t="str">
        <f>IFERROR(__xludf.DUMMYFUNCTION("split(G1381,"" "")"),"Valerie")</f>
        <v>Valerie</v>
      </c>
      <c r="I1381" s="1" t="str">
        <f>IFERROR(__xludf.DUMMYFUNCTION("""COMPUTED_VALUE"""),"Dominguez")</f>
        <v>Dominguez</v>
      </c>
      <c r="J1381" s="1" t="s">
        <v>23</v>
      </c>
      <c r="K1381" s="1" t="s">
        <v>2159</v>
      </c>
      <c r="L1381" s="1" t="str">
        <f t="shared" si="2"/>
        <v>Pleasant Grove</v>
      </c>
      <c r="M1381" s="1" t="s">
        <v>83</v>
      </c>
      <c r="N1381" s="1" t="str">
        <f t="shared" si="3"/>
        <v>Utah</v>
      </c>
      <c r="O1381" s="1">
        <v>84062.0</v>
      </c>
      <c r="P1381" s="1" t="s">
        <v>37</v>
      </c>
      <c r="Q1381" s="1" t="s">
        <v>38</v>
      </c>
      <c r="R1381" s="3">
        <v>13.184</v>
      </c>
      <c r="S1381" s="1">
        <v>8.0</v>
      </c>
      <c r="T1381" s="4">
        <v>12.9</v>
      </c>
    </row>
    <row r="1382">
      <c r="A1382" s="1" t="s">
        <v>2160</v>
      </c>
      <c r="B1382" s="2">
        <v>42803.0</v>
      </c>
      <c r="C1382" s="2" t="str">
        <f t="shared" si="1"/>
        <v>Mar</v>
      </c>
      <c r="D1382" s="6">
        <v>42987.0</v>
      </c>
      <c r="E1382" s="1" t="s">
        <v>41</v>
      </c>
      <c r="F1382" s="1" t="s">
        <v>2161</v>
      </c>
      <c r="G1382" s="1" t="s">
        <v>2162</v>
      </c>
      <c r="H1382" s="1" t="str">
        <f>IFERROR(__xludf.DUMMYFUNCTION("split(G1382,"" "")"),"Julie")</f>
        <v>Julie</v>
      </c>
      <c r="I1382" s="1" t="str">
        <f>IFERROR(__xludf.DUMMYFUNCTION("""COMPUTED_VALUE"""),"Kriz")</f>
        <v>Kriz</v>
      </c>
      <c r="J1382" s="1" t="s">
        <v>68</v>
      </c>
      <c r="K1382" s="1" t="s">
        <v>278</v>
      </c>
      <c r="L1382" s="1" t="str">
        <f t="shared" si="2"/>
        <v>Aurora</v>
      </c>
      <c r="M1382" s="1" t="s">
        <v>135</v>
      </c>
      <c r="N1382" s="1" t="str">
        <f t="shared" si="3"/>
        <v>Illinois</v>
      </c>
      <c r="O1382" s="1">
        <v>60505.0</v>
      </c>
      <c r="P1382" s="1" t="s">
        <v>71</v>
      </c>
      <c r="Q1382" s="1" t="s">
        <v>27</v>
      </c>
      <c r="R1382" s="3">
        <v>83.952</v>
      </c>
      <c r="S1382" s="1">
        <v>6.0</v>
      </c>
      <c r="T1382" s="4">
        <v>83.39</v>
      </c>
    </row>
    <row r="1383">
      <c r="A1383" s="1" t="s">
        <v>2163</v>
      </c>
      <c r="B1383" s="2">
        <v>42857.0</v>
      </c>
      <c r="C1383" s="2" t="str">
        <f t="shared" si="1"/>
        <v>May</v>
      </c>
      <c r="D1383" s="6">
        <v>42857.0</v>
      </c>
      <c r="E1383" s="1" t="s">
        <v>717</v>
      </c>
      <c r="F1383" s="1" t="s">
        <v>2164</v>
      </c>
      <c r="G1383" s="1" t="s">
        <v>2165</v>
      </c>
      <c r="H1383" s="1" t="str">
        <f>IFERROR(__xludf.DUMMYFUNCTION("split(G1383,"" "")"),"Paul")</f>
        <v>Paul</v>
      </c>
      <c r="I1383" s="1" t="str">
        <f>IFERROR(__xludf.DUMMYFUNCTION("""COMPUTED_VALUE"""),"Prost")</f>
        <v>Prost</v>
      </c>
      <c r="J1383" s="1" t="s">
        <v>68</v>
      </c>
      <c r="K1383" s="1" t="s">
        <v>2166</v>
      </c>
      <c r="L1383" s="1" t="str">
        <f t="shared" si="2"/>
        <v>Smyrna</v>
      </c>
      <c r="M1383" s="1" t="s">
        <v>707</v>
      </c>
      <c r="N1383" s="1" t="str">
        <f t="shared" si="3"/>
        <v>Georgia</v>
      </c>
      <c r="O1383" s="1">
        <v>30080.0</v>
      </c>
      <c r="P1383" s="1" t="s">
        <v>26</v>
      </c>
      <c r="Q1383" s="1" t="s">
        <v>38</v>
      </c>
      <c r="R1383" s="3">
        <v>80.98</v>
      </c>
      <c r="S1383" s="1">
        <v>3.0</v>
      </c>
      <c r="T1383" s="4">
        <v>80.76</v>
      </c>
    </row>
    <row r="1384">
      <c r="A1384" s="1" t="s">
        <v>2163</v>
      </c>
      <c r="B1384" s="2">
        <v>42857.0</v>
      </c>
      <c r="C1384" s="2" t="str">
        <f t="shared" si="1"/>
        <v>May</v>
      </c>
      <c r="D1384" s="6">
        <v>42857.0</v>
      </c>
      <c r="E1384" s="1" t="s">
        <v>717</v>
      </c>
      <c r="F1384" s="1" t="s">
        <v>2164</v>
      </c>
      <c r="G1384" s="1" t="s">
        <v>2165</v>
      </c>
      <c r="H1384" s="1" t="str">
        <f>IFERROR(__xludf.DUMMYFUNCTION("split(G1384,"" "")"),"Paul")</f>
        <v>Paul</v>
      </c>
      <c r="I1384" s="1" t="str">
        <f>IFERROR(__xludf.DUMMYFUNCTION("""COMPUTED_VALUE"""),"Prost")</f>
        <v>Prost</v>
      </c>
      <c r="J1384" s="1" t="s">
        <v>68</v>
      </c>
      <c r="K1384" s="1" t="s">
        <v>2166</v>
      </c>
      <c r="L1384" s="1" t="str">
        <f t="shared" si="2"/>
        <v>Smyrna</v>
      </c>
      <c r="M1384" s="1" t="s">
        <v>707</v>
      </c>
      <c r="N1384" s="1" t="str">
        <f t="shared" si="3"/>
        <v>Georgia</v>
      </c>
      <c r="O1384" s="1">
        <v>30080.0</v>
      </c>
      <c r="P1384" s="1" t="s">
        <v>26</v>
      </c>
      <c r="Q1384" s="1" t="s">
        <v>38</v>
      </c>
      <c r="R1384" s="3">
        <v>348.84</v>
      </c>
      <c r="S1384" s="1">
        <v>3.0</v>
      </c>
      <c r="T1384" s="4">
        <v>348.73</v>
      </c>
    </row>
    <row r="1385">
      <c r="A1385" s="1" t="s">
        <v>2163</v>
      </c>
      <c r="B1385" s="2">
        <v>42857.0</v>
      </c>
      <c r="C1385" s="2" t="str">
        <f t="shared" si="1"/>
        <v>May</v>
      </c>
      <c r="D1385" s="6">
        <v>42857.0</v>
      </c>
      <c r="E1385" s="1" t="s">
        <v>717</v>
      </c>
      <c r="F1385" s="1" t="s">
        <v>2164</v>
      </c>
      <c r="G1385" s="1" t="s">
        <v>2165</v>
      </c>
      <c r="H1385" s="1" t="str">
        <f>IFERROR(__xludf.DUMMYFUNCTION("split(G1385,"" "")"),"Paul")</f>
        <v>Paul</v>
      </c>
      <c r="I1385" s="1" t="str">
        <f>IFERROR(__xludf.DUMMYFUNCTION("""COMPUTED_VALUE"""),"Prost")</f>
        <v>Prost</v>
      </c>
      <c r="J1385" s="1" t="s">
        <v>68</v>
      </c>
      <c r="K1385" s="1" t="s">
        <v>2166</v>
      </c>
      <c r="L1385" s="1" t="str">
        <f t="shared" si="2"/>
        <v>Smyrna</v>
      </c>
      <c r="M1385" s="1" t="s">
        <v>707</v>
      </c>
      <c r="N1385" s="1" t="str">
        <f t="shared" si="3"/>
        <v>Georgia</v>
      </c>
      <c r="O1385" s="1">
        <v>30080.0</v>
      </c>
      <c r="P1385" s="1" t="s">
        <v>26</v>
      </c>
      <c r="Q1385" s="1" t="s">
        <v>38</v>
      </c>
      <c r="R1385" s="3">
        <v>9.45</v>
      </c>
      <c r="S1385" s="1">
        <v>3.0</v>
      </c>
      <c r="T1385" s="4">
        <v>9.13</v>
      </c>
    </row>
    <row r="1386">
      <c r="A1386" s="1" t="s">
        <v>2163</v>
      </c>
      <c r="B1386" s="2">
        <v>42857.0</v>
      </c>
      <c r="C1386" s="2" t="str">
        <f t="shared" si="1"/>
        <v>May</v>
      </c>
      <c r="D1386" s="6">
        <v>42857.0</v>
      </c>
      <c r="E1386" s="1" t="s">
        <v>717</v>
      </c>
      <c r="F1386" s="1" t="s">
        <v>2164</v>
      </c>
      <c r="G1386" s="1" t="s">
        <v>2165</v>
      </c>
      <c r="H1386" s="1" t="str">
        <f>IFERROR(__xludf.DUMMYFUNCTION("split(G1386,"" "")"),"Paul")</f>
        <v>Paul</v>
      </c>
      <c r="I1386" s="1" t="str">
        <f>IFERROR(__xludf.DUMMYFUNCTION("""COMPUTED_VALUE"""),"Prost")</f>
        <v>Prost</v>
      </c>
      <c r="J1386" s="1" t="s">
        <v>68</v>
      </c>
      <c r="K1386" s="1" t="s">
        <v>2166</v>
      </c>
      <c r="L1386" s="1" t="str">
        <f t="shared" si="2"/>
        <v>Smyrna</v>
      </c>
      <c r="M1386" s="1" t="s">
        <v>707</v>
      </c>
      <c r="N1386" s="1" t="str">
        <f t="shared" si="3"/>
        <v>Georgia</v>
      </c>
      <c r="O1386" s="1">
        <v>30080.0</v>
      </c>
      <c r="P1386" s="1" t="s">
        <v>26</v>
      </c>
      <c r="Q1386" s="1" t="s">
        <v>27</v>
      </c>
      <c r="R1386" s="3">
        <v>18.84</v>
      </c>
      <c r="S1386" s="1">
        <v>3.0</v>
      </c>
      <c r="T1386" s="4">
        <v>18.47</v>
      </c>
    </row>
    <row r="1387">
      <c r="A1387" s="1" t="s">
        <v>2163</v>
      </c>
      <c r="B1387" s="2">
        <v>42857.0</v>
      </c>
      <c r="C1387" s="2" t="str">
        <f t="shared" si="1"/>
        <v>May</v>
      </c>
      <c r="D1387" s="6">
        <v>42857.0</v>
      </c>
      <c r="E1387" s="1" t="s">
        <v>717</v>
      </c>
      <c r="F1387" s="1" t="s">
        <v>2164</v>
      </c>
      <c r="G1387" s="1" t="s">
        <v>2165</v>
      </c>
      <c r="H1387" s="1" t="str">
        <f>IFERROR(__xludf.DUMMYFUNCTION("split(G1387,"" "")"),"Paul")</f>
        <v>Paul</v>
      </c>
      <c r="I1387" s="1" t="str">
        <f>IFERROR(__xludf.DUMMYFUNCTION("""COMPUTED_VALUE"""),"Prost")</f>
        <v>Prost</v>
      </c>
      <c r="J1387" s="1" t="s">
        <v>68</v>
      </c>
      <c r="K1387" s="1" t="s">
        <v>2166</v>
      </c>
      <c r="L1387" s="1" t="str">
        <f t="shared" si="2"/>
        <v>Smyrna</v>
      </c>
      <c r="M1387" s="1" t="s">
        <v>707</v>
      </c>
      <c r="N1387" s="1" t="str">
        <f t="shared" si="3"/>
        <v>Georgia</v>
      </c>
      <c r="O1387" s="1">
        <v>30080.0</v>
      </c>
      <c r="P1387" s="1" t="s">
        <v>26</v>
      </c>
      <c r="Q1387" s="1" t="s">
        <v>27</v>
      </c>
      <c r="R1387" s="3">
        <v>239.98</v>
      </c>
      <c r="S1387" s="1">
        <v>3.0</v>
      </c>
      <c r="T1387" s="4">
        <v>239.85</v>
      </c>
    </row>
    <row r="1388">
      <c r="A1388" s="1" t="s">
        <v>2163</v>
      </c>
      <c r="B1388" s="2">
        <v>42857.0</v>
      </c>
      <c r="C1388" s="2" t="str">
        <f t="shared" si="1"/>
        <v>May</v>
      </c>
      <c r="D1388" s="6">
        <v>42857.0</v>
      </c>
      <c r="E1388" s="1" t="s">
        <v>717</v>
      </c>
      <c r="F1388" s="1" t="s">
        <v>2164</v>
      </c>
      <c r="G1388" s="1" t="s">
        <v>2165</v>
      </c>
      <c r="H1388" s="1" t="str">
        <f>IFERROR(__xludf.DUMMYFUNCTION("split(G1388,"" "")"),"Paul")</f>
        <v>Paul</v>
      </c>
      <c r="I1388" s="1" t="str">
        <f>IFERROR(__xludf.DUMMYFUNCTION("""COMPUTED_VALUE"""),"Prost")</f>
        <v>Prost</v>
      </c>
      <c r="J1388" s="1" t="s">
        <v>68</v>
      </c>
      <c r="K1388" s="1" t="s">
        <v>2166</v>
      </c>
      <c r="L1388" s="1" t="str">
        <f t="shared" si="2"/>
        <v>Smyrna</v>
      </c>
      <c r="M1388" s="1" t="s">
        <v>707</v>
      </c>
      <c r="N1388" s="1" t="str">
        <f t="shared" si="3"/>
        <v>Georgia</v>
      </c>
      <c r="O1388" s="1">
        <v>30080.0</v>
      </c>
      <c r="P1388" s="1" t="s">
        <v>26</v>
      </c>
      <c r="Q1388" s="1" t="s">
        <v>38</v>
      </c>
      <c r="R1388" s="3">
        <v>167.96</v>
      </c>
      <c r="S1388" s="1">
        <v>3.0</v>
      </c>
      <c r="T1388" s="4">
        <v>167.15</v>
      </c>
    </row>
    <row r="1389">
      <c r="A1389" s="1" t="s">
        <v>2163</v>
      </c>
      <c r="B1389" s="2">
        <v>42857.0</v>
      </c>
      <c r="C1389" s="2" t="str">
        <f t="shared" si="1"/>
        <v>May</v>
      </c>
      <c r="D1389" s="6">
        <v>42857.0</v>
      </c>
      <c r="E1389" s="1" t="s">
        <v>717</v>
      </c>
      <c r="F1389" s="1" t="s">
        <v>2164</v>
      </c>
      <c r="G1389" s="1" t="s">
        <v>2165</v>
      </c>
      <c r="H1389" s="1" t="str">
        <f>IFERROR(__xludf.DUMMYFUNCTION("split(G1389,"" "")"),"Paul")</f>
        <v>Paul</v>
      </c>
      <c r="I1389" s="1" t="str">
        <f>IFERROR(__xludf.DUMMYFUNCTION("""COMPUTED_VALUE"""),"Prost")</f>
        <v>Prost</v>
      </c>
      <c r="J1389" s="1" t="s">
        <v>68</v>
      </c>
      <c r="K1389" s="1" t="s">
        <v>2166</v>
      </c>
      <c r="L1389" s="1" t="str">
        <f t="shared" si="2"/>
        <v>Smyrna</v>
      </c>
      <c r="M1389" s="1" t="s">
        <v>707</v>
      </c>
      <c r="N1389" s="1" t="str">
        <f t="shared" si="3"/>
        <v>Georgia</v>
      </c>
      <c r="O1389" s="1">
        <v>30080.0</v>
      </c>
      <c r="P1389" s="1" t="s">
        <v>26</v>
      </c>
      <c r="Q1389" s="1" t="s">
        <v>51</v>
      </c>
      <c r="R1389" s="3">
        <v>104.85</v>
      </c>
      <c r="S1389" s="1">
        <v>3.0</v>
      </c>
      <c r="T1389" s="4">
        <v>104.15</v>
      </c>
    </row>
    <row r="1390">
      <c r="A1390" s="1" t="s">
        <v>2163</v>
      </c>
      <c r="B1390" s="2">
        <v>42857.0</v>
      </c>
      <c r="C1390" s="2" t="str">
        <f t="shared" si="1"/>
        <v>May</v>
      </c>
      <c r="D1390" s="6">
        <v>42857.0</v>
      </c>
      <c r="E1390" s="1" t="s">
        <v>717</v>
      </c>
      <c r="F1390" s="1" t="s">
        <v>2164</v>
      </c>
      <c r="G1390" s="1" t="s">
        <v>2165</v>
      </c>
      <c r="H1390" s="1" t="str">
        <f>IFERROR(__xludf.DUMMYFUNCTION("split(G1390,"" "")"),"Paul")</f>
        <v>Paul</v>
      </c>
      <c r="I1390" s="1" t="str">
        <f>IFERROR(__xludf.DUMMYFUNCTION("""COMPUTED_VALUE"""),"Prost")</f>
        <v>Prost</v>
      </c>
      <c r="J1390" s="1" t="s">
        <v>68</v>
      </c>
      <c r="K1390" s="1" t="s">
        <v>2166</v>
      </c>
      <c r="L1390" s="1" t="str">
        <f t="shared" si="2"/>
        <v>Smyrna</v>
      </c>
      <c r="M1390" s="1" t="s">
        <v>707</v>
      </c>
      <c r="N1390" s="1" t="str">
        <f t="shared" si="3"/>
        <v>Georgia</v>
      </c>
      <c r="O1390" s="1">
        <v>30080.0</v>
      </c>
      <c r="P1390" s="1" t="s">
        <v>26</v>
      </c>
      <c r="Q1390" s="1" t="s">
        <v>51</v>
      </c>
      <c r="R1390" s="3">
        <v>484.83</v>
      </c>
      <c r="S1390" s="1">
        <v>3.0</v>
      </c>
      <c r="T1390" s="4">
        <v>484.55</v>
      </c>
    </row>
    <row r="1391">
      <c r="A1391" s="1" t="s">
        <v>2163</v>
      </c>
      <c r="B1391" s="2">
        <v>42857.0</v>
      </c>
      <c r="C1391" s="2" t="str">
        <f t="shared" si="1"/>
        <v>May</v>
      </c>
      <c r="D1391" s="6">
        <v>42857.0</v>
      </c>
      <c r="E1391" s="1" t="s">
        <v>717</v>
      </c>
      <c r="F1391" s="1" t="s">
        <v>2164</v>
      </c>
      <c r="G1391" s="1" t="s">
        <v>2165</v>
      </c>
      <c r="H1391" s="1" t="str">
        <f>IFERROR(__xludf.DUMMYFUNCTION("split(G1391,"" "")"),"Paul")</f>
        <v>Paul</v>
      </c>
      <c r="I1391" s="1" t="str">
        <f>IFERROR(__xludf.DUMMYFUNCTION("""COMPUTED_VALUE"""),"Prost")</f>
        <v>Prost</v>
      </c>
      <c r="J1391" s="1" t="s">
        <v>68</v>
      </c>
      <c r="K1391" s="1" t="s">
        <v>2166</v>
      </c>
      <c r="L1391" s="1" t="str">
        <f t="shared" si="2"/>
        <v>Smyrna</v>
      </c>
      <c r="M1391" s="1" t="s">
        <v>707</v>
      </c>
      <c r="N1391" s="1" t="str">
        <f t="shared" si="3"/>
        <v>Georgia</v>
      </c>
      <c r="O1391" s="1">
        <v>30080.0</v>
      </c>
      <c r="P1391" s="1" t="s">
        <v>26</v>
      </c>
      <c r="Q1391" s="1" t="s">
        <v>38</v>
      </c>
      <c r="R1391" s="3">
        <v>122.97</v>
      </c>
      <c r="S1391" s="1">
        <v>3.0</v>
      </c>
      <c r="T1391" s="4">
        <v>122.82</v>
      </c>
    </row>
    <row r="1392">
      <c r="A1392" s="1" t="s">
        <v>2163</v>
      </c>
      <c r="B1392" s="2">
        <v>42857.0</v>
      </c>
      <c r="C1392" s="2" t="str">
        <f t="shared" si="1"/>
        <v>May</v>
      </c>
      <c r="D1392" s="6">
        <v>42857.0</v>
      </c>
      <c r="E1392" s="1" t="s">
        <v>717</v>
      </c>
      <c r="F1392" s="1" t="s">
        <v>2164</v>
      </c>
      <c r="G1392" s="1" t="s">
        <v>2165</v>
      </c>
      <c r="H1392" s="1" t="str">
        <f>IFERROR(__xludf.DUMMYFUNCTION("split(G1392,"" "")"),"Paul")</f>
        <v>Paul</v>
      </c>
      <c r="I1392" s="1" t="str">
        <f>IFERROR(__xludf.DUMMYFUNCTION("""COMPUTED_VALUE"""),"Prost")</f>
        <v>Prost</v>
      </c>
      <c r="J1392" s="1" t="s">
        <v>68</v>
      </c>
      <c r="K1392" s="1" t="s">
        <v>2166</v>
      </c>
      <c r="L1392" s="1" t="str">
        <f t="shared" si="2"/>
        <v>Smyrna</v>
      </c>
      <c r="M1392" s="1" t="s">
        <v>707</v>
      </c>
      <c r="N1392" s="1" t="str">
        <f t="shared" si="3"/>
        <v>Georgia</v>
      </c>
      <c r="O1392" s="1">
        <v>30080.0</v>
      </c>
      <c r="P1392" s="1" t="s">
        <v>26</v>
      </c>
      <c r="Q1392" s="1" t="s">
        <v>38</v>
      </c>
      <c r="R1392" s="3">
        <v>154.44</v>
      </c>
      <c r="S1392" s="1">
        <v>3.0</v>
      </c>
      <c r="T1392" s="4">
        <v>154.18</v>
      </c>
    </row>
    <row r="1393">
      <c r="A1393" s="1" t="s">
        <v>2163</v>
      </c>
      <c r="B1393" s="2">
        <v>42857.0</v>
      </c>
      <c r="C1393" s="2" t="str">
        <f t="shared" si="1"/>
        <v>May</v>
      </c>
      <c r="D1393" s="6">
        <v>42857.0</v>
      </c>
      <c r="E1393" s="1" t="s">
        <v>717</v>
      </c>
      <c r="F1393" s="1" t="s">
        <v>2164</v>
      </c>
      <c r="G1393" s="1" t="s">
        <v>2165</v>
      </c>
      <c r="H1393" s="1" t="str">
        <f>IFERROR(__xludf.DUMMYFUNCTION("split(G1393,"" "")"),"Paul")</f>
        <v>Paul</v>
      </c>
      <c r="I1393" s="1" t="str">
        <f>IFERROR(__xludf.DUMMYFUNCTION("""COMPUTED_VALUE"""),"Prost")</f>
        <v>Prost</v>
      </c>
      <c r="J1393" s="1" t="s">
        <v>68</v>
      </c>
      <c r="K1393" s="1" t="s">
        <v>2166</v>
      </c>
      <c r="L1393" s="1" t="str">
        <f t="shared" si="2"/>
        <v>Smyrna</v>
      </c>
      <c r="M1393" s="1" t="s">
        <v>707</v>
      </c>
      <c r="N1393" s="1" t="str">
        <f t="shared" si="3"/>
        <v>Georgia</v>
      </c>
      <c r="O1393" s="1">
        <v>30080.0</v>
      </c>
      <c r="P1393" s="1" t="s">
        <v>26</v>
      </c>
      <c r="Q1393" s="1" t="s">
        <v>38</v>
      </c>
      <c r="R1393" s="3">
        <v>342.37</v>
      </c>
      <c r="S1393" s="1">
        <v>3.0</v>
      </c>
      <c r="T1393" s="4">
        <v>342.3</v>
      </c>
    </row>
    <row r="1394">
      <c r="A1394" s="1" t="s">
        <v>2167</v>
      </c>
      <c r="B1394" s="2">
        <v>43166.0</v>
      </c>
      <c r="C1394" s="2" t="str">
        <f t="shared" si="1"/>
        <v>Mar</v>
      </c>
      <c r="D1394" s="6">
        <v>43197.0</v>
      </c>
      <c r="E1394" s="1" t="s">
        <v>121</v>
      </c>
      <c r="F1394" s="1" t="s">
        <v>2168</v>
      </c>
      <c r="G1394" s="1" t="s">
        <v>2169</v>
      </c>
      <c r="H1394" s="1" t="str">
        <f>IFERROR(__xludf.DUMMYFUNCTION("split(G1394,"" "")"),"Yana")</f>
        <v>Yana</v>
      </c>
      <c r="I1394" s="1" t="str">
        <f>IFERROR(__xludf.DUMMYFUNCTION("""COMPUTED_VALUE"""),"Sorensen")</f>
        <v>Sorensen</v>
      </c>
      <c r="J1394" s="1" t="s">
        <v>34</v>
      </c>
      <c r="K1394" s="1" t="s">
        <v>1237</v>
      </c>
      <c r="L1394" s="1" t="str">
        <f t="shared" si="2"/>
        <v>Burlington</v>
      </c>
      <c r="M1394" s="1" t="s">
        <v>58</v>
      </c>
      <c r="N1394" s="1" t="str">
        <f t="shared" si="3"/>
        <v>North Carolina</v>
      </c>
      <c r="O1394" s="1">
        <v>27217.0</v>
      </c>
      <c r="P1394" s="1" t="s">
        <v>26</v>
      </c>
      <c r="Q1394" s="1" t="s">
        <v>38</v>
      </c>
      <c r="R1394" s="3">
        <v>9.552</v>
      </c>
      <c r="S1394" s="1">
        <v>2.0</v>
      </c>
      <c r="T1394" s="4">
        <v>8.62</v>
      </c>
    </row>
    <row r="1395">
      <c r="A1395" s="1" t="s">
        <v>2170</v>
      </c>
      <c r="B1395" s="2">
        <v>43353.0</v>
      </c>
      <c r="C1395" s="2" t="str">
        <f t="shared" si="1"/>
        <v>Sep</v>
      </c>
      <c r="D1395" s="1" t="s">
        <v>2171</v>
      </c>
      <c r="E1395" s="1" t="s">
        <v>41</v>
      </c>
      <c r="F1395" s="1" t="s">
        <v>1474</v>
      </c>
      <c r="G1395" s="1" t="s">
        <v>1475</v>
      </c>
      <c r="H1395" s="1" t="str">
        <f>IFERROR(__xludf.DUMMYFUNCTION("split(G1395,"" "")"),"Cyma")</f>
        <v>Cyma</v>
      </c>
      <c r="I1395" s="1" t="str">
        <f>IFERROR(__xludf.DUMMYFUNCTION("""COMPUTED_VALUE"""),"Kinney")</f>
        <v>Kinney</v>
      </c>
      <c r="J1395" s="1" t="s">
        <v>34</v>
      </c>
      <c r="K1395" s="1" t="s">
        <v>278</v>
      </c>
      <c r="L1395" s="1" t="str">
        <f t="shared" si="2"/>
        <v>Aurora</v>
      </c>
      <c r="M1395" s="1" t="s">
        <v>135</v>
      </c>
      <c r="N1395" s="1" t="str">
        <f t="shared" si="3"/>
        <v>Illinois</v>
      </c>
      <c r="O1395" s="1">
        <v>60505.0</v>
      </c>
      <c r="P1395" s="1" t="s">
        <v>71</v>
      </c>
      <c r="Q1395" s="1" t="s">
        <v>27</v>
      </c>
      <c r="R1395" s="3">
        <v>652.45</v>
      </c>
      <c r="S1395" s="1">
        <v>6.0</v>
      </c>
      <c r="T1395" s="4">
        <v>651.81</v>
      </c>
    </row>
    <row r="1396">
      <c r="A1396" s="1" t="s">
        <v>2170</v>
      </c>
      <c r="B1396" s="2">
        <v>43353.0</v>
      </c>
      <c r="C1396" s="2" t="str">
        <f t="shared" si="1"/>
        <v>Sep</v>
      </c>
      <c r="D1396" s="1" t="s">
        <v>2171</v>
      </c>
      <c r="E1396" s="1" t="s">
        <v>41</v>
      </c>
      <c r="F1396" s="1" t="s">
        <v>1474</v>
      </c>
      <c r="G1396" s="1" t="s">
        <v>1475</v>
      </c>
      <c r="H1396" s="1" t="str">
        <f>IFERROR(__xludf.DUMMYFUNCTION("split(G1396,"" "")"),"Cyma")</f>
        <v>Cyma</v>
      </c>
      <c r="I1396" s="1" t="str">
        <f>IFERROR(__xludf.DUMMYFUNCTION("""COMPUTED_VALUE"""),"Kinney")</f>
        <v>Kinney</v>
      </c>
      <c r="J1396" s="1" t="s">
        <v>34</v>
      </c>
      <c r="K1396" s="1" t="s">
        <v>278</v>
      </c>
      <c r="L1396" s="1" t="str">
        <f t="shared" si="2"/>
        <v>Aurora</v>
      </c>
      <c r="M1396" s="1" t="s">
        <v>135</v>
      </c>
      <c r="N1396" s="1" t="str">
        <f t="shared" si="3"/>
        <v>Illinois</v>
      </c>
      <c r="O1396" s="1">
        <v>60505.0</v>
      </c>
      <c r="P1396" s="1" t="s">
        <v>71</v>
      </c>
      <c r="Q1396" s="1" t="s">
        <v>27</v>
      </c>
      <c r="R1396" s="3">
        <v>66.645</v>
      </c>
      <c r="S1396" s="1">
        <v>6.0</v>
      </c>
      <c r="T1396" s="4">
        <v>66.17</v>
      </c>
    </row>
    <row r="1397">
      <c r="A1397" s="1" t="s">
        <v>2172</v>
      </c>
      <c r="B1397" s="2">
        <v>43063.0</v>
      </c>
      <c r="C1397" s="2" t="str">
        <f t="shared" si="1"/>
        <v>Nov</v>
      </c>
      <c r="D1397" s="1" t="s">
        <v>2029</v>
      </c>
      <c r="E1397" s="1" t="s">
        <v>121</v>
      </c>
      <c r="F1397" s="1" t="s">
        <v>1876</v>
      </c>
      <c r="G1397" s="1" t="s">
        <v>1877</v>
      </c>
      <c r="H1397" s="1" t="str">
        <f>IFERROR(__xludf.DUMMYFUNCTION("split(G1397,"" "")"),"Nat")</f>
        <v>Nat</v>
      </c>
      <c r="I1397" s="1" t="str">
        <f>IFERROR(__xludf.DUMMYFUNCTION("""COMPUTED_VALUE"""),"Carroll")</f>
        <v>Carroll</v>
      </c>
      <c r="J1397" s="1" t="s">
        <v>23</v>
      </c>
      <c r="K1397" s="1" t="s">
        <v>174</v>
      </c>
      <c r="L1397" s="1" t="str">
        <f t="shared" si="2"/>
        <v>New York City</v>
      </c>
      <c r="M1397" s="1" t="s">
        <v>175</v>
      </c>
      <c r="N1397" s="1" t="str">
        <f t="shared" si="3"/>
        <v>New York</v>
      </c>
      <c r="O1397" s="1">
        <v>10035.0</v>
      </c>
      <c r="P1397" s="1" t="s">
        <v>100</v>
      </c>
      <c r="Q1397" s="1" t="s">
        <v>38</v>
      </c>
      <c r="R1397" s="3">
        <v>17.216</v>
      </c>
      <c r="S1397" s="1">
        <v>1.0</v>
      </c>
      <c r="T1397" s="4">
        <v>17.02</v>
      </c>
    </row>
    <row r="1398">
      <c r="A1398" s="1" t="s">
        <v>2172</v>
      </c>
      <c r="B1398" s="2">
        <v>43063.0</v>
      </c>
      <c r="C1398" s="2" t="str">
        <f t="shared" si="1"/>
        <v>Nov</v>
      </c>
      <c r="D1398" s="1" t="s">
        <v>2029</v>
      </c>
      <c r="E1398" s="1" t="s">
        <v>121</v>
      </c>
      <c r="F1398" s="1" t="s">
        <v>1876</v>
      </c>
      <c r="G1398" s="1" t="s">
        <v>1877</v>
      </c>
      <c r="H1398" s="1" t="str">
        <f>IFERROR(__xludf.DUMMYFUNCTION("split(G1398,"" "")"),"Nat")</f>
        <v>Nat</v>
      </c>
      <c r="I1398" s="1" t="str">
        <f>IFERROR(__xludf.DUMMYFUNCTION("""COMPUTED_VALUE"""),"Carroll")</f>
        <v>Carroll</v>
      </c>
      <c r="J1398" s="1" t="s">
        <v>23</v>
      </c>
      <c r="K1398" s="1" t="s">
        <v>174</v>
      </c>
      <c r="L1398" s="1" t="str">
        <f t="shared" si="2"/>
        <v>New York City</v>
      </c>
      <c r="M1398" s="1" t="s">
        <v>175</v>
      </c>
      <c r="N1398" s="1" t="str">
        <f t="shared" si="3"/>
        <v>New York</v>
      </c>
      <c r="O1398" s="1">
        <v>10035.0</v>
      </c>
      <c r="P1398" s="1" t="s">
        <v>100</v>
      </c>
      <c r="Q1398" s="1" t="s">
        <v>38</v>
      </c>
      <c r="R1398" s="3">
        <v>11.56</v>
      </c>
      <c r="S1398" s="1">
        <v>1.0</v>
      </c>
      <c r="T1398" s="4">
        <v>10.77</v>
      </c>
    </row>
    <row r="1399">
      <c r="A1399" s="1" t="s">
        <v>2172</v>
      </c>
      <c r="B1399" s="2">
        <v>43063.0</v>
      </c>
      <c r="C1399" s="2" t="str">
        <f t="shared" si="1"/>
        <v>Nov</v>
      </c>
      <c r="D1399" s="1" t="s">
        <v>2029</v>
      </c>
      <c r="E1399" s="1" t="s">
        <v>121</v>
      </c>
      <c r="F1399" s="1" t="s">
        <v>1876</v>
      </c>
      <c r="G1399" s="1" t="s">
        <v>1877</v>
      </c>
      <c r="H1399" s="1" t="str">
        <f>IFERROR(__xludf.DUMMYFUNCTION("split(G1399,"" "")"),"Nat")</f>
        <v>Nat</v>
      </c>
      <c r="I1399" s="1" t="str">
        <f>IFERROR(__xludf.DUMMYFUNCTION("""COMPUTED_VALUE"""),"Carroll")</f>
        <v>Carroll</v>
      </c>
      <c r="J1399" s="1" t="s">
        <v>23</v>
      </c>
      <c r="K1399" s="1" t="s">
        <v>174</v>
      </c>
      <c r="L1399" s="1" t="str">
        <f t="shared" si="2"/>
        <v>New York City</v>
      </c>
      <c r="M1399" s="1" t="s">
        <v>175</v>
      </c>
      <c r="N1399" s="1" t="str">
        <f t="shared" si="3"/>
        <v>New York</v>
      </c>
      <c r="O1399" s="1">
        <v>10035.0</v>
      </c>
      <c r="P1399" s="1" t="s">
        <v>100</v>
      </c>
      <c r="Q1399" s="1" t="s">
        <v>51</v>
      </c>
      <c r="R1399" s="3">
        <v>88.4</v>
      </c>
      <c r="S1399" s="1">
        <v>1.0</v>
      </c>
      <c r="T1399" s="4">
        <v>87.67</v>
      </c>
    </row>
    <row r="1400">
      <c r="A1400" s="1" t="s">
        <v>2172</v>
      </c>
      <c r="B1400" s="2">
        <v>43063.0</v>
      </c>
      <c r="C1400" s="2" t="str">
        <f t="shared" si="1"/>
        <v>Nov</v>
      </c>
      <c r="D1400" s="1" t="s">
        <v>2029</v>
      </c>
      <c r="E1400" s="1" t="s">
        <v>121</v>
      </c>
      <c r="F1400" s="1" t="s">
        <v>1876</v>
      </c>
      <c r="G1400" s="1" t="s">
        <v>1877</v>
      </c>
      <c r="H1400" s="1" t="str">
        <f>IFERROR(__xludf.DUMMYFUNCTION("split(G1400,"" "")"),"Nat")</f>
        <v>Nat</v>
      </c>
      <c r="I1400" s="1" t="str">
        <f>IFERROR(__xludf.DUMMYFUNCTION("""COMPUTED_VALUE"""),"Carroll")</f>
        <v>Carroll</v>
      </c>
      <c r="J1400" s="1" t="s">
        <v>23</v>
      </c>
      <c r="K1400" s="1" t="s">
        <v>174</v>
      </c>
      <c r="L1400" s="1" t="str">
        <f t="shared" si="2"/>
        <v>New York City</v>
      </c>
      <c r="M1400" s="1" t="s">
        <v>175</v>
      </c>
      <c r="N1400" s="1" t="str">
        <f t="shared" si="3"/>
        <v>New York</v>
      </c>
      <c r="O1400" s="1">
        <v>10035.0</v>
      </c>
      <c r="P1400" s="1" t="s">
        <v>100</v>
      </c>
      <c r="Q1400" s="1" t="s">
        <v>38</v>
      </c>
      <c r="R1400" s="3">
        <v>6.48</v>
      </c>
      <c r="S1400" s="1">
        <v>1.0</v>
      </c>
      <c r="T1400" s="4">
        <v>6.44</v>
      </c>
    </row>
    <row r="1401">
      <c r="A1401" s="1" t="s">
        <v>2173</v>
      </c>
      <c r="B1401" s="2">
        <v>42746.0</v>
      </c>
      <c r="C1401" s="2" t="str">
        <f t="shared" si="1"/>
        <v>Jan</v>
      </c>
      <c r="D1401" s="6">
        <v>42866.0</v>
      </c>
      <c r="E1401" s="1" t="s">
        <v>41</v>
      </c>
      <c r="F1401" s="1" t="s">
        <v>2174</v>
      </c>
      <c r="G1401" s="1" t="s">
        <v>2175</v>
      </c>
      <c r="H1401" s="1" t="str">
        <f>IFERROR(__xludf.DUMMYFUNCTION("split(G1401,"" "")"),"Katherine")</f>
        <v>Katherine</v>
      </c>
      <c r="I1401" s="1" t="str">
        <f>IFERROR(__xludf.DUMMYFUNCTION("""COMPUTED_VALUE"""),"Murray")</f>
        <v>Murray</v>
      </c>
      <c r="J1401" s="1" t="s">
        <v>68</v>
      </c>
      <c r="K1401" s="1" t="s">
        <v>1095</v>
      </c>
      <c r="L1401" s="1" t="str">
        <f t="shared" si="2"/>
        <v>Salem</v>
      </c>
      <c r="M1401" s="1" t="s">
        <v>198</v>
      </c>
      <c r="N1401" s="1" t="str">
        <f t="shared" si="3"/>
        <v>Virginia</v>
      </c>
      <c r="O1401" s="1">
        <v>24153.0</v>
      </c>
      <c r="P1401" s="1" t="s">
        <v>26</v>
      </c>
      <c r="Q1401" s="1" t="s">
        <v>51</v>
      </c>
      <c r="R1401" s="3">
        <v>21.8</v>
      </c>
      <c r="S1401" s="1">
        <v>2.0</v>
      </c>
      <c r="T1401" s="4">
        <v>21.02</v>
      </c>
    </row>
    <row r="1402">
      <c r="A1402" s="1" t="s">
        <v>2173</v>
      </c>
      <c r="B1402" s="2">
        <v>42746.0</v>
      </c>
      <c r="C1402" s="2" t="str">
        <f t="shared" si="1"/>
        <v>Jan</v>
      </c>
      <c r="D1402" s="6">
        <v>42866.0</v>
      </c>
      <c r="E1402" s="1" t="s">
        <v>41</v>
      </c>
      <c r="F1402" s="1" t="s">
        <v>2174</v>
      </c>
      <c r="G1402" s="1" t="s">
        <v>2175</v>
      </c>
      <c r="H1402" s="1" t="str">
        <f>IFERROR(__xludf.DUMMYFUNCTION("split(G1402,"" "")"),"Katherine")</f>
        <v>Katherine</v>
      </c>
      <c r="I1402" s="1" t="str">
        <f>IFERROR(__xludf.DUMMYFUNCTION("""COMPUTED_VALUE"""),"Murray")</f>
        <v>Murray</v>
      </c>
      <c r="J1402" s="1" t="s">
        <v>68</v>
      </c>
      <c r="K1402" s="1" t="s">
        <v>1095</v>
      </c>
      <c r="L1402" s="1" t="str">
        <f t="shared" si="2"/>
        <v>Salem</v>
      </c>
      <c r="M1402" s="1" t="s">
        <v>198</v>
      </c>
      <c r="N1402" s="1" t="str">
        <f t="shared" si="3"/>
        <v>Virginia</v>
      </c>
      <c r="O1402" s="1">
        <v>24153.0</v>
      </c>
      <c r="P1402" s="1" t="s">
        <v>26</v>
      </c>
      <c r="Q1402" s="1" t="s">
        <v>38</v>
      </c>
      <c r="R1402" s="3">
        <v>251.79</v>
      </c>
      <c r="S1402" s="1">
        <v>2.0</v>
      </c>
      <c r="T1402" s="4">
        <v>250.81</v>
      </c>
    </row>
    <row r="1403">
      <c r="A1403" s="1" t="s">
        <v>2176</v>
      </c>
      <c r="B1403" s="2">
        <v>42844.0</v>
      </c>
      <c r="C1403" s="2" t="str">
        <f t="shared" si="1"/>
        <v>Apr</v>
      </c>
      <c r="D1403" s="1" t="s">
        <v>2177</v>
      </c>
      <c r="E1403" s="1" t="s">
        <v>41</v>
      </c>
      <c r="F1403" s="1" t="s">
        <v>242</v>
      </c>
      <c r="G1403" s="1" t="s">
        <v>243</v>
      </c>
      <c r="H1403" s="1" t="str">
        <f>IFERROR(__xludf.DUMMYFUNCTION("split(G1403,"" "")"),"Gary")</f>
        <v>Gary</v>
      </c>
      <c r="I1403" s="1" t="str">
        <f>IFERROR(__xludf.DUMMYFUNCTION("""COMPUTED_VALUE"""),"Mitchum")</f>
        <v>Mitchum</v>
      </c>
      <c r="J1403" s="1" t="s">
        <v>68</v>
      </c>
      <c r="K1403" s="1" t="s">
        <v>303</v>
      </c>
      <c r="L1403" s="1" t="str">
        <f t="shared" si="2"/>
        <v>Columbus</v>
      </c>
      <c r="M1403" s="1" t="s">
        <v>304</v>
      </c>
      <c r="N1403" s="1" t="str">
        <f t="shared" si="3"/>
        <v>Ohio</v>
      </c>
      <c r="O1403" s="1">
        <v>43229.0</v>
      </c>
      <c r="P1403" s="1" t="s">
        <v>100</v>
      </c>
      <c r="Q1403" s="1" t="s">
        <v>27</v>
      </c>
      <c r="R1403" s="3">
        <v>205.176</v>
      </c>
      <c r="S1403" s="1">
        <v>4.0</v>
      </c>
      <c r="T1403" s="4">
        <v>204.56</v>
      </c>
    </row>
    <row r="1404">
      <c r="A1404" s="1" t="s">
        <v>2176</v>
      </c>
      <c r="B1404" s="2">
        <v>42844.0</v>
      </c>
      <c r="C1404" s="2" t="str">
        <f t="shared" si="1"/>
        <v>Apr</v>
      </c>
      <c r="D1404" s="1" t="s">
        <v>2177</v>
      </c>
      <c r="E1404" s="1" t="s">
        <v>41</v>
      </c>
      <c r="F1404" s="1" t="s">
        <v>242</v>
      </c>
      <c r="G1404" s="1" t="s">
        <v>243</v>
      </c>
      <c r="H1404" s="1" t="str">
        <f>IFERROR(__xludf.DUMMYFUNCTION("split(G1404,"" "")"),"Gary")</f>
        <v>Gary</v>
      </c>
      <c r="I1404" s="1" t="str">
        <f>IFERROR(__xludf.DUMMYFUNCTION("""COMPUTED_VALUE"""),"Mitchum")</f>
        <v>Mitchum</v>
      </c>
      <c r="J1404" s="1" t="s">
        <v>68</v>
      </c>
      <c r="K1404" s="1" t="s">
        <v>303</v>
      </c>
      <c r="L1404" s="1" t="str">
        <f t="shared" si="2"/>
        <v>Columbus</v>
      </c>
      <c r="M1404" s="1" t="s">
        <v>304</v>
      </c>
      <c r="N1404" s="1" t="str">
        <f t="shared" si="3"/>
        <v>Ohio</v>
      </c>
      <c r="O1404" s="1">
        <v>43229.0</v>
      </c>
      <c r="P1404" s="1" t="s">
        <v>100</v>
      </c>
      <c r="Q1404" s="1" t="s">
        <v>38</v>
      </c>
      <c r="R1404" s="3">
        <v>419.4</v>
      </c>
      <c r="S1404" s="1">
        <v>4.0</v>
      </c>
      <c r="T1404" s="4">
        <v>418.98</v>
      </c>
    </row>
    <row r="1405">
      <c r="A1405" s="1" t="s">
        <v>2178</v>
      </c>
      <c r="B1405" s="2">
        <v>42159.0</v>
      </c>
      <c r="C1405" s="2" t="str">
        <f t="shared" si="1"/>
        <v>Jun</v>
      </c>
      <c r="D1405" s="6">
        <v>42220.0</v>
      </c>
      <c r="E1405" s="1" t="s">
        <v>121</v>
      </c>
      <c r="F1405" s="1" t="s">
        <v>833</v>
      </c>
      <c r="G1405" s="1" t="s">
        <v>834</v>
      </c>
      <c r="H1405" s="1" t="str">
        <f>IFERROR(__xludf.DUMMYFUNCTION("split(G1405,"" "")"),"Shirley")</f>
        <v>Shirley</v>
      </c>
      <c r="I1405" s="1" t="str">
        <f>IFERROR(__xludf.DUMMYFUNCTION("""COMPUTED_VALUE"""),"Daniels")</f>
        <v>Daniels</v>
      </c>
      <c r="J1405" s="1" t="s">
        <v>68</v>
      </c>
      <c r="K1405" s="1" t="s">
        <v>98</v>
      </c>
      <c r="L1405" s="1" t="str">
        <f t="shared" si="2"/>
        <v>Philadelphia</v>
      </c>
      <c r="M1405" s="1" t="s">
        <v>99</v>
      </c>
      <c r="N1405" s="1" t="str">
        <f t="shared" si="3"/>
        <v>Pennsylvania</v>
      </c>
      <c r="O1405" s="1">
        <v>19143.0</v>
      </c>
      <c r="P1405" s="1" t="s">
        <v>100</v>
      </c>
      <c r="Q1405" s="1" t="s">
        <v>38</v>
      </c>
      <c r="R1405" s="3">
        <v>10.304</v>
      </c>
      <c r="S1405" s="1">
        <v>1.0</v>
      </c>
      <c r="T1405" s="4">
        <v>10.24</v>
      </c>
    </row>
    <row r="1406">
      <c r="A1406" s="1" t="s">
        <v>2178</v>
      </c>
      <c r="B1406" s="2">
        <v>42159.0</v>
      </c>
      <c r="C1406" s="2" t="str">
        <f t="shared" si="1"/>
        <v>Jun</v>
      </c>
      <c r="D1406" s="6">
        <v>42220.0</v>
      </c>
      <c r="E1406" s="1" t="s">
        <v>121</v>
      </c>
      <c r="F1406" s="1" t="s">
        <v>833</v>
      </c>
      <c r="G1406" s="1" t="s">
        <v>834</v>
      </c>
      <c r="H1406" s="1" t="str">
        <f>IFERROR(__xludf.DUMMYFUNCTION("split(G1406,"" "")"),"Shirley")</f>
        <v>Shirley</v>
      </c>
      <c r="I1406" s="1" t="str">
        <f>IFERROR(__xludf.DUMMYFUNCTION("""COMPUTED_VALUE"""),"Daniels")</f>
        <v>Daniels</v>
      </c>
      <c r="J1406" s="1" t="s">
        <v>68</v>
      </c>
      <c r="K1406" s="1" t="s">
        <v>98</v>
      </c>
      <c r="L1406" s="1" t="str">
        <f t="shared" si="2"/>
        <v>Philadelphia</v>
      </c>
      <c r="M1406" s="1" t="s">
        <v>99</v>
      </c>
      <c r="N1406" s="1" t="str">
        <f t="shared" si="3"/>
        <v>Pennsylvania</v>
      </c>
      <c r="O1406" s="1">
        <v>19143.0</v>
      </c>
      <c r="P1406" s="1" t="s">
        <v>100</v>
      </c>
      <c r="Q1406" s="1" t="s">
        <v>27</v>
      </c>
      <c r="R1406" s="3">
        <v>154.764</v>
      </c>
      <c r="S1406" s="1">
        <v>1.0</v>
      </c>
      <c r="T1406" s="4">
        <v>154.54</v>
      </c>
    </row>
    <row r="1407">
      <c r="A1407" s="1" t="s">
        <v>2178</v>
      </c>
      <c r="B1407" s="2">
        <v>42159.0</v>
      </c>
      <c r="C1407" s="2" t="str">
        <f t="shared" si="1"/>
        <v>Jun</v>
      </c>
      <c r="D1407" s="6">
        <v>42220.0</v>
      </c>
      <c r="E1407" s="1" t="s">
        <v>121</v>
      </c>
      <c r="F1407" s="1" t="s">
        <v>833</v>
      </c>
      <c r="G1407" s="1" t="s">
        <v>834</v>
      </c>
      <c r="H1407" s="1" t="str">
        <f>IFERROR(__xludf.DUMMYFUNCTION("split(G1407,"" "")"),"Shirley")</f>
        <v>Shirley</v>
      </c>
      <c r="I1407" s="1" t="str">
        <f>IFERROR(__xludf.DUMMYFUNCTION("""COMPUTED_VALUE"""),"Daniels")</f>
        <v>Daniels</v>
      </c>
      <c r="J1407" s="1" t="s">
        <v>68</v>
      </c>
      <c r="K1407" s="1" t="s">
        <v>98</v>
      </c>
      <c r="L1407" s="1" t="str">
        <f t="shared" si="2"/>
        <v>Philadelphia</v>
      </c>
      <c r="M1407" s="1" t="s">
        <v>99</v>
      </c>
      <c r="N1407" s="1" t="str">
        <f t="shared" si="3"/>
        <v>Pennsylvania</v>
      </c>
      <c r="O1407" s="1">
        <v>19143.0</v>
      </c>
      <c r="P1407" s="1" t="s">
        <v>100</v>
      </c>
      <c r="Q1407" s="1" t="s">
        <v>51</v>
      </c>
      <c r="R1407" s="3">
        <v>116.784</v>
      </c>
      <c r="S1407" s="1">
        <v>1.0</v>
      </c>
      <c r="T1407" s="4">
        <v>115.93</v>
      </c>
    </row>
    <row r="1408">
      <c r="A1408" s="1" t="s">
        <v>2179</v>
      </c>
      <c r="B1408" s="2">
        <v>42775.0</v>
      </c>
      <c r="C1408" s="2" t="str">
        <f t="shared" si="1"/>
        <v>Feb</v>
      </c>
      <c r="D1408" s="6">
        <v>42895.0</v>
      </c>
      <c r="E1408" s="1" t="s">
        <v>41</v>
      </c>
      <c r="F1408" s="1" t="s">
        <v>195</v>
      </c>
      <c r="G1408" s="1" t="s">
        <v>196</v>
      </c>
      <c r="H1408" s="1" t="str">
        <f>IFERROR(__xludf.DUMMYFUNCTION("split(G1408,"" "")"),"Karen")</f>
        <v>Karen</v>
      </c>
      <c r="I1408" s="1" t="str">
        <f>IFERROR(__xludf.DUMMYFUNCTION("""COMPUTED_VALUE"""),"Daniels")</f>
        <v>Daniels</v>
      </c>
      <c r="J1408" s="1" t="s">
        <v>23</v>
      </c>
      <c r="K1408" s="1" t="s">
        <v>174</v>
      </c>
      <c r="L1408" s="1" t="str">
        <f t="shared" si="2"/>
        <v>New York City</v>
      </c>
      <c r="M1408" s="1" t="s">
        <v>175</v>
      </c>
      <c r="N1408" s="1" t="str">
        <f t="shared" si="3"/>
        <v>New York</v>
      </c>
      <c r="O1408" s="1">
        <v>10024.0</v>
      </c>
      <c r="P1408" s="1" t="s">
        <v>100</v>
      </c>
      <c r="Q1408" s="1" t="s">
        <v>38</v>
      </c>
      <c r="R1408" s="3">
        <v>75.48</v>
      </c>
      <c r="S1408" s="1">
        <v>1.0</v>
      </c>
      <c r="T1408" s="4">
        <v>75.15</v>
      </c>
    </row>
    <row r="1409">
      <c r="A1409" s="1" t="s">
        <v>2179</v>
      </c>
      <c r="B1409" s="2">
        <v>42775.0</v>
      </c>
      <c r="C1409" s="2" t="str">
        <f t="shared" si="1"/>
        <v>Feb</v>
      </c>
      <c r="D1409" s="6">
        <v>42895.0</v>
      </c>
      <c r="E1409" s="1" t="s">
        <v>41</v>
      </c>
      <c r="F1409" s="1" t="s">
        <v>195</v>
      </c>
      <c r="G1409" s="1" t="s">
        <v>196</v>
      </c>
      <c r="H1409" s="1" t="str">
        <f>IFERROR(__xludf.DUMMYFUNCTION("split(G1409,"" "")"),"Karen")</f>
        <v>Karen</v>
      </c>
      <c r="I1409" s="1" t="str">
        <f>IFERROR(__xludf.DUMMYFUNCTION("""COMPUTED_VALUE"""),"Daniels")</f>
        <v>Daniels</v>
      </c>
      <c r="J1409" s="1" t="s">
        <v>23</v>
      </c>
      <c r="K1409" s="1" t="s">
        <v>174</v>
      </c>
      <c r="L1409" s="1" t="str">
        <f t="shared" si="2"/>
        <v>New York City</v>
      </c>
      <c r="M1409" s="1" t="s">
        <v>175</v>
      </c>
      <c r="N1409" s="1" t="str">
        <f t="shared" si="3"/>
        <v>New York</v>
      </c>
      <c r="O1409" s="1">
        <v>10024.0</v>
      </c>
      <c r="P1409" s="1" t="s">
        <v>100</v>
      </c>
      <c r="Q1409" s="1" t="s">
        <v>27</v>
      </c>
      <c r="R1409" s="3">
        <v>39.98</v>
      </c>
      <c r="S1409" s="1">
        <v>1.0</v>
      </c>
      <c r="T1409" s="4">
        <v>39.14</v>
      </c>
    </row>
    <row r="1410">
      <c r="A1410" s="1" t="s">
        <v>2180</v>
      </c>
      <c r="B1410" s="2">
        <v>43003.0</v>
      </c>
      <c r="C1410" s="2" t="str">
        <f t="shared" si="1"/>
        <v>Sep</v>
      </c>
      <c r="D1410" s="1" t="s">
        <v>1804</v>
      </c>
      <c r="E1410" s="1" t="s">
        <v>41</v>
      </c>
      <c r="F1410" s="1" t="s">
        <v>2181</v>
      </c>
      <c r="G1410" s="1" t="s">
        <v>2182</v>
      </c>
      <c r="H1410" s="1" t="str">
        <f>IFERROR(__xludf.DUMMYFUNCTION("split(G1410,"" "")"),"Adrian")</f>
        <v>Adrian</v>
      </c>
      <c r="I1410" s="1" t="str">
        <f>IFERROR(__xludf.DUMMYFUNCTION("""COMPUTED_VALUE"""),"Barton")</f>
        <v>Barton</v>
      </c>
      <c r="J1410" s="1" t="s">
        <v>23</v>
      </c>
      <c r="K1410" s="1" t="s">
        <v>328</v>
      </c>
      <c r="L1410" s="1" t="str">
        <f t="shared" si="2"/>
        <v>Phoenix</v>
      </c>
      <c r="M1410" s="1" t="s">
        <v>193</v>
      </c>
      <c r="N1410" s="1" t="str">
        <f t="shared" si="3"/>
        <v>Arizona</v>
      </c>
      <c r="O1410" s="1">
        <v>85023.0</v>
      </c>
      <c r="P1410" s="1" t="s">
        <v>37</v>
      </c>
      <c r="Q1410" s="1" t="s">
        <v>27</v>
      </c>
      <c r="R1410" s="3">
        <v>393.165</v>
      </c>
      <c r="S1410" s="1">
        <v>8.0</v>
      </c>
      <c r="T1410" s="4">
        <v>392.91</v>
      </c>
    </row>
    <row r="1411">
      <c r="A1411" s="1" t="s">
        <v>2183</v>
      </c>
      <c r="B1411" s="2">
        <v>43201.0</v>
      </c>
      <c r="C1411" s="2" t="str">
        <f t="shared" si="1"/>
        <v>Apr</v>
      </c>
      <c r="D1411" s="5">
        <v>43415.0</v>
      </c>
      <c r="E1411" s="1" t="s">
        <v>41</v>
      </c>
      <c r="F1411" s="1" t="s">
        <v>2147</v>
      </c>
      <c r="G1411" s="1" t="s">
        <v>2148</v>
      </c>
      <c r="H1411" s="1" t="str">
        <f>IFERROR(__xludf.DUMMYFUNCTION("split(G1411,"" "")"),"Sam")</f>
        <v>Sam</v>
      </c>
      <c r="I1411" s="1" t="str">
        <f>IFERROR(__xludf.DUMMYFUNCTION("""COMPUTED_VALUE"""),"Zeldin")</f>
        <v>Zeldin</v>
      </c>
      <c r="J1411" s="1" t="s">
        <v>68</v>
      </c>
      <c r="K1411" s="1" t="s">
        <v>443</v>
      </c>
      <c r="L1411" s="1" t="str">
        <f t="shared" si="2"/>
        <v>Grand Prairie</v>
      </c>
      <c r="M1411" s="1" t="s">
        <v>70</v>
      </c>
      <c r="N1411" s="1" t="str">
        <f t="shared" si="3"/>
        <v>Texas</v>
      </c>
      <c r="O1411" s="1">
        <v>75051.0</v>
      </c>
      <c r="P1411" s="1" t="s">
        <v>71</v>
      </c>
      <c r="Q1411" s="1" t="s">
        <v>38</v>
      </c>
      <c r="R1411" s="3">
        <v>23.68</v>
      </c>
      <c r="S1411" s="1">
        <v>7.0</v>
      </c>
      <c r="T1411" s="4">
        <v>23.61</v>
      </c>
    </row>
    <row r="1412">
      <c r="A1412" s="1" t="s">
        <v>2184</v>
      </c>
      <c r="B1412" s="2">
        <v>42985.0</v>
      </c>
      <c r="C1412" s="2" t="str">
        <f t="shared" si="1"/>
        <v>Sep</v>
      </c>
      <c r="D1412" s="1" t="s">
        <v>2185</v>
      </c>
      <c r="E1412" s="1" t="s">
        <v>41</v>
      </c>
      <c r="F1412" s="1" t="s">
        <v>341</v>
      </c>
      <c r="G1412" s="1" t="s">
        <v>342</v>
      </c>
      <c r="H1412" s="1" t="str">
        <f>IFERROR(__xludf.DUMMYFUNCTION("split(G1412,"" "")"),"Jonathan")</f>
        <v>Jonathan</v>
      </c>
      <c r="I1412" s="1" t="str">
        <f>IFERROR(__xludf.DUMMYFUNCTION("""COMPUTED_VALUE"""),"Doherty")</f>
        <v>Doherty</v>
      </c>
      <c r="J1412" s="1" t="s">
        <v>34</v>
      </c>
      <c r="K1412" s="1" t="s">
        <v>174</v>
      </c>
      <c r="L1412" s="1" t="str">
        <f t="shared" si="2"/>
        <v>New York City</v>
      </c>
      <c r="M1412" s="1" t="s">
        <v>175</v>
      </c>
      <c r="N1412" s="1" t="str">
        <f t="shared" si="3"/>
        <v>New York</v>
      </c>
      <c r="O1412" s="1">
        <v>10035.0</v>
      </c>
      <c r="P1412" s="1" t="s">
        <v>100</v>
      </c>
      <c r="Q1412" s="1" t="s">
        <v>27</v>
      </c>
      <c r="R1412" s="3">
        <v>408.006</v>
      </c>
      <c r="S1412" s="1">
        <v>1.0</v>
      </c>
      <c r="T1412" s="4">
        <v>407.19</v>
      </c>
    </row>
    <row r="1413">
      <c r="A1413" s="1" t="s">
        <v>2184</v>
      </c>
      <c r="B1413" s="2">
        <v>42985.0</v>
      </c>
      <c r="C1413" s="2" t="str">
        <f t="shared" si="1"/>
        <v>Sep</v>
      </c>
      <c r="D1413" s="1" t="s">
        <v>2185</v>
      </c>
      <c r="E1413" s="1" t="s">
        <v>41</v>
      </c>
      <c r="F1413" s="1" t="s">
        <v>341</v>
      </c>
      <c r="G1413" s="1" t="s">
        <v>342</v>
      </c>
      <c r="H1413" s="1" t="str">
        <f>IFERROR(__xludf.DUMMYFUNCTION("split(G1413,"" "")"),"Jonathan")</f>
        <v>Jonathan</v>
      </c>
      <c r="I1413" s="1" t="str">
        <f>IFERROR(__xludf.DUMMYFUNCTION("""COMPUTED_VALUE"""),"Doherty")</f>
        <v>Doherty</v>
      </c>
      <c r="J1413" s="1" t="s">
        <v>34</v>
      </c>
      <c r="K1413" s="1" t="s">
        <v>174</v>
      </c>
      <c r="L1413" s="1" t="str">
        <f t="shared" si="2"/>
        <v>New York City</v>
      </c>
      <c r="M1413" s="1" t="s">
        <v>175</v>
      </c>
      <c r="N1413" s="1" t="str">
        <f t="shared" si="3"/>
        <v>New York</v>
      </c>
      <c r="O1413" s="1">
        <v>10035.0</v>
      </c>
      <c r="P1413" s="1" t="s">
        <v>100</v>
      </c>
      <c r="Q1413" s="1" t="s">
        <v>27</v>
      </c>
      <c r="R1413" s="3">
        <v>165.28</v>
      </c>
      <c r="S1413" s="1">
        <v>1.0</v>
      </c>
      <c r="T1413" s="4">
        <v>164.67</v>
      </c>
    </row>
    <row r="1414">
      <c r="A1414" s="1" t="s">
        <v>2186</v>
      </c>
      <c r="B1414" s="2">
        <v>42185.0</v>
      </c>
      <c r="C1414" s="2" t="str">
        <f t="shared" si="1"/>
        <v>Jun</v>
      </c>
      <c r="D1414" s="6">
        <v>42131.0</v>
      </c>
      <c r="E1414" s="1" t="s">
        <v>41</v>
      </c>
      <c r="F1414" s="1" t="s">
        <v>2187</v>
      </c>
      <c r="G1414" s="1" t="s">
        <v>2188</v>
      </c>
      <c r="H1414" s="1" t="str">
        <f>IFERROR(__xludf.DUMMYFUNCTION("split(G1414,"" "")"),"Helen")</f>
        <v>Helen</v>
      </c>
      <c r="I1414" s="1" t="str">
        <f>IFERROR(__xludf.DUMMYFUNCTION("""COMPUTED_VALUE"""),"Abelman")</f>
        <v>Abelman</v>
      </c>
      <c r="J1414" s="1" t="s">
        <v>23</v>
      </c>
      <c r="K1414" s="1" t="s">
        <v>174</v>
      </c>
      <c r="L1414" s="1" t="str">
        <f t="shared" si="2"/>
        <v>New York City</v>
      </c>
      <c r="M1414" s="1" t="s">
        <v>175</v>
      </c>
      <c r="N1414" s="1" t="str">
        <f t="shared" si="3"/>
        <v>New York</v>
      </c>
      <c r="O1414" s="1">
        <v>10024.0</v>
      </c>
      <c r="P1414" s="1" t="s">
        <v>100</v>
      </c>
      <c r="Q1414" s="1" t="s">
        <v>38</v>
      </c>
      <c r="R1414" s="3">
        <v>334.768</v>
      </c>
      <c r="S1414" s="1">
        <v>1.0</v>
      </c>
      <c r="T1414" s="4">
        <v>334.11</v>
      </c>
    </row>
    <row r="1415">
      <c r="A1415" s="1" t="s">
        <v>2189</v>
      </c>
      <c r="B1415" s="2">
        <v>43128.0</v>
      </c>
      <c r="C1415" s="2" t="str">
        <f t="shared" si="1"/>
        <v>Jan</v>
      </c>
      <c r="D1415" s="1" t="s">
        <v>2190</v>
      </c>
      <c r="E1415" s="1" t="s">
        <v>20</v>
      </c>
      <c r="F1415" s="1" t="s">
        <v>2191</v>
      </c>
      <c r="G1415" s="1" t="s">
        <v>2192</v>
      </c>
      <c r="H1415" s="1" t="str">
        <f>IFERROR(__xludf.DUMMYFUNCTION("split(G1415,"" "")"),"Beth")</f>
        <v>Beth</v>
      </c>
      <c r="I1415" s="1" t="str">
        <f>IFERROR(__xludf.DUMMYFUNCTION("""COMPUTED_VALUE"""),"Thompson")</f>
        <v>Thompson</v>
      </c>
      <c r="J1415" s="1" t="s">
        <v>68</v>
      </c>
      <c r="K1415" s="1" t="s">
        <v>947</v>
      </c>
      <c r="L1415" s="1" t="str">
        <f t="shared" si="2"/>
        <v>Costa Mesa</v>
      </c>
      <c r="M1415" s="1" t="s">
        <v>52</v>
      </c>
      <c r="N1415" s="1" t="str">
        <f t="shared" si="3"/>
        <v>California</v>
      </c>
      <c r="O1415" s="1">
        <v>92627.0</v>
      </c>
      <c r="P1415" s="1" t="s">
        <v>37</v>
      </c>
      <c r="Q1415" s="1" t="s">
        <v>51</v>
      </c>
      <c r="R1415" s="3">
        <v>239.97</v>
      </c>
      <c r="S1415" s="1">
        <v>9.0</v>
      </c>
      <c r="T1415" s="4">
        <v>239.38</v>
      </c>
    </row>
    <row r="1416">
      <c r="A1416" s="1" t="s">
        <v>2189</v>
      </c>
      <c r="B1416" s="2">
        <v>43128.0</v>
      </c>
      <c r="C1416" s="2" t="str">
        <f t="shared" si="1"/>
        <v>Jan</v>
      </c>
      <c r="D1416" s="1" t="s">
        <v>2190</v>
      </c>
      <c r="E1416" s="1" t="s">
        <v>20</v>
      </c>
      <c r="F1416" s="1" t="s">
        <v>2191</v>
      </c>
      <c r="G1416" s="1" t="s">
        <v>2192</v>
      </c>
      <c r="H1416" s="1" t="str">
        <f>IFERROR(__xludf.DUMMYFUNCTION("split(G1416,"" "")"),"Beth")</f>
        <v>Beth</v>
      </c>
      <c r="I1416" s="1" t="str">
        <f>IFERROR(__xludf.DUMMYFUNCTION("""COMPUTED_VALUE"""),"Thompson")</f>
        <v>Thompson</v>
      </c>
      <c r="J1416" s="1" t="s">
        <v>68</v>
      </c>
      <c r="K1416" s="1" t="s">
        <v>947</v>
      </c>
      <c r="L1416" s="1" t="str">
        <f t="shared" si="2"/>
        <v>Costa Mesa</v>
      </c>
      <c r="M1416" s="1" t="s">
        <v>52</v>
      </c>
      <c r="N1416" s="1" t="str">
        <f t="shared" si="3"/>
        <v>California</v>
      </c>
      <c r="O1416" s="1">
        <v>92627.0</v>
      </c>
      <c r="P1416" s="1" t="s">
        <v>37</v>
      </c>
      <c r="Q1416" s="1" t="s">
        <v>27</v>
      </c>
      <c r="R1416" s="3">
        <v>37.74</v>
      </c>
      <c r="S1416" s="1">
        <v>9.0</v>
      </c>
      <c r="T1416" s="4">
        <v>37.36</v>
      </c>
    </row>
    <row r="1417">
      <c r="A1417" s="1" t="s">
        <v>2193</v>
      </c>
      <c r="B1417" s="2">
        <v>42634.0</v>
      </c>
      <c r="C1417" s="2" t="str">
        <f t="shared" si="1"/>
        <v>Sep</v>
      </c>
      <c r="D1417" s="1" t="s">
        <v>2049</v>
      </c>
      <c r="E1417" s="1" t="s">
        <v>121</v>
      </c>
      <c r="F1417" s="1" t="s">
        <v>2194</v>
      </c>
      <c r="G1417" s="1" t="s">
        <v>2195</v>
      </c>
      <c r="H1417" s="1" t="str">
        <f>IFERROR(__xludf.DUMMYFUNCTION("split(G1417,"" "")"),"Stuart")</f>
        <v>Stuart</v>
      </c>
      <c r="I1417" s="1" t="str">
        <f>IFERROR(__xludf.DUMMYFUNCTION("""COMPUTED_VALUE"""),"Van")</f>
        <v>Van</v>
      </c>
      <c r="J1417" s="1" t="s">
        <v>34</v>
      </c>
      <c r="K1417" s="1" t="s">
        <v>129</v>
      </c>
      <c r="L1417" s="1" t="str">
        <f t="shared" si="2"/>
        <v>Houston</v>
      </c>
      <c r="M1417" s="1" t="s">
        <v>70</v>
      </c>
      <c r="N1417" s="1" t="str">
        <f t="shared" si="3"/>
        <v>Texas</v>
      </c>
      <c r="O1417" s="1">
        <v>77041.0</v>
      </c>
      <c r="P1417" s="1" t="s">
        <v>71</v>
      </c>
      <c r="Q1417" s="1" t="s">
        <v>51</v>
      </c>
      <c r="R1417" s="3">
        <v>946.344</v>
      </c>
      <c r="S1417" s="1">
        <v>7.0</v>
      </c>
      <c r="T1417" s="4">
        <v>945.88</v>
      </c>
    </row>
    <row r="1418">
      <c r="A1418" s="1" t="s">
        <v>2193</v>
      </c>
      <c r="B1418" s="2">
        <v>42634.0</v>
      </c>
      <c r="C1418" s="2" t="str">
        <f t="shared" si="1"/>
        <v>Sep</v>
      </c>
      <c r="D1418" s="1" t="s">
        <v>2049</v>
      </c>
      <c r="E1418" s="1" t="s">
        <v>121</v>
      </c>
      <c r="F1418" s="1" t="s">
        <v>2194</v>
      </c>
      <c r="G1418" s="1" t="s">
        <v>2195</v>
      </c>
      <c r="H1418" s="1" t="str">
        <f>IFERROR(__xludf.DUMMYFUNCTION("split(G1418,"" "")"),"Stuart")</f>
        <v>Stuart</v>
      </c>
      <c r="I1418" s="1" t="str">
        <f>IFERROR(__xludf.DUMMYFUNCTION("""COMPUTED_VALUE"""),"Van")</f>
        <v>Van</v>
      </c>
      <c r="J1418" s="1" t="s">
        <v>34</v>
      </c>
      <c r="K1418" s="1" t="s">
        <v>129</v>
      </c>
      <c r="L1418" s="1" t="str">
        <f t="shared" si="2"/>
        <v>Houston</v>
      </c>
      <c r="M1418" s="1" t="s">
        <v>70</v>
      </c>
      <c r="N1418" s="1" t="str">
        <f t="shared" si="3"/>
        <v>Texas</v>
      </c>
      <c r="O1418" s="1">
        <v>77041.0</v>
      </c>
      <c r="P1418" s="1" t="s">
        <v>71</v>
      </c>
      <c r="Q1418" s="1" t="s">
        <v>51</v>
      </c>
      <c r="R1418" s="3">
        <v>151.2</v>
      </c>
      <c r="S1418" s="1">
        <v>7.0</v>
      </c>
      <c r="T1418" s="4">
        <v>151.06</v>
      </c>
    </row>
    <row r="1419">
      <c r="A1419" s="1" t="s">
        <v>2193</v>
      </c>
      <c r="B1419" s="2">
        <v>42634.0</v>
      </c>
      <c r="C1419" s="2" t="str">
        <f t="shared" si="1"/>
        <v>Sep</v>
      </c>
      <c r="D1419" s="1" t="s">
        <v>2049</v>
      </c>
      <c r="E1419" s="1" t="s">
        <v>121</v>
      </c>
      <c r="F1419" s="1" t="s">
        <v>2194</v>
      </c>
      <c r="G1419" s="1" t="s">
        <v>2195</v>
      </c>
      <c r="H1419" s="1" t="str">
        <f>IFERROR(__xludf.DUMMYFUNCTION("split(G1419,"" "")"),"Stuart")</f>
        <v>Stuart</v>
      </c>
      <c r="I1419" s="1" t="str">
        <f>IFERROR(__xludf.DUMMYFUNCTION("""COMPUTED_VALUE"""),"Van")</f>
        <v>Van</v>
      </c>
      <c r="J1419" s="1" t="s">
        <v>34</v>
      </c>
      <c r="K1419" s="1" t="s">
        <v>129</v>
      </c>
      <c r="L1419" s="1" t="str">
        <f t="shared" si="2"/>
        <v>Houston</v>
      </c>
      <c r="M1419" s="1" t="s">
        <v>70</v>
      </c>
      <c r="N1419" s="1" t="str">
        <f t="shared" si="3"/>
        <v>Texas</v>
      </c>
      <c r="O1419" s="1">
        <v>77041.0</v>
      </c>
      <c r="P1419" s="1" t="s">
        <v>71</v>
      </c>
      <c r="Q1419" s="1" t="s">
        <v>27</v>
      </c>
      <c r="R1419" s="3">
        <v>4.928</v>
      </c>
      <c r="S1419" s="1">
        <v>7.0</v>
      </c>
      <c r="T1419" s="4">
        <v>4.15</v>
      </c>
    </row>
    <row r="1420">
      <c r="A1420" s="1" t="s">
        <v>2196</v>
      </c>
      <c r="B1420" s="2">
        <v>42639.0</v>
      </c>
      <c r="C1420" s="2" t="str">
        <f t="shared" si="1"/>
        <v>Sep</v>
      </c>
      <c r="D1420" s="1" t="s">
        <v>102</v>
      </c>
      <c r="E1420" s="1" t="s">
        <v>41</v>
      </c>
      <c r="F1420" s="1" t="s">
        <v>2197</v>
      </c>
      <c r="G1420" s="1" t="s">
        <v>2198</v>
      </c>
      <c r="H1420" s="1" t="str">
        <f>IFERROR(__xludf.DUMMYFUNCTION("split(G1420,"" "")"),"Rick")</f>
        <v>Rick</v>
      </c>
      <c r="I1420" s="1" t="str">
        <f>IFERROR(__xludf.DUMMYFUNCTION("""COMPUTED_VALUE"""),"Wilson")</f>
        <v>Wilson</v>
      </c>
      <c r="J1420" s="1" t="s">
        <v>34</v>
      </c>
      <c r="K1420" s="1" t="s">
        <v>1009</v>
      </c>
      <c r="L1420" s="1" t="str">
        <f t="shared" si="2"/>
        <v>Mesa</v>
      </c>
      <c r="M1420" s="1" t="s">
        <v>193</v>
      </c>
      <c r="N1420" s="1" t="str">
        <f t="shared" si="3"/>
        <v>Arizona</v>
      </c>
      <c r="O1420" s="1">
        <v>85204.0</v>
      </c>
      <c r="P1420" s="1" t="s">
        <v>37</v>
      </c>
      <c r="Q1420" s="1" t="s">
        <v>38</v>
      </c>
      <c r="R1420" s="3">
        <v>86.272</v>
      </c>
      <c r="S1420" s="1">
        <v>8.0</v>
      </c>
      <c r="T1420" s="4">
        <v>85.73</v>
      </c>
    </row>
    <row r="1421">
      <c r="A1421" s="1" t="s">
        <v>2196</v>
      </c>
      <c r="B1421" s="2">
        <v>42639.0</v>
      </c>
      <c r="C1421" s="2" t="str">
        <f t="shared" si="1"/>
        <v>Sep</v>
      </c>
      <c r="D1421" s="1" t="s">
        <v>102</v>
      </c>
      <c r="E1421" s="1" t="s">
        <v>41</v>
      </c>
      <c r="F1421" s="1" t="s">
        <v>2197</v>
      </c>
      <c r="G1421" s="1" t="s">
        <v>2198</v>
      </c>
      <c r="H1421" s="1" t="str">
        <f>IFERROR(__xludf.DUMMYFUNCTION("split(G1421,"" "")"),"Rick")</f>
        <v>Rick</v>
      </c>
      <c r="I1421" s="1" t="str">
        <f>IFERROR(__xludf.DUMMYFUNCTION("""COMPUTED_VALUE"""),"Wilson")</f>
        <v>Wilson</v>
      </c>
      <c r="J1421" s="1" t="s">
        <v>34</v>
      </c>
      <c r="K1421" s="1" t="s">
        <v>1009</v>
      </c>
      <c r="L1421" s="1" t="str">
        <f t="shared" si="2"/>
        <v>Mesa</v>
      </c>
      <c r="M1421" s="1" t="s">
        <v>193</v>
      </c>
      <c r="N1421" s="1" t="str">
        <f t="shared" si="3"/>
        <v>Arizona</v>
      </c>
      <c r="O1421" s="1">
        <v>85204.0</v>
      </c>
      <c r="P1421" s="1" t="s">
        <v>37</v>
      </c>
      <c r="Q1421" s="1" t="s">
        <v>38</v>
      </c>
      <c r="R1421" s="3">
        <v>72.588</v>
      </c>
      <c r="S1421" s="1">
        <v>8.0</v>
      </c>
      <c r="T1421" s="4">
        <v>72.03</v>
      </c>
    </row>
    <row r="1422">
      <c r="A1422" s="1" t="s">
        <v>2196</v>
      </c>
      <c r="B1422" s="2">
        <v>42639.0</v>
      </c>
      <c r="C1422" s="2" t="str">
        <f t="shared" si="1"/>
        <v>Sep</v>
      </c>
      <c r="D1422" s="1" t="s">
        <v>102</v>
      </c>
      <c r="E1422" s="1" t="s">
        <v>41</v>
      </c>
      <c r="F1422" s="1" t="s">
        <v>2197</v>
      </c>
      <c r="G1422" s="1" t="s">
        <v>2198</v>
      </c>
      <c r="H1422" s="1" t="str">
        <f>IFERROR(__xludf.DUMMYFUNCTION("split(G1422,"" "")"),"Rick")</f>
        <v>Rick</v>
      </c>
      <c r="I1422" s="1" t="str">
        <f>IFERROR(__xludf.DUMMYFUNCTION("""COMPUTED_VALUE"""),"Wilson")</f>
        <v>Wilson</v>
      </c>
      <c r="J1422" s="1" t="s">
        <v>34</v>
      </c>
      <c r="K1422" s="1" t="s">
        <v>1009</v>
      </c>
      <c r="L1422" s="1" t="str">
        <f t="shared" si="2"/>
        <v>Mesa</v>
      </c>
      <c r="M1422" s="1" t="s">
        <v>193</v>
      </c>
      <c r="N1422" s="1" t="str">
        <f t="shared" si="3"/>
        <v>Arizona</v>
      </c>
      <c r="O1422" s="1">
        <v>85204.0</v>
      </c>
      <c r="P1422" s="1" t="s">
        <v>37</v>
      </c>
      <c r="Q1422" s="1" t="s">
        <v>38</v>
      </c>
      <c r="R1422" s="3">
        <v>60.672</v>
      </c>
      <c r="S1422" s="1">
        <v>8.0</v>
      </c>
      <c r="T1422" s="4">
        <v>59.89</v>
      </c>
    </row>
    <row r="1423">
      <c r="A1423" s="1" t="s">
        <v>2196</v>
      </c>
      <c r="B1423" s="2">
        <v>42639.0</v>
      </c>
      <c r="C1423" s="2" t="str">
        <f t="shared" si="1"/>
        <v>Sep</v>
      </c>
      <c r="D1423" s="1" t="s">
        <v>102</v>
      </c>
      <c r="E1423" s="1" t="s">
        <v>41</v>
      </c>
      <c r="F1423" s="1" t="s">
        <v>2197</v>
      </c>
      <c r="G1423" s="1" t="s">
        <v>2198</v>
      </c>
      <c r="H1423" s="1" t="str">
        <f>IFERROR(__xludf.DUMMYFUNCTION("split(G1423,"" "")"),"Rick")</f>
        <v>Rick</v>
      </c>
      <c r="I1423" s="1" t="str">
        <f>IFERROR(__xludf.DUMMYFUNCTION("""COMPUTED_VALUE"""),"Wilson")</f>
        <v>Wilson</v>
      </c>
      <c r="J1423" s="1" t="s">
        <v>34</v>
      </c>
      <c r="K1423" s="1" t="s">
        <v>1009</v>
      </c>
      <c r="L1423" s="1" t="str">
        <f t="shared" si="2"/>
        <v>Mesa</v>
      </c>
      <c r="M1423" s="1" t="s">
        <v>193</v>
      </c>
      <c r="N1423" s="1" t="str">
        <f t="shared" si="3"/>
        <v>Arizona</v>
      </c>
      <c r="O1423" s="1">
        <v>85204.0</v>
      </c>
      <c r="P1423" s="1" t="s">
        <v>37</v>
      </c>
      <c r="Q1423" s="1" t="s">
        <v>38</v>
      </c>
      <c r="R1423" s="3">
        <v>77.031</v>
      </c>
      <c r="S1423" s="1">
        <v>8.0</v>
      </c>
      <c r="T1423" s="4">
        <v>76.92</v>
      </c>
    </row>
    <row r="1424">
      <c r="A1424" s="1" t="s">
        <v>2196</v>
      </c>
      <c r="B1424" s="2">
        <v>42639.0</v>
      </c>
      <c r="C1424" s="2" t="str">
        <f t="shared" si="1"/>
        <v>Sep</v>
      </c>
      <c r="D1424" s="1" t="s">
        <v>102</v>
      </c>
      <c r="E1424" s="1" t="s">
        <v>41</v>
      </c>
      <c r="F1424" s="1" t="s">
        <v>2197</v>
      </c>
      <c r="G1424" s="1" t="s">
        <v>2198</v>
      </c>
      <c r="H1424" s="1" t="str">
        <f>IFERROR(__xludf.DUMMYFUNCTION("split(G1424,"" "")"),"Rick")</f>
        <v>Rick</v>
      </c>
      <c r="I1424" s="1" t="str">
        <f>IFERROR(__xludf.DUMMYFUNCTION("""COMPUTED_VALUE"""),"Wilson")</f>
        <v>Wilson</v>
      </c>
      <c r="J1424" s="1" t="s">
        <v>34</v>
      </c>
      <c r="K1424" s="1" t="s">
        <v>1009</v>
      </c>
      <c r="L1424" s="1" t="str">
        <f t="shared" si="2"/>
        <v>Mesa</v>
      </c>
      <c r="M1424" s="1" t="s">
        <v>193</v>
      </c>
      <c r="N1424" s="1" t="str">
        <f t="shared" si="3"/>
        <v>Arizona</v>
      </c>
      <c r="O1424" s="1">
        <v>85204.0</v>
      </c>
      <c r="P1424" s="1" t="s">
        <v>37</v>
      </c>
      <c r="Q1424" s="1" t="s">
        <v>38</v>
      </c>
      <c r="R1424" s="3">
        <v>119.904</v>
      </c>
      <c r="S1424" s="1">
        <v>8.0</v>
      </c>
      <c r="T1424" s="4">
        <v>119.34</v>
      </c>
    </row>
    <row r="1425">
      <c r="A1425" s="1" t="s">
        <v>2196</v>
      </c>
      <c r="B1425" s="2">
        <v>42639.0</v>
      </c>
      <c r="C1425" s="2" t="str">
        <f t="shared" si="1"/>
        <v>Sep</v>
      </c>
      <c r="D1425" s="1" t="s">
        <v>102</v>
      </c>
      <c r="E1425" s="1" t="s">
        <v>41</v>
      </c>
      <c r="F1425" s="1" t="s">
        <v>2197</v>
      </c>
      <c r="G1425" s="1" t="s">
        <v>2198</v>
      </c>
      <c r="H1425" s="1" t="str">
        <f>IFERROR(__xludf.DUMMYFUNCTION("split(G1425,"" "")"),"Rick")</f>
        <v>Rick</v>
      </c>
      <c r="I1425" s="1" t="str">
        <f>IFERROR(__xludf.DUMMYFUNCTION("""COMPUTED_VALUE"""),"Wilson")</f>
        <v>Wilson</v>
      </c>
      <c r="J1425" s="1" t="s">
        <v>34</v>
      </c>
      <c r="K1425" s="1" t="s">
        <v>1009</v>
      </c>
      <c r="L1425" s="1" t="str">
        <f t="shared" si="2"/>
        <v>Mesa</v>
      </c>
      <c r="M1425" s="1" t="s">
        <v>193</v>
      </c>
      <c r="N1425" s="1" t="str">
        <f t="shared" si="3"/>
        <v>Arizona</v>
      </c>
      <c r="O1425" s="1">
        <v>85204.0</v>
      </c>
      <c r="P1425" s="1" t="s">
        <v>37</v>
      </c>
      <c r="Q1425" s="1" t="s">
        <v>51</v>
      </c>
      <c r="R1425" s="3">
        <v>263.96</v>
      </c>
      <c r="S1425" s="1">
        <v>8.0</v>
      </c>
      <c r="T1425" s="4">
        <v>263.89</v>
      </c>
    </row>
    <row r="1426">
      <c r="A1426" s="1" t="s">
        <v>2196</v>
      </c>
      <c r="B1426" s="2">
        <v>42639.0</v>
      </c>
      <c r="C1426" s="2" t="str">
        <f t="shared" si="1"/>
        <v>Sep</v>
      </c>
      <c r="D1426" s="1" t="s">
        <v>102</v>
      </c>
      <c r="E1426" s="1" t="s">
        <v>41</v>
      </c>
      <c r="F1426" s="1" t="s">
        <v>2197</v>
      </c>
      <c r="G1426" s="1" t="s">
        <v>2198</v>
      </c>
      <c r="H1426" s="1" t="str">
        <f>IFERROR(__xludf.DUMMYFUNCTION("split(G1426,"" "")"),"Rick")</f>
        <v>Rick</v>
      </c>
      <c r="I1426" s="1" t="str">
        <f>IFERROR(__xludf.DUMMYFUNCTION("""COMPUTED_VALUE"""),"Wilson")</f>
        <v>Wilson</v>
      </c>
      <c r="J1426" s="1" t="s">
        <v>34</v>
      </c>
      <c r="K1426" s="1" t="s">
        <v>1009</v>
      </c>
      <c r="L1426" s="1" t="str">
        <f t="shared" si="2"/>
        <v>Mesa</v>
      </c>
      <c r="M1426" s="1" t="s">
        <v>193</v>
      </c>
      <c r="N1426" s="1" t="str">
        <f t="shared" si="3"/>
        <v>Arizona</v>
      </c>
      <c r="O1426" s="1">
        <v>85204.0</v>
      </c>
      <c r="P1426" s="1" t="s">
        <v>37</v>
      </c>
      <c r="Q1426" s="1" t="s">
        <v>38</v>
      </c>
      <c r="R1426" s="3">
        <v>363.648</v>
      </c>
      <c r="S1426" s="1">
        <v>8.0</v>
      </c>
      <c r="T1426" s="4">
        <v>363.08</v>
      </c>
    </row>
    <row r="1427">
      <c r="A1427" s="1" t="s">
        <v>2199</v>
      </c>
      <c r="B1427" s="2">
        <v>42674.0</v>
      </c>
      <c r="C1427" s="2" t="str">
        <f t="shared" si="1"/>
        <v>Oct</v>
      </c>
      <c r="D1427" s="6">
        <v>42471.0</v>
      </c>
      <c r="E1427" s="1" t="s">
        <v>20</v>
      </c>
      <c r="F1427" s="1" t="s">
        <v>2200</v>
      </c>
      <c r="G1427" s="1" t="s">
        <v>2201</v>
      </c>
      <c r="H1427" s="1" t="str">
        <f>IFERROR(__xludf.DUMMYFUNCTION("split(G1427,"" "")"),"Damala")</f>
        <v>Damala</v>
      </c>
      <c r="I1427" s="1" t="str">
        <f>IFERROR(__xludf.DUMMYFUNCTION("""COMPUTED_VALUE"""),"Kotsonis")</f>
        <v>Kotsonis</v>
      </c>
      <c r="J1427" s="1" t="s">
        <v>34</v>
      </c>
      <c r="K1427" s="1" t="s">
        <v>1480</v>
      </c>
      <c r="L1427" s="1" t="str">
        <f t="shared" si="2"/>
        <v>Salinas</v>
      </c>
      <c r="M1427" s="1" t="s">
        <v>52</v>
      </c>
      <c r="N1427" s="1" t="str">
        <f t="shared" si="3"/>
        <v>California</v>
      </c>
      <c r="O1427" s="1">
        <v>93905.0</v>
      </c>
      <c r="P1427" s="1" t="s">
        <v>37</v>
      </c>
      <c r="Q1427" s="1" t="s">
        <v>38</v>
      </c>
      <c r="R1427" s="3">
        <v>9.728</v>
      </c>
      <c r="S1427" s="1">
        <v>9.0</v>
      </c>
      <c r="T1427" s="4">
        <v>9.0</v>
      </c>
    </row>
    <row r="1428">
      <c r="A1428" s="1" t="s">
        <v>2199</v>
      </c>
      <c r="B1428" s="2">
        <v>42674.0</v>
      </c>
      <c r="C1428" s="2" t="str">
        <f t="shared" si="1"/>
        <v>Oct</v>
      </c>
      <c r="D1428" s="6">
        <v>42471.0</v>
      </c>
      <c r="E1428" s="1" t="s">
        <v>20</v>
      </c>
      <c r="F1428" s="1" t="s">
        <v>2200</v>
      </c>
      <c r="G1428" s="1" t="s">
        <v>2201</v>
      </c>
      <c r="H1428" s="1" t="str">
        <f>IFERROR(__xludf.DUMMYFUNCTION("split(G1428,"" "")"),"Damala")</f>
        <v>Damala</v>
      </c>
      <c r="I1428" s="1" t="str">
        <f>IFERROR(__xludf.DUMMYFUNCTION("""COMPUTED_VALUE"""),"Kotsonis")</f>
        <v>Kotsonis</v>
      </c>
      <c r="J1428" s="1" t="s">
        <v>34</v>
      </c>
      <c r="K1428" s="1" t="s">
        <v>1480</v>
      </c>
      <c r="L1428" s="1" t="str">
        <f t="shared" si="2"/>
        <v>Salinas</v>
      </c>
      <c r="M1428" s="1" t="s">
        <v>52</v>
      </c>
      <c r="N1428" s="1" t="str">
        <f t="shared" si="3"/>
        <v>California</v>
      </c>
      <c r="O1428" s="1">
        <v>93905.0</v>
      </c>
      <c r="P1428" s="1" t="s">
        <v>37</v>
      </c>
      <c r="Q1428" s="1" t="s">
        <v>38</v>
      </c>
      <c r="R1428" s="3">
        <v>14.75</v>
      </c>
      <c r="S1428" s="1">
        <v>9.0</v>
      </c>
      <c r="T1428" s="4">
        <v>14.38</v>
      </c>
    </row>
    <row r="1429">
      <c r="A1429" s="1" t="s">
        <v>2199</v>
      </c>
      <c r="B1429" s="2">
        <v>42674.0</v>
      </c>
      <c r="C1429" s="2" t="str">
        <f t="shared" si="1"/>
        <v>Oct</v>
      </c>
      <c r="D1429" s="6">
        <v>42471.0</v>
      </c>
      <c r="E1429" s="1" t="s">
        <v>20</v>
      </c>
      <c r="F1429" s="1" t="s">
        <v>2200</v>
      </c>
      <c r="G1429" s="1" t="s">
        <v>2201</v>
      </c>
      <c r="H1429" s="1" t="str">
        <f>IFERROR(__xludf.DUMMYFUNCTION("split(G1429,"" "")"),"Damala")</f>
        <v>Damala</v>
      </c>
      <c r="I1429" s="1" t="str">
        <f>IFERROR(__xludf.DUMMYFUNCTION("""COMPUTED_VALUE"""),"Kotsonis")</f>
        <v>Kotsonis</v>
      </c>
      <c r="J1429" s="1" t="s">
        <v>34</v>
      </c>
      <c r="K1429" s="1" t="s">
        <v>1480</v>
      </c>
      <c r="L1429" s="1" t="str">
        <f t="shared" si="2"/>
        <v>Salinas</v>
      </c>
      <c r="M1429" s="1" t="s">
        <v>52</v>
      </c>
      <c r="N1429" s="1" t="str">
        <f t="shared" si="3"/>
        <v>California</v>
      </c>
      <c r="O1429" s="1">
        <v>93905.0</v>
      </c>
      <c r="P1429" s="1" t="s">
        <v>37</v>
      </c>
      <c r="Q1429" s="1" t="s">
        <v>38</v>
      </c>
      <c r="R1429" s="3">
        <v>29.8</v>
      </c>
      <c r="S1429" s="1">
        <v>9.0</v>
      </c>
      <c r="T1429" s="4">
        <v>29.02</v>
      </c>
    </row>
    <row r="1430">
      <c r="A1430" s="1" t="s">
        <v>2199</v>
      </c>
      <c r="B1430" s="2">
        <v>42674.0</v>
      </c>
      <c r="C1430" s="2" t="str">
        <f t="shared" si="1"/>
        <v>Oct</v>
      </c>
      <c r="D1430" s="6">
        <v>42471.0</v>
      </c>
      <c r="E1430" s="1" t="s">
        <v>20</v>
      </c>
      <c r="F1430" s="1" t="s">
        <v>2200</v>
      </c>
      <c r="G1430" s="1" t="s">
        <v>2201</v>
      </c>
      <c r="H1430" s="1" t="str">
        <f>IFERROR(__xludf.DUMMYFUNCTION("split(G1430,"" "")"),"Damala")</f>
        <v>Damala</v>
      </c>
      <c r="I1430" s="1" t="str">
        <f>IFERROR(__xludf.DUMMYFUNCTION("""COMPUTED_VALUE"""),"Kotsonis")</f>
        <v>Kotsonis</v>
      </c>
      <c r="J1430" s="1" t="s">
        <v>34</v>
      </c>
      <c r="K1430" s="1" t="s">
        <v>1480</v>
      </c>
      <c r="L1430" s="1" t="str">
        <f t="shared" si="2"/>
        <v>Salinas</v>
      </c>
      <c r="M1430" s="1" t="s">
        <v>52</v>
      </c>
      <c r="N1430" s="1" t="str">
        <f t="shared" si="3"/>
        <v>California</v>
      </c>
      <c r="O1430" s="1">
        <v>93905.0</v>
      </c>
      <c r="P1430" s="1" t="s">
        <v>37</v>
      </c>
      <c r="Q1430" s="1" t="s">
        <v>38</v>
      </c>
      <c r="R1430" s="3">
        <v>427.42</v>
      </c>
      <c r="S1430" s="1">
        <v>9.0</v>
      </c>
      <c r="T1430" s="4">
        <v>427.03</v>
      </c>
    </row>
    <row r="1431">
      <c r="A1431" s="1" t="s">
        <v>2202</v>
      </c>
      <c r="B1431" s="2">
        <v>43430.0</v>
      </c>
      <c r="C1431" s="2" t="str">
        <f t="shared" si="1"/>
        <v>Nov</v>
      </c>
      <c r="D1431" s="1" t="s">
        <v>2203</v>
      </c>
      <c r="E1431" s="1" t="s">
        <v>41</v>
      </c>
      <c r="F1431" s="1" t="s">
        <v>1385</v>
      </c>
      <c r="G1431" s="1" t="s">
        <v>1386</v>
      </c>
      <c r="H1431" s="1" t="str">
        <f>IFERROR(__xludf.DUMMYFUNCTION("split(G1431,"" "")"),"Liz")</f>
        <v>Liz</v>
      </c>
      <c r="I1431" s="1" t="str">
        <f>IFERROR(__xludf.DUMMYFUNCTION("""COMPUTED_VALUE"""),"Thompson")</f>
        <v>Thompson</v>
      </c>
      <c r="J1431" s="1" t="s">
        <v>23</v>
      </c>
      <c r="K1431" s="1" t="s">
        <v>303</v>
      </c>
      <c r="L1431" s="1" t="str">
        <f t="shared" si="2"/>
        <v>Columbus</v>
      </c>
      <c r="M1431" s="1" t="s">
        <v>304</v>
      </c>
      <c r="N1431" s="1" t="str">
        <f t="shared" si="3"/>
        <v>Ohio</v>
      </c>
      <c r="O1431" s="1">
        <v>43229.0</v>
      </c>
      <c r="P1431" s="1" t="s">
        <v>100</v>
      </c>
      <c r="Q1431" s="1" t="s">
        <v>51</v>
      </c>
      <c r="R1431" s="3">
        <v>220.752</v>
      </c>
      <c r="S1431" s="1">
        <v>4.0</v>
      </c>
      <c r="T1431" s="4">
        <v>220.67</v>
      </c>
    </row>
    <row r="1432">
      <c r="A1432" s="1" t="s">
        <v>2204</v>
      </c>
      <c r="B1432" s="2">
        <v>42357.0</v>
      </c>
      <c r="C1432" s="2" t="str">
        <f t="shared" si="1"/>
        <v>Dec</v>
      </c>
      <c r="D1432" s="1" t="s">
        <v>1885</v>
      </c>
      <c r="E1432" s="1" t="s">
        <v>20</v>
      </c>
      <c r="F1432" s="1" t="s">
        <v>60</v>
      </c>
      <c r="G1432" s="1" t="s">
        <v>61</v>
      </c>
      <c r="H1432" s="1" t="str">
        <f>IFERROR(__xludf.DUMMYFUNCTION("split(G1432,"" "")"),"Irene")</f>
        <v>Irene</v>
      </c>
      <c r="I1432" s="1" t="str">
        <f>IFERROR(__xludf.DUMMYFUNCTION("""COMPUTED_VALUE"""),"Maddox")</f>
        <v>Maddox</v>
      </c>
      <c r="J1432" s="1" t="s">
        <v>23</v>
      </c>
      <c r="K1432" s="1" t="s">
        <v>1450</v>
      </c>
      <c r="L1432" s="1" t="str">
        <f t="shared" si="2"/>
        <v>Florence</v>
      </c>
      <c r="M1432" s="1" t="s">
        <v>220</v>
      </c>
      <c r="N1432" s="1" t="str">
        <f t="shared" si="3"/>
        <v>Alabama</v>
      </c>
      <c r="O1432" s="1">
        <v>35630.0</v>
      </c>
      <c r="P1432" s="1" t="s">
        <v>26</v>
      </c>
      <c r="Q1432" s="1" t="s">
        <v>38</v>
      </c>
      <c r="R1432" s="3">
        <v>152.76</v>
      </c>
      <c r="S1432" s="1">
        <v>3.0</v>
      </c>
      <c r="T1432" s="4">
        <v>152.09</v>
      </c>
    </row>
    <row r="1433">
      <c r="A1433" s="1" t="s">
        <v>2204</v>
      </c>
      <c r="B1433" s="2">
        <v>42357.0</v>
      </c>
      <c r="C1433" s="2" t="str">
        <f t="shared" si="1"/>
        <v>Dec</v>
      </c>
      <c r="D1433" s="1" t="s">
        <v>1885</v>
      </c>
      <c r="E1433" s="1" t="s">
        <v>20</v>
      </c>
      <c r="F1433" s="1" t="s">
        <v>60</v>
      </c>
      <c r="G1433" s="1" t="s">
        <v>61</v>
      </c>
      <c r="H1433" s="1" t="str">
        <f>IFERROR(__xludf.DUMMYFUNCTION("split(G1433,"" "")"),"Irene")</f>
        <v>Irene</v>
      </c>
      <c r="I1433" s="1" t="str">
        <f>IFERROR(__xludf.DUMMYFUNCTION("""COMPUTED_VALUE"""),"Maddox")</f>
        <v>Maddox</v>
      </c>
      <c r="J1433" s="1" t="s">
        <v>23</v>
      </c>
      <c r="K1433" s="1" t="s">
        <v>1450</v>
      </c>
      <c r="L1433" s="1" t="str">
        <f t="shared" si="2"/>
        <v>Florence</v>
      </c>
      <c r="M1433" s="1" t="s">
        <v>220</v>
      </c>
      <c r="N1433" s="1" t="str">
        <f t="shared" si="3"/>
        <v>Alabama</v>
      </c>
      <c r="O1433" s="1">
        <v>35630.0</v>
      </c>
      <c r="P1433" s="1" t="s">
        <v>26</v>
      </c>
      <c r="Q1433" s="1" t="s">
        <v>38</v>
      </c>
      <c r="R1433" s="3">
        <v>7.27</v>
      </c>
      <c r="S1433" s="1">
        <v>3.0</v>
      </c>
      <c r="T1433" s="4">
        <v>6.34</v>
      </c>
    </row>
    <row r="1434">
      <c r="A1434" s="1" t="s">
        <v>2204</v>
      </c>
      <c r="B1434" s="2">
        <v>42357.0</v>
      </c>
      <c r="C1434" s="2" t="str">
        <f t="shared" si="1"/>
        <v>Dec</v>
      </c>
      <c r="D1434" s="1" t="s">
        <v>1885</v>
      </c>
      <c r="E1434" s="1" t="s">
        <v>20</v>
      </c>
      <c r="F1434" s="1" t="s">
        <v>60</v>
      </c>
      <c r="G1434" s="1" t="s">
        <v>61</v>
      </c>
      <c r="H1434" s="1" t="str">
        <f>IFERROR(__xludf.DUMMYFUNCTION("split(G1434,"" "")"),"Irene")</f>
        <v>Irene</v>
      </c>
      <c r="I1434" s="1" t="str">
        <f>IFERROR(__xludf.DUMMYFUNCTION("""COMPUTED_VALUE"""),"Maddox")</f>
        <v>Maddox</v>
      </c>
      <c r="J1434" s="1" t="s">
        <v>23</v>
      </c>
      <c r="K1434" s="1" t="s">
        <v>1450</v>
      </c>
      <c r="L1434" s="1" t="str">
        <f t="shared" si="2"/>
        <v>Florence</v>
      </c>
      <c r="M1434" s="1" t="s">
        <v>220</v>
      </c>
      <c r="N1434" s="1" t="str">
        <f t="shared" si="3"/>
        <v>Alabama</v>
      </c>
      <c r="O1434" s="1">
        <v>35630.0</v>
      </c>
      <c r="P1434" s="1" t="s">
        <v>26</v>
      </c>
      <c r="Q1434" s="1" t="s">
        <v>27</v>
      </c>
      <c r="R1434" s="3">
        <v>1819.86</v>
      </c>
      <c r="S1434" s="1">
        <v>3.0</v>
      </c>
      <c r="T1434" s="4">
        <v>1818.88</v>
      </c>
    </row>
    <row r="1435">
      <c r="A1435" s="1" t="s">
        <v>2205</v>
      </c>
      <c r="B1435" s="2">
        <v>43095.0</v>
      </c>
      <c r="C1435" s="2" t="str">
        <f t="shared" si="1"/>
        <v>Dec</v>
      </c>
      <c r="D1435" s="1" t="s">
        <v>2206</v>
      </c>
      <c r="E1435" s="1" t="s">
        <v>41</v>
      </c>
      <c r="F1435" s="1" t="s">
        <v>1061</v>
      </c>
      <c r="G1435" s="1" t="s">
        <v>1062</v>
      </c>
      <c r="H1435" s="1" t="str">
        <f>IFERROR(__xludf.DUMMYFUNCTION("split(G1435,"" "")"),"Frank")</f>
        <v>Frank</v>
      </c>
      <c r="I1435" s="1" t="str">
        <f>IFERROR(__xludf.DUMMYFUNCTION("""COMPUTED_VALUE"""),"Preis")</f>
        <v>Preis</v>
      </c>
      <c r="J1435" s="1" t="s">
        <v>23</v>
      </c>
      <c r="K1435" s="1" t="s">
        <v>62</v>
      </c>
      <c r="L1435" s="1" t="str">
        <f t="shared" si="2"/>
        <v>Seattle</v>
      </c>
      <c r="M1435" s="1" t="s">
        <v>63</v>
      </c>
      <c r="N1435" s="1" t="str">
        <f t="shared" si="3"/>
        <v>Washington</v>
      </c>
      <c r="O1435" s="1">
        <v>98105.0</v>
      </c>
      <c r="P1435" s="1" t="s">
        <v>37</v>
      </c>
      <c r="Q1435" s="1" t="s">
        <v>38</v>
      </c>
      <c r="R1435" s="3">
        <v>33.9</v>
      </c>
      <c r="S1435" s="1">
        <v>9.0</v>
      </c>
      <c r="T1435" s="4">
        <v>33.02</v>
      </c>
    </row>
    <row r="1436">
      <c r="A1436" s="1" t="s">
        <v>2207</v>
      </c>
      <c r="B1436" s="2">
        <v>43271.0</v>
      </c>
      <c r="C1436" s="2" t="str">
        <f t="shared" si="1"/>
        <v>Jun</v>
      </c>
      <c r="D1436" s="1" t="s">
        <v>1440</v>
      </c>
      <c r="E1436" s="1" t="s">
        <v>41</v>
      </c>
      <c r="F1436" s="1" t="s">
        <v>2208</v>
      </c>
      <c r="G1436" s="1" t="s">
        <v>2209</v>
      </c>
      <c r="H1436" s="1" t="str">
        <f>IFERROR(__xludf.DUMMYFUNCTION("split(G1436,"" "")"),"Shui")</f>
        <v>Shui</v>
      </c>
      <c r="I1436" s="1" t="str">
        <f>IFERROR(__xludf.DUMMYFUNCTION("""COMPUTED_VALUE"""),"Tom")</f>
        <v>Tom</v>
      </c>
      <c r="J1436" s="1" t="s">
        <v>23</v>
      </c>
      <c r="K1436" s="1" t="s">
        <v>2210</v>
      </c>
      <c r="L1436" s="1" t="str">
        <f t="shared" si="2"/>
        <v>Parma</v>
      </c>
      <c r="M1436" s="1" t="s">
        <v>304</v>
      </c>
      <c r="N1436" s="1" t="str">
        <f t="shared" si="3"/>
        <v>Ohio</v>
      </c>
      <c r="O1436" s="1">
        <v>44134.0</v>
      </c>
      <c r="P1436" s="1" t="s">
        <v>100</v>
      </c>
      <c r="Q1436" s="1" t="s">
        <v>38</v>
      </c>
      <c r="R1436" s="3">
        <v>31.104</v>
      </c>
      <c r="S1436" s="1">
        <v>4.0</v>
      </c>
      <c r="T1436" s="4">
        <v>30.15</v>
      </c>
    </row>
    <row r="1437">
      <c r="A1437" s="1" t="s">
        <v>2207</v>
      </c>
      <c r="B1437" s="2">
        <v>43271.0</v>
      </c>
      <c r="C1437" s="2" t="str">
        <f t="shared" si="1"/>
        <v>Jun</v>
      </c>
      <c r="D1437" s="1" t="s">
        <v>1440</v>
      </c>
      <c r="E1437" s="1" t="s">
        <v>41</v>
      </c>
      <c r="F1437" s="1" t="s">
        <v>2208</v>
      </c>
      <c r="G1437" s="1" t="s">
        <v>2209</v>
      </c>
      <c r="H1437" s="1" t="str">
        <f>IFERROR(__xludf.DUMMYFUNCTION("split(G1437,"" "")"),"Shui")</f>
        <v>Shui</v>
      </c>
      <c r="I1437" s="1" t="str">
        <f>IFERROR(__xludf.DUMMYFUNCTION("""COMPUTED_VALUE"""),"Tom")</f>
        <v>Tom</v>
      </c>
      <c r="J1437" s="1" t="s">
        <v>23</v>
      </c>
      <c r="K1437" s="1" t="s">
        <v>2210</v>
      </c>
      <c r="L1437" s="1" t="str">
        <f t="shared" si="2"/>
        <v>Parma</v>
      </c>
      <c r="M1437" s="1" t="s">
        <v>304</v>
      </c>
      <c r="N1437" s="1" t="str">
        <f t="shared" si="3"/>
        <v>Ohio</v>
      </c>
      <c r="O1437" s="1">
        <v>44134.0</v>
      </c>
      <c r="P1437" s="1" t="s">
        <v>100</v>
      </c>
      <c r="Q1437" s="1" t="s">
        <v>38</v>
      </c>
      <c r="R1437" s="3">
        <v>5.248</v>
      </c>
      <c r="S1437" s="1">
        <v>4.0</v>
      </c>
      <c r="T1437" s="4">
        <v>4.85</v>
      </c>
    </row>
    <row r="1438">
      <c r="A1438" s="1" t="s">
        <v>2211</v>
      </c>
      <c r="B1438" s="2">
        <v>42658.0</v>
      </c>
      <c r="C1438" s="2" t="str">
        <f t="shared" si="1"/>
        <v>Oct</v>
      </c>
      <c r="D1438" s="1" t="s">
        <v>2212</v>
      </c>
      <c r="E1438" s="1" t="s">
        <v>717</v>
      </c>
      <c r="F1438" s="1" t="s">
        <v>207</v>
      </c>
      <c r="G1438" s="1" t="s">
        <v>208</v>
      </c>
      <c r="H1438" s="1" t="str">
        <f>IFERROR(__xludf.DUMMYFUNCTION("split(G1438,"" "")"),"Joel")</f>
        <v>Joel</v>
      </c>
      <c r="I1438" s="1" t="str">
        <f>IFERROR(__xludf.DUMMYFUNCTION("""COMPUTED_VALUE"""),"Eaton")</f>
        <v>Eaton</v>
      </c>
      <c r="J1438" s="1" t="s">
        <v>23</v>
      </c>
      <c r="K1438" s="1" t="s">
        <v>891</v>
      </c>
      <c r="L1438" s="1" t="str">
        <f t="shared" si="2"/>
        <v>Amarillo</v>
      </c>
      <c r="M1438" s="1" t="s">
        <v>70</v>
      </c>
      <c r="N1438" s="1" t="str">
        <f t="shared" si="3"/>
        <v>Texas</v>
      </c>
      <c r="O1438" s="1">
        <v>79109.0</v>
      </c>
      <c r="P1438" s="1" t="s">
        <v>71</v>
      </c>
      <c r="Q1438" s="1" t="s">
        <v>51</v>
      </c>
      <c r="R1438" s="3">
        <v>263.88</v>
      </c>
      <c r="S1438" s="1">
        <v>7.0</v>
      </c>
      <c r="T1438" s="4">
        <v>263.71</v>
      </c>
    </row>
    <row r="1439">
      <c r="A1439" s="1" t="s">
        <v>2211</v>
      </c>
      <c r="B1439" s="2">
        <v>42658.0</v>
      </c>
      <c r="C1439" s="2" t="str">
        <f t="shared" si="1"/>
        <v>Oct</v>
      </c>
      <c r="D1439" s="1" t="s">
        <v>2212</v>
      </c>
      <c r="E1439" s="1" t="s">
        <v>717</v>
      </c>
      <c r="F1439" s="1" t="s">
        <v>207</v>
      </c>
      <c r="G1439" s="1" t="s">
        <v>208</v>
      </c>
      <c r="H1439" s="1" t="str">
        <f>IFERROR(__xludf.DUMMYFUNCTION("split(G1439,"" "")"),"Joel")</f>
        <v>Joel</v>
      </c>
      <c r="I1439" s="1" t="str">
        <f>IFERROR(__xludf.DUMMYFUNCTION("""COMPUTED_VALUE"""),"Eaton")</f>
        <v>Eaton</v>
      </c>
      <c r="J1439" s="1" t="s">
        <v>23</v>
      </c>
      <c r="K1439" s="1" t="s">
        <v>891</v>
      </c>
      <c r="L1439" s="1" t="str">
        <f t="shared" si="2"/>
        <v>Amarillo</v>
      </c>
      <c r="M1439" s="1" t="s">
        <v>70</v>
      </c>
      <c r="N1439" s="1" t="str">
        <f t="shared" si="3"/>
        <v>Texas</v>
      </c>
      <c r="O1439" s="1">
        <v>79109.0</v>
      </c>
      <c r="P1439" s="1" t="s">
        <v>71</v>
      </c>
      <c r="Q1439" s="1" t="s">
        <v>27</v>
      </c>
      <c r="R1439" s="3">
        <v>2453.43</v>
      </c>
      <c r="S1439" s="1">
        <v>7.0</v>
      </c>
      <c r="T1439" s="4">
        <v>2452.69</v>
      </c>
    </row>
    <row r="1440">
      <c r="A1440" s="1" t="s">
        <v>2213</v>
      </c>
      <c r="B1440" s="2">
        <v>43438.0</v>
      </c>
      <c r="C1440" s="2" t="str">
        <f t="shared" si="1"/>
        <v>Dec</v>
      </c>
      <c r="D1440" s="1" t="s">
        <v>1488</v>
      </c>
      <c r="E1440" s="1" t="s">
        <v>20</v>
      </c>
      <c r="F1440" s="1" t="s">
        <v>1036</v>
      </c>
      <c r="G1440" s="1" t="s">
        <v>1037</v>
      </c>
      <c r="H1440" s="1" t="str">
        <f>IFERROR(__xludf.DUMMYFUNCTION("split(G1440,"" "")"),"Bill")</f>
        <v>Bill</v>
      </c>
      <c r="I1440" s="1" t="str">
        <f>IFERROR(__xludf.DUMMYFUNCTION("""COMPUTED_VALUE"""),"Donatelli")</f>
        <v>Donatelli</v>
      </c>
      <c r="J1440" s="1" t="s">
        <v>23</v>
      </c>
      <c r="K1440" s="1" t="s">
        <v>2026</v>
      </c>
      <c r="L1440" s="1" t="str">
        <f t="shared" si="2"/>
        <v>Providence</v>
      </c>
      <c r="M1440" s="1" t="s">
        <v>782</v>
      </c>
      <c r="N1440" s="1" t="str">
        <f t="shared" si="3"/>
        <v>Rhode Island</v>
      </c>
      <c r="O1440" s="1">
        <v>2908.0</v>
      </c>
      <c r="P1440" s="1" t="s">
        <v>100</v>
      </c>
      <c r="Q1440" s="1" t="s">
        <v>38</v>
      </c>
      <c r="R1440" s="3">
        <v>29.7</v>
      </c>
      <c r="S1440" s="1">
        <v>2.0</v>
      </c>
      <c r="T1440" s="4">
        <v>29.43</v>
      </c>
    </row>
    <row r="1441">
      <c r="A1441" s="1" t="s">
        <v>2213</v>
      </c>
      <c r="B1441" s="2">
        <v>43438.0</v>
      </c>
      <c r="C1441" s="2" t="str">
        <f t="shared" si="1"/>
        <v>Dec</v>
      </c>
      <c r="D1441" s="1" t="s">
        <v>1488</v>
      </c>
      <c r="E1441" s="1" t="s">
        <v>20</v>
      </c>
      <c r="F1441" s="1" t="s">
        <v>1036</v>
      </c>
      <c r="G1441" s="1" t="s">
        <v>1037</v>
      </c>
      <c r="H1441" s="1" t="str">
        <f>IFERROR(__xludf.DUMMYFUNCTION("split(G1441,"" "")"),"Bill")</f>
        <v>Bill</v>
      </c>
      <c r="I1441" s="1" t="str">
        <f>IFERROR(__xludf.DUMMYFUNCTION("""COMPUTED_VALUE"""),"Donatelli")</f>
        <v>Donatelli</v>
      </c>
      <c r="J1441" s="1" t="s">
        <v>23</v>
      </c>
      <c r="K1441" s="1" t="s">
        <v>2026</v>
      </c>
      <c r="L1441" s="1" t="str">
        <f t="shared" si="2"/>
        <v>Providence</v>
      </c>
      <c r="M1441" s="1" t="s">
        <v>782</v>
      </c>
      <c r="N1441" s="1" t="str">
        <f t="shared" si="3"/>
        <v>Rhode Island</v>
      </c>
      <c r="O1441" s="1">
        <v>2908.0</v>
      </c>
      <c r="P1441" s="1" t="s">
        <v>100</v>
      </c>
      <c r="Q1441" s="1" t="s">
        <v>38</v>
      </c>
      <c r="R1441" s="3">
        <v>39.96</v>
      </c>
      <c r="S1441" s="1">
        <v>2.0</v>
      </c>
      <c r="T1441" s="4">
        <v>39.24</v>
      </c>
    </row>
    <row r="1442">
      <c r="A1442" s="1" t="s">
        <v>2214</v>
      </c>
      <c r="B1442" s="2">
        <v>43453.0</v>
      </c>
      <c r="C1442" s="2" t="str">
        <f t="shared" si="1"/>
        <v>Dec</v>
      </c>
      <c r="D1442" s="1" t="s">
        <v>1981</v>
      </c>
      <c r="E1442" s="1" t="s">
        <v>20</v>
      </c>
      <c r="F1442" s="1" t="s">
        <v>2215</v>
      </c>
      <c r="G1442" s="1" t="s">
        <v>2216</v>
      </c>
      <c r="H1442" s="1" t="str">
        <f>IFERROR(__xludf.DUMMYFUNCTION("split(G1442,"" "")"),"Michael")</f>
        <v>Michael</v>
      </c>
      <c r="I1442" s="1" t="str">
        <f>IFERROR(__xludf.DUMMYFUNCTION("""COMPUTED_VALUE"""),"Moore")</f>
        <v>Moore</v>
      </c>
      <c r="J1442" s="1" t="s">
        <v>23</v>
      </c>
      <c r="K1442" s="1" t="s">
        <v>87</v>
      </c>
      <c r="L1442" s="1" t="str">
        <f t="shared" si="2"/>
        <v>San Francisco</v>
      </c>
      <c r="M1442" s="1" t="s">
        <v>52</v>
      </c>
      <c r="N1442" s="1" t="str">
        <f t="shared" si="3"/>
        <v>California</v>
      </c>
      <c r="O1442" s="1">
        <v>94110.0</v>
      </c>
      <c r="P1442" s="1" t="s">
        <v>37</v>
      </c>
      <c r="Q1442" s="1" t="s">
        <v>38</v>
      </c>
      <c r="R1442" s="3">
        <v>36.672</v>
      </c>
      <c r="S1442" s="1">
        <v>9.0</v>
      </c>
      <c r="T1442" s="4">
        <v>36.0</v>
      </c>
    </row>
    <row r="1443">
      <c r="A1443" s="1" t="s">
        <v>2217</v>
      </c>
      <c r="B1443" s="2">
        <v>43228.0</v>
      </c>
      <c r="C1443" s="2" t="str">
        <f t="shared" si="1"/>
        <v>May</v>
      </c>
      <c r="D1443" s="6">
        <v>43320.0</v>
      </c>
      <c r="E1443" s="1" t="s">
        <v>121</v>
      </c>
      <c r="F1443" s="1" t="s">
        <v>2218</v>
      </c>
      <c r="G1443" s="1" t="s">
        <v>2219</v>
      </c>
      <c r="H1443" s="1" t="str">
        <f>IFERROR(__xludf.DUMMYFUNCTION("split(G1443,"" "")"),"Pauline")</f>
        <v>Pauline</v>
      </c>
      <c r="I1443" s="1" t="str">
        <f>IFERROR(__xludf.DUMMYFUNCTION("""COMPUTED_VALUE"""),"Webber")</f>
        <v>Webber</v>
      </c>
      <c r="J1443" s="1" t="s">
        <v>34</v>
      </c>
      <c r="K1443" s="1" t="s">
        <v>814</v>
      </c>
      <c r="L1443" s="1" t="str">
        <f t="shared" si="2"/>
        <v>Richmond</v>
      </c>
      <c r="M1443" s="1" t="s">
        <v>25</v>
      </c>
      <c r="N1443" s="1" t="str">
        <f t="shared" si="3"/>
        <v>Kentucky</v>
      </c>
      <c r="O1443" s="1">
        <v>40475.0</v>
      </c>
      <c r="P1443" s="1" t="s">
        <v>26</v>
      </c>
      <c r="Q1443" s="1" t="s">
        <v>38</v>
      </c>
      <c r="R1443" s="3">
        <v>13.76</v>
      </c>
      <c r="S1443" s="1">
        <v>4.0</v>
      </c>
      <c r="T1443" s="4">
        <v>12.86</v>
      </c>
    </row>
    <row r="1444">
      <c r="A1444" s="1" t="s">
        <v>2220</v>
      </c>
      <c r="B1444" s="2">
        <v>42379.0</v>
      </c>
      <c r="C1444" s="2" t="str">
        <f t="shared" si="1"/>
        <v>Jan</v>
      </c>
      <c r="D1444" s="6">
        <v>42531.0</v>
      </c>
      <c r="E1444" s="1" t="s">
        <v>41</v>
      </c>
      <c r="F1444" s="1" t="s">
        <v>2221</v>
      </c>
      <c r="G1444" s="1" t="s">
        <v>2222</v>
      </c>
      <c r="H1444" s="1" t="str">
        <f>IFERROR(__xludf.DUMMYFUNCTION("split(G1444,"" "")"),"Shaun")</f>
        <v>Shaun</v>
      </c>
      <c r="I1444" s="1" t="str">
        <f>IFERROR(__xludf.DUMMYFUNCTION("""COMPUTED_VALUE"""),"Chance")</f>
        <v>Chance</v>
      </c>
      <c r="J1444" s="1" t="s">
        <v>34</v>
      </c>
      <c r="K1444" s="1" t="s">
        <v>278</v>
      </c>
      <c r="L1444" s="1" t="str">
        <f t="shared" si="2"/>
        <v>Aurora</v>
      </c>
      <c r="M1444" s="1" t="s">
        <v>279</v>
      </c>
      <c r="N1444" s="1" t="str">
        <f t="shared" si="3"/>
        <v>Colorado</v>
      </c>
      <c r="O1444" s="1">
        <v>80013.0</v>
      </c>
      <c r="P1444" s="1" t="s">
        <v>37</v>
      </c>
      <c r="Q1444" s="1" t="s">
        <v>38</v>
      </c>
      <c r="R1444" s="3">
        <v>139.424</v>
      </c>
      <c r="S1444" s="1">
        <v>8.0</v>
      </c>
      <c r="T1444" s="4">
        <v>138.95</v>
      </c>
    </row>
    <row r="1445">
      <c r="A1445" s="1" t="s">
        <v>2223</v>
      </c>
      <c r="B1445" s="2">
        <v>42878.0</v>
      </c>
      <c r="C1445" s="2" t="str">
        <f t="shared" si="1"/>
        <v>May</v>
      </c>
      <c r="D1445" s="1" t="s">
        <v>2224</v>
      </c>
      <c r="E1445" s="1" t="s">
        <v>41</v>
      </c>
      <c r="F1445" s="1" t="s">
        <v>528</v>
      </c>
      <c r="G1445" s="1" t="s">
        <v>529</v>
      </c>
      <c r="H1445" s="1" t="str">
        <f>IFERROR(__xludf.DUMMYFUNCTION("split(G1445,"" "")"),"Ken")</f>
        <v>Ken</v>
      </c>
      <c r="I1445" s="1" t="str">
        <f>IFERROR(__xludf.DUMMYFUNCTION("""COMPUTED_VALUE"""),"Lonsdale")</f>
        <v>Lonsdale</v>
      </c>
      <c r="J1445" s="1" t="s">
        <v>23</v>
      </c>
      <c r="K1445" s="1" t="s">
        <v>188</v>
      </c>
      <c r="L1445" s="1" t="str">
        <f t="shared" si="2"/>
        <v>Chicago</v>
      </c>
      <c r="M1445" s="1" t="s">
        <v>135</v>
      </c>
      <c r="N1445" s="1" t="str">
        <f t="shared" si="3"/>
        <v>Illinois</v>
      </c>
      <c r="O1445" s="1">
        <v>60623.0</v>
      </c>
      <c r="P1445" s="1" t="s">
        <v>71</v>
      </c>
      <c r="Q1445" s="1" t="s">
        <v>51</v>
      </c>
      <c r="R1445" s="3">
        <v>1979.928</v>
      </c>
      <c r="S1445" s="1">
        <v>6.0</v>
      </c>
      <c r="T1445" s="4">
        <v>1978.98</v>
      </c>
    </row>
    <row r="1446">
      <c r="A1446" s="1" t="s">
        <v>2225</v>
      </c>
      <c r="B1446" s="2">
        <v>43264.0</v>
      </c>
      <c r="C1446" s="2" t="str">
        <f t="shared" si="1"/>
        <v>Jun</v>
      </c>
      <c r="D1446" s="1" t="s">
        <v>2226</v>
      </c>
      <c r="E1446" s="1" t="s">
        <v>121</v>
      </c>
      <c r="F1446" s="1" t="s">
        <v>833</v>
      </c>
      <c r="G1446" s="1" t="s">
        <v>834</v>
      </c>
      <c r="H1446" s="1" t="str">
        <f>IFERROR(__xludf.DUMMYFUNCTION("split(G1446,"" "")"),"Shirley")</f>
        <v>Shirley</v>
      </c>
      <c r="I1446" s="1" t="str">
        <f>IFERROR(__xludf.DUMMYFUNCTION("""COMPUTED_VALUE"""),"Daniels")</f>
        <v>Daniels</v>
      </c>
      <c r="J1446" s="1" t="s">
        <v>68</v>
      </c>
      <c r="K1446" s="1" t="s">
        <v>188</v>
      </c>
      <c r="L1446" s="1" t="str">
        <f t="shared" si="2"/>
        <v>Chicago</v>
      </c>
      <c r="M1446" s="1" t="s">
        <v>135</v>
      </c>
      <c r="N1446" s="1" t="str">
        <f t="shared" si="3"/>
        <v>Illinois</v>
      </c>
      <c r="O1446" s="1">
        <v>60653.0</v>
      </c>
      <c r="P1446" s="1" t="s">
        <v>71</v>
      </c>
      <c r="Q1446" s="1" t="s">
        <v>38</v>
      </c>
      <c r="R1446" s="3">
        <v>164.736</v>
      </c>
      <c r="S1446" s="1">
        <v>6.0</v>
      </c>
      <c r="T1446" s="4">
        <v>164.43</v>
      </c>
    </row>
    <row r="1447">
      <c r="A1447" s="1" t="s">
        <v>2225</v>
      </c>
      <c r="B1447" s="2">
        <v>43264.0</v>
      </c>
      <c r="C1447" s="2" t="str">
        <f t="shared" si="1"/>
        <v>Jun</v>
      </c>
      <c r="D1447" s="1" t="s">
        <v>2226</v>
      </c>
      <c r="E1447" s="1" t="s">
        <v>121</v>
      </c>
      <c r="F1447" s="1" t="s">
        <v>833</v>
      </c>
      <c r="G1447" s="1" t="s">
        <v>834</v>
      </c>
      <c r="H1447" s="1" t="str">
        <f>IFERROR(__xludf.DUMMYFUNCTION("split(G1447,"" "")"),"Shirley")</f>
        <v>Shirley</v>
      </c>
      <c r="I1447" s="1" t="str">
        <f>IFERROR(__xludf.DUMMYFUNCTION("""COMPUTED_VALUE"""),"Daniels")</f>
        <v>Daniels</v>
      </c>
      <c r="J1447" s="1" t="s">
        <v>68</v>
      </c>
      <c r="K1447" s="1" t="s">
        <v>188</v>
      </c>
      <c r="L1447" s="1" t="str">
        <f t="shared" si="2"/>
        <v>Chicago</v>
      </c>
      <c r="M1447" s="1" t="s">
        <v>135</v>
      </c>
      <c r="N1447" s="1" t="str">
        <f t="shared" si="3"/>
        <v>Illinois</v>
      </c>
      <c r="O1447" s="1">
        <v>60653.0</v>
      </c>
      <c r="P1447" s="1" t="s">
        <v>71</v>
      </c>
      <c r="Q1447" s="1" t="s">
        <v>27</v>
      </c>
      <c r="R1447" s="3">
        <v>470.302</v>
      </c>
      <c r="S1447" s="1">
        <v>6.0</v>
      </c>
      <c r="T1447" s="4">
        <v>469.44</v>
      </c>
    </row>
    <row r="1448">
      <c r="A1448" s="1" t="s">
        <v>2225</v>
      </c>
      <c r="B1448" s="2">
        <v>43264.0</v>
      </c>
      <c r="C1448" s="2" t="str">
        <f t="shared" si="1"/>
        <v>Jun</v>
      </c>
      <c r="D1448" s="1" t="s">
        <v>2226</v>
      </c>
      <c r="E1448" s="1" t="s">
        <v>121</v>
      </c>
      <c r="F1448" s="1" t="s">
        <v>833</v>
      </c>
      <c r="G1448" s="1" t="s">
        <v>834</v>
      </c>
      <c r="H1448" s="1" t="str">
        <f>IFERROR(__xludf.DUMMYFUNCTION("split(G1448,"" "")"),"Shirley")</f>
        <v>Shirley</v>
      </c>
      <c r="I1448" s="1" t="str">
        <f>IFERROR(__xludf.DUMMYFUNCTION("""COMPUTED_VALUE"""),"Daniels")</f>
        <v>Daniels</v>
      </c>
      <c r="J1448" s="1" t="s">
        <v>68</v>
      </c>
      <c r="K1448" s="1" t="s">
        <v>188</v>
      </c>
      <c r="L1448" s="1" t="str">
        <f t="shared" si="2"/>
        <v>Chicago</v>
      </c>
      <c r="M1448" s="1" t="s">
        <v>135</v>
      </c>
      <c r="N1448" s="1" t="str">
        <f t="shared" si="3"/>
        <v>Illinois</v>
      </c>
      <c r="O1448" s="1">
        <v>60653.0</v>
      </c>
      <c r="P1448" s="1" t="s">
        <v>71</v>
      </c>
      <c r="Q1448" s="1" t="s">
        <v>51</v>
      </c>
      <c r="R1448" s="3">
        <v>47.984</v>
      </c>
      <c r="S1448" s="1">
        <v>6.0</v>
      </c>
      <c r="T1448" s="4">
        <v>47.81</v>
      </c>
    </row>
    <row r="1449">
      <c r="A1449" s="1" t="s">
        <v>2227</v>
      </c>
      <c r="B1449" s="2">
        <v>42117.0</v>
      </c>
      <c r="C1449" s="2" t="str">
        <f t="shared" si="1"/>
        <v>Apr</v>
      </c>
      <c r="D1449" s="1" t="s">
        <v>2228</v>
      </c>
      <c r="E1449" s="1" t="s">
        <v>121</v>
      </c>
      <c r="F1449" s="1" t="s">
        <v>1778</v>
      </c>
      <c r="G1449" s="1" t="s">
        <v>1779</v>
      </c>
      <c r="H1449" s="1" t="str">
        <f>IFERROR(__xludf.DUMMYFUNCTION("split(G1449,"" "")"),"Theresa")</f>
        <v>Theresa</v>
      </c>
      <c r="I1449" s="1" t="str">
        <f>IFERROR(__xludf.DUMMYFUNCTION("""COMPUTED_VALUE"""),"Swint")</f>
        <v>Swint</v>
      </c>
      <c r="J1449" s="1" t="s">
        <v>34</v>
      </c>
      <c r="K1449" s="1" t="s">
        <v>98</v>
      </c>
      <c r="L1449" s="1" t="str">
        <f t="shared" si="2"/>
        <v>Philadelphia</v>
      </c>
      <c r="M1449" s="1" t="s">
        <v>99</v>
      </c>
      <c r="N1449" s="1" t="str">
        <f t="shared" si="3"/>
        <v>Pennsylvania</v>
      </c>
      <c r="O1449" s="1">
        <v>19134.0</v>
      </c>
      <c r="P1449" s="1" t="s">
        <v>100</v>
      </c>
      <c r="Q1449" s="1" t="s">
        <v>38</v>
      </c>
      <c r="R1449" s="3">
        <v>2.502</v>
      </c>
      <c r="S1449" s="1">
        <v>1.0</v>
      </c>
      <c r="T1449" s="4">
        <v>2.25</v>
      </c>
    </row>
    <row r="1450">
      <c r="A1450" s="1" t="s">
        <v>2229</v>
      </c>
      <c r="B1450" s="2">
        <v>42374.0</v>
      </c>
      <c r="C1450" s="2" t="str">
        <f t="shared" si="1"/>
        <v>Jan</v>
      </c>
      <c r="D1450" s="6">
        <v>42556.0</v>
      </c>
      <c r="E1450" s="1" t="s">
        <v>41</v>
      </c>
      <c r="F1450" s="1" t="s">
        <v>410</v>
      </c>
      <c r="G1450" s="1" t="s">
        <v>411</v>
      </c>
      <c r="H1450" s="1" t="str">
        <f>IFERROR(__xludf.DUMMYFUNCTION("split(G1450,"" "")"),"Jennifer")</f>
        <v>Jennifer</v>
      </c>
      <c r="I1450" s="1" t="str">
        <f>IFERROR(__xludf.DUMMYFUNCTION("""COMPUTED_VALUE"""),"Braxton")</f>
        <v>Braxton</v>
      </c>
      <c r="J1450" s="1" t="s">
        <v>34</v>
      </c>
      <c r="K1450" s="1" t="s">
        <v>35</v>
      </c>
      <c r="L1450" s="1" t="str">
        <f t="shared" si="2"/>
        <v>Los Angeles</v>
      </c>
      <c r="M1450" s="1" t="s">
        <v>52</v>
      </c>
      <c r="N1450" s="1" t="str">
        <f t="shared" si="3"/>
        <v>California</v>
      </c>
      <c r="O1450" s="1">
        <v>90008.0</v>
      </c>
      <c r="P1450" s="1" t="s">
        <v>37</v>
      </c>
      <c r="Q1450" s="1" t="s">
        <v>51</v>
      </c>
      <c r="R1450" s="3">
        <v>88.752</v>
      </c>
      <c r="S1450" s="1">
        <v>9.0</v>
      </c>
      <c r="T1450" s="4">
        <v>88.64</v>
      </c>
    </row>
    <row r="1451">
      <c r="A1451" s="1" t="s">
        <v>2230</v>
      </c>
      <c r="B1451" s="2">
        <v>42570.0</v>
      </c>
      <c r="C1451" s="2" t="str">
        <f t="shared" si="1"/>
        <v>Jul</v>
      </c>
      <c r="D1451" s="1" t="s">
        <v>2231</v>
      </c>
      <c r="E1451" s="1" t="s">
        <v>121</v>
      </c>
      <c r="F1451" s="1" t="s">
        <v>2232</v>
      </c>
      <c r="G1451" s="1" t="s">
        <v>2233</v>
      </c>
      <c r="H1451" s="1" t="str">
        <f>IFERROR(__xludf.DUMMYFUNCTION("split(G1451,"" "")"),"Thais")</f>
        <v>Thais</v>
      </c>
      <c r="I1451" s="1" t="str">
        <f>IFERROR(__xludf.DUMMYFUNCTION("""COMPUTED_VALUE"""),"Sissman")</f>
        <v>Sissman</v>
      </c>
      <c r="J1451" s="1" t="s">
        <v>23</v>
      </c>
      <c r="K1451" s="1" t="s">
        <v>328</v>
      </c>
      <c r="L1451" s="1" t="str">
        <f t="shared" si="2"/>
        <v>Phoenix</v>
      </c>
      <c r="M1451" s="1" t="s">
        <v>193</v>
      </c>
      <c r="N1451" s="1" t="str">
        <f t="shared" si="3"/>
        <v>Arizona</v>
      </c>
      <c r="O1451" s="1">
        <v>85023.0</v>
      </c>
      <c r="P1451" s="1" t="s">
        <v>37</v>
      </c>
      <c r="Q1451" s="1" t="s">
        <v>38</v>
      </c>
      <c r="R1451" s="3">
        <v>2.025</v>
      </c>
      <c r="S1451" s="1">
        <v>8.0</v>
      </c>
      <c r="T1451" s="4">
        <v>2.02</v>
      </c>
    </row>
    <row r="1452">
      <c r="A1452" s="1" t="s">
        <v>2234</v>
      </c>
      <c r="B1452" s="2">
        <v>43065.0</v>
      </c>
      <c r="C1452" s="2" t="str">
        <f t="shared" si="1"/>
        <v>Nov</v>
      </c>
      <c r="D1452" s="1" t="s">
        <v>2235</v>
      </c>
      <c r="E1452" s="1" t="s">
        <v>121</v>
      </c>
      <c r="F1452" s="1" t="s">
        <v>2236</v>
      </c>
      <c r="G1452" s="1" t="s">
        <v>2237</v>
      </c>
      <c r="H1452" s="1" t="str">
        <f>IFERROR(__xludf.DUMMYFUNCTION("split(G1452,"" "")"),"Mark")</f>
        <v>Mark</v>
      </c>
      <c r="I1452" s="1" t="str">
        <f>IFERROR(__xludf.DUMMYFUNCTION("""COMPUTED_VALUE"""),"Cousins")</f>
        <v>Cousins</v>
      </c>
      <c r="J1452" s="1" t="s">
        <v>34</v>
      </c>
      <c r="K1452" s="1" t="s">
        <v>2238</v>
      </c>
      <c r="L1452" s="1" t="str">
        <f t="shared" si="2"/>
        <v>Mobile</v>
      </c>
      <c r="M1452" s="1" t="s">
        <v>220</v>
      </c>
      <c r="N1452" s="1" t="str">
        <f t="shared" si="3"/>
        <v>Alabama</v>
      </c>
      <c r="O1452" s="1">
        <v>36608.0</v>
      </c>
      <c r="P1452" s="1" t="s">
        <v>26</v>
      </c>
      <c r="Q1452" s="1" t="s">
        <v>38</v>
      </c>
      <c r="R1452" s="3">
        <v>70.98</v>
      </c>
      <c r="S1452" s="1">
        <v>3.0</v>
      </c>
      <c r="T1452" s="4">
        <v>70.53</v>
      </c>
    </row>
    <row r="1453">
      <c r="A1453" s="1" t="s">
        <v>2234</v>
      </c>
      <c r="B1453" s="2">
        <v>43065.0</v>
      </c>
      <c r="C1453" s="2" t="str">
        <f t="shared" si="1"/>
        <v>Nov</v>
      </c>
      <c r="D1453" s="1" t="s">
        <v>2235</v>
      </c>
      <c r="E1453" s="1" t="s">
        <v>121</v>
      </c>
      <c r="F1453" s="1" t="s">
        <v>2236</v>
      </c>
      <c r="G1453" s="1" t="s">
        <v>2237</v>
      </c>
      <c r="H1453" s="1" t="str">
        <f>IFERROR(__xludf.DUMMYFUNCTION("split(G1453,"" "")"),"Mark")</f>
        <v>Mark</v>
      </c>
      <c r="I1453" s="1" t="str">
        <f>IFERROR(__xludf.DUMMYFUNCTION("""COMPUTED_VALUE"""),"Cousins")</f>
        <v>Cousins</v>
      </c>
      <c r="J1453" s="1" t="s">
        <v>34</v>
      </c>
      <c r="K1453" s="1" t="s">
        <v>2238</v>
      </c>
      <c r="L1453" s="1" t="str">
        <f t="shared" si="2"/>
        <v>Mobile</v>
      </c>
      <c r="M1453" s="1" t="s">
        <v>220</v>
      </c>
      <c r="N1453" s="1" t="str">
        <f t="shared" si="3"/>
        <v>Alabama</v>
      </c>
      <c r="O1453" s="1">
        <v>36608.0</v>
      </c>
      <c r="P1453" s="1" t="s">
        <v>26</v>
      </c>
      <c r="Q1453" s="1" t="s">
        <v>38</v>
      </c>
      <c r="R1453" s="3">
        <v>91.68</v>
      </c>
      <c r="S1453" s="1">
        <v>3.0</v>
      </c>
      <c r="T1453" s="4">
        <v>90.91</v>
      </c>
    </row>
    <row r="1454">
      <c r="A1454" s="1" t="s">
        <v>2234</v>
      </c>
      <c r="B1454" s="2">
        <v>43065.0</v>
      </c>
      <c r="C1454" s="2" t="str">
        <f t="shared" si="1"/>
        <v>Nov</v>
      </c>
      <c r="D1454" s="1" t="s">
        <v>2235</v>
      </c>
      <c r="E1454" s="1" t="s">
        <v>121</v>
      </c>
      <c r="F1454" s="1" t="s">
        <v>2236</v>
      </c>
      <c r="G1454" s="1" t="s">
        <v>2237</v>
      </c>
      <c r="H1454" s="1" t="str">
        <f>IFERROR(__xludf.DUMMYFUNCTION("split(G1454,"" "")"),"Mark")</f>
        <v>Mark</v>
      </c>
      <c r="I1454" s="1" t="str">
        <f>IFERROR(__xludf.DUMMYFUNCTION("""COMPUTED_VALUE"""),"Cousins")</f>
        <v>Cousins</v>
      </c>
      <c r="J1454" s="1" t="s">
        <v>34</v>
      </c>
      <c r="K1454" s="1" t="s">
        <v>2238</v>
      </c>
      <c r="L1454" s="1" t="str">
        <f t="shared" si="2"/>
        <v>Mobile</v>
      </c>
      <c r="M1454" s="1" t="s">
        <v>220</v>
      </c>
      <c r="N1454" s="1" t="str">
        <f t="shared" si="3"/>
        <v>Alabama</v>
      </c>
      <c r="O1454" s="1">
        <v>36608.0</v>
      </c>
      <c r="P1454" s="1" t="s">
        <v>26</v>
      </c>
      <c r="Q1454" s="1" t="s">
        <v>38</v>
      </c>
      <c r="R1454" s="3">
        <v>33.75</v>
      </c>
      <c r="S1454" s="1">
        <v>3.0</v>
      </c>
      <c r="T1454" s="4">
        <v>33.13</v>
      </c>
    </row>
    <row r="1455">
      <c r="A1455" s="1" t="s">
        <v>2234</v>
      </c>
      <c r="B1455" s="2">
        <v>43065.0</v>
      </c>
      <c r="C1455" s="2" t="str">
        <f t="shared" si="1"/>
        <v>Nov</v>
      </c>
      <c r="D1455" s="1" t="s">
        <v>2235</v>
      </c>
      <c r="E1455" s="1" t="s">
        <v>121</v>
      </c>
      <c r="F1455" s="1" t="s">
        <v>2236</v>
      </c>
      <c r="G1455" s="1" t="s">
        <v>2237</v>
      </c>
      <c r="H1455" s="1" t="str">
        <f>IFERROR(__xludf.DUMMYFUNCTION("split(G1455,"" "")"),"Mark")</f>
        <v>Mark</v>
      </c>
      <c r="I1455" s="1" t="str">
        <f>IFERROR(__xludf.DUMMYFUNCTION("""COMPUTED_VALUE"""),"Cousins")</f>
        <v>Cousins</v>
      </c>
      <c r="J1455" s="1" t="s">
        <v>34</v>
      </c>
      <c r="K1455" s="1" t="s">
        <v>2238</v>
      </c>
      <c r="L1455" s="1" t="str">
        <f t="shared" si="2"/>
        <v>Mobile</v>
      </c>
      <c r="M1455" s="1" t="s">
        <v>220</v>
      </c>
      <c r="N1455" s="1" t="str">
        <f t="shared" si="3"/>
        <v>Alabama</v>
      </c>
      <c r="O1455" s="1">
        <v>36608.0</v>
      </c>
      <c r="P1455" s="1" t="s">
        <v>26</v>
      </c>
      <c r="Q1455" s="1" t="s">
        <v>51</v>
      </c>
      <c r="R1455" s="3">
        <v>3040.0</v>
      </c>
      <c r="S1455" s="1">
        <v>3.0</v>
      </c>
      <c r="T1455" s="4">
        <v>3039.91</v>
      </c>
    </row>
    <row r="1456">
      <c r="A1456" s="1" t="s">
        <v>2239</v>
      </c>
      <c r="B1456" s="2">
        <v>43440.0</v>
      </c>
      <c r="C1456" s="2" t="str">
        <f t="shared" si="1"/>
        <v>Dec</v>
      </c>
      <c r="D1456" s="1" t="s">
        <v>687</v>
      </c>
      <c r="E1456" s="1" t="s">
        <v>41</v>
      </c>
      <c r="F1456" s="1" t="s">
        <v>2240</v>
      </c>
      <c r="G1456" s="1" t="s">
        <v>2241</v>
      </c>
      <c r="H1456" s="1" t="str">
        <f>IFERROR(__xludf.DUMMYFUNCTION("split(G1456,"" "")"),"Maria")</f>
        <v>Maria</v>
      </c>
      <c r="I1456" s="1" t="str">
        <f>IFERROR(__xludf.DUMMYFUNCTION("""COMPUTED_VALUE"""),"Etezadi")</f>
        <v>Etezadi</v>
      </c>
      <c r="J1456" s="1" t="s">
        <v>68</v>
      </c>
      <c r="K1456" s="1" t="s">
        <v>303</v>
      </c>
      <c r="L1456" s="1" t="str">
        <f t="shared" si="2"/>
        <v>Columbus</v>
      </c>
      <c r="M1456" s="1" t="s">
        <v>707</v>
      </c>
      <c r="N1456" s="1" t="str">
        <f t="shared" si="3"/>
        <v>Georgia</v>
      </c>
      <c r="O1456" s="1">
        <v>31907.0</v>
      </c>
      <c r="P1456" s="1" t="s">
        <v>26</v>
      </c>
      <c r="Q1456" s="1" t="s">
        <v>38</v>
      </c>
      <c r="R1456" s="3">
        <v>91.2</v>
      </c>
      <c r="S1456" s="1">
        <v>3.0</v>
      </c>
      <c r="T1456" s="4">
        <v>90.82</v>
      </c>
    </row>
    <row r="1457">
      <c r="A1457" s="1" t="s">
        <v>2239</v>
      </c>
      <c r="B1457" s="2">
        <v>43440.0</v>
      </c>
      <c r="C1457" s="2" t="str">
        <f t="shared" si="1"/>
        <v>Dec</v>
      </c>
      <c r="D1457" s="1" t="s">
        <v>687</v>
      </c>
      <c r="E1457" s="1" t="s">
        <v>41</v>
      </c>
      <c r="F1457" s="1" t="s">
        <v>2240</v>
      </c>
      <c r="G1457" s="1" t="s">
        <v>2241</v>
      </c>
      <c r="H1457" s="1" t="str">
        <f>IFERROR(__xludf.DUMMYFUNCTION("split(G1457,"" "")"),"Maria")</f>
        <v>Maria</v>
      </c>
      <c r="I1457" s="1" t="str">
        <f>IFERROR(__xludf.DUMMYFUNCTION("""COMPUTED_VALUE"""),"Etezadi")</f>
        <v>Etezadi</v>
      </c>
      <c r="J1457" s="1" t="s">
        <v>68</v>
      </c>
      <c r="K1457" s="1" t="s">
        <v>303</v>
      </c>
      <c r="L1457" s="1" t="str">
        <f t="shared" si="2"/>
        <v>Columbus</v>
      </c>
      <c r="M1457" s="1" t="s">
        <v>707</v>
      </c>
      <c r="N1457" s="1" t="str">
        <f t="shared" si="3"/>
        <v>Georgia</v>
      </c>
      <c r="O1457" s="1">
        <v>31907.0</v>
      </c>
      <c r="P1457" s="1" t="s">
        <v>26</v>
      </c>
      <c r="Q1457" s="1" t="s">
        <v>27</v>
      </c>
      <c r="R1457" s="3">
        <v>452.94</v>
      </c>
      <c r="S1457" s="1">
        <v>3.0</v>
      </c>
      <c r="T1457" s="4">
        <v>452.59</v>
      </c>
    </row>
    <row r="1458">
      <c r="A1458" s="1" t="s">
        <v>2242</v>
      </c>
      <c r="B1458" s="2">
        <v>42599.0</v>
      </c>
      <c r="C1458" s="2" t="str">
        <f t="shared" si="1"/>
        <v>Aug</v>
      </c>
      <c r="D1458" s="1" t="s">
        <v>2243</v>
      </c>
      <c r="E1458" s="1" t="s">
        <v>41</v>
      </c>
      <c r="F1458" s="1" t="s">
        <v>2221</v>
      </c>
      <c r="G1458" s="1" t="s">
        <v>2222</v>
      </c>
      <c r="H1458" s="1" t="str">
        <f>IFERROR(__xludf.DUMMYFUNCTION("split(G1458,"" "")"),"Shaun")</f>
        <v>Shaun</v>
      </c>
      <c r="I1458" s="1" t="str">
        <f>IFERROR(__xludf.DUMMYFUNCTION("""COMPUTED_VALUE"""),"Chance")</f>
        <v>Chance</v>
      </c>
      <c r="J1458" s="1" t="s">
        <v>34</v>
      </c>
      <c r="K1458" s="1" t="s">
        <v>2244</v>
      </c>
      <c r="L1458" s="1" t="str">
        <f t="shared" si="2"/>
        <v>New Bedford</v>
      </c>
      <c r="M1458" s="1" t="s">
        <v>694</v>
      </c>
      <c r="N1458" s="1" t="str">
        <f t="shared" si="3"/>
        <v>Massachusetts</v>
      </c>
      <c r="O1458" s="1">
        <v>2740.0</v>
      </c>
      <c r="P1458" s="1" t="s">
        <v>100</v>
      </c>
      <c r="Q1458" s="1" t="s">
        <v>38</v>
      </c>
      <c r="R1458" s="3">
        <v>52.2</v>
      </c>
      <c r="S1458" s="1">
        <v>2.0</v>
      </c>
      <c r="T1458" s="4">
        <v>51.92</v>
      </c>
    </row>
    <row r="1459">
      <c r="A1459" s="1" t="s">
        <v>2245</v>
      </c>
      <c r="B1459" s="2">
        <v>43003.0</v>
      </c>
      <c r="C1459" s="2" t="str">
        <f t="shared" si="1"/>
        <v>Sep</v>
      </c>
      <c r="D1459" s="6">
        <v>42745.0</v>
      </c>
      <c r="E1459" s="1" t="s">
        <v>41</v>
      </c>
      <c r="F1459" s="1" t="s">
        <v>2246</v>
      </c>
      <c r="G1459" s="1" t="s">
        <v>2247</v>
      </c>
      <c r="H1459" s="1" t="str">
        <f>IFERROR(__xludf.DUMMYFUNCTION("split(G1459,"" "")"),"Nicole")</f>
        <v>Nicole</v>
      </c>
      <c r="I1459" s="1" t="str">
        <f>IFERROR(__xludf.DUMMYFUNCTION("""COMPUTED_VALUE"""),"Hansen")</f>
        <v>Hansen</v>
      </c>
      <c r="J1459" s="1" t="s">
        <v>34</v>
      </c>
      <c r="K1459" s="1" t="s">
        <v>2248</v>
      </c>
      <c r="L1459" s="1" t="str">
        <f t="shared" si="2"/>
        <v>Irving</v>
      </c>
      <c r="M1459" s="1" t="s">
        <v>70</v>
      </c>
      <c r="N1459" s="1" t="str">
        <f t="shared" si="3"/>
        <v>Texas</v>
      </c>
      <c r="O1459" s="1">
        <v>75061.0</v>
      </c>
      <c r="P1459" s="1" t="s">
        <v>71</v>
      </c>
      <c r="Q1459" s="1" t="s">
        <v>38</v>
      </c>
      <c r="R1459" s="3">
        <v>15.936</v>
      </c>
      <c r="S1459" s="1">
        <v>7.0</v>
      </c>
      <c r="T1459" s="4">
        <v>15.9</v>
      </c>
    </row>
    <row r="1460">
      <c r="A1460" s="1" t="s">
        <v>2249</v>
      </c>
      <c r="B1460" s="2">
        <v>42099.0</v>
      </c>
      <c r="C1460" s="2" t="str">
        <f t="shared" si="1"/>
        <v>Apr</v>
      </c>
      <c r="D1460" s="6">
        <v>42099.0</v>
      </c>
      <c r="E1460" s="1" t="s">
        <v>717</v>
      </c>
      <c r="F1460" s="1" t="s">
        <v>55</v>
      </c>
      <c r="G1460" s="1" t="s">
        <v>56</v>
      </c>
      <c r="H1460" s="1" t="str">
        <f>IFERROR(__xludf.DUMMYFUNCTION("split(G1460,"" "")"),"Andrew")</f>
        <v>Andrew</v>
      </c>
      <c r="I1460" s="1" t="str">
        <f>IFERROR(__xludf.DUMMYFUNCTION("""COMPUTED_VALUE"""),"Allen")</f>
        <v>Allen</v>
      </c>
      <c r="J1460" s="1" t="s">
        <v>23</v>
      </c>
      <c r="K1460" s="1" t="s">
        <v>2109</v>
      </c>
      <c r="L1460" s="1" t="str">
        <f t="shared" si="2"/>
        <v>Middletown</v>
      </c>
      <c r="M1460" s="1" t="s">
        <v>435</v>
      </c>
      <c r="N1460" s="1" t="str">
        <f t="shared" si="3"/>
        <v>Connecticut</v>
      </c>
      <c r="O1460" s="1">
        <v>6457.0</v>
      </c>
      <c r="P1460" s="1" t="s">
        <v>100</v>
      </c>
      <c r="Q1460" s="1" t="s">
        <v>27</v>
      </c>
      <c r="R1460" s="3">
        <v>27.46</v>
      </c>
      <c r="S1460" s="1">
        <v>6.0</v>
      </c>
      <c r="T1460" s="4">
        <v>27.22</v>
      </c>
    </row>
    <row r="1461">
      <c r="A1461" s="1" t="s">
        <v>2250</v>
      </c>
      <c r="B1461" s="2">
        <v>42381.0</v>
      </c>
      <c r="C1461" s="2" t="str">
        <f t="shared" si="1"/>
        <v>Jan</v>
      </c>
      <c r="D1461" s="6">
        <v>42594.0</v>
      </c>
      <c r="E1461" s="1" t="s">
        <v>41</v>
      </c>
      <c r="F1461" s="1" t="s">
        <v>478</v>
      </c>
      <c r="G1461" s="1" t="s">
        <v>479</v>
      </c>
      <c r="H1461" s="1" t="str">
        <f>IFERROR(__xludf.DUMMYFUNCTION("split(G1461,"" "")"),"Logan")</f>
        <v>Logan</v>
      </c>
      <c r="I1461" s="1" t="str">
        <f>IFERROR(__xludf.DUMMYFUNCTION("""COMPUTED_VALUE"""),"Currie")</f>
        <v>Currie</v>
      </c>
      <c r="J1461" s="1" t="s">
        <v>23</v>
      </c>
      <c r="K1461" s="1" t="s">
        <v>62</v>
      </c>
      <c r="L1461" s="1" t="str">
        <f t="shared" si="2"/>
        <v>Seattle</v>
      </c>
      <c r="M1461" s="1" t="s">
        <v>63</v>
      </c>
      <c r="N1461" s="1" t="str">
        <f t="shared" si="3"/>
        <v>Washington</v>
      </c>
      <c r="O1461" s="1">
        <v>98103.0</v>
      </c>
      <c r="P1461" s="1" t="s">
        <v>37</v>
      </c>
      <c r="Q1461" s="1" t="s">
        <v>38</v>
      </c>
      <c r="R1461" s="3">
        <v>55.424</v>
      </c>
      <c r="S1461" s="1">
        <v>9.0</v>
      </c>
      <c r="T1461" s="4">
        <v>55.24</v>
      </c>
    </row>
    <row r="1462">
      <c r="A1462" s="1" t="s">
        <v>2251</v>
      </c>
      <c r="B1462" s="2">
        <v>43042.0</v>
      </c>
      <c r="C1462" s="2" t="str">
        <f t="shared" si="1"/>
        <v>Nov</v>
      </c>
      <c r="D1462" s="1" t="s">
        <v>2252</v>
      </c>
      <c r="E1462" s="1" t="s">
        <v>41</v>
      </c>
      <c r="F1462" s="1" t="s">
        <v>2253</v>
      </c>
      <c r="G1462" s="1" t="s">
        <v>2254</v>
      </c>
      <c r="H1462" s="1" t="str">
        <f>IFERROR(__xludf.DUMMYFUNCTION("split(G1462,"" "")"),"Mick")</f>
        <v>Mick</v>
      </c>
      <c r="I1462" s="1" t="str">
        <f>IFERROR(__xludf.DUMMYFUNCTION("""COMPUTED_VALUE"""),"Brown")</f>
        <v>Brown</v>
      </c>
      <c r="J1462" s="1" t="s">
        <v>23</v>
      </c>
      <c r="K1462" s="1" t="s">
        <v>2255</v>
      </c>
      <c r="L1462" s="1" t="str">
        <f t="shared" si="2"/>
        <v>Vineland</v>
      </c>
      <c r="M1462" s="1" t="s">
        <v>462</v>
      </c>
      <c r="N1462" s="1" t="str">
        <f t="shared" si="3"/>
        <v>New Jersey</v>
      </c>
      <c r="O1462" s="1">
        <v>8360.0</v>
      </c>
      <c r="P1462" s="1" t="s">
        <v>100</v>
      </c>
      <c r="Q1462" s="1" t="s">
        <v>27</v>
      </c>
      <c r="R1462" s="3">
        <v>244.006</v>
      </c>
      <c r="S1462" s="1">
        <v>8.0</v>
      </c>
      <c r="T1462" s="4">
        <v>243.04</v>
      </c>
    </row>
    <row r="1463">
      <c r="A1463" s="1" t="s">
        <v>2256</v>
      </c>
      <c r="B1463" s="2">
        <v>42973.0</v>
      </c>
      <c r="C1463" s="2" t="str">
        <f t="shared" si="1"/>
        <v>Aug</v>
      </c>
      <c r="D1463" s="1" t="s">
        <v>1199</v>
      </c>
      <c r="E1463" s="1" t="s">
        <v>121</v>
      </c>
      <c r="F1463" s="1" t="s">
        <v>132</v>
      </c>
      <c r="G1463" s="1" t="s">
        <v>133</v>
      </c>
      <c r="H1463" s="1" t="str">
        <f>IFERROR(__xludf.DUMMYFUNCTION("split(G1463,"" "")"),"Linda")</f>
        <v>Linda</v>
      </c>
      <c r="I1463" s="1" t="str">
        <f>IFERROR(__xludf.DUMMYFUNCTION("""COMPUTED_VALUE"""),"Cazamias")</f>
        <v>Cazamias</v>
      </c>
      <c r="J1463" s="1" t="s">
        <v>34</v>
      </c>
      <c r="K1463" s="1" t="s">
        <v>355</v>
      </c>
      <c r="L1463" s="1" t="str">
        <f t="shared" si="2"/>
        <v>Pasadena</v>
      </c>
      <c r="M1463" s="1" t="s">
        <v>70</v>
      </c>
      <c r="N1463" s="1" t="str">
        <f t="shared" si="3"/>
        <v>Texas</v>
      </c>
      <c r="O1463" s="1">
        <v>77506.0</v>
      </c>
      <c r="P1463" s="1" t="s">
        <v>71</v>
      </c>
      <c r="Q1463" s="1" t="s">
        <v>51</v>
      </c>
      <c r="R1463" s="3">
        <v>159.984</v>
      </c>
      <c r="S1463" s="1">
        <v>7.0</v>
      </c>
      <c r="T1463" s="4">
        <v>159.17</v>
      </c>
    </row>
    <row r="1464">
      <c r="A1464" s="1" t="s">
        <v>2256</v>
      </c>
      <c r="B1464" s="2">
        <v>42973.0</v>
      </c>
      <c r="C1464" s="2" t="str">
        <f t="shared" si="1"/>
        <v>Aug</v>
      </c>
      <c r="D1464" s="1" t="s">
        <v>1199</v>
      </c>
      <c r="E1464" s="1" t="s">
        <v>121</v>
      </c>
      <c r="F1464" s="1" t="s">
        <v>132</v>
      </c>
      <c r="G1464" s="1" t="s">
        <v>133</v>
      </c>
      <c r="H1464" s="1" t="str">
        <f>IFERROR(__xludf.DUMMYFUNCTION("split(G1464,"" "")"),"Linda")</f>
        <v>Linda</v>
      </c>
      <c r="I1464" s="1" t="str">
        <f>IFERROR(__xludf.DUMMYFUNCTION("""COMPUTED_VALUE"""),"Cazamias")</f>
        <v>Cazamias</v>
      </c>
      <c r="J1464" s="1" t="s">
        <v>34</v>
      </c>
      <c r="K1464" s="1" t="s">
        <v>355</v>
      </c>
      <c r="L1464" s="1" t="str">
        <f t="shared" si="2"/>
        <v>Pasadena</v>
      </c>
      <c r="M1464" s="1" t="s">
        <v>70</v>
      </c>
      <c r="N1464" s="1" t="str">
        <f t="shared" si="3"/>
        <v>Texas</v>
      </c>
      <c r="O1464" s="1">
        <v>77506.0</v>
      </c>
      <c r="P1464" s="1" t="s">
        <v>71</v>
      </c>
      <c r="Q1464" s="1" t="s">
        <v>27</v>
      </c>
      <c r="R1464" s="3">
        <v>1024.716</v>
      </c>
      <c r="S1464" s="1">
        <v>7.0</v>
      </c>
      <c r="T1464" s="4">
        <v>1024.26</v>
      </c>
    </row>
    <row r="1465">
      <c r="A1465" s="1" t="s">
        <v>2257</v>
      </c>
      <c r="B1465" s="2">
        <v>43085.0</v>
      </c>
      <c r="C1465" s="2" t="str">
        <f t="shared" si="1"/>
        <v>Dec</v>
      </c>
      <c r="D1465" s="1" t="s">
        <v>1297</v>
      </c>
      <c r="E1465" s="1" t="s">
        <v>121</v>
      </c>
      <c r="F1465" s="1" t="s">
        <v>2258</v>
      </c>
      <c r="G1465" s="1" t="s">
        <v>2259</v>
      </c>
      <c r="H1465" s="1" t="str">
        <f>IFERROR(__xludf.DUMMYFUNCTION("split(G1465,"" "")"),"Keith")</f>
        <v>Keith</v>
      </c>
      <c r="I1465" s="1" t="str">
        <f>IFERROR(__xludf.DUMMYFUNCTION("""COMPUTED_VALUE"""),"Dawkins")</f>
        <v>Dawkins</v>
      </c>
      <c r="J1465" s="1" t="s">
        <v>34</v>
      </c>
      <c r="K1465" s="1" t="s">
        <v>174</v>
      </c>
      <c r="L1465" s="1" t="str">
        <f t="shared" si="2"/>
        <v>New York City</v>
      </c>
      <c r="M1465" s="1" t="s">
        <v>175</v>
      </c>
      <c r="N1465" s="1" t="str">
        <f t="shared" si="3"/>
        <v>New York</v>
      </c>
      <c r="O1465" s="1">
        <v>10009.0</v>
      </c>
      <c r="P1465" s="1" t="s">
        <v>100</v>
      </c>
      <c r="Q1465" s="1" t="s">
        <v>38</v>
      </c>
      <c r="R1465" s="3">
        <v>3.68</v>
      </c>
      <c r="S1465" s="1">
        <v>1.0</v>
      </c>
      <c r="T1465" s="4">
        <v>2.86</v>
      </c>
    </row>
    <row r="1466">
      <c r="A1466" s="1" t="s">
        <v>2260</v>
      </c>
      <c r="B1466" s="2">
        <v>42224.0</v>
      </c>
      <c r="C1466" s="2" t="str">
        <f t="shared" si="1"/>
        <v>Aug</v>
      </c>
      <c r="D1466" s="1" t="s">
        <v>2261</v>
      </c>
      <c r="E1466" s="1" t="s">
        <v>41</v>
      </c>
      <c r="F1466" s="1" t="s">
        <v>469</v>
      </c>
      <c r="G1466" s="1" t="s">
        <v>470</v>
      </c>
      <c r="H1466" s="1" t="str">
        <f>IFERROR(__xludf.DUMMYFUNCTION("split(G1466,"" "")"),"Maria")</f>
        <v>Maria</v>
      </c>
      <c r="I1466" s="1" t="str">
        <f>IFERROR(__xludf.DUMMYFUNCTION("""COMPUTED_VALUE"""),"Bertelson")</f>
        <v>Bertelson</v>
      </c>
      <c r="J1466" s="1" t="s">
        <v>23</v>
      </c>
      <c r="K1466" s="1" t="s">
        <v>2262</v>
      </c>
      <c r="L1466" s="1" t="str">
        <f t="shared" si="2"/>
        <v>Glendale</v>
      </c>
      <c r="M1466" s="1" t="s">
        <v>193</v>
      </c>
      <c r="N1466" s="1" t="str">
        <f t="shared" si="3"/>
        <v>Arizona</v>
      </c>
      <c r="O1466" s="1">
        <v>85301.0</v>
      </c>
      <c r="P1466" s="1" t="s">
        <v>37</v>
      </c>
      <c r="Q1466" s="1" t="s">
        <v>27</v>
      </c>
      <c r="R1466" s="3">
        <v>121.376</v>
      </c>
      <c r="S1466" s="1">
        <v>8.0</v>
      </c>
      <c r="T1466" s="4">
        <v>120.6</v>
      </c>
    </row>
    <row r="1467">
      <c r="A1467" s="1" t="s">
        <v>2260</v>
      </c>
      <c r="B1467" s="2">
        <v>42224.0</v>
      </c>
      <c r="C1467" s="2" t="str">
        <f t="shared" si="1"/>
        <v>Aug</v>
      </c>
      <c r="D1467" s="1" t="s">
        <v>2261</v>
      </c>
      <c r="E1467" s="1" t="s">
        <v>41</v>
      </c>
      <c r="F1467" s="1" t="s">
        <v>469</v>
      </c>
      <c r="G1467" s="1" t="s">
        <v>470</v>
      </c>
      <c r="H1467" s="1" t="str">
        <f>IFERROR(__xludf.DUMMYFUNCTION("split(G1467,"" "")"),"Maria")</f>
        <v>Maria</v>
      </c>
      <c r="I1467" s="1" t="str">
        <f>IFERROR(__xludf.DUMMYFUNCTION("""COMPUTED_VALUE"""),"Bertelson")</f>
        <v>Bertelson</v>
      </c>
      <c r="J1467" s="1" t="s">
        <v>23</v>
      </c>
      <c r="K1467" s="1" t="s">
        <v>2262</v>
      </c>
      <c r="L1467" s="1" t="str">
        <f t="shared" si="2"/>
        <v>Glendale</v>
      </c>
      <c r="M1467" s="1" t="s">
        <v>193</v>
      </c>
      <c r="N1467" s="1" t="str">
        <f t="shared" si="3"/>
        <v>Arizona</v>
      </c>
      <c r="O1467" s="1">
        <v>85301.0</v>
      </c>
      <c r="P1467" s="1" t="s">
        <v>37</v>
      </c>
      <c r="Q1467" s="1" t="s">
        <v>51</v>
      </c>
      <c r="R1467" s="3">
        <v>95.976</v>
      </c>
      <c r="S1467" s="1">
        <v>8.0</v>
      </c>
      <c r="T1467" s="4">
        <v>95.62</v>
      </c>
    </row>
    <row r="1468">
      <c r="A1468" s="1" t="s">
        <v>2263</v>
      </c>
      <c r="B1468" s="2">
        <v>42506.0</v>
      </c>
      <c r="C1468" s="2" t="str">
        <f t="shared" si="1"/>
        <v>May</v>
      </c>
      <c r="D1468" s="1" t="s">
        <v>2264</v>
      </c>
      <c r="E1468" s="1" t="s">
        <v>717</v>
      </c>
      <c r="F1468" s="1" t="s">
        <v>1271</v>
      </c>
      <c r="G1468" s="1" t="s">
        <v>1272</v>
      </c>
      <c r="H1468" s="1" t="str">
        <f>IFERROR(__xludf.DUMMYFUNCTION("split(G1468,"" "")"),"Tracy")</f>
        <v>Tracy</v>
      </c>
      <c r="I1468" s="1" t="str">
        <f>IFERROR(__xludf.DUMMYFUNCTION("""COMPUTED_VALUE"""),"Hopkins")</f>
        <v>Hopkins</v>
      </c>
      <c r="J1468" s="1" t="s">
        <v>68</v>
      </c>
      <c r="K1468" s="1" t="s">
        <v>849</v>
      </c>
      <c r="L1468" s="1" t="str">
        <f t="shared" si="2"/>
        <v>Jacksonville</v>
      </c>
      <c r="M1468" s="1" t="s">
        <v>145</v>
      </c>
      <c r="N1468" s="1" t="str">
        <f t="shared" si="3"/>
        <v>Florida</v>
      </c>
      <c r="O1468" s="1">
        <v>32216.0</v>
      </c>
      <c r="P1468" s="1" t="s">
        <v>26</v>
      </c>
      <c r="Q1468" s="1" t="s">
        <v>51</v>
      </c>
      <c r="R1468" s="3">
        <v>255.968</v>
      </c>
      <c r="S1468" s="1">
        <v>3.0</v>
      </c>
      <c r="T1468" s="4">
        <v>255.32</v>
      </c>
    </row>
    <row r="1469">
      <c r="A1469" s="1" t="s">
        <v>2265</v>
      </c>
      <c r="B1469" s="2">
        <v>43355.0</v>
      </c>
      <c r="C1469" s="2" t="str">
        <f t="shared" si="1"/>
        <v>Sep</v>
      </c>
      <c r="D1469" s="1" t="s">
        <v>576</v>
      </c>
      <c r="E1469" s="1" t="s">
        <v>41</v>
      </c>
      <c r="F1469" s="1" t="s">
        <v>2200</v>
      </c>
      <c r="G1469" s="1" t="s">
        <v>2201</v>
      </c>
      <c r="H1469" s="1" t="str">
        <f>IFERROR(__xludf.DUMMYFUNCTION("split(G1469,"" "")"),"Damala")</f>
        <v>Damala</v>
      </c>
      <c r="I1469" s="1" t="str">
        <f>IFERROR(__xludf.DUMMYFUNCTION("""COMPUTED_VALUE"""),"Kotsonis")</f>
        <v>Kotsonis</v>
      </c>
      <c r="J1469" s="1" t="s">
        <v>34</v>
      </c>
      <c r="K1469" s="1" t="s">
        <v>513</v>
      </c>
      <c r="L1469" s="1" t="str">
        <f t="shared" si="2"/>
        <v>Detroit</v>
      </c>
      <c r="M1469" s="1" t="s">
        <v>157</v>
      </c>
      <c r="N1469" s="1" t="str">
        <f t="shared" si="3"/>
        <v>Michigan</v>
      </c>
      <c r="O1469" s="1">
        <v>48234.0</v>
      </c>
      <c r="P1469" s="1" t="s">
        <v>71</v>
      </c>
      <c r="Q1469" s="1" t="s">
        <v>27</v>
      </c>
      <c r="R1469" s="3">
        <v>872.94</v>
      </c>
      <c r="S1469" s="1">
        <v>4.0</v>
      </c>
      <c r="T1469" s="4">
        <v>872.88</v>
      </c>
    </row>
    <row r="1470">
      <c r="A1470" s="1" t="s">
        <v>2265</v>
      </c>
      <c r="B1470" s="2">
        <v>43355.0</v>
      </c>
      <c r="C1470" s="2" t="str">
        <f t="shared" si="1"/>
        <v>Sep</v>
      </c>
      <c r="D1470" s="1" t="s">
        <v>576</v>
      </c>
      <c r="E1470" s="1" t="s">
        <v>41</v>
      </c>
      <c r="F1470" s="1" t="s">
        <v>2200</v>
      </c>
      <c r="G1470" s="1" t="s">
        <v>2201</v>
      </c>
      <c r="H1470" s="1" t="str">
        <f>IFERROR(__xludf.DUMMYFUNCTION("split(G1470,"" "")"),"Damala")</f>
        <v>Damala</v>
      </c>
      <c r="I1470" s="1" t="str">
        <f>IFERROR(__xludf.DUMMYFUNCTION("""COMPUTED_VALUE"""),"Kotsonis")</f>
        <v>Kotsonis</v>
      </c>
      <c r="J1470" s="1" t="s">
        <v>34</v>
      </c>
      <c r="K1470" s="1" t="s">
        <v>513</v>
      </c>
      <c r="L1470" s="1" t="str">
        <f t="shared" si="2"/>
        <v>Detroit</v>
      </c>
      <c r="M1470" s="1" t="s">
        <v>157</v>
      </c>
      <c r="N1470" s="1" t="str">
        <f t="shared" si="3"/>
        <v>Michigan</v>
      </c>
      <c r="O1470" s="1">
        <v>48234.0</v>
      </c>
      <c r="P1470" s="1" t="s">
        <v>71</v>
      </c>
      <c r="Q1470" s="1" t="s">
        <v>38</v>
      </c>
      <c r="R1470" s="3">
        <v>41.54</v>
      </c>
      <c r="S1470" s="1">
        <v>4.0</v>
      </c>
      <c r="T1470" s="4">
        <v>41.15</v>
      </c>
    </row>
    <row r="1471">
      <c r="A1471" s="1" t="s">
        <v>2265</v>
      </c>
      <c r="B1471" s="2">
        <v>43355.0</v>
      </c>
      <c r="C1471" s="2" t="str">
        <f t="shared" si="1"/>
        <v>Sep</v>
      </c>
      <c r="D1471" s="1" t="s">
        <v>576</v>
      </c>
      <c r="E1471" s="1" t="s">
        <v>41</v>
      </c>
      <c r="F1471" s="1" t="s">
        <v>2200</v>
      </c>
      <c r="G1471" s="1" t="s">
        <v>2201</v>
      </c>
      <c r="H1471" s="1" t="str">
        <f>IFERROR(__xludf.DUMMYFUNCTION("split(G1471,"" "")"),"Damala")</f>
        <v>Damala</v>
      </c>
      <c r="I1471" s="1" t="str">
        <f>IFERROR(__xludf.DUMMYFUNCTION("""COMPUTED_VALUE"""),"Kotsonis")</f>
        <v>Kotsonis</v>
      </c>
      <c r="J1471" s="1" t="s">
        <v>34</v>
      </c>
      <c r="K1471" s="1" t="s">
        <v>513</v>
      </c>
      <c r="L1471" s="1" t="str">
        <f t="shared" si="2"/>
        <v>Detroit</v>
      </c>
      <c r="M1471" s="1" t="s">
        <v>157</v>
      </c>
      <c r="N1471" s="1" t="str">
        <f t="shared" si="3"/>
        <v>Michigan</v>
      </c>
      <c r="O1471" s="1">
        <v>48234.0</v>
      </c>
      <c r="P1471" s="1" t="s">
        <v>71</v>
      </c>
      <c r="Q1471" s="1" t="s">
        <v>38</v>
      </c>
      <c r="R1471" s="3">
        <v>12.96</v>
      </c>
      <c r="S1471" s="1">
        <v>4.0</v>
      </c>
      <c r="T1471" s="4">
        <v>12.5</v>
      </c>
    </row>
    <row r="1472">
      <c r="A1472" s="1" t="s">
        <v>2266</v>
      </c>
      <c r="B1472" s="2">
        <v>42637.0</v>
      </c>
      <c r="C1472" s="2" t="str">
        <f t="shared" si="1"/>
        <v>Sep</v>
      </c>
      <c r="D1472" s="1" t="s">
        <v>2267</v>
      </c>
      <c r="E1472" s="1" t="s">
        <v>20</v>
      </c>
      <c r="F1472" s="1" t="s">
        <v>148</v>
      </c>
      <c r="G1472" s="1" t="s">
        <v>149</v>
      </c>
      <c r="H1472" s="1" t="str">
        <f>IFERROR(__xludf.DUMMYFUNCTION("split(G1472,"" "")"),"Odella")</f>
        <v>Odella</v>
      </c>
      <c r="I1472" s="1" t="str">
        <f>IFERROR(__xludf.DUMMYFUNCTION("""COMPUTED_VALUE"""),"Nelson")</f>
        <v>Nelson</v>
      </c>
      <c r="J1472" s="1" t="s">
        <v>34</v>
      </c>
      <c r="K1472" s="1" t="s">
        <v>98</v>
      </c>
      <c r="L1472" s="1" t="str">
        <f t="shared" si="2"/>
        <v>Philadelphia</v>
      </c>
      <c r="M1472" s="1" t="s">
        <v>99</v>
      </c>
      <c r="N1472" s="1" t="str">
        <f t="shared" si="3"/>
        <v>Pennsylvania</v>
      </c>
      <c r="O1472" s="1">
        <v>19120.0</v>
      </c>
      <c r="P1472" s="1" t="s">
        <v>100</v>
      </c>
      <c r="Q1472" s="1" t="s">
        <v>38</v>
      </c>
      <c r="R1472" s="3">
        <v>6.848</v>
      </c>
      <c r="S1472" s="1">
        <v>1.0</v>
      </c>
      <c r="T1472" s="4">
        <v>6.24</v>
      </c>
    </row>
    <row r="1473">
      <c r="A1473" s="1" t="s">
        <v>2268</v>
      </c>
      <c r="B1473" s="2">
        <v>43411.0</v>
      </c>
      <c r="C1473" s="2" t="str">
        <f t="shared" si="1"/>
        <v>Nov</v>
      </c>
      <c r="D1473" s="1" t="s">
        <v>1657</v>
      </c>
      <c r="E1473" s="1" t="s">
        <v>41</v>
      </c>
      <c r="F1473" s="1" t="s">
        <v>2269</v>
      </c>
      <c r="G1473" s="1" t="s">
        <v>2270</v>
      </c>
      <c r="H1473" s="1" t="str">
        <f>IFERROR(__xludf.DUMMYFUNCTION("split(G1473,"" "")"),"Katherine")</f>
        <v>Katherine</v>
      </c>
      <c r="I1473" s="1" t="str">
        <f>IFERROR(__xludf.DUMMYFUNCTION("""COMPUTED_VALUE"""),"Nockton")</f>
        <v>Nockton</v>
      </c>
      <c r="J1473" s="1" t="s">
        <v>34</v>
      </c>
      <c r="K1473" s="1" t="s">
        <v>35</v>
      </c>
      <c r="L1473" s="1" t="str">
        <f t="shared" si="2"/>
        <v>Los Angeles</v>
      </c>
      <c r="M1473" s="1" t="s">
        <v>52</v>
      </c>
      <c r="N1473" s="1" t="str">
        <f t="shared" si="3"/>
        <v>California</v>
      </c>
      <c r="O1473" s="1">
        <v>90004.0</v>
      </c>
      <c r="P1473" s="1" t="s">
        <v>37</v>
      </c>
      <c r="Q1473" s="1" t="s">
        <v>38</v>
      </c>
      <c r="R1473" s="3">
        <v>8.67</v>
      </c>
      <c r="S1473" s="1">
        <v>9.0</v>
      </c>
      <c r="T1473" s="4">
        <v>7.77</v>
      </c>
    </row>
    <row r="1474">
      <c r="A1474" s="1" t="s">
        <v>2271</v>
      </c>
      <c r="B1474" s="2">
        <v>42381.0</v>
      </c>
      <c r="C1474" s="2" t="str">
        <f t="shared" si="1"/>
        <v>Jan</v>
      </c>
      <c r="D1474" s="6">
        <v>42412.0</v>
      </c>
      <c r="E1474" s="1" t="s">
        <v>717</v>
      </c>
      <c r="F1474" s="1" t="s">
        <v>1845</v>
      </c>
      <c r="G1474" s="1" t="s">
        <v>1846</v>
      </c>
      <c r="H1474" s="1" t="str">
        <f>IFERROR(__xludf.DUMMYFUNCTION("split(G1474,"" "")"),"Neoma")</f>
        <v>Neoma</v>
      </c>
      <c r="I1474" s="1" t="str">
        <f>IFERROR(__xludf.DUMMYFUNCTION("""COMPUTED_VALUE"""),"Murray")</f>
        <v>Murray</v>
      </c>
      <c r="J1474" s="1" t="s">
        <v>23</v>
      </c>
      <c r="K1474" s="1" t="s">
        <v>129</v>
      </c>
      <c r="L1474" s="1" t="str">
        <f t="shared" si="2"/>
        <v>Houston</v>
      </c>
      <c r="M1474" s="1" t="s">
        <v>70</v>
      </c>
      <c r="N1474" s="1" t="str">
        <f t="shared" si="3"/>
        <v>Texas</v>
      </c>
      <c r="O1474" s="1">
        <v>77036.0</v>
      </c>
      <c r="P1474" s="1" t="s">
        <v>71</v>
      </c>
      <c r="Q1474" s="1" t="s">
        <v>27</v>
      </c>
      <c r="R1474" s="3">
        <v>6.688</v>
      </c>
      <c r="S1474" s="1">
        <v>7.0</v>
      </c>
      <c r="T1474" s="4">
        <v>6.37</v>
      </c>
    </row>
    <row r="1475">
      <c r="A1475" s="1" t="s">
        <v>2272</v>
      </c>
      <c r="B1475" s="2">
        <v>43058.0</v>
      </c>
      <c r="C1475" s="2" t="str">
        <f t="shared" si="1"/>
        <v>Nov</v>
      </c>
      <c r="D1475" s="1" t="s">
        <v>2273</v>
      </c>
      <c r="E1475" s="1" t="s">
        <v>41</v>
      </c>
      <c r="F1475" s="1" t="s">
        <v>2274</v>
      </c>
      <c r="G1475" s="1" t="s">
        <v>2275</v>
      </c>
      <c r="H1475" s="1" t="str">
        <f>IFERROR(__xludf.DUMMYFUNCTION("split(G1475,"" "")"),"Nora")</f>
        <v>Nora</v>
      </c>
      <c r="I1475" s="1" t="str">
        <f>IFERROR(__xludf.DUMMYFUNCTION("""COMPUTED_VALUE"""),"Pelletier")</f>
        <v>Pelletier</v>
      </c>
      <c r="J1475" s="1" t="s">
        <v>68</v>
      </c>
      <c r="K1475" s="1" t="s">
        <v>2276</v>
      </c>
      <c r="L1475" s="1" t="str">
        <f t="shared" si="2"/>
        <v>Niagara Falls</v>
      </c>
      <c r="M1475" s="1" t="s">
        <v>175</v>
      </c>
      <c r="N1475" s="1" t="str">
        <f t="shared" si="3"/>
        <v>New York</v>
      </c>
      <c r="O1475" s="1">
        <v>14304.0</v>
      </c>
      <c r="P1475" s="1" t="s">
        <v>100</v>
      </c>
      <c r="Q1475" s="1" t="s">
        <v>38</v>
      </c>
      <c r="R1475" s="3">
        <v>17.28</v>
      </c>
      <c r="S1475" s="1">
        <v>1.0</v>
      </c>
      <c r="T1475" s="4">
        <v>16.39</v>
      </c>
    </row>
    <row r="1476">
      <c r="A1476" s="1" t="s">
        <v>2272</v>
      </c>
      <c r="B1476" s="2">
        <v>43058.0</v>
      </c>
      <c r="C1476" s="2" t="str">
        <f t="shared" si="1"/>
        <v>Nov</v>
      </c>
      <c r="D1476" s="1" t="s">
        <v>2273</v>
      </c>
      <c r="E1476" s="1" t="s">
        <v>41</v>
      </c>
      <c r="F1476" s="1" t="s">
        <v>2274</v>
      </c>
      <c r="G1476" s="1" t="s">
        <v>2275</v>
      </c>
      <c r="H1476" s="1" t="str">
        <f>IFERROR(__xludf.DUMMYFUNCTION("split(G1476,"" "")"),"Nora")</f>
        <v>Nora</v>
      </c>
      <c r="I1476" s="1" t="str">
        <f>IFERROR(__xludf.DUMMYFUNCTION("""COMPUTED_VALUE"""),"Pelletier")</f>
        <v>Pelletier</v>
      </c>
      <c r="J1476" s="1" t="s">
        <v>68</v>
      </c>
      <c r="K1476" s="1" t="s">
        <v>2276</v>
      </c>
      <c r="L1476" s="1" t="str">
        <f t="shared" si="2"/>
        <v>Niagara Falls</v>
      </c>
      <c r="M1476" s="1" t="s">
        <v>175</v>
      </c>
      <c r="N1476" s="1" t="str">
        <f t="shared" si="3"/>
        <v>New York</v>
      </c>
      <c r="O1476" s="1">
        <v>14304.0</v>
      </c>
      <c r="P1476" s="1" t="s">
        <v>100</v>
      </c>
      <c r="Q1476" s="1" t="s">
        <v>38</v>
      </c>
      <c r="R1476" s="3">
        <v>17.712</v>
      </c>
      <c r="S1476" s="1">
        <v>1.0</v>
      </c>
      <c r="T1476" s="4">
        <v>17.61</v>
      </c>
    </row>
    <row r="1477">
      <c r="A1477" s="1" t="s">
        <v>2277</v>
      </c>
      <c r="B1477" s="2">
        <v>43178.0</v>
      </c>
      <c r="C1477" s="2" t="str">
        <f t="shared" si="1"/>
        <v>Mar</v>
      </c>
      <c r="D1477" s="1" t="s">
        <v>2278</v>
      </c>
      <c r="E1477" s="1" t="s">
        <v>41</v>
      </c>
      <c r="F1477" s="1" t="s">
        <v>1604</v>
      </c>
      <c r="G1477" s="1" t="s">
        <v>1605</v>
      </c>
      <c r="H1477" s="1" t="str">
        <f>IFERROR(__xludf.DUMMYFUNCTION("split(G1477,"" "")"),"Catherine")</f>
        <v>Catherine</v>
      </c>
      <c r="I1477" s="1" t="str">
        <f>IFERROR(__xludf.DUMMYFUNCTION("""COMPUTED_VALUE"""),"Glotzbach")</f>
        <v>Glotzbach</v>
      </c>
      <c r="J1477" s="1" t="s">
        <v>68</v>
      </c>
      <c r="K1477" s="1" t="s">
        <v>174</v>
      </c>
      <c r="L1477" s="1" t="str">
        <f t="shared" si="2"/>
        <v>New York City</v>
      </c>
      <c r="M1477" s="1" t="s">
        <v>175</v>
      </c>
      <c r="N1477" s="1" t="str">
        <f t="shared" si="3"/>
        <v>New York</v>
      </c>
      <c r="O1477" s="1">
        <v>10024.0</v>
      </c>
      <c r="P1477" s="1" t="s">
        <v>100</v>
      </c>
      <c r="Q1477" s="1" t="s">
        <v>38</v>
      </c>
      <c r="R1477" s="3">
        <v>28.91</v>
      </c>
      <c r="S1477" s="1">
        <v>1.0</v>
      </c>
      <c r="T1477" s="4">
        <v>28.3</v>
      </c>
    </row>
    <row r="1478">
      <c r="A1478" s="1" t="s">
        <v>2279</v>
      </c>
      <c r="B1478" s="2">
        <v>43052.0</v>
      </c>
      <c r="C1478" s="2" t="str">
        <f t="shared" si="1"/>
        <v>Nov</v>
      </c>
      <c r="D1478" s="1" t="s">
        <v>1693</v>
      </c>
      <c r="E1478" s="1" t="s">
        <v>41</v>
      </c>
      <c r="F1478" s="1" t="s">
        <v>2280</v>
      </c>
      <c r="G1478" s="1" t="s">
        <v>2281</v>
      </c>
      <c r="H1478" s="1" t="str">
        <f>IFERROR(__xludf.DUMMYFUNCTION("split(G1478,"" "")"),"Cindy")</f>
        <v>Cindy</v>
      </c>
      <c r="I1478" s="1" t="str">
        <f>IFERROR(__xludf.DUMMYFUNCTION("""COMPUTED_VALUE"""),"Stewart")</f>
        <v>Stewart</v>
      </c>
      <c r="J1478" s="1" t="s">
        <v>23</v>
      </c>
      <c r="K1478" s="1" t="s">
        <v>2282</v>
      </c>
      <c r="L1478" s="1" t="str">
        <f t="shared" si="2"/>
        <v>Thomasville</v>
      </c>
      <c r="M1478" s="1" t="s">
        <v>58</v>
      </c>
      <c r="N1478" s="1" t="str">
        <f t="shared" si="3"/>
        <v>North Carolina</v>
      </c>
      <c r="O1478" s="1">
        <v>27360.0</v>
      </c>
      <c r="P1478" s="1" t="s">
        <v>26</v>
      </c>
      <c r="Q1478" s="1" t="s">
        <v>38</v>
      </c>
      <c r="R1478" s="3">
        <v>52.136</v>
      </c>
      <c r="S1478" s="1">
        <v>2.0</v>
      </c>
      <c r="T1478" s="4">
        <v>51.76</v>
      </c>
    </row>
    <row r="1479">
      <c r="A1479" s="1" t="s">
        <v>2283</v>
      </c>
      <c r="B1479" s="2">
        <v>43423.0</v>
      </c>
      <c r="C1479" s="2" t="str">
        <f t="shared" si="1"/>
        <v>Nov</v>
      </c>
      <c r="D1479" s="1" t="s">
        <v>2284</v>
      </c>
      <c r="E1479" s="1" t="s">
        <v>121</v>
      </c>
      <c r="F1479" s="1" t="s">
        <v>262</v>
      </c>
      <c r="G1479" s="1" t="s">
        <v>263</v>
      </c>
      <c r="H1479" s="1" t="str">
        <f>IFERROR(__xludf.DUMMYFUNCTION("split(G1479,"" "")"),"Katherine")</f>
        <v>Katherine</v>
      </c>
      <c r="I1479" s="1" t="str">
        <f>IFERROR(__xludf.DUMMYFUNCTION("""COMPUTED_VALUE"""),"Ducich")</f>
        <v>Ducich</v>
      </c>
      <c r="J1479" s="1" t="s">
        <v>23</v>
      </c>
      <c r="K1479" s="1" t="s">
        <v>2285</v>
      </c>
      <c r="L1479" s="1" t="str">
        <f t="shared" si="2"/>
        <v>Westminster</v>
      </c>
      <c r="M1479" s="1" t="s">
        <v>52</v>
      </c>
      <c r="N1479" s="1" t="str">
        <f t="shared" si="3"/>
        <v>California</v>
      </c>
      <c r="O1479" s="1">
        <v>92683.0</v>
      </c>
      <c r="P1479" s="1" t="s">
        <v>37</v>
      </c>
      <c r="Q1479" s="1" t="s">
        <v>51</v>
      </c>
      <c r="R1479" s="3">
        <v>31.968</v>
      </c>
      <c r="S1479" s="1">
        <v>9.0</v>
      </c>
      <c r="T1479" s="4">
        <v>31.57</v>
      </c>
    </row>
    <row r="1480">
      <c r="A1480" s="1" t="s">
        <v>2286</v>
      </c>
      <c r="B1480" s="2">
        <v>42778.0</v>
      </c>
      <c r="C1480" s="2" t="str">
        <f t="shared" si="1"/>
        <v>Feb</v>
      </c>
      <c r="D1480" s="6">
        <v>42959.0</v>
      </c>
      <c r="E1480" s="1" t="s">
        <v>41</v>
      </c>
      <c r="F1480" s="1" t="s">
        <v>847</v>
      </c>
      <c r="G1480" s="1" t="s">
        <v>848</v>
      </c>
      <c r="H1480" s="1" t="str">
        <f>IFERROR(__xludf.DUMMYFUNCTION("split(G1480,"" "")"),"Mike")</f>
        <v>Mike</v>
      </c>
      <c r="I1480" s="1" t="str">
        <f>IFERROR(__xludf.DUMMYFUNCTION("""COMPUTED_VALUE"""),"Kennedy")</f>
        <v>Kennedy</v>
      </c>
      <c r="J1480" s="1" t="s">
        <v>23</v>
      </c>
      <c r="K1480" s="1" t="s">
        <v>87</v>
      </c>
      <c r="L1480" s="1" t="str">
        <f t="shared" si="2"/>
        <v>San Francisco</v>
      </c>
      <c r="M1480" s="1" t="s">
        <v>52</v>
      </c>
      <c r="N1480" s="1" t="str">
        <f t="shared" si="3"/>
        <v>California</v>
      </c>
      <c r="O1480" s="1">
        <v>94122.0</v>
      </c>
      <c r="P1480" s="1" t="s">
        <v>37</v>
      </c>
      <c r="Q1480" s="1" t="s">
        <v>38</v>
      </c>
      <c r="R1480" s="3">
        <v>25.92</v>
      </c>
      <c r="S1480" s="1">
        <v>9.0</v>
      </c>
      <c r="T1480" s="4">
        <v>25.18</v>
      </c>
    </row>
    <row r="1481">
      <c r="A1481" s="1" t="s">
        <v>2286</v>
      </c>
      <c r="B1481" s="2">
        <v>42778.0</v>
      </c>
      <c r="C1481" s="2" t="str">
        <f t="shared" si="1"/>
        <v>Feb</v>
      </c>
      <c r="D1481" s="6">
        <v>42959.0</v>
      </c>
      <c r="E1481" s="1" t="s">
        <v>41</v>
      </c>
      <c r="F1481" s="1" t="s">
        <v>847</v>
      </c>
      <c r="G1481" s="1" t="s">
        <v>848</v>
      </c>
      <c r="H1481" s="1" t="str">
        <f>IFERROR(__xludf.DUMMYFUNCTION("split(G1481,"" "")"),"Mike")</f>
        <v>Mike</v>
      </c>
      <c r="I1481" s="1" t="str">
        <f>IFERROR(__xludf.DUMMYFUNCTION("""COMPUTED_VALUE"""),"Kennedy")</f>
        <v>Kennedy</v>
      </c>
      <c r="J1481" s="1" t="s">
        <v>23</v>
      </c>
      <c r="K1481" s="1" t="s">
        <v>87</v>
      </c>
      <c r="L1481" s="1" t="str">
        <f t="shared" si="2"/>
        <v>San Francisco</v>
      </c>
      <c r="M1481" s="1" t="s">
        <v>52</v>
      </c>
      <c r="N1481" s="1" t="str">
        <f t="shared" si="3"/>
        <v>California</v>
      </c>
      <c r="O1481" s="1">
        <v>94122.0</v>
      </c>
      <c r="P1481" s="1" t="s">
        <v>37</v>
      </c>
      <c r="Q1481" s="1" t="s">
        <v>38</v>
      </c>
      <c r="R1481" s="3">
        <v>40.46</v>
      </c>
      <c r="S1481" s="1">
        <v>9.0</v>
      </c>
      <c r="T1481" s="4">
        <v>40.0</v>
      </c>
    </row>
    <row r="1482">
      <c r="A1482" s="1" t="s">
        <v>2286</v>
      </c>
      <c r="B1482" s="2">
        <v>42778.0</v>
      </c>
      <c r="C1482" s="2" t="str">
        <f t="shared" si="1"/>
        <v>Feb</v>
      </c>
      <c r="D1482" s="6">
        <v>42959.0</v>
      </c>
      <c r="E1482" s="1" t="s">
        <v>41</v>
      </c>
      <c r="F1482" s="1" t="s">
        <v>847</v>
      </c>
      <c r="G1482" s="1" t="s">
        <v>848</v>
      </c>
      <c r="H1482" s="1" t="str">
        <f>IFERROR(__xludf.DUMMYFUNCTION("split(G1482,"" "")"),"Mike")</f>
        <v>Mike</v>
      </c>
      <c r="I1482" s="1" t="str">
        <f>IFERROR(__xludf.DUMMYFUNCTION("""COMPUTED_VALUE"""),"Kennedy")</f>
        <v>Kennedy</v>
      </c>
      <c r="J1482" s="1" t="s">
        <v>23</v>
      </c>
      <c r="K1482" s="1" t="s">
        <v>87</v>
      </c>
      <c r="L1482" s="1" t="str">
        <f t="shared" si="2"/>
        <v>San Francisco</v>
      </c>
      <c r="M1482" s="1" t="s">
        <v>52</v>
      </c>
      <c r="N1482" s="1" t="str">
        <f t="shared" si="3"/>
        <v>California</v>
      </c>
      <c r="O1482" s="1">
        <v>94122.0</v>
      </c>
      <c r="P1482" s="1" t="s">
        <v>37</v>
      </c>
      <c r="Q1482" s="1" t="s">
        <v>38</v>
      </c>
      <c r="R1482" s="3">
        <v>33.87</v>
      </c>
      <c r="S1482" s="1">
        <v>9.0</v>
      </c>
      <c r="T1482" s="4">
        <v>33.86</v>
      </c>
    </row>
    <row r="1483">
      <c r="A1483" s="1" t="s">
        <v>2287</v>
      </c>
      <c r="B1483" s="2">
        <v>43337.0</v>
      </c>
      <c r="C1483" s="2" t="str">
        <f t="shared" si="1"/>
        <v>Aug</v>
      </c>
      <c r="D1483" s="1" t="s">
        <v>1447</v>
      </c>
      <c r="E1483" s="1" t="s">
        <v>20</v>
      </c>
      <c r="F1483" s="1" t="s">
        <v>1809</v>
      </c>
      <c r="G1483" s="1" t="s">
        <v>1810</v>
      </c>
      <c r="H1483" s="1" t="str">
        <f>IFERROR(__xludf.DUMMYFUNCTION("split(G1483,"" "")"),"Don")</f>
        <v>Don</v>
      </c>
      <c r="I1483" s="1" t="str">
        <f>IFERROR(__xludf.DUMMYFUNCTION("""COMPUTED_VALUE"""),"Weiss")</f>
        <v>Weiss</v>
      </c>
      <c r="J1483" s="1" t="s">
        <v>23</v>
      </c>
      <c r="K1483" s="1" t="s">
        <v>205</v>
      </c>
      <c r="L1483" s="1" t="str">
        <f t="shared" si="2"/>
        <v>Jackson</v>
      </c>
      <c r="M1483" s="1" t="s">
        <v>210</v>
      </c>
      <c r="N1483" s="1" t="str">
        <f t="shared" si="3"/>
        <v>Tennessee</v>
      </c>
      <c r="O1483" s="1">
        <v>38301.0</v>
      </c>
      <c r="P1483" s="1" t="s">
        <v>26</v>
      </c>
      <c r="Q1483" s="1" t="s">
        <v>38</v>
      </c>
      <c r="R1483" s="3">
        <v>9.728</v>
      </c>
      <c r="S1483" s="1">
        <v>3.0</v>
      </c>
      <c r="T1483" s="4">
        <v>9.14</v>
      </c>
    </row>
    <row r="1484">
      <c r="A1484" s="1" t="s">
        <v>2287</v>
      </c>
      <c r="B1484" s="2">
        <v>43337.0</v>
      </c>
      <c r="C1484" s="2" t="str">
        <f t="shared" si="1"/>
        <v>Aug</v>
      </c>
      <c r="D1484" s="1" t="s">
        <v>1447</v>
      </c>
      <c r="E1484" s="1" t="s">
        <v>20</v>
      </c>
      <c r="F1484" s="1" t="s">
        <v>1809</v>
      </c>
      <c r="G1484" s="1" t="s">
        <v>1810</v>
      </c>
      <c r="H1484" s="1" t="str">
        <f>IFERROR(__xludf.DUMMYFUNCTION("split(G1484,"" "")"),"Don")</f>
        <v>Don</v>
      </c>
      <c r="I1484" s="1" t="str">
        <f>IFERROR(__xludf.DUMMYFUNCTION("""COMPUTED_VALUE"""),"Weiss")</f>
        <v>Weiss</v>
      </c>
      <c r="J1484" s="1" t="s">
        <v>23</v>
      </c>
      <c r="K1484" s="1" t="s">
        <v>205</v>
      </c>
      <c r="L1484" s="1" t="str">
        <f t="shared" si="2"/>
        <v>Jackson</v>
      </c>
      <c r="M1484" s="1" t="s">
        <v>210</v>
      </c>
      <c r="N1484" s="1" t="str">
        <f t="shared" si="3"/>
        <v>Tennessee</v>
      </c>
      <c r="O1484" s="1">
        <v>38301.0</v>
      </c>
      <c r="P1484" s="1" t="s">
        <v>26</v>
      </c>
      <c r="Q1484" s="1" t="s">
        <v>38</v>
      </c>
      <c r="R1484" s="3">
        <v>3.424</v>
      </c>
      <c r="S1484" s="1">
        <v>3.0</v>
      </c>
      <c r="T1484" s="4">
        <v>3.15</v>
      </c>
    </row>
    <row r="1485">
      <c r="A1485" s="1" t="s">
        <v>2288</v>
      </c>
      <c r="B1485" s="2">
        <v>43022.0</v>
      </c>
      <c r="C1485" s="2" t="str">
        <f t="shared" si="1"/>
        <v>Oct</v>
      </c>
      <c r="D1485" s="1" t="s">
        <v>2289</v>
      </c>
      <c r="E1485" s="1" t="s">
        <v>41</v>
      </c>
      <c r="F1485" s="1" t="s">
        <v>1345</v>
      </c>
      <c r="G1485" s="1" t="s">
        <v>1346</v>
      </c>
      <c r="H1485" s="1" t="str">
        <f>IFERROR(__xludf.DUMMYFUNCTION("split(G1485,"" "")"),"Christine")</f>
        <v>Christine</v>
      </c>
      <c r="I1485" s="1" t="str">
        <f>IFERROR(__xludf.DUMMYFUNCTION("""COMPUTED_VALUE"""),"Phan")</f>
        <v>Phan</v>
      </c>
      <c r="J1485" s="1" t="s">
        <v>34</v>
      </c>
      <c r="K1485" s="1" t="s">
        <v>62</v>
      </c>
      <c r="L1485" s="1" t="str">
        <f t="shared" si="2"/>
        <v>Seattle</v>
      </c>
      <c r="M1485" s="1" t="s">
        <v>63</v>
      </c>
      <c r="N1485" s="1" t="str">
        <f t="shared" si="3"/>
        <v>Washington</v>
      </c>
      <c r="O1485" s="1">
        <v>98115.0</v>
      </c>
      <c r="P1485" s="1" t="s">
        <v>37</v>
      </c>
      <c r="Q1485" s="1" t="s">
        <v>51</v>
      </c>
      <c r="R1485" s="3">
        <v>177.0</v>
      </c>
      <c r="S1485" s="1">
        <v>9.0</v>
      </c>
      <c r="T1485" s="4">
        <v>176.13</v>
      </c>
    </row>
    <row r="1486">
      <c r="A1486" s="1" t="s">
        <v>2290</v>
      </c>
      <c r="B1486" s="2">
        <v>42335.0</v>
      </c>
      <c r="C1486" s="2" t="str">
        <f t="shared" si="1"/>
        <v>Nov</v>
      </c>
      <c r="D1486" s="6">
        <v>42075.0</v>
      </c>
      <c r="E1486" s="1" t="s">
        <v>41</v>
      </c>
      <c r="F1486" s="1" t="s">
        <v>2291</v>
      </c>
      <c r="G1486" s="1" t="s">
        <v>2292</v>
      </c>
      <c r="H1486" s="1" t="str">
        <f>IFERROR(__xludf.DUMMYFUNCTION("split(G1486,"" "")"),"Maxwell")</f>
        <v>Maxwell</v>
      </c>
      <c r="I1486" s="1" t="str">
        <f>IFERROR(__xludf.DUMMYFUNCTION("""COMPUTED_VALUE"""),"Schwartz")</f>
        <v>Schwartz</v>
      </c>
      <c r="J1486" s="1" t="s">
        <v>23</v>
      </c>
      <c r="K1486" s="1" t="s">
        <v>174</v>
      </c>
      <c r="L1486" s="1" t="str">
        <f t="shared" si="2"/>
        <v>New York City</v>
      </c>
      <c r="M1486" s="1" t="s">
        <v>175</v>
      </c>
      <c r="N1486" s="1" t="str">
        <f t="shared" si="3"/>
        <v>New York</v>
      </c>
      <c r="O1486" s="1">
        <v>10035.0</v>
      </c>
      <c r="P1486" s="1" t="s">
        <v>100</v>
      </c>
      <c r="Q1486" s="1" t="s">
        <v>38</v>
      </c>
      <c r="R1486" s="3">
        <v>3.76</v>
      </c>
      <c r="S1486" s="1">
        <v>1.0</v>
      </c>
      <c r="T1486" s="4">
        <v>3.06</v>
      </c>
    </row>
    <row r="1487">
      <c r="A1487" s="1" t="s">
        <v>2293</v>
      </c>
      <c r="B1487" s="2">
        <v>42440.0</v>
      </c>
      <c r="C1487" s="2" t="str">
        <f t="shared" si="1"/>
        <v>Mar</v>
      </c>
      <c r="D1487" s="6">
        <v>42562.0</v>
      </c>
      <c r="E1487" s="1" t="s">
        <v>41</v>
      </c>
      <c r="F1487" s="1" t="s">
        <v>2294</v>
      </c>
      <c r="G1487" s="1" t="s">
        <v>2295</v>
      </c>
      <c r="H1487" s="1" t="str">
        <f>IFERROR(__xludf.DUMMYFUNCTION("split(G1487,"" "")"),"Corinna")</f>
        <v>Corinna</v>
      </c>
      <c r="I1487" s="1" t="str">
        <f>IFERROR(__xludf.DUMMYFUNCTION("""COMPUTED_VALUE"""),"Mitchell")</f>
        <v>Mitchell</v>
      </c>
      <c r="J1487" s="1" t="s">
        <v>68</v>
      </c>
      <c r="K1487" s="1" t="s">
        <v>35</v>
      </c>
      <c r="L1487" s="1" t="str">
        <f t="shared" si="2"/>
        <v>Los Angeles</v>
      </c>
      <c r="M1487" s="1" t="s">
        <v>52</v>
      </c>
      <c r="N1487" s="1" t="str">
        <f t="shared" si="3"/>
        <v>California</v>
      </c>
      <c r="O1487" s="1">
        <v>90008.0</v>
      </c>
      <c r="P1487" s="1" t="s">
        <v>37</v>
      </c>
      <c r="Q1487" s="1" t="s">
        <v>51</v>
      </c>
      <c r="R1487" s="3">
        <v>1212.848</v>
      </c>
      <c r="S1487" s="1">
        <v>9.0</v>
      </c>
      <c r="T1487" s="4">
        <v>1212.8</v>
      </c>
    </row>
    <row r="1488">
      <c r="A1488" s="1" t="s">
        <v>2293</v>
      </c>
      <c r="B1488" s="2">
        <v>42440.0</v>
      </c>
      <c r="C1488" s="2" t="str">
        <f t="shared" si="1"/>
        <v>Mar</v>
      </c>
      <c r="D1488" s="6">
        <v>42562.0</v>
      </c>
      <c r="E1488" s="1" t="s">
        <v>41</v>
      </c>
      <c r="F1488" s="1" t="s">
        <v>2294</v>
      </c>
      <c r="G1488" s="1" t="s">
        <v>2295</v>
      </c>
      <c r="H1488" s="1" t="str">
        <f>IFERROR(__xludf.DUMMYFUNCTION("split(G1488,"" "")"),"Corinna")</f>
        <v>Corinna</v>
      </c>
      <c r="I1488" s="1" t="str">
        <f>IFERROR(__xludf.DUMMYFUNCTION("""COMPUTED_VALUE"""),"Mitchell")</f>
        <v>Mitchell</v>
      </c>
      <c r="J1488" s="1" t="s">
        <v>68</v>
      </c>
      <c r="K1488" s="1" t="s">
        <v>35</v>
      </c>
      <c r="L1488" s="1" t="str">
        <f t="shared" si="2"/>
        <v>Los Angeles</v>
      </c>
      <c r="M1488" s="1" t="s">
        <v>52</v>
      </c>
      <c r="N1488" s="1" t="str">
        <f t="shared" si="3"/>
        <v>California</v>
      </c>
      <c r="O1488" s="1">
        <v>90008.0</v>
      </c>
      <c r="P1488" s="1" t="s">
        <v>37</v>
      </c>
      <c r="Q1488" s="1" t="s">
        <v>51</v>
      </c>
      <c r="R1488" s="3">
        <v>89.97</v>
      </c>
      <c r="S1488" s="1">
        <v>9.0</v>
      </c>
      <c r="T1488" s="4">
        <v>89.31</v>
      </c>
    </row>
    <row r="1489">
      <c r="A1489" s="1" t="s">
        <v>2293</v>
      </c>
      <c r="B1489" s="2">
        <v>42440.0</v>
      </c>
      <c r="C1489" s="2" t="str">
        <f t="shared" si="1"/>
        <v>Mar</v>
      </c>
      <c r="D1489" s="6">
        <v>42562.0</v>
      </c>
      <c r="E1489" s="1" t="s">
        <v>41</v>
      </c>
      <c r="F1489" s="1" t="s">
        <v>2294</v>
      </c>
      <c r="G1489" s="1" t="s">
        <v>2295</v>
      </c>
      <c r="H1489" s="1" t="str">
        <f>IFERROR(__xludf.DUMMYFUNCTION("split(G1489,"" "")"),"Corinna")</f>
        <v>Corinna</v>
      </c>
      <c r="I1489" s="1" t="str">
        <f>IFERROR(__xludf.DUMMYFUNCTION("""COMPUTED_VALUE"""),"Mitchell")</f>
        <v>Mitchell</v>
      </c>
      <c r="J1489" s="1" t="s">
        <v>68</v>
      </c>
      <c r="K1489" s="1" t="s">
        <v>35</v>
      </c>
      <c r="L1489" s="1" t="str">
        <f t="shared" si="2"/>
        <v>Los Angeles</v>
      </c>
      <c r="M1489" s="1" t="s">
        <v>52</v>
      </c>
      <c r="N1489" s="1" t="str">
        <f t="shared" si="3"/>
        <v>California</v>
      </c>
      <c r="O1489" s="1">
        <v>90008.0</v>
      </c>
      <c r="P1489" s="1" t="s">
        <v>37</v>
      </c>
      <c r="Q1489" s="1" t="s">
        <v>27</v>
      </c>
      <c r="R1489" s="3">
        <v>42.6</v>
      </c>
      <c r="S1489" s="1">
        <v>9.0</v>
      </c>
      <c r="T1489" s="4">
        <v>41.61</v>
      </c>
    </row>
    <row r="1490">
      <c r="A1490" s="1" t="s">
        <v>2296</v>
      </c>
      <c r="B1490" s="2">
        <v>42337.0</v>
      </c>
      <c r="C1490" s="2" t="str">
        <f t="shared" si="1"/>
        <v>Nov</v>
      </c>
      <c r="D1490" s="6">
        <v>42167.0</v>
      </c>
      <c r="E1490" s="1" t="s">
        <v>41</v>
      </c>
      <c r="F1490" s="1" t="s">
        <v>2297</v>
      </c>
      <c r="G1490" s="1" t="s">
        <v>2298</v>
      </c>
      <c r="H1490" s="1" t="str">
        <f>IFERROR(__xludf.DUMMYFUNCTION("split(G1490,"" "")"),"Corey-Lock")</f>
        <v>Corey-Lock</v>
      </c>
      <c r="I1490" s="1"/>
      <c r="J1490" s="1" t="s">
        <v>23</v>
      </c>
      <c r="K1490" s="1" t="s">
        <v>98</v>
      </c>
      <c r="L1490" s="1" t="str">
        <f t="shared" si="2"/>
        <v>Philadelphia</v>
      </c>
      <c r="M1490" s="1" t="s">
        <v>99</v>
      </c>
      <c r="N1490" s="1" t="str">
        <f t="shared" si="3"/>
        <v>Pennsylvania</v>
      </c>
      <c r="O1490" s="1">
        <v>19143.0</v>
      </c>
      <c r="P1490" s="1" t="s">
        <v>100</v>
      </c>
      <c r="Q1490" s="1" t="s">
        <v>38</v>
      </c>
      <c r="R1490" s="3">
        <v>5.04</v>
      </c>
      <c r="S1490" s="1">
        <v>1.0</v>
      </c>
      <c r="T1490" s="4">
        <v>4.89</v>
      </c>
    </row>
    <row r="1491">
      <c r="A1491" s="1" t="s">
        <v>2299</v>
      </c>
      <c r="B1491" s="2">
        <v>43220.0</v>
      </c>
      <c r="C1491" s="2" t="str">
        <f t="shared" si="1"/>
        <v>Apr</v>
      </c>
      <c r="D1491" s="6">
        <v>43225.0</v>
      </c>
      <c r="E1491" s="1" t="s">
        <v>20</v>
      </c>
      <c r="F1491" s="1" t="s">
        <v>1852</v>
      </c>
      <c r="G1491" s="1" t="s">
        <v>1853</v>
      </c>
      <c r="H1491" s="1" t="str">
        <f>IFERROR(__xludf.DUMMYFUNCTION("split(G1491,"" "")"),"Dionis")</f>
        <v>Dionis</v>
      </c>
      <c r="I1491" s="1" t="str">
        <f>IFERROR(__xludf.DUMMYFUNCTION("""COMPUTED_VALUE"""),"Lloyd")</f>
        <v>Lloyd</v>
      </c>
      <c r="J1491" s="1" t="s">
        <v>34</v>
      </c>
      <c r="K1491" s="1" t="s">
        <v>174</v>
      </c>
      <c r="L1491" s="1" t="str">
        <f t="shared" si="2"/>
        <v>New York City</v>
      </c>
      <c r="M1491" s="1" t="s">
        <v>175</v>
      </c>
      <c r="N1491" s="1" t="str">
        <f t="shared" si="3"/>
        <v>New York</v>
      </c>
      <c r="O1491" s="1">
        <v>10024.0</v>
      </c>
      <c r="P1491" s="1" t="s">
        <v>100</v>
      </c>
      <c r="Q1491" s="1" t="s">
        <v>38</v>
      </c>
      <c r="R1491" s="3">
        <v>62.96</v>
      </c>
      <c r="S1491" s="1">
        <v>1.0</v>
      </c>
      <c r="T1491" s="4">
        <v>62.24</v>
      </c>
    </row>
    <row r="1492">
      <c r="A1492" s="1" t="s">
        <v>2300</v>
      </c>
      <c r="B1492" s="2">
        <v>43428.0</v>
      </c>
      <c r="C1492" s="2" t="str">
        <f t="shared" si="1"/>
        <v>Nov</v>
      </c>
      <c r="D1492" s="1" t="s">
        <v>281</v>
      </c>
      <c r="E1492" s="1" t="s">
        <v>41</v>
      </c>
      <c r="F1492" s="1" t="s">
        <v>2301</v>
      </c>
      <c r="G1492" s="1" t="s">
        <v>2302</v>
      </c>
      <c r="H1492" s="1" t="str">
        <f>IFERROR(__xludf.DUMMYFUNCTION("split(G1492,"" "")"),"Todd")</f>
        <v>Todd</v>
      </c>
      <c r="I1492" s="1" t="str">
        <f>IFERROR(__xludf.DUMMYFUNCTION("""COMPUTED_VALUE"""),"Sumrall")</f>
        <v>Sumrall</v>
      </c>
      <c r="J1492" s="1" t="s">
        <v>34</v>
      </c>
      <c r="K1492" s="1" t="s">
        <v>174</v>
      </c>
      <c r="L1492" s="1" t="str">
        <f t="shared" si="2"/>
        <v>New York City</v>
      </c>
      <c r="M1492" s="1" t="s">
        <v>175</v>
      </c>
      <c r="N1492" s="1" t="str">
        <f t="shared" si="3"/>
        <v>New York</v>
      </c>
      <c r="O1492" s="1">
        <v>10035.0</v>
      </c>
      <c r="P1492" s="1" t="s">
        <v>100</v>
      </c>
      <c r="Q1492" s="1" t="s">
        <v>38</v>
      </c>
      <c r="R1492" s="3">
        <v>5.88</v>
      </c>
      <c r="S1492" s="1">
        <v>1.0</v>
      </c>
      <c r="T1492" s="4">
        <v>5.88</v>
      </c>
    </row>
    <row r="1493">
      <c r="A1493" s="1" t="s">
        <v>2300</v>
      </c>
      <c r="B1493" s="2">
        <v>43428.0</v>
      </c>
      <c r="C1493" s="2" t="str">
        <f t="shared" si="1"/>
        <v>Nov</v>
      </c>
      <c r="D1493" s="1" t="s">
        <v>281</v>
      </c>
      <c r="E1493" s="1" t="s">
        <v>41</v>
      </c>
      <c r="F1493" s="1" t="s">
        <v>2301</v>
      </c>
      <c r="G1493" s="1" t="s">
        <v>2302</v>
      </c>
      <c r="H1493" s="1" t="str">
        <f>IFERROR(__xludf.DUMMYFUNCTION("split(G1493,"" "")"),"Todd")</f>
        <v>Todd</v>
      </c>
      <c r="I1493" s="1" t="str">
        <f>IFERROR(__xludf.DUMMYFUNCTION("""COMPUTED_VALUE"""),"Sumrall")</f>
        <v>Sumrall</v>
      </c>
      <c r="J1493" s="1" t="s">
        <v>34</v>
      </c>
      <c r="K1493" s="1" t="s">
        <v>174</v>
      </c>
      <c r="L1493" s="1" t="str">
        <f t="shared" si="2"/>
        <v>New York City</v>
      </c>
      <c r="M1493" s="1" t="s">
        <v>175</v>
      </c>
      <c r="N1493" s="1" t="str">
        <f t="shared" si="3"/>
        <v>New York</v>
      </c>
      <c r="O1493" s="1">
        <v>10035.0</v>
      </c>
      <c r="P1493" s="1" t="s">
        <v>100</v>
      </c>
      <c r="Q1493" s="1" t="s">
        <v>27</v>
      </c>
      <c r="R1493" s="3">
        <v>977.292</v>
      </c>
      <c r="S1493" s="1">
        <v>1.0</v>
      </c>
      <c r="T1493" s="4">
        <v>977.05</v>
      </c>
    </row>
    <row r="1494">
      <c r="A1494" s="1" t="s">
        <v>2303</v>
      </c>
      <c r="B1494" s="2">
        <v>43403.0</v>
      </c>
      <c r="C1494" s="2" t="str">
        <f t="shared" si="1"/>
        <v>Oct</v>
      </c>
      <c r="D1494" s="6">
        <v>43170.0</v>
      </c>
      <c r="E1494" s="1" t="s">
        <v>41</v>
      </c>
      <c r="F1494" s="1" t="s">
        <v>2304</v>
      </c>
      <c r="G1494" s="1" t="s">
        <v>2305</v>
      </c>
      <c r="H1494" s="1" t="str">
        <f>IFERROR(__xludf.DUMMYFUNCTION("split(G1494,"" "")"),"Jane")</f>
        <v>Jane</v>
      </c>
      <c r="I1494" s="1" t="str">
        <f>IFERROR(__xludf.DUMMYFUNCTION("""COMPUTED_VALUE"""),"Waco")</f>
        <v>Waco</v>
      </c>
      <c r="J1494" s="1" t="s">
        <v>34</v>
      </c>
      <c r="K1494" s="1" t="s">
        <v>1192</v>
      </c>
      <c r="L1494" s="1" t="str">
        <f t="shared" si="2"/>
        <v>Vancouver</v>
      </c>
      <c r="M1494" s="1" t="s">
        <v>63</v>
      </c>
      <c r="N1494" s="1" t="str">
        <f t="shared" si="3"/>
        <v>Washington</v>
      </c>
      <c r="O1494" s="1">
        <v>98661.0</v>
      </c>
      <c r="P1494" s="1" t="s">
        <v>37</v>
      </c>
      <c r="Q1494" s="1" t="s">
        <v>27</v>
      </c>
      <c r="R1494" s="3">
        <v>9.64</v>
      </c>
      <c r="S1494" s="1">
        <v>9.0</v>
      </c>
      <c r="T1494" s="4">
        <v>8.96</v>
      </c>
    </row>
    <row r="1495">
      <c r="A1495" s="1" t="s">
        <v>2306</v>
      </c>
      <c r="B1495" s="2">
        <v>42355.0</v>
      </c>
      <c r="C1495" s="2" t="str">
        <f t="shared" si="1"/>
        <v>Dec</v>
      </c>
      <c r="D1495" s="1" t="s">
        <v>2307</v>
      </c>
      <c r="E1495" s="1" t="s">
        <v>20</v>
      </c>
      <c r="F1495" s="1" t="s">
        <v>796</v>
      </c>
      <c r="G1495" s="1" t="s">
        <v>797</v>
      </c>
      <c r="H1495" s="1" t="str">
        <f>IFERROR(__xludf.DUMMYFUNCTION("split(G1495,"" "")"),"Roy")</f>
        <v>Roy</v>
      </c>
      <c r="I1495" s="1" t="str">
        <f>IFERROR(__xludf.DUMMYFUNCTION("""COMPUTED_VALUE"""),"Französisch")</f>
        <v>Französisch</v>
      </c>
      <c r="J1495" s="1" t="s">
        <v>23</v>
      </c>
      <c r="K1495" s="1" t="s">
        <v>303</v>
      </c>
      <c r="L1495" s="1" t="str">
        <f t="shared" si="2"/>
        <v>Columbus</v>
      </c>
      <c r="M1495" s="1" t="s">
        <v>707</v>
      </c>
      <c r="N1495" s="1" t="str">
        <f t="shared" si="3"/>
        <v>Georgia</v>
      </c>
      <c r="O1495" s="1">
        <v>31907.0</v>
      </c>
      <c r="P1495" s="1" t="s">
        <v>26</v>
      </c>
      <c r="Q1495" s="1" t="s">
        <v>38</v>
      </c>
      <c r="R1495" s="3">
        <v>40.05</v>
      </c>
      <c r="S1495" s="1">
        <v>3.0</v>
      </c>
      <c r="T1495" s="4">
        <v>39.83</v>
      </c>
    </row>
    <row r="1496">
      <c r="A1496" s="1" t="s">
        <v>2308</v>
      </c>
      <c r="B1496" s="2">
        <v>43199.0</v>
      </c>
      <c r="C1496" s="2" t="str">
        <f t="shared" si="1"/>
        <v>Apr</v>
      </c>
      <c r="D1496" s="6">
        <v>43321.0</v>
      </c>
      <c r="E1496" s="1" t="s">
        <v>41</v>
      </c>
      <c r="F1496" s="1" t="s">
        <v>2309</v>
      </c>
      <c r="G1496" s="1" t="s">
        <v>2310</v>
      </c>
      <c r="H1496" s="1" t="str">
        <f>IFERROR(__xludf.DUMMYFUNCTION("split(G1496,"" "")"),"John")</f>
        <v>John</v>
      </c>
      <c r="I1496" s="1" t="str">
        <f>IFERROR(__xludf.DUMMYFUNCTION("""COMPUTED_VALUE"""),"Dryer")</f>
        <v>Dryer</v>
      </c>
      <c r="J1496" s="1" t="s">
        <v>23</v>
      </c>
      <c r="K1496" s="1" t="s">
        <v>2311</v>
      </c>
      <c r="L1496" s="1" t="str">
        <f t="shared" si="2"/>
        <v>Coppell</v>
      </c>
      <c r="M1496" s="1" t="s">
        <v>70</v>
      </c>
      <c r="N1496" s="1" t="str">
        <f t="shared" si="3"/>
        <v>Texas</v>
      </c>
      <c r="O1496" s="1">
        <v>75019.0</v>
      </c>
      <c r="P1496" s="1" t="s">
        <v>71</v>
      </c>
      <c r="Q1496" s="1" t="s">
        <v>38</v>
      </c>
      <c r="R1496" s="3">
        <v>10.192</v>
      </c>
      <c r="S1496" s="1">
        <v>7.0</v>
      </c>
      <c r="T1496" s="4">
        <v>9.79</v>
      </c>
    </row>
    <row r="1497">
      <c r="A1497" s="1" t="s">
        <v>2308</v>
      </c>
      <c r="B1497" s="2">
        <v>43199.0</v>
      </c>
      <c r="C1497" s="2" t="str">
        <f t="shared" si="1"/>
        <v>Apr</v>
      </c>
      <c r="D1497" s="6">
        <v>43321.0</v>
      </c>
      <c r="E1497" s="1" t="s">
        <v>41</v>
      </c>
      <c r="F1497" s="1" t="s">
        <v>2309</v>
      </c>
      <c r="G1497" s="1" t="s">
        <v>2310</v>
      </c>
      <c r="H1497" s="1" t="str">
        <f>IFERROR(__xludf.DUMMYFUNCTION("split(G1497,"" "")"),"John")</f>
        <v>John</v>
      </c>
      <c r="I1497" s="1" t="str">
        <f>IFERROR(__xludf.DUMMYFUNCTION("""COMPUTED_VALUE"""),"Dryer")</f>
        <v>Dryer</v>
      </c>
      <c r="J1497" s="1" t="s">
        <v>23</v>
      </c>
      <c r="K1497" s="1" t="s">
        <v>2311</v>
      </c>
      <c r="L1497" s="1" t="str">
        <f t="shared" si="2"/>
        <v>Coppell</v>
      </c>
      <c r="M1497" s="1" t="s">
        <v>70</v>
      </c>
      <c r="N1497" s="1" t="str">
        <f t="shared" si="3"/>
        <v>Texas</v>
      </c>
      <c r="O1497" s="1">
        <v>75019.0</v>
      </c>
      <c r="P1497" s="1" t="s">
        <v>71</v>
      </c>
      <c r="Q1497" s="1" t="s">
        <v>38</v>
      </c>
      <c r="R1497" s="3">
        <v>16.784</v>
      </c>
      <c r="S1497" s="1">
        <v>7.0</v>
      </c>
      <c r="T1497" s="4">
        <v>16.26</v>
      </c>
    </row>
    <row r="1498">
      <c r="A1498" s="1" t="s">
        <v>2308</v>
      </c>
      <c r="B1498" s="2">
        <v>43199.0</v>
      </c>
      <c r="C1498" s="2" t="str">
        <f t="shared" si="1"/>
        <v>Apr</v>
      </c>
      <c r="D1498" s="6">
        <v>43321.0</v>
      </c>
      <c r="E1498" s="1" t="s">
        <v>41</v>
      </c>
      <c r="F1498" s="1" t="s">
        <v>2309</v>
      </c>
      <c r="G1498" s="1" t="s">
        <v>2310</v>
      </c>
      <c r="H1498" s="1" t="str">
        <f>IFERROR(__xludf.DUMMYFUNCTION("split(G1498,"" "")"),"John")</f>
        <v>John</v>
      </c>
      <c r="I1498" s="1" t="str">
        <f>IFERROR(__xludf.DUMMYFUNCTION("""COMPUTED_VALUE"""),"Dryer")</f>
        <v>Dryer</v>
      </c>
      <c r="J1498" s="1" t="s">
        <v>23</v>
      </c>
      <c r="K1498" s="1" t="s">
        <v>2311</v>
      </c>
      <c r="L1498" s="1" t="str">
        <f t="shared" si="2"/>
        <v>Coppell</v>
      </c>
      <c r="M1498" s="1" t="s">
        <v>70</v>
      </c>
      <c r="N1498" s="1" t="str">
        <f t="shared" si="3"/>
        <v>Texas</v>
      </c>
      <c r="O1498" s="1">
        <v>75019.0</v>
      </c>
      <c r="P1498" s="1" t="s">
        <v>71</v>
      </c>
      <c r="Q1498" s="1" t="s">
        <v>38</v>
      </c>
      <c r="R1498" s="3">
        <v>13.12</v>
      </c>
      <c r="S1498" s="1">
        <v>7.0</v>
      </c>
      <c r="T1498" s="4">
        <v>12.32</v>
      </c>
    </row>
    <row r="1499">
      <c r="A1499" s="1" t="s">
        <v>2312</v>
      </c>
      <c r="B1499" s="2">
        <v>43025.0</v>
      </c>
      <c r="C1499" s="2" t="str">
        <f t="shared" si="1"/>
        <v>Oct</v>
      </c>
      <c r="D1499" s="1" t="s">
        <v>2313</v>
      </c>
      <c r="E1499" s="1" t="s">
        <v>121</v>
      </c>
      <c r="F1499" s="1" t="s">
        <v>375</v>
      </c>
      <c r="G1499" s="1" t="s">
        <v>376</v>
      </c>
      <c r="H1499" s="1" t="str">
        <f>IFERROR(__xludf.DUMMYFUNCTION("split(G1499,"" "")"),"Neil")</f>
        <v>Neil</v>
      </c>
      <c r="I1499" s="1" t="str">
        <f>IFERROR(__xludf.DUMMYFUNCTION("""COMPUTED_VALUE"""),"Knudson")</f>
        <v>Knudson</v>
      </c>
      <c r="J1499" s="1" t="s">
        <v>68</v>
      </c>
      <c r="K1499" s="1" t="s">
        <v>87</v>
      </c>
      <c r="L1499" s="1" t="str">
        <f t="shared" si="2"/>
        <v>San Francisco</v>
      </c>
      <c r="M1499" s="1" t="s">
        <v>52</v>
      </c>
      <c r="N1499" s="1" t="str">
        <f t="shared" si="3"/>
        <v>California</v>
      </c>
      <c r="O1499" s="1">
        <v>94122.0</v>
      </c>
      <c r="P1499" s="1" t="s">
        <v>37</v>
      </c>
      <c r="Q1499" s="1" t="s">
        <v>38</v>
      </c>
      <c r="R1499" s="3">
        <v>18.16</v>
      </c>
      <c r="S1499" s="1">
        <v>9.0</v>
      </c>
      <c r="T1499" s="4">
        <v>17.91</v>
      </c>
    </row>
    <row r="1500">
      <c r="A1500" s="1" t="s">
        <v>2314</v>
      </c>
      <c r="B1500" s="2">
        <v>43445.0</v>
      </c>
      <c r="C1500" s="2" t="str">
        <f t="shared" si="1"/>
        <v>Dec</v>
      </c>
      <c r="D1500" s="1" t="s">
        <v>2315</v>
      </c>
      <c r="E1500" s="1" t="s">
        <v>41</v>
      </c>
      <c r="F1500" s="1" t="s">
        <v>757</v>
      </c>
      <c r="G1500" s="1" t="s">
        <v>758</v>
      </c>
      <c r="H1500" s="1" t="str">
        <f>IFERROR(__xludf.DUMMYFUNCTION("split(G1500,"" "")"),"Nathan")</f>
        <v>Nathan</v>
      </c>
      <c r="I1500" s="1" t="str">
        <f>IFERROR(__xludf.DUMMYFUNCTION("""COMPUTED_VALUE"""),"Gelder")</f>
        <v>Gelder</v>
      </c>
      <c r="J1500" s="1" t="s">
        <v>23</v>
      </c>
      <c r="K1500" s="1" t="s">
        <v>685</v>
      </c>
      <c r="L1500" s="1" t="str">
        <f t="shared" si="2"/>
        <v>Austin</v>
      </c>
      <c r="M1500" s="1" t="s">
        <v>70</v>
      </c>
      <c r="N1500" s="1" t="str">
        <f t="shared" si="3"/>
        <v>Texas</v>
      </c>
      <c r="O1500" s="1">
        <v>78745.0</v>
      </c>
      <c r="P1500" s="1" t="s">
        <v>71</v>
      </c>
      <c r="Q1500" s="1" t="s">
        <v>38</v>
      </c>
      <c r="R1500" s="3">
        <v>16.056</v>
      </c>
      <c r="S1500" s="1">
        <v>7.0</v>
      </c>
      <c r="T1500" s="4">
        <v>15.52</v>
      </c>
    </row>
    <row r="1501">
      <c r="A1501" s="8"/>
      <c r="B1501" s="9"/>
      <c r="C1501" s="9"/>
      <c r="D1501" s="8"/>
      <c r="E1501" s="8"/>
      <c r="F1501" s="8"/>
      <c r="G1501" s="8"/>
      <c r="H1501" s="8"/>
      <c r="I1501" s="8"/>
      <c r="J1501" s="8"/>
      <c r="K1501" s="8"/>
      <c r="L1501" s="8"/>
      <c r="M1501" s="8"/>
      <c r="N1501" s="8"/>
      <c r="O1501" s="8"/>
      <c r="P1501" s="8"/>
      <c r="Q1501" s="8"/>
      <c r="R1501" s="10"/>
      <c r="S1501" s="8"/>
      <c r="T1501" s="11"/>
    </row>
    <row r="1502">
      <c r="A1502" s="8"/>
      <c r="B1502" s="9"/>
      <c r="C1502" s="9"/>
      <c r="D1502" s="8"/>
      <c r="E1502" s="8"/>
      <c r="F1502" s="8"/>
      <c r="G1502" s="8"/>
      <c r="H1502" s="8"/>
      <c r="I1502" s="8"/>
      <c r="J1502" s="8"/>
      <c r="K1502" s="8"/>
      <c r="L1502" s="8"/>
      <c r="M1502" s="8"/>
      <c r="N1502" s="8"/>
      <c r="O1502" s="8"/>
      <c r="P1502" s="8"/>
      <c r="Q1502" s="8"/>
      <c r="R1502" s="10"/>
      <c r="S1502" s="8"/>
      <c r="T1502" s="11"/>
    </row>
  </sheetData>
  <autoFilter ref="$A$1:$T$15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2.13"/>
    <col customWidth="1" min="3" max="3" width="13.5"/>
    <col customWidth="1" min="4" max="4" width="11.13"/>
    <col customWidth="1" min="5" max="5" width="12.63"/>
    <col customWidth="1" min="6" max="6" width="12.38"/>
    <col customWidth="1" min="7" max="7" width="12.13"/>
    <col customWidth="1" min="8" max="8" width="11.5"/>
    <col customWidth="1" min="9" max="9" width="10.5"/>
    <col customWidth="1" min="10" max="10" width="10.25"/>
    <col customWidth="1" min="11" max="11" width="14.25"/>
    <col customWidth="1" min="12" max="12" width="15.88"/>
    <col customWidth="1" min="13" max="13" width="9.13"/>
    <col customWidth="1" min="14" max="14" width="12.13"/>
    <col customWidth="1" min="15" max="15" width="10.88"/>
    <col customWidth="1" min="16" max="16" width="12.13"/>
    <col customWidth="1" min="17" max="17" width="11.13"/>
  </cols>
  <sheetData>
    <row r="1">
      <c r="A1" s="12" t="s">
        <v>1</v>
      </c>
      <c r="B1" s="12"/>
      <c r="C1" s="13" t="s">
        <v>2</v>
      </c>
      <c r="D1" s="1" t="s">
        <v>3</v>
      </c>
      <c r="E1" s="13" t="s">
        <v>2316</v>
      </c>
      <c r="F1" s="13" t="s">
        <v>4</v>
      </c>
      <c r="G1" s="13" t="s">
        <v>2317</v>
      </c>
      <c r="H1" s="13" t="s">
        <v>2318</v>
      </c>
      <c r="I1" s="13" t="s">
        <v>9</v>
      </c>
      <c r="J1" s="13" t="s">
        <v>17</v>
      </c>
      <c r="K1" s="13" t="s">
        <v>10</v>
      </c>
      <c r="L1" s="13" t="s">
        <v>11</v>
      </c>
      <c r="M1" s="13" t="s">
        <v>14</v>
      </c>
      <c r="N1" s="13" t="s">
        <v>15</v>
      </c>
      <c r="O1" s="14" t="s">
        <v>2319</v>
      </c>
      <c r="P1" s="14" t="s">
        <v>2320</v>
      </c>
      <c r="Q1" s="14" t="s">
        <v>2321</v>
      </c>
    </row>
    <row r="2">
      <c r="A2" s="12">
        <v>42958.0</v>
      </c>
      <c r="B2" s="12"/>
      <c r="C2" s="12" t="s">
        <v>2322</v>
      </c>
      <c r="D2" s="5">
        <v>43050.0</v>
      </c>
      <c r="E2" s="15" t="str">
        <f t="shared" ref="E2:E1500" si="1">text(D2,"MMM")</f>
        <v>Nov</v>
      </c>
      <c r="F2" s="13" t="s">
        <v>20</v>
      </c>
      <c r="G2" s="13" t="s">
        <v>2323</v>
      </c>
      <c r="H2" s="13" t="s">
        <v>2324</v>
      </c>
      <c r="I2" s="13" t="s">
        <v>23</v>
      </c>
      <c r="J2" s="13">
        <v>4.0</v>
      </c>
      <c r="K2" s="13" t="s">
        <v>24</v>
      </c>
      <c r="L2" s="13" t="s">
        <v>25</v>
      </c>
      <c r="M2" s="13" t="s">
        <v>26</v>
      </c>
      <c r="N2" s="13" t="s">
        <v>27</v>
      </c>
      <c r="O2" s="14">
        <v>261.96</v>
      </c>
      <c r="P2" s="14">
        <f t="shared" ref="P2:P1500" si="2">O2*J2</f>
        <v>1047.84</v>
      </c>
      <c r="Q2" s="14">
        <v>261.26</v>
      </c>
    </row>
    <row r="3">
      <c r="A3" s="12">
        <v>42958.0</v>
      </c>
      <c r="B3" s="12"/>
      <c r="C3" s="12" t="s">
        <v>2322</v>
      </c>
      <c r="D3" s="5">
        <v>43050.0</v>
      </c>
      <c r="E3" s="15" t="str">
        <f t="shared" si="1"/>
        <v>Nov</v>
      </c>
      <c r="F3" s="13" t="s">
        <v>20</v>
      </c>
      <c r="G3" s="13" t="s">
        <v>2323</v>
      </c>
      <c r="H3" s="13" t="s">
        <v>2324</v>
      </c>
      <c r="I3" s="13" t="s">
        <v>23</v>
      </c>
      <c r="J3" s="13">
        <v>4.0</v>
      </c>
      <c r="K3" s="13" t="s">
        <v>24</v>
      </c>
      <c r="L3" s="13" t="s">
        <v>25</v>
      </c>
      <c r="M3" s="13" t="s">
        <v>26</v>
      </c>
      <c r="N3" s="13" t="s">
        <v>27</v>
      </c>
      <c r="O3" s="14">
        <v>731.94</v>
      </c>
      <c r="P3" s="14">
        <f t="shared" si="2"/>
        <v>2927.76</v>
      </c>
      <c r="Q3" s="14">
        <v>731.61</v>
      </c>
    </row>
    <row r="4">
      <c r="A4" s="12">
        <v>43075.0</v>
      </c>
      <c r="B4" s="12"/>
      <c r="C4" s="12" t="s">
        <v>2325</v>
      </c>
      <c r="D4" s="1" t="s">
        <v>29</v>
      </c>
      <c r="E4" s="15" t="str">
        <f t="shared" si="1"/>
        <v>Jun</v>
      </c>
      <c r="F4" s="13" t="s">
        <v>20</v>
      </c>
      <c r="G4" s="13" t="s">
        <v>32</v>
      </c>
      <c r="H4" s="13" t="s">
        <v>33</v>
      </c>
      <c r="I4" s="13" t="s">
        <v>34</v>
      </c>
      <c r="J4" s="13">
        <v>9.0</v>
      </c>
      <c r="K4" s="13" t="s">
        <v>35</v>
      </c>
      <c r="L4" s="13" t="s">
        <v>52</v>
      </c>
      <c r="M4" s="13" t="s">
        <v>37</v>
      </c>
      <c r="N4" s="13" t="s">
        <v>38</v>
      </c>
      <c r="O4" s="14">
        <v>14.62</v>
      </c>
      <c r="P4" s="14">
        <f t="shared" si="2"/>
        <v>131.58</v>
      </c>
      <c r="Q4" s="14">
        <v>13.97</v>
      </c>
    </row>
    <row r="5">
      <c r="A5" s="12">
        <v>42684.0</v>
      </c>
      <c r="B5" s="12"/>
      <c r="C5" s="12" t="s">
        <v>2326</v>
      </c>
      <c r="D5" s="1" t="s">
        <v>40</v>
      </c>
      <c r="E5" s="15" t="str">
        <f t="shared" si="1"/>
        <v>Oct</v>
      </c>
      <c r="F5" s="13" t="s">
        <v>41</v>
      </c>
      <c r="G5" s="13" t="s">
        <v>2327</v>
      </c>
      <c r="H5" s="13" t="s">
        <v>2328</v>
      </c>
      <c r="I5" s="13" t="s">
        <v>23</v>
      </c>
      <c r="J5" s="13">
        <v>3.0</v>
      </c>
      <c r="K5" s="13" t="s">
        <v>44</v>
      </c>
      <c r="L5" s="13" t="s">
        <v>145</v>
      </c>
      <c r="M5" s="13" t="s">
        <v>26</v>
      </c>
      <c r="N5" s="13" t="s">
        <v>27</v>
      </c>
      <c r="O5" s="14">
        <v>957.5775</v>
      </c>
      <c r="P5" s="14">
        <f t="shared" si="2"/>
        <v>2872.7325</v>
      </c>
      <c r="Q5" s="14">
        <v>956.9</v>
      </c>
    </row>
    <row r="6">
      <c r="A6" s="12">
        <v>42684.0</v>
      </c>
      <c r="B6" s="12"/>
      <c r="C6" s="12" t="s">
        <v>2326</v>
      </c>
      <c r="D6" s="1" t="s">
        <v>40</v>
      </c>
      <c r="E6" s="15" t="str">
        <f t="shared" si="1"/>
        <v>Oct</v>
      </c>
      <c r="F6" s="13" t="s">
        <v>41</v>
      </c>
      <c r="G6" s="13" t="s">
        <v>2327</v>
      </c>
      <c r="H6" s="13" t="s">
        <v>2328</v>
      </c>
      <c r="I6" s="13" t="s">
        <v>23</v>
      </c>
      <c r="J6" s="13">
        <v>3.0</v>
      </c>
      <c r="K6" s="13" t="s">
        <v>44</v>
      </c>
      <c r="L6" s="13" t="s">
        <v>145</v>
      </c>
      <c r="M6" s="13" t="s">
        <v>26</v>
      </c>
      <c r="N6" s="13" t="s">
        <v>38</v>
      </c>
      <c r="O6" s="14">
        <v>22.368</v>
      </c>
      <c r="P6" s="14">
        <f t="shared" si="2"/>
        <v>67.104</v>
      </c>
      <c r="Q6" s="14">
        <v>22.08</v>
      </c>
    </row>
    <row r="7">
      <c r="A7" s="12">
        <v>42253.0</v>
      </c>
      <c r="B7" s="12"/>
      <c r="C7" s="12" t="s">
        <v>2329</v>
      </c>
      <c r="D7" s="1" t="s">
        <v>47</v>
      </c>
      <c r="E7" s="15" t="str">
        <f t="shared" si="1"/>
        <v>Jun</v>
      </c>
      <c r="F7" s="13" t="s">
        <v>41</v>
      </c>
      <c r="G7" s="13" t="s">
        <v>2330</v>
      </c>
      <c r="H7" s="13" t="s">
        <v>2331</v>
      </c>
      <c r="I7" s="13" t="s">
        <v>23</v>
      </c>
      <c r="J7" s="13">
        <v>9.0</v>
      </c>
      <c r="K7" s="13" t="s">
        <v>35</v>
      </c>
      <c r="L7" s="13" t="s">
        <v>52</v>
      </c>
      <c r="M7" s="13" t="s">
        <v>37</v>
      </c>
      <c r="N7" s="13" t="s">
        <v>27</v>
      </c>
      <c r="O7" s="14">
        <v>48.86</v>
      </c>
      <c r="P7" s="14">
        <f t="shared" si="2"/>
        <v>439.74</v>
      </c>
      <c r="Q7" s="14">
        <v>48.08</v>
      </c>
    </row>
    <row r="8">
      <c r="A8" s="12">
        <v>42253.0</v>
      </c>
      <c r="B8" s="12"/>
      <c r="C8" s="12" t="s">
        <v>2329</v>
      </c>
      <c r="D8" s="1" t="s">
        <v>47</v>
      </c>
      <c r="E8" s="15" t="str">
        <f t="shared" si="1"/>
        <v>Jun</v>
      </c>
      <c r="F8" s="13" t="s">
        <v>41</v>
      </c>
      <c r="G8" s="13" t="s">
        <v>2330</v>
      </c>
      <c r="H8" s="13" t="s">
        <v>2331</v>
      </c>
      <c r="I8" s="13" t="s">
        <v>23</v>
      </c>
      <c r="J8" s="13">
        <v>9.0</v>
      </c>
      <c r="K8" s="13" t="s">
        <v>35</v>
      </c>
      <c r="L8" s="13" t="s">
        <v>52</v>
      </c>
      <c r="M8" s="13" t="s">
        <v>37</v>
      </c>
      <c r="N8" s="13" t="s">
        <v>38</v>
      </c>
      <c r="O8" s="14">
        <v>7.28</v>
      </c>
      <c r="P8" s="14">
        <f t="shared" si="2"/>
        <v>65.52</v>
      </c>
      <c r="Q8" s="14">
        <v>6.34</v>
      </c>
    </row>
    <row r="9">
      <c r="A9" s="12">
        <v>42253.0</v>
      </c>
      <c r="B9" s="12"/>
      <c r="C9" s="12" t="s">
        <v>2329</v>
      </c>
      <c r="D9" s="1" t="s">
        <v>47</v>
      </c>
      <c r="E9" s="15" t="str">
        <f t="shared" si="1"/>
        <v>Jun</v>
      </c>
      <c r="F9" s="13" t="s">
        <v>41</v>
      </c>
      <c r="G9" s="13" t="s">
        <v>2330</v>
      </c>
      <c r="H9" s="13" t="s">
        <v>2331</v>
      </c>
      <c r="I9" s="13" t="s">
        <v>23</v>
      </c>
      <c r="J9" s="13">
        <v>9.0</v>
      </c>
      <c r="K9" s="13" t="s">
        <v>35</v>
      </c>
      <c r="L9" s="13" t="s">
        <v>52</v>
      </c>
      <c r="M9" s="13" t="s">
        <v>37</v>
      </c>
      <c r="N9" s="13" t="s">
        <v>51</v>
      </c>
      <c r="O9" s="14">
        <v>907.152</v>
      </c>
      <c r="P9" s="14">
        <f t="shared" si="2"/>
        <v>8164.368</v>
      </c>
      <c r="Q9" s="14">
        <v>906.78</v>
      </c>
    </row>
    <row r="10">
      <c r="A10" s="12">
        <v>42253.0</v>
      </c>
      <c r="B10" s="12"/>
      <c r="C10" s="12" t="s">
        <v>2329</v>
      </c>
      <c r="D10" s="1" t="s">
        <v>47</v>
      </c>
      <c r="E10" s="15" t="str">
        <f t="shared" si="1"/>
        <v>Jun</v>
      </c>
      <c r="F10" s="13" t="s">
        <v>41</v>
      </c>
      <c r="G10" s="13" t="s">
        <v>2330</v>
      </c>
      <c r="H10" s="13" t="s">
        <v>2331</v>
      </c>
      <c r="I10" s="13" t="s">
        <v>23</v>
      </c>
      <c r="J10" s="13">
        <v>9.0</v>
      </c>
      <c r="K10" s="13" t="s">
        <v>35</v>
      </c>
      <c r="L10" s="13" t="s">
        <v>52</v>
      </c>
      <c r="M10" s="13" t="s">
        <v>37</v>
      </c>
      <c r="N10" s="13" t="s">
        <v>38</v>
      </c>
      <c r="O10" s="14">
        <v>18.504</v>
      </c>
      <c r="P10" s="14">
        <f t="shared" si="2"/>
        <v>166.536</v>
      </c>
      <c r="Q10" s="14">
        <v>18.36</v>
      </c>
    </row>
    <row r="11">
      <c r="A11" s="12">
        <v>42253.0</v>
      </c>
      <c r="B11" s="12"/>
      <c r="C11" s="12" t="s">
        <v>2329</v>
      </c>
      <c r="D11" s="1" t="s">
        <v>47</v>
      </c>
      <c r="E11" s="15" t="str">
        <f t="shared" si="1"/>
        <v>Jun</v>
      </c>
      <c r="F11" s="13" t="s">
        <v>41</v>
      </c>
      <c r="G11" s="13" t="s">
        <v>2330</v>
      </c>
      <c r="H11" s="13" t="s">
        <v>2331</v>
      </c>
      <c r="I11" s="13" t="s">
        <v>23</v>
      </c>
      <c r="J11" s="13">
        <v>9.0</v>
      </c>
      <c r="K11" s="13" t="s">
        <v>35</v>
      </c>
      <c r="L11" s="13" t="s">
        <v>52</v>
      </c>
      <c r="M11" s="13" t="s">
        <v>37</v>
      </c>
      <c r="N11" s="13" t="s">
        <v>38</v>
      </c>
      <c r="O11" s="14">
        <v>114.9</v>
      </c>
      <c r="P11" s="14">
        <f t="shared" si="2"/>
        <v>1034.1</v>
      </c>
      <c r="Q11" s="14">
        <v>114.62</v>
      </c>
    </row>
    <row r="12">
      <c r="A12" s="12">
        <v>42253.0</v>
      </c>
      <c r="B12" s="12"/>
      <c r="C12" s="12" t="s">
        <v>2329</v>
      </c>
      <c r="D12" s="1" t="s">
        <v>47</v>
      </c>
      <c r="E12" s="15" t="str">
        <f t="shared" si="1"/>
        <v>Jun</v>
      </c>
      <c r="F12" s="13" t="s">
        <v>41</v>
      </c>
      <c r="G12" s="13" t="s">
        <v>2330</v>
      </c>
      <c r="H12" s="13" t="s">
        <v>2331</v>
      </c>
      <c r="I12" s="13" t="s">
        <v>23</v>
      </c>
      <c r="J12" s="13">
        <v>9.0</v>
      </c>
      <c r="K12" s="13" t="s">
        <v>35</v>
      </c>
      <c r="L12" s="13" t="s">
        <v>52</v>
      </c>
      <c r="M12" s="13" t="s">
        <v>37</v>
      </c>
      <c r="N12" s="13" t="s">
        <v>27</v>
      </c>
      <c r="O12" s="14">
        <v>1706.184</v>
      </c>
      <c r="P12" s="14">
        <f t="shared" si="2"/>
        <v>15355.656</v>
      </c>
      <c r="Q12" s="14">
        <v>1705.71</v>
      </c>
    </row>
    <row r="13">
      <c r="A13" s="12">
        <v>42253.0</v>
      </c>
      <c r="B13" s="12"/>
      <c r="C13" s="12" t="s">
        <v>2329</v>
      </c>
      <c r="D13" s="1" t="s">
        <v>47</v>
      </c>
      <c r="E13" s="15" t="str">
        <f t="shared" si="1"/>
        <v>Jun</v>
      </c>
      <c r="F13" s="13" t="s">
        <v>41</v>
      </c>
      <c r="G13" s="13" t="s">
        <v>2330</v>
      </c>
      <c r="H13" s="13" t="s">
        <v>2331</v>
      </c>
      <c r="I13" s="13" t="s">
        <v>23</v>
      </c>
      <c r="J13" s="13">
        <v>9.0</v>
      </c>
      <c r="K13" s="13" t="s">
        <v>35</v>
      </c>
      <c r="L13" s="13" t="s">
        <v>52</v>
      </c>
      <c r="M13" s="13" t="s">
        <v>37</v>
      </c>
      <c r="N13" s="13" t="s">
        <v>51</v>
      </c>
      <c r="O13" s="14">
        <v>911.424</v>
      </c>
      <c r="P13" s="14">
        <f t="shared" si="2"/>
        <v>8202.816</v>
      </c>
      <c r="Q13" s="14">
        <v>911.17</v>
      </c>
    </row>
    <row r="14">
      <c r="A14" s="12">
        <v>43205.0</v>
      </c>
      <c r="B14" s="12"/>
      <c r="C14" s="12" t="s">
        <v>2332</v>
      </c>
      <c r="D14" s="1" t="s">
        <v>54</v>
      </c>
      <c r="E14" s="15" t="str">
        <f t="shared" si="1"/>
        <v>Apr</v>
      </c>
      <c r="F14" s="13" t="s">
        <v>41</v>
      </c>
      <c r="G14" s="13" t="s">
        <v>2333</v>
      </c>
      <c r="H14" s="13" t="s">
        <v>2334</v>
      </c>
      <c r="I14" s="13" t="s">
        <v>23</v>
      </c>
      <c r="J14" s="13">
        <v>2.0</v>
      </c>
      <c r="K14" s="13" t="s">
        <v>57</v>
      </c>
      <c r="L14" s="13" t="s">
        <v>58</v>
      </c>
      <c r="M14" s="13" t="s">
        <v>26</v>
      </c>
      <c r="N14" s="13" t="s">
        <v>38</v>
      </c>
      <c r="O14" s="14">
        <v>15.552</v>
      </c>
      <c r="P14" s="14">
        <f t="shared" si="2"/>
        <v>31.104</v>
      </c>
      <c r="Q14" s="14">
        <v>14.71</v>
      </c>
    </row>
    <row r="15">
      <c r="A15" s="12">
        <v>42867.0</v>
      </c>
      <c r="B15" s="12"/>
      <c r="C15" s="12" t="s">
        <v>2335</v>
      </c>
      <c r="D15" s="5">
        <v>43020.0</v>
      </c>
      <c r="E15" s="15" t="str">
        <f t="shared" si="1"/>
        <v>Oct</v>
      </c>
      <c r="F15" s="13" t="s">
        <v>41</v>
      </c>
      <c r="G15" s="13" t="s">
        <v>2336</v>
      </c>
      <c r="H15" s="13" t="s">
        <v>2337</v>
      </c>
      <c r="I15" s="13" t="s">
        <v>23</v>
      </c>
      <c r="J15" s="13">
        <v>9.0</v>
      </c>
      <c r="K15" s="13" t="s">
        <v>62</v>
      </c>
      <c r="L15" s="13" t="s">
        <v>63</v>
      </c>
      <c r="M15" s="13" t="s">
        <v>37</v>
      </c>
      <c r="N15" s="13" t="s">
        <v>38</v>
      </c>
      <c r="O15" s="14">
        <v>407.976</v>
      </c>
      <c r="P15" s="14">
        <f t="shared" si="2"/>
        <v>3671.784</v>
      </c>
      <c r="Q15" s="14">
        <v>407.54</v>
      </c>
    </row>
    <row r="16">
      <c r="A16" s="12">
        <v>42696.0</v>
      </c>
      <c r="B16" s="12"/>
      <c r="C16" s="12" t="s">
        <v>2326</v>
      </c>
      <c r="D16" s="1" t="s">
        <v>65</v>
      </c>
      <c r="E16" s="15" t="str">
        <f t="shared" si="1"/>
        <v>Nov</v>
      </c>
      <c r="F16" s="13" t="s">
        <v>41</v>
      </c>
      <c r="G16" s="13" t="s">
        <v>2338</v>
      </c>
      <c r="H16" s="13" t="s">
        <v>2339</v>
      </c>
      <c r="I16" s="13" t="s">
        <v>68</v>
      </c>
      <c r="J16" s="13">
        <v>7.0</v>
      </c>
      <c r="K16" s="13" t="s">
        <v>69</v>
      </c>
      <c r="L16" s="13" t="s">
        <v>70</v>
      </c>
      <c r="M16" s="13" t="s">
        <v>71</v>
      </c>
      <c r="N16" s="13" t="s">
        <v>38</v>
      </c>
      <c r="O16" s="14">
        <v>68.81</v>
      </c>
      <c r="P16" s="14">
        <f t="shared" si="2"/>
        <v>481.67</v>
      </c>
      <c r="Q16" s="14">
        <v>67.82</v>
      </c>
    </row>
    <row r="17">
      <c r="A17" s="12">
        <v>42696.0</v>
      </c>
      <c r="B17" s="12"/>
      <c r="C17" s="12" t="s">
        <v>2326</v>
      </c>
      <c r="D17" s="1" t="s">
        <v>65</v>
      </c>
      <c r="E17" s="15" t="str">
        <f t="shared" si="1"/>
        <v>Nov</v>
      </c>
      <c r="F17" s="13" t="s">
        <v>41</v>
      </c>
      <c r="G17" s="13" t="s">
        <v>2338</v>
      </c>
      <c r="H17" s="13" t="s">
        <v>2339</v>
      </c>
      <c r="I17" s="13" t="s">
        <v>68</v>
      </c>
      <c r="J17" s="13">
        <v>7.0</v>
      </c>
      <c r="K17" s="13" t="s">
        <v>69</v>
      </c>
      <c r="L17" s="13" t="s">
        <v>70</v>
      </c>
      <c r="M17" s="13" t="s">
        <v>71</v>
      </c>
      <c r="N17" s="13" t="s">
        <v>38</v>
      </c>
      <c r="O17" s="14">
        <v>2.544</v>
      </c>
      <c r="P17" s="14">
        <f t="shared" si="2"/>
        <v>17.808</v>
      </c>
      <c r="Q17" s="14">
        <v>1.62</v>
      </c>
    </row>
    <row r="18">
      <c r="A18" s="12">
        <v>42319.0</v>
      </c>
      <c r="B18" s="12"/>
      <c r="C18" s="12" t="s">
        <v>2326</v>
      </c>
      <c r="D18" s="1" t="s">
        <v>73</v>
      </c>
      <c r="E18" s="15" t="str">
        <f t="shared" si="1"/>
        <v>Nov</v>
      </c>
      <c r="F18" s="13" t="s">
        <v>41</v>
      </c>
      <c r="G18" s="13" t="s">
        <v>2340</v>
      </c>
      <c r="H18" s="13" t="s">
        <v>2341</v>
      </c>
      <c r="I18" s="13" t="s">
        <v>23</v>
      </c>
      <c r="J18" s="13">
        <v>5.0</v>
      </c>
      <c r="K18" s="13" t="s">
        <v>76</v>
      </c>
      <c r="L18" s="13" t="s">
        <v>77</v>
      </c>
      <c r="M18" s="13" t="s">
        <v>71</v>
      </c>
      <c r="N18" s="13" t="s">
        <v>38</v>
      </c>
      <c r="O18" s="14">
        <v>665.88</v>
      </c>
      <c r="P18" s="14">
        <f t="shared" si="2"/>
        <v>3329.4</v>
      </c>
      <c r="Q18" s="14">
        <v>665.32</v>
      </c>
    </row>
    <row r="19">
      <c r="A19" s="12">
        <v>42137.0</v>
      </c>
      <c r="B19" s="12"/>
      <c r="C19" s="12" t="s">
        <v>2335</v>
      </c>
      <c r="D19" s="1" t="s">
        <v>79</v>
      </c>
      <c r="E19" s="15" t="str">
        <f t="shared" si="1"/>
        <v>May</v>
      </c>
      <c r="F19" s="13" t="s">
        <v>20</v>
      </c>
      <c r="G19" s="13" t="s">
        <v>2342</v>
      </c>
      <c r="H19" s="13" t="s">
        <v>2343</v>
      </c>
      <c r="I19" s="13" t="s">
        <v>23</v>
      </c>
      <c r="J19" s="13">
        <v>8.0</v>
      </c>
      <c r="K19" s="13" t="s">
        <v>82</v>
      </c>
      <c r="L19" s="13" t="s">
        <v>83</v>
      </c>
      <c r="M19" s="13" t="s">
        <v>37</v>
      </c>
      <c r="N19" s="13" t="s">
        <v>38</v>
      </c>
      <c r="O19" s="14">
        <v>55.5</v>
      </c>
      <c r="P19" s="14">
        <f t="shared" si="2"/>
        <v>444</v>
      </c>
      <c r="Q19" s="14">
        <v>54.76</v>
      </c>
    </row>
    <row r="20">
      <c r="A20" s="12">
        <v>42243.0</v>
      </c>
      <c r="B20" s="12"/>
      <c r="C20" s="12" t="s">
        <v>2322</v>
      </c>
      <c r="D20" s="6">
        <v>42013.0</v>
      </c>
      <c r="E20" s="15" t="str">
        <f t="shared" si="1"/>
        <v>Jan</v>
      </c>
      <c r="F20" s="13" t="s">
        <v>20</v>
      </c>
      <c r="G20" s="13" t="s">
        <v>2344</v>
      </c>
      <c r="H20" s="13" t="s">
        <v>2345</v>
      </c>
      <c r="I20" s="13" t="s">
        <v>23</v>
      </c>
      <c r="J20" s="13">
        <v>9.0</v>
      </c>
      <c r="K20" s="13" t="s">
        <v>87</v>
      </c>
      <c r="L20" s="13" t="s">
        <v>52</v>
      </c>
      <c r="M20" s="13" t="s">
        <v>37</v>
      </c>
      <c r="N20" s="13" t="s">
        <v>38</v>
      </c>
      <c r="O20" s="14">
        <v>8.56</v>
      </c>
      <c r="P20" s="14">
        <f t="shared" si="2"/>
        <v>77.04</v>
      </c>
      <c r="Q20" s="14">
        <v>7.72</v>
      </c>
    </row>
    <row r="21">
      <c r="A21" s="12">
        <v>42243.0</v>
      </c>
      <c r="B21" s="12"/>
      <c r="C21" s="12" t="s">
        <v>2322</v>
      </c>
      <c r="D21" s="6">
        <v>42013.0</v>
      </c>
      <c r="E21" s="15" t="str">
        <f t="shared" si="1"/>
        <v>Jan</v>
      </c>
      <c r="F21" s="13" t="s">
        <v>20</v>
      </c>
      <c r="G21" s="13" t="s">
        <v>2344</v>
      </c>
      <c r="H21" s="13" t="s">
        <v>2345</v>
      </c>
      <c r="I21" s="13" t="s">
        <v>23</v>
      </c>
      <c r="J21" s="13">
        <v>9.0</v>
      </c>
      <c r="K21" s="13" t="s">
        <v>87</v>
      </c>
      <c r="L21" s="13" t="s">
        <v>52</v>
      </c>
      <c r="M21" s="13" t="s">
        <v>37</v>
      </c>
      <c r="N21" s="13" t="s">
        <v>51</v>
      </c>
      <c r="O21" s="14">
        <v>213.48</v>
      </c>
      <c r="P21" s="14">
        <f t="shared" si="2"/>
        <v>1921.32</v>
      </c>
      <c r="Q21" s="14">
        <v>212.79</v>
      </c>
    </row>
    <row r="22">
      <c r="A22" s="12">
        <v>42243.0</v>
      </c>
      <c r="B22" s="12"/>
      <c r="C22" s="12" t="s">
        <v>2322</v>
      </c>
      <c r="D22" s="6">
        <v>42013.0</v>
      </c>
      <c r="E22" s="15" t="str">
        <f t="shared" si="1"/>
        <v>Jan</v>
      </c>
      <c r="F22" s="13" t="s">
        <v>20</v>
      </c>
      <c r="G22" s="13" t="s">
        <v>2344</v>
      </c>
      <c r="H22" s="13" t="s">
        <v>2345</v>
      </c>
      <c r="I22" s="13" t="s">
        <v>23</v>
      </c>
      <c r="J22" s="13">
        <v>9.0</v>
      </c>
      <c r="K22" s="13" t="s">
        <v>87</v>
      </c>
      <c r="L22" s="13" t="s">
        <v>52</v>
      </c>
      <c r="M22" s="13" t="s">
        <v>37</v>
      </c>
      <c r="N22" s="13" t="s">
        <v>38</v>
      </c>
      <c r="O22" s="14">
        <v>22.72</v>
      </c>
      <c r="P22" s="14">
        <f t="shared" si="2"/>
        <v>204.48</v>
      </c>
      <c r="Q22" s="14">
        <v>22.41</v>
      </c>
    </row>
    <row r="23">
      <c r="A23" s="12">
        <v>42990.0</v>
      </c>
      <c r="B23" s="12"/>
      <c r="C23" s="12" t="s">
        <v>2329</v>
      </c>
      <c r="D23" s="1" t="s">
        <v>89</v>
      </c>
      <c r="E23" s="15" t="str">
        <f t="shared" si="1"/>
        <v>Dec</v>
      </c>
      <c r="F23" s="13" t="s">
        <v>41</v>
      </c>
      <c r="G23" s="13" t="s">
        <v>2346</v>
      </c>
      <c r="H23" s="13" t="s">
        <v>2347</v>
      </c>
      <c r="I23" s="13" t="s">
        <v>34</v>
      </c>
      <c r="J23" s="13">
        <v>6.0</v>
      </c>
      <c r="K23" s="13" t="s">
        <v>92</v>
      </c>
      <c r="L23" s="13" t="s">
        <v>93</v>
      </c>
      <c r="M23" s="13" t="s">
        <v>71</v>
      </c>
      <c r="N23" s="13" t="s">
        <v>38</v>
      </c>
      <c r="O23" s="14">
        <v>19.46</v>
      </c>
      <c r="P23" s="14">
        <f t="shared" si="2"/>
        <v>116.76</v>
      </c>
      <c r="Q23" s="14">
        <v>18.81</v>
      </c>
    </row>
    <row r="24">
      <c r="A24" s="12">
        <v>42990.0</v>
      </c>
      <c r="B24" s="12"/>
      <c r="C24" s="12" t="s">
        <v>2329</v>
      </c>
      <c r="D24" s="1" t="s">
        <v>89</v>
      </c>
      <c r="E24" s="15" t="str">
        <f t="shared" si="1"/>
        <v>Dec</v>
      </c>
      <c r="F24" s="13" t="s">
        <v>41</v>
      </c>
      <c r="G24" s="13" t="s">
        <v>2346</v>
      </c>
      <c r="H24" s="13" t="s">
        <v>2347</v>
      </c>
      <c r="I24" s="13" t="s">
        <v>34</v>
      </c>
      <c r="J24" s="13">
        <v>6.0</v>
      </c>
      <c r="K24" s="13" t="s">
        <v>92</v>
      </c>
      <c r="L24" s="13" t="s">
        <v>93</v>
      </c>
      <c r="M24" s="13" t="s">
        <v>71</v>
      </c>
      <c r="N24" s="13" t="s">
        <v>38</v>
      </c>
      <c r="O24" s="14">
        <v>60.34</v>
      </c>
      <c r="P24" s="14">
        <f t="shared" si="2"/>
        <v>362.04</v>
      </c>
      <c r="Q24" s="14">
        <v>59.54</v>
      </c>
    </row>
    <row r="25">
      <c r="A25" s="12">
        <v>43297.0</v>
      </c>
      <c r="B25" s="12"/>
      <c r="C25" s="12" t="s">
        <v>2348</v>
      </c>
      <c r="D25" s="1" t="s">
        <v>95</v>
      </c>
      <c r="E25" s="15" t="str">
        <f t="shared" si="1"/>
        <v>Jul</v>
      </c>
      <c r="F25" s="13" t="s">
        <v>20</v>
      </c>
      <c r="G25" s="13" t="s">
        <v>2349</v>
      </c>
      <c r="H25" s="13" t="s">
        <v>2350</v>
      </c>
      <c r="I25" s="13" t="s">
        <v>23</v>
      </c>
      <c r="J25" s="13">
        <v>1.0</v>
      </c>
      <c r="K25" s="13" t="s">
        <v>98</v>
      </c>
      <c r="L25" s="13" t="s">
        <v>99</v>
      </c>
      <c r="M25" s="13" t="s">
        <v>100</v>
      </c>
      <c r="N25" s="13" t="s">
        <v>27</v>
      </c>
      <c r="O25" s="14">
        <v>71.372</v>
      </c>
      <c r="P25" s="14">
        <f t="shared" si="2"/>
        <v>71.372</v>
      </c>
      <c r="Q25" s="14">
        <v>70.8</v>
      </c>
    </row>
    <row r="26">
      <c r="A26" s="12">
        <v>42638.0</v>
      </c>
      <c r="B26" s="12"/>
      <c r="C26" s="12" t="s">
        <v>2329</v>
      </c>
      <c r="D26" s="1" t="s">
        <v>102</v>
      </c>
      <c r="E26" s="15" t="str">
        <f t="shared" si="1"/>
        <v>Sep</v>
      </c>
      <c r="F26" s="13" t="s">
        <v>41</v>
      </c>
      <c r="G26" s="13" t="s">
        <v>2351</v>
      </c>
      <c r="H26" s="13" t="s">
        <v>2352</v>
      </c>
      <c r="I26" s="13" t="s">
        <v>23</v>
      </c>
      <c r="J26" s="13">
        <v>8.0</v>
      </c>
      <c r="K26" s="13" t="s">
        <v>105</v>
      </c>
      <c r="L26" s="13" t="s">
        <v>83</v>
      </c>
      <c r="M26" s="13" t="s">
        <v>37</v>
      </c>
      <c r="N26" s="13" t="s">
        <v>27</v>
      </c>
      <c r="O26" s="14">
        <v>1044.63</v>
      </c>
      <c r="P26" s="14">
        <f t="shared" si="2"/>
        <v>8357.04</v>
      </c>
      <c r="Q26" s="14">
        <v>1044.05</v>
      </c>
    </row>
    <row r="27">
      <c r="A27" s="12">
        <v>42751.0</v>
      </c>
      <c r="B27" s="12"/>
      <c r="C27" s="12" t="s">
        <v>2353</v>
      </c>
      <c r="D27" s="1" t="s">
        <v>107</v>
      </c>
      <c r="E27" s="15" t="str">
        <f t="shared" si="1"/>
        <v>Jan</v>
      </c>
      <c r="F27" s="13" t="s">
        <v>20</v>
      </c>
      <c r="G27" s="13" t="s">
        <v>2354</v>
      </c>
      <c r="H27" s="13" t="s">
        <v>2355</v>
      </c>
      <c r="I27" s="13" t="s">
        <v>23</v>
      </c>
      <c r="J27" s="13">
        <v>9.0</v>
      </c>
      <c r="K27" s="13" t="s">
        <v>35</v>
      </c>
      <c r="L27" s="13" t="s">
        <v>52</v>
      </c>
      <c r="M27" s="13" t="s">
        <v>37</v>
      </c>
      <c r="N27" s="13" t="s">
        <v>38</v>
      </c>
      <c r="O27" s="14">
        <v>11.648</v>
      </c>
      <c r="P27" s="14">
        <f t="shared" si="2"/>
        <v>104.832</v>
      </c>
      <c r="Q27" s="14">
        <v>11.39</v>
      </c>
    </row>
    <row r="28">
      <c r="A28" s="12">
        <v>42751.0</v>
      </c>
      <c r="B28" s="12"/>
      <c r="C28" s="12" t="s">
        <v>2353</v>
      </c>
      <c r="D28" s="1" t="s">
        <v>107</v>
      </c>
      <c r="E28" s="15" t="str">
        <f t="shared" si="1"/>
        <v>Jan</v>
      </c>
      <c r="F28" s="13" t="s">
        <v>20</v>
      </c>
      <c r="G28" s="13" t="s">
        <v>2354</v>
      </c>
      <c r="H28" s="13" t="s">
        <v>2355</v>
      </c>
      <c r="I28" s="13" t="s">
        <v>23</v>
      </c>
      <c r="J28" s="13">
        <v>9.0</v>
      </c>
      <c r="K28" s="13" t="s">
        <v>35</v>
      </c>
      <c r="L28" s="13" t="s">
        <v>52</v>
      </c>
      <c r="M28" s="13" t="s">
        <v>37</v>
      </c>
      <c r="N28" s="13" t="s">
        <v>51</v>
      </c>
      <c r="O28" s="14">
        <v>90.57</v>
      </c>
      <c r="P28" s="14">
        <f t="shared" si="2"/>
        <v>815.13</v>
      </c>
      <c r="Q28" s="14">
        <v>89.64</v>
      </c>
    </row>
    <row r="29">
      <c r="A29" s="12">
        <v>42630.0</v>
      </c>
      <c r="B29" s="12"/>
      <c r="C29" s="12" t="s">
        <v>2329</v>
      </c>
      <c r="D29" s="1" t="s">
        <v>111</v>
      </c>
      <c r="E29" s="15" t="str">
        <f t="shared" si="1"/>
        <v>Sep</v>
      </c>
      <c r="F29" s="13" t="s">
        <v>41</v>
      </c>
      <c r="G29" s="13" t="s">
        <v>2356</v>
      </c>
      <c r="H29" s="13" t="s">
        <v>2357</v>
      </c>
      <c r="I29" s="13" t="s">
        <v>23</v>
      </c>
      <c r="J29" s="13">
        <v>1.0</v>
      </c>
      <c r="K29" s="13" t="s">
        <v>98</v>
      </c>
      <c r="L29" s="13" t="s">
        <v>99</v>
      </c>
      <c r="M29" s="13" t="s">
        <v>100</v>
      </c>
      <c r="N29" s="13" t="s">
        <v>27</v>
      </c>
      <c r="O29" s="14">
        <v>3083.43</v>
      </c>
      <c r="P29" s="14">
        <f t="shared" si="2"/>
        <v>3083.43</v>
      </c>
      <c r="Q29" s="14">
        <v>3082.52</v>
      </c>
    </row>
    <row r="30">
      <c r="A30" s="12">
        <v>42630.0</v>
      </c>
      <c r="B30" s="12"/>
      <c r="C30" s="12" t="s">
        <v>2329</v>
      </c>
      <c r="D30" s="1" t="s">
        <v>111</v>
      </c>
      <c r="E30" s="15" t="str">
        <f t="shared" si="1"/>
        <v>Sep</v>
      </c>
      <c r="F30" s="13" t="s">
        <v>41</v>
      </c>
      <c r="G30" s="13" t="s">
        <v>2356</v>
      </c>
      <c r="H30" s="13" t="s">
        <v>2357</v>
      </c>
      <c r="I30" s="13" t="s">
        <v>23</v>
      </c>
      <c r="J30" s="13">
        <v>1.0</v>
      </c>
      <c r="K30" s="13" t="s">
        <v>98</v>
      </c>
      <c r="L30" s="13" t="s">
        <v>99</v>
      </c>
      <c r="M30" s="13" t="s">
        <v>100</v>
      </c>
      <c r="N30" s="13" t="s">
        <v>38</v>
      </c>
      <c r="O30" s="14">
        <v>9.618</v>
      </c>
      <c r="P30" s="14">
        <f t="shared" si="2"/>
        <v>9.618</v>
      </c>
      <c r="Q30" s="14">
        <v>9.01</v>
      </c>
    </row>
    <row r="31">
      <c r="A31" s="12">
        <v>42630.0</v>
      </c>
      <c r="B31" s="12"/>
      <c r="C31" s="12" t="s">
        <v>2329</v>
      </c>
      <c r="D31" s="1" t="s">
        <v>111</v>
      </c>
      <c r="E31" s="15" t="str">
        <f t="shared" si="1"/>
        <v>Sep</v>
      </c>
      <c r="F31" s="13" t="s">
        <v>41</v>
      </c>
      <c r="G31" s="13" t="s">
        <v>2356</v>
      </c>
      <c r="H31" s="13" t="s">
        <v>2357</v>
      </c>
      <c r="I31" s="13" t="s">
        <v>23</v>
      </c>
      <c r="J31" s="13">
        <v>1.0</v>
      </c>
      <c r="K31" s="13" t="s">
        <v>98</v>
      </c>
      <c r="L31" s="13" t="s">
        <v>99</v>
      </c>
      <c r="M31" s="13" t="s">
        <v>100</v>
      </c>
      <c r="N31" s="13" t="s">
        <v>27</v>
      </c>
      <c r="O31" s="14">
        <v>124.2</v>
      </c>
      <c r="P31" s="14">
        <f t="shared" si="2"/>
        <v>124.2</v>
      </c>
      <c r="Q31" s="14">
        <v>123.99</v>
      </c>
    </row>
    <row r="32">
      <c r="A32" s="12">
        <v>42630.0</v>
      </c>
      <c r="B32" s="12"/>
      <c r="C32" s="12" t="s">
        <v>2329</v>
      </c>
      <c r="D32" s="1" t="s">
        <v>111</v>
      </c>
      <c r="E32" s="15" t="str">
        <f t="shared" si="1"/>
        <v>Sep</v>
      </c>
      <c r="F32" s="13" t="s">
        <v>41</v>
      </c>
      <c r="G32" s="13" t="s">
        <v>2356</v>
      </c>
      <c r="H32" s="13" t="s">
        <v>2357</v>
      </c>
      <c r="I32" s="13" t="s">
        <v>23</v>
      </c>
      <c r="J32" s="13">
        <v>1.0</v>
      </c>
      <c r="K32" s="13" t="s">
        <v>98</v>
      </c>
      <c r="L32" s="13" t="s">
        <v>99</v>
      </c>
      <c r="M32" s="13" t="s">
        <v>100</v>
      </c>
      <c r="N32" s="13" t="s">
        <v>38</v>
      </c>
      <c r="O32" s="14">
        <v>3.264</v>
      </c>
      <c r="P32" s="14">
        <f t="shared" si="2"/>
        <v>3.264</v>
      </c>
      <c r="Q32" s="14">
        <v>3.11</v>
      </c>
    </row>
    <row r="33">
      <c r="A33" s="12">
        <v>42630.0</v>
      </c>
      <c r="B33" s="12"/>
      <c r="C33" s="12" t="s">
        <v>2329</v>
      </c>
      <c r="D33" s="1" t="s">
        <v>111</v>
      </c>
      <c r="E33" s="15" t="str">
        <f t="shared" si="1"/>
        <v>Sep</v>
      </c>
      <c r="F33" s="13" t="s">
        <v>41</v>
      </c>
      <c r="G33" s="13" t="s">
        <v>2356</v>
      </c>
      <c r="H33" s="13" t="s">
        <v>2357</v>
      </c>
      <c r="I33" s="13" t="s">
        <v>23</v>
      </c>
      <c r="J33" s="13">
        <v>1.0</v>
      </c>
      <c r="K33" s="13" t="s">
        <v>98</v>
      </c>
      <c r="L33" s="13" t="s">
        <v>99</v>
      </c>
      <c r="M33" s="13" t="s">
        <v>100</v>
      </c>
      <c r="N33" s="13" t="s">
        <v>38</v>
      </c>
      <c r="O33" s="14">
        <v>86.304</v>
      </c>
      <c r="P33" s="14">
        <f t="shared" si="2"/>
        <v>86.304</v>
      </c>
      <c r="Q33" s="14">
        <v>85.88</v>
      </c>
    </row>
    <row r="34">
      <c r="A34" s="12">
        <v>42630.0</v>
      </c>
      <c r="B34" s="12"/>
      <c r="C34" s="12" t="s">
        <v>2329</v>
      </c>
      <c r="D34" s="1" t="s">
        <v>111</v>
      </c>
      <c r="E34" s="15" t="str">
        <f t="shared" si="1"/>
        <v>Sep</v>
      </c>
      <c r="F34" s="13" t="s">
        <v>41</v>
      </c>
      <c r="G34" s="13" t="s">
        <v>2356</v>
      </c>
      <c r="H34" s="13" t="s">
        <v>2357</v>
      </c>
      <c r="I34" s="13" t="s">
        <v>23</v>
      </c>
      <c r="J34" s="13">
        <v>1.0</v>
      </c>
      <c r="K34" s="13" t="s">
        <v>98</v>
      </c>
      <c r="L34" s="13" t="s">
        <v>99</v>
      </c>
      <c r="M34" s="13" t="s">
        <v>100</v>
      </c>
      <c r="N34" s="13" t="s">
        <v>38</v>
      </c>
      <c r="O34" s="14">
        <v>6.858</v>
      </c>
      <c r="P34" s="14">
        <f t="shared" si="2"/>
        <v>6.858</v>
      </c>
      <c r="Q34" s="14">
        <v>6.8</v>
      </c>
    </row>
    <row r="35">
      <c r="A35" s="12">
        <v>42630.0</v>
      </c>
      <c r="B35" s="12"/>
      <c r="C35" s="12" t="s">
        <v>2329</v>
      </c>
      <c r="D35" s="1" t="s">
        <v>111</v>
      </c>
      <c r="E35" s="15" t="str">
        <f t="shared" si="1"/>
        <v>Sep</v>
      </c>
      <c r="F35" s="13" t="s">
        <v>41</v>
      </c>
      <c r="G35" s="13" t="s">
        <v>2356</v>
      </c>
      <c r="H35" s="13" t="s">
        <v>2357</v>
      </c>
      <c r="I35" s="13" t="s">
        <v>23</v>
      </c>
      <c r="J35" s="13">
        <v>1.0</v>
      </c>
      <c r="K35" s="13" t="s">
        <v>98</v>
      </c>
      <c r="L35" s="13" t="s">
        <v>99</v>
      </c>
      <c r="M35" s="13" t="s">
        <v>100</v>
      </c>
      <c r="N35" s="13" t="s">
        <v>38</v>
      </c>
      <c r="O35" s="14">
        <v>15.76</v>
      </c>
      <c r="P35" s="14">
        <f t="shared" si="2"/>
        <v>15.76</v>
      </c>
      <c r="Q35" s="14">
        <v>15.66</v>
      </c>
    </row>
    <row r="36">
      <c r="A36" s="12">
        <v>43392.0</v>
      </c>
      <c r="B36" s="12"/>
      <c r="C36" s="12" t="s">
        <v>2358</v>
      </c>
      <c r="D36" s="1" t="s">
        <v>116</v>
      </c>
      <c r="E36" s="15" t="str">
        <f t="shared" si="1"/>
        <v>Oct</v>
      </c>
      <c r="F36" s="13" t="s">
        <v>20</v>
      </c>
      <c r="G36" s="13" t="s">
        <v>2359</v>
      </c>
      <c r="H36" s="13" t="s">
        <v>2360</v>
      </c>
      <c r="I36" s="13" t="s">
        <v>68</v>
      </c>
      <c r="J36" s="13">
        <v>7.0</v>
      </c>
      <c r="K36" s="13" t="s">
        <v>129</v>
      </c>
      <c r="L36" s="13" t="s">
        <v>70</v>
      </c>
      <c r="M36" s="13" t="s">
        <v>71</v>
      </c>
      <c r="N36" s="13" t="s">
        <v>38</v>
      </c>
      <c r="O36" s="14">
        <v>29.472</v>
      </c>
      <c r="P36" s="14">
        <f t="shared" si="2"/>
        <v>206.304</v>
      </c>
      <c r="Q36" s="14">
        <v>28.94</v>
      </c>
    </row>
    <row r="37">
      <c r="A37" s="12">
        <v>42959.0</v>
      </c>
      <c r="B37" s="12"/>
      <c r="C37" s="12" t="s">
        <v>2322</v>
      </c>
      <c r="D37" s="5">
        <v>43020.0</v>
      </c>
      <c r="E37" s="15" t="str">
        <f t="shared" si="1"/>
        <v>Oct</v>
      </c>
      <c r="F37" s="13" t="s">
        <v>121</v>
      </c>
      <c r="G37" s="13" t="s">
        <v>2361</v>
      </c>
      <c r="H37" s="13" t="s">
        <v>2362</v>
      </c>
      <c r="I37" s="13" t="s">
        <v>34</v>
      </c>
      <c r="J37" s="13">
        <v>7.0</v>
      </c>
      <c r="K37" s="13" t="s">
        <v>124</v>
      </c>
      <c r="L37" s="13" t="s">
        <v>70</v>
      </c>
      <c r="M37" s="13" t="s">
        <v>71</v>
      </c>
      <c r="N37" s="13" t="s">
        <v>51</v>
      </c>
      <c r="O37" s="14">
        <v>1097.544</v>
      </c>
      <c r="P37" s="14">
        <f t="shared" si="2"/>
        <v>7682.808</v>
      </c>
      <c r="Q37" s="14">
        <v>1096.67</v>
      </c>
    </row>
    <row r="38">
      <c r="A38" s="12">
        <v>42959.0</v>
      </c>
      <c r="B38" s="12"/>
      <c r="C38" s="12" t="s">
        <v>2322</v>
      </c>
      <c r="D38" s="5">
        <v>43020.0</v>
      </c>
      <c r="E38" s="15" t="str">
        <f t="shared" si="1"/>
        <v>Oct</v>
      </c>
      <c r="F38" s="13" t="s">
        <v>121</v>
      </c>
      <c r="G38" s="13" t="s">
        <v>2361</v>
      </c>
      <c r="H38" s="13" t="s">
        <v>2362</v>
      </c>
      <c r="I38" s="13" t="s">
        <v>34</v>
      </c>
      <c r="J38" s="13">
        <v>7.0</v>
      </c>
      <c r="K38" s="13" t="s">
        <v>124</v>
      </c>
      <c r="L38" s="13" t="s">
        <v>70</v>
      </c>
      <c r="M38" s="13" t="s">
        <v>71</v>
      </c>
      <c r="N38" s="13" t="s">
        <v>27</v>
      </c>
      <c r="O38" s="14">
        <v>190.92</v>
      </c>
      <c r="P38" s="14">
        <f t="shared" si="2"/>
        <v>1336.44</v>
      </c>
      <c r="Q38" s="14">
        <v>190.8</v>
      </c>
    </row>
    <row r="39">
      <c r="A39" s="12">
        <v>42731.0</v>
      </c>
      <c r="B39" s="12"/>
      <c r="C39" s="12" t="s">
        <v>2325</v>
      </c>
      <c r="D39" s="1" t="s">
        <v>126</v>
      </c>
      <c r="E39" s="15" t="str">
        <f t="shared" si="1"/>
        <v>Dec</v>
      </c>
      <c r="F39" s="13" t="s">
        <v>41</v>
      </c>
      <c r="G39" s="13" t="s">
        <v>2363</v>
      </c>
      <c r="H39" s="13" t="s">
        <v>2364</v>
      </c>
      <c r="I39" s="13" t="s">
        <v>68</v>
      </c>
      <c r="J39" s="13">
        <v>7.0</v>
      </c>
      <c r="K39" s="13" t="s">
        <v>129</v>
      </c>
      <c r="L39" s="13" t="s">
        <v>70</v>
      </c>
      <c r="M39" s="13" t="s">
        <v>71</v>
      </c>
      <c r="N39" s="13" t="s">
        <v>38</v>
      </c>
      <c r="O39" s="14">
        <v>113.328</v>
      </c>
      <c r="P39" s="14">
        <f t="shared" si="2"/>
        <v>793.296</v>
      </c>
      <c r="Q39" s="14">
        <v>112.36</v>
      </c>
    </row>
    <row r="40">
      <c r="A40" s="12">
        <v>42731.0</v>
      </c>
      <c r="B40" s="12"/>
      <c r="C40" s="12" t="s">
        <v>2325</v>
      </c>
      <c r="D40" s="1" t="s">
        <v>126</v>
      </c>
      <c r="E40" s="15" t="str">
        <f t="shared" si="1"/>
        <v>Dec</v>
      </c>
      <c r="F40" s="13" t="s">
        <v>41</v>
      </c>
      <c r="G40" s="13" t="s">
        <v>2363</v>
      </c>
      <c r="H40" s="13" t="s">
        <v>2364</v>
      </c>
      <c r="I40" s="13" t="s">
        <v>68</v>
      </c>
      <c r="J40" s="13">
        <v>7.0</v>
      </c>
      <c r="K40" s="13" t="s">
        <v>129</v>
      </c>
      <c r="L40" s="13" t="s">
        <v>70</v>
      </c>
      <c r="M40" s="13" t="s">
        <v>71</v>
      </c>
      <c r="N40" s="13" t="s">
        <v>27</v>
      </c>
      <c r="O40" s="14">
        <v>532.3992</v>
      </c>
      <c r="P40" s="14">
        <f t="shared" si="2"/>
        <v>3726.7944</v>
      </c>
      <c r="Q40" s="14">
        <v>532.02</v>
      </c>
    </row>
    <row r="41">
      <c r="A41" s="12">
        <v>42731.0</v>
      </c>
      <c r="B41" s="12"/>
      <c r="C41" s="12" t="s">
        <v>2325</v>
      </c>
      <c r="D41" s="1" t="s">
        <v>126</v>
      </c>
      <c r="E41" s="15" t="str">
        <f t="shared" si="1"/>
        <v>Dec</v>
      </c>
      <c r="F41" s="13" t="s">
        <v>41</v>
      </c>
      <c r="G41" s="13" t="s">
        <v>2363</v>
      </c>
      <c r="H41" s="13" t="s">
        <v>2364</v>
      </c>
      <c r="I41" s="13" t="s">
        <v>68</v>
      </c>
      <c r="J41" s="13">
        <v>7.0</v>
      </c>
      <c r="K41" s="13" t="s">
        <v>129</v>
      </c>
      <c r="L41" s="13" t="s">
        <v>70</v>
      </c>
      <c r="M41" s="13" t="s">
        <v>71</v>
      </c>
      <c r="N41" s="13" t="s">
        <v>27</v>
      </c>
      <c r="O41" s="14">
        <v>212.058</v>
      </c>
      <c r="P41" s="14">
        <f t="shared" si="2"/>
        <v>1484.406</v>
      </c>
      <c r="Q41" s="14">
        <v>211.08</v>
      </c>
    </row>
    <row r="42">
      <c r="A42" s="12">
        <v>42731.0</v>
      </c>
      <c r="B42" s="12"/>
      <c r="C42" s="12" t="s">
        <v>2325</v>
      </c>
      <c r="D42" s="1" t="s">
        <v>126</v>
      </c>
      <c r="E42" s="15" t="str">
        <f t="shared" si="1"/>
        <v>Dec</v>
      </c>
      <c r="F42" s="13" t="s">
        <v>41</v>
      </c>
      <c r="G42" s="13" t="s">
        <v>2363</v>
      </c>
      <c r="H42" s="13" t="s">
        <v>2364</v>
      </c>
      <c r="I42" s="13" t="s">
        <v>68</v>
      </c>
      <c r="J42" s="13">
        <v>7.0</v>
      </c>
      <c r="K42" s="13" t="s">
        <v>129</v>
      </c>
      <c r="L42" s="13" t="s">
        <v>70</v>
      </c>
      <c r="M42" s="13" t="s">
        <v>71</v>
      </c>
      <c r="N42" s="13" t="s">
        <v>51</v>
      </c>
      <c r="O42" s="14">
        <v>371.168</v>
      </c>
      <c r="P42" s="14">
        <f t="shared" si="2"/>
        <v>2598.176</v>
      </c>
      <c r="Q42" s="14">
        <v>370.36</v>
      </c>
    </row>
    <row r="43">
      <c r="A43" s="12">
        <v>43382.0</v>
      </c>
      <c r="B43" s="12"/>
      <c r="C43" s="12" t="s">
        <v>2358</v>
      </c>
      <c r="D43" s="1" t="s">
        <v>131</v>
      </c>
      <c r="E43" s="15" t="str">
        <f t="shared" si="1"/>
        <v>Sep</v>
      </c>
      <c r="F43" s="13" t="s">
        <v>41</v>
      </c>
      <c r="G43" s="13" t="s">
        <v>2365</v>
      </c>
      <c r="H43" s="13" t="s">
        <v>2366</v>
      </c>
      <c r="I43" s="13" t="s">
        <v>34</v>
      </c>
      <c r="J43" s="13">
        <v>6.0</v>
      </c>
      <c r="K43" s="13" t="s">
        <v>134</v>
      </c>
      <c r="L43" s="13" t="s">
        <v>135</v>
      </c>
      <c r="M43" s="13" t="s">
        <v>71</v>
      </c>
      <c r="N43" s="13" t="s">
        <v>51</v>
      </c>
      <c r="O43" s="14">
        <v>147.168</v>
      </c>
      <c r="P43" s="14">
        <f t="shared" si="2"/>
        <v>883.008</v>
      </c>
      <c r="Q43" s="14">
        <v>146.34</v>
      </c>
    </row>
    <row r="44">
      <c r="A44" s="12">
        <v>42933.0</v>
      </c>
      <c r="B44" s="12"/>
      <c r="C44" s="12" t="s">
        <v>2348</v>
      </c>
      <c r="D44" s="1" t="s">
        <v>137</v>
      </c>
      <c r="E44" s="15" t="str">
        <f t="shared" si="1"/>
        <v>Jul</v>
      </c>
      <c r="F44" s="13" t="s">
        <v>41</v>
      </c>
      <c r="G44" s="13" t="s">
        <v>2367</v>
      </c>
      <c r="H44" s="13" t="s">
        <v>2368</v>
      </c>
      <c r="I44" s="13" t="s">
        <v>34</v>
      </c>
      <c r="J44" s="13">
        <v>9.0</v>
      </c>
      <c r="K44" s="13" t="s">
        <v>35</v>
      </c>
      <c r="L44" s="13" t="s">
        <v>52</v>
      </c>
      <c r="M44" s="13" t="s">
        <v>37</v>
      </c>
      <c r="N44" s="13" t="s">
        <v>38</v>
      </c>
      <c r="O44" s="14">
        <v>77.88</v>
      </c>
      <c r="P44" s="14">
        <f t="shared" si="2"/>
        <v>700.92</v>
      </c>
      <c r="Q44" s="14">
        <v>77.43</v>
      </c>
    </row>
    <row r="45">
      <c r="A45" s="12">
        <v>43362.0</v>
      </c>
      <c r="B45" s="12"/>
      <c r="C45" s="12" t="s">
        <v>2329</v>
      </c>
      <c r="D45" s="1" t="s">
        <v>141</v>
      </c>
      <c r="E45" s="15" t="str">
        <f t="shared" si="1"/>
        <v>Sep</v>
      </c>
      <c r="F45" s="13" t="s">
        <v>41</v>
      </c>
      <c r="G45" s="13" t="s">
        <v>2369</v>
      </c>
      <c r="H45" s="13" t="s">
        <v>2370</v>
      </c>
      <c r="I45" s="13" t="s">
        <v>34</v>
      </c>
      <c r="J45" s="13">
        <v>3.0</v>
      </c>
      <c r="K45" s="13" t="s">
        <v>144</v>
      </c>
      <c r="L45" s="13" t="s">
        <v>145</v>
      </c>
      <c r="M45" s="13" t="s">
        <v>26</v>
      </c>
      <c r="N45" s="13" t="s">
        <v>38</v>
      </c>
      <c r="O45" s="14">
        <v>95.616</v>
      </c>
      <c r="P45" s="14">
        <f t="shared" si="2"/>
        <v>286.848</v>
      </c>
      <c r="Q45" s="14">
        <v>94.71</v>
      </c>
    </row>
    <row r="46">
      <c r="A46" s="12">
        <v>43042.0</v>
      </c>
      <c r="B46" s="12"/>
      <c r="C46" s="12" t="s">
        <v>2326</v>
      </c>
      <c r="D46" s="1" t="s">
        <v>147</v>
      </c>
      <c r="E46" s="15" t="str">
        <f t="shared" si="1"/>
        <v>Mar</v>
      </c>
      <c r="F46" s="13" t="s">
        <v>121</v>
      </c>
      <c r="G46" s="13" t="s">
        <v>2371</v>
      </c>
      <c r="H46" s="13" t="s">
        <v>2372</v>
      </c>
      <c r="I46" s="13" t="s">
        <v>34</v>
      </c>
      <c r="J46" s="13">
        <v>5.0</v>
      </c>
      <c r="K46" s="13" t="s">
        <v>150</v>
      </c>
      <c r="L46" s="13" t="s">
        <v>151</v>
      </c>
      <c r="M46" s="13" t="s">
        <v>71</v>
      </c>
      <c r="N46" s="13" t="s">
        <v>51</v>
      </c>
      <c r="O46" s="14">
        <v>45.98</v>
      </c>
      <c r="P46" s="14">
        <f t="shared" si="2"/>
        <v>229.9</v>
      </c>
      <c r="Q46" s="14">
        <v>45.84</v>
      </c>
    </row>
    <row r="47">
      <c r="A47" s="12">
        <v>43042.0</v>
      </c>
      <c r="B47" s="12"/>
      <c r="C47" s="12" t="s">
        <v>2326</v>
      </c>
      <c r="D47" s="1" t="s">
        <v>147</v>
      </c>
      <c r="E47" s="15" t="str">
        <f t="shared" si="1"/>
        <v>Mar</v>
      </c>
      <c r="F47" s="13" t="s">
        <v>121</v>
      </c>
      <c r="G47" s="13" t="s">
        <v>2371</v>
      </c>
      <c r="H47" s="13" t="s">
        <v>2372</v>
      </c>
      <c r="I47" s="13" t="s">
        <v>34</v>
      </c>
      <c r="J47" s="13">
        <v>5.0</v>
      </c>
      <c r="K47" s="13" t="s">
        <v>150</v>
      </c>
      <c r="L47" s="13" t="s">
        <v>151</v>
      </c>
      <c r="M47" s="13" t="s">
        <v>71</v>
      </c>
      <c r="N47" s="13" t="s">
        <v>38</v>
      </c>
      <c r="O47" s="14">
        <v>17.46</v>
      </c>
      <c r="P47" s="14">
        <f t="shared" si="2"/>
        <v>87.3</v>
      </c>
      <c r="Q47" s="14">
        <v>17.12</v>
      </c>
    </row>
    <row r="48">
      <c r="A48" s="12">
        <v>42297.0</v>
      </c>
      <c r="B48" s="12"/>
      <c r="C48" s="12" t="s">
        <v>2358</v>
      </c>
      <c r="D48" s="1" t="s">
        <v>153</v>
      </c>
      <c r="E48" s="15" t="str">
        <f t="shared" si="1"/>
        <v>Oct</v>
      </c>
      <c r="F48" s="13" t="s">
        <v>20</v>
      </c>
      <c r="G48" s="13" t="s">
        <v>2373</v>
      </c>
      <c r="H48" s="13" t="s">
        <v>2328</v>
      </c>
      <c r="I48" s="13" t="s">
        <v>23</v>
      </c>
      <c r="J48" s="13">
        <v>4.0</v>
      </c>
      <c r="K48" s="13" t="s">
        <v>156</v>
      </c>
      <c r="L48" s="13" t="s">
        <v>157</v>
      </c>
      <c r="M48" s="13" t="s">
        <v>71</v>
      </c>
      <c r="N48" s="13" t="s">
        <v>38</v>
      </c>
      <c r="O48" s="14">
        <v>211.96</v>
      </c>
      <c r="P48" s="14">
        <f t="shared" si="2"/>
        <v>847.84</v>
      </c>
      <c r="Q48" s="14">
        <v>211.46</v>
      </c>
    </row>
    <row r="49">
      <c r="A49" s="12">
        <v>42906.0</v>
      </c>
      <c r="B49" s="12"/>
      <c r="C49" s="12" t="s">
        <v>2374</v>
      </c>
      <c r="D49" s="1" t="s">
        <v>159</v>
      </c>
      <c r="E49" s="15" t="str">
        <f t="shared" si="1"/>
        <v>Jun</v>
      </c>
      <c r="F49" s="13" t="s">
        <v>41</v>
      </c>
      <c r="G49" s="13" t="s">
        <v>2375</v>
      </c>
      <c r="H49" s="13" t="s">
        <v>2376</v>
      </c>
      <c r="I49" s="13" t="s">
        <v>23</v>
      </c>
      <c r="J49" s="13">
        <v>1.0</v>
      </c>
      <c r="K49" s="13" t="s">
        <v>162</v>
      </c>
      <c r="L49" s="13" t="s">
        <v>163</v>
      </c>
      <c r="M49" s="13" t="s">
        <v>100</v>
      </c>
      <c r="N49" s="13" t="s">
        <v>51</v>
      </c>
      <c r="O49" s="14">
        <v>45.0</v>
      </c>
      <c r="P49" s="14">
        <f t="shared" si="2"/>
        <v>45</v>
      </c>
      <c r="Q49" s="14">
        <v>44.59</v>
      </c>
    </row>
    <row r="50">
      <c r="A50" s="12">
        <v>42906.0</v>
      </c>
      <c r="B50" s="12"/>
      <c r="C50" s="12" t="s">
        <v>2374</v>
      </c>
      <c r="D50" s="1" t="s">
        <v>159</v>
      </c>
      <c r="E50" s="15" t="str">
        <f t="shared" si="1"/>
        <v>Jun</v>
      </c>
      <c r="F50" s="13" t="s">
        <v>41</v>
      </c>
      <c r="G50" s="13" t="s">
        <v>2375</v>
      </c>
      <c r="H50" s="13" t="s">
        <v>2376</v>
      </c>
      <c r="I50" s="13" t="s">
        <v>23</v>
      </c>
      <c r="J50" s="13">
        <v>1.0</v>
      </c>
      <c r="K50" s="13" t="s">
        <v>162</v>
      </c>
      <c r="L50" s="13" t="s">
        <v>163</v>
      </c>
      <c r="M50" s="13" t="s">
        <v>100</v>
      </c>
      <c r="N50" s="13" t="s">
        <v>51</v>
      </c>
      <c r="O50" s="14">
        <v>21.8</v>
      </c>
      <c r="P50" s="14">
        <f t="shared" si="2"/>
        <v>21.8</v>
      </c>
      <c r="Q50" s="14">
        <v>21.04</v>
      </c>
    </row>
    <row r="51">
      <c r="A51" s="12">
        <v>42478.0</v>
      </c>
      <c r="B51" s="12"/>
      <c r="C51" s="12" t="s">
        <v>2332</v>
      </c>
      <c r="D51" s="1" t="s">
        <v>165</v>
      </c>
      <c r="E51" s="15" t="str">
        <f t="shared" si="1"/>
        <v>Apr</v>
      </c>
      <c r="F51" s="13" t="s">
        <v>41</v>
      </c>
      <c r="G51" s="13" t="s">
        <v>2377</v>
      </c>
      <c r="H51" s="13" t="s">
        <v>2378</v>
      </c>
      <c r="I51" s="13" t="s">
        <v>23</v>
      </c>
      <c r="J51" s="13">
        <v>4.0</v>
      </c>
      <c r="K51" s="13" t="s">
        <v>168</v>
      </c>
      <c r="L51" s="13" t="s">
        <v>169</v>
      </c>
      <c r="M51" s="13" t="s">
        <v>71</v>
      </c>
      <c r="N51" s="13" t="s">
        <v>38</v>
      </c>
      <c r="O51" s="14">
        <v>38.22</v>
      </c>
      <c r="P51" s="14">
        <f t="shared" si="2"/>
        <v>152.88</v>
      </c>
      <c r="Q51" s="14">
        <v>37.28</v>
      </c>
    </row>
    <row r="52">
      <c r="A52" s="12">
        <v>42478.0</v>
      </c>
      <c r="B52" s="12"/>
      <c r="C52" s="12" t="s">
        <v>2332</v>
      </c>
      <c r="D52" s="1" t="s">
        <v>165</v>
      </c>
      <c r="E52" s="15" t="str">
        <f t="shared" si="1"/>
        <v>Apr</v>
      </c>
      <c r="F52" s="13" t="s">
        <v>41</v>
      </c>
      <c r="G52" s="13" t="s">
        <v>2377</v>
      </c>
      <c r="H52" s="13" t="s">
        <v>2378</v>
      </c>
      <c r="I52" s="13" t="s">
        <v>23</v>
      </c>
      <c r="J52" s="13">
        <v>4.0</v>
      </c>
      <c r="K52" s="13" t="s">
        <v>168</v>
      </c>
      <c r="L52" s="13" t="s">
        <v>169</v>
      </c>
      <c r="M52" s="13" t="s">
        <v>71</v>
      </c>
      <c r="N52" s="13" t="s">
        <v>38</v>
      </c>
      <c r="O52" s="14">
        <v>75.18</v>
      </c>
      <c r="P52" s="14">
        <f t="shared" si="2"/>
        <v>300.72</v>
      </c>
      <c r="Q52" s="14">
        <v>75.01</v>
      </c>
    </row>
    <row r="53">
      <c r="A53" s="12">
        <v>42478.0</v>
      </c>
      <c r="B53" s="12"/>
      <c r="C53" s="12" t="s">
        <v>2332</v>
      </c>
      <c r="D53" s="1" t="s">
        <v>165</v>
      </c>
      <c r="E53" s="15" t="str">
        <f t="shared" si="1"/>
        <v>Apr</v>
      </c>
      <c r="F53" s="13" t="s">
        <v>41</v>
      </c>
      <c r="G53" s="13" t="s">
        <v>2377</v>
      </c>
      <c r="H53" s="13" t="s">
        <v>2378</v>
      </c>
      <c r="I53" s="13" t="s">
        <v>23</v>
      </c>
      <c r="J53" s="13">
        <v>4.0</v>
      </c>
      <c r="K53" s="13" t="s">
        <v>168</v>
      </c>
      <c r="L53" s="13" t="s">
        <v>169</v>
      </c>
      <c r="M53" s="13" t="s">
        <v>71</v>
      </c>
      <c r="N53" s="13" t="s">
        <v>27</v>
      </c>
      <c r="O53" s="14">
        <v>6.16</v>
      </c>
      <c r="P53" s="14">
        <f t="shared" si="2"/>
        <v>24.64</v>
      </c>
      <c r="Q53" s="14">
        <v>6.03</v>
      </c>
    </row>
    <row r="54">
      <c r="A54" s="12">
        <v>42478.0</v>
      </c>
      <c r="B54" s="12"/>
      <c r="C54" s="12" t="s">
        <v>2332</v>
      </c>
      <c r="D54" s="1" t="s">
        <v>165</v>
      </c>
      <c r="E54" s="15" t="str">
        <f t="shared" si="1"/>
        <v>Apr</v>
      </c>
      <c r="F54" s="13" t="s">
        <v>41</v>
      </c>
      <c r="G54" s="13" t="s">
        <v>2377</v>
      </c>
      <c r="H54" s="13" t="s">
        <v>2378</v>
      </c>
      <c r="I54" s="13" t="s">
        <v>23</v>
      </c>
      <c r="J54" s="13">
        <v>4.0</v>
      </c>
      <c r="K54" s="13" t="s">
        <v>168</v>
      </c>
      <c r="L54" s="13" t="s">
        <v>169</v>
      </c>
      <c r="M54" s="13" t="s">
        <v>71</v>
      </c>
      <c r="N54" s="13" t="s">
        <v>27</v>
      </c>
      <c r="O54" s="14">
        <v>89.99</v>
      </c>
      <c r="P54" s="14">
        <f t="shared" si="2"/>
        <v>359.96</v>
      </c>
      <c r="Q54" s="14">
        <v>89.04</v>
      </c>
    </row>
    <row r="55">
      <c r="A55" s="12">
        <v>43051.0</v>
      </c>
      <c r="B55" s="12"/>
      <c r="C55" s="12" t="s">
        <v>2326</v>
      </c>
      <c r="D55" s="1" t="s">
        <v>171</v>
      </c>
      <c r="E55" s="15" t="str">
        <f t="shared" si="1"/>
        <v>Dec</v>
      </c>
      <c r="F55" s="13" t="s">
        <v>41</v>
      </c>
      <c r="G55" s="13" t="s">
        <v>2379</v>
      </c>
      <c r="H55" s="13" t="s">
        <v>2380</v>
      </c>
      <c r="I55" s="13" t="s">
        <v>34</v>
      </c>
      <c r="J55" s="13">
        <v>1.0</v>
      </c>
      <c r="K55" s="13" t="s">
        <v>174</v>
      </c>
      <c r="L55" s="13" t="s">
        <v>175</v>
      </c>
      <c r="M55" s="13" t="s">
        <v>100</v>
      </c>
      <c r="N55" s="13" t="s">
        <v>38</v>
      </c>
      <c r="O55" s="14">
        <v>15.26</v>
      </c>
      <c r="P55" s="14">
        <f t="shared" si="2"/>
        <v>15.26</v>
      </c>
      <c r="Q55" s="14">
        <v>14.39</v>
      </c>
    </row>
    <row r="56">
      <c r="A56" s="12">
        <v>43051.0</v>
      </c>
      <c r="B56" s="12"/>
      <c r="C56" s="12" t="s">
        <v>2326</v>
      </c>
      <c r="D56" s="1" t="s">
        <v>171</v>
      </c>
      <c r="E56" s="15" t="str">
        <f t="shared" si="1"/>
        <v>Dec</v>
      </c>
      <c r="F56" s="13" t="s">
        <v>41</v>
      </c>
      <c r="G56" s="13" t="s">
        <v>2379</v>
      </c>
      <c r="H56" s="13" t="s">
        <v>2380</v>
      </c>
      <c r="I56" s="13" t="s">
        <v>34</v>
      </c>
      <c r="J56" s="13">
        <v>1.0</v>
      </c>
      <c r="K56" s="13" t="s">
        <v>174</v>
      </c>
      <c r="L56" s="13" t="s">
        <v>175</v>
      </c>
      <c r="M56" s="13" t="s">
        <v>100</v>
      </c>
      <c r="N56" s="13" t="s">
        <v>51</v>
      </c>
      <c r="O56" s="14">
        <v>1029.95</v>
      </c>
      <c r="P56" s="14">
        <f t="shared" si="2"/>
        <v>1029.95</v>
      </c>
      <c r="Q56" s="14">
        <v>1029.71</v>
      </c>
    </row>
    <row r="57">
      <c r="A57" s="12">
        <v>42903.0</v>
      </c>
      <c r="B57" s="12"/>
      <c r="C57" s="12" t="s">
        <v>2374</v>
      </c>
      <c r="D57" s="1" t="s">
        <v>177</v>
      </c>
      <c r="E57" s="15" t="str">
        <f t="shared" si="1"/>
        <v>Jun</v>
      </c>
      <c r="F57" s="13" t="s">
        <v>121</v>
      </c>
      <c r="G57" s="13" t="s">
        <v>2381</v>
      </c>
      <c r="H57" s="13" t="s">
        <v>2382</v>
      </c>
      <c r="I57" s="13" t="s">
        <v>23</v>
      </c>
      <c r="J57" s="13">
        <v>1.0</v>
      </c>
      <c r="K57" s="13" t="s">
        <v>180</v>
      </c>
      <c r="L57" s="13" t="s">
        <v>175</v>
      </c>
      <c r="M57" s="13" t="s">
        <v>100</v>
      </c>
      <c r="N57" s="13" t="s">
        <v>38</v>
      </c>
      <c r="O57" s="14">
        <v>208.56</v>
      </c>
      <c r="P57" s="14">
        <f t="shared" si="2"/>
        <v>208.56</v>
      </c>
      <c r="Q57" s="14">
        <v>208.05</v>
      </c>
    </row>
    <row r="58">
      <c r="A58" s="12">
        <v>42903.0</v>
      </c>
      <c r="B58" s="12"/>
      <c r="C58" s="12" t="s">
        <v>2374</v>
      </c>
      <c r="D58" s="1" t="s">
        <v>177</v>
      </c>
      <c r="E58" s="15" t="str">
        <f t="shared" si="1"/>
        <v>Jun</v>
      </c>
      <c r="F58" s="13" t="s">
        <v>121</v>
      </c>
      <c r="G58" s="13" t="s">
        <v>2381</v>
      </c>
      <c r="H58" s="13" t="s">
        <v>2382</v>
      </c>
      <c r="I58" s="13" t="s">
        <v>23</v>
      </c>
      <c r="J58" s="13">
        <v>1.0</v>
      </c>
      <c r="K58" s="13" t="s">
        <v>180</v>
      </c>
      <c r="L58" s="13" t="s">
        <v>175</v>
      </c>
      <c r="M58" s="13" t="s">
        <v>100</v>
      </c>
      <c r="N58" s="13" t="s">
        <v>38</v>
      </c>
      <c r="O58" s="14">
        <v>32.4</v>
      </c>
      <c r="P58" s="14">
        <f t="shared" si="2"/>
        <v>32.4</v>
      </c>
      <c r="Q58" s="14">
        <v>31.73</v>
      </c>
    </row>
    <row r="59">
      <c r="A59" s="12">
        <v>42903.0</v>
      </c>
      <c r="B59" s="12"/>
      <c r="C59" s="12" t="s">
        <v>2374</v>
      </c>
      <c r="D59" s="1" t="s">
        <v>177</v>
      </c>
      <c r="E59" s="15" t="str">
        <f t="shared" si="1"/>
        <v>Jun</v>
      </c>
      <c r="F59" s="13" t="s">
        <v>121</v>
      </c>
      <c r="G59" s="13" t="s">
        <v>2381</v>
      </c>
      <c r="H59" s="13" t="s">
        <v>2382</v>
      </c>
      <c r="I59" s="13" t="s">
        <v>23</v>
      </c>
      <c r="J59" s="13">
        <v>1.0</v>
      </c>
      <c r="K59" s="13" t="s">
        <v>180</v>
      </c>
      <c r="L59" s="13" t="s">
        <v>175</v>
      </c>
      <c r="M59" s="13" t="s">
        <v>100</v>
      </c>
      <c r="N59" s="13" t="s">
        <v>27</v>
      </c>
      <c r="O59" s="14">
        <v>319.41</v>
      </c>
      <c r="P59" s="14">
        <f t="shared" si="2"/>
        <v>319.41</v>
      </c>
      <c r="Q59" s="14">
        <v>319.3</v>
      </c>
    </row>
    <row r="60">
      <c r="A60" s="12">
        <v>42903.0</v>
      </c>
      <c r="B60" s="12"/>
      <c r="C60" s="12" t="s">
        <v>2374</v>
      </c>
      <c r="D60" s="1" t="s">
        <v>177</v>
      </c>
      <c r="E60" s="15" t="str">
        <f t="shared" si="1"/>
        <v>Jun</v>
      </c>
      <c r="F60" s="13" t="s">
        <v>121</v>
      </c>
      <c r="G60" s="13" t="s">
        <v>2381</v>
      </c>
      <c r="H60" s="13" t="s">
        <v>2382</v>
      </c>
      <c r="I60" s="13" t="s">
        <v>23</v>
      </c>
      <c r="J60" s="13">
        <v>1.0</v>
      </c>
      <c r="K60" s="13" t="s">
        <v>180</v>
      </c>
      <c r="L60" s="13" t="s">
        <v>175</v>
      </c>
      <c r="M60" s="13" t="s">
        <v>100</v>
      </c>
      <c r="N60" s="13" t="s">
        <v>38</v>
      </c>
      <c r="O60" s="14">
        <v>14.56</v>
      </c>
      <c r="P60" s="14">
        <f t="shared" si="2"/>
        <v>14.56</v>
      </c>
      <c r="Q60" s="14">
        <v>13.78</v>
      </c>
    </row>
    <row r="61">
      <c r="A61" s="12">
        <v>42903.0</v>
      </c>
      <c r="B61" s="12"/>
      <c r="C61" s="12" t="s">
        <v>2374</v>
      </c>
      <c r="D61" s="1" t="s">
        <v>177</v>
      </c>
      <c r="E61" s="15" t="str">
        <f t="shared" si="1"/>
        <v>Jun</v>
      </c>
      <c r="F61" s="13" t="s">
        <v>121</v>
      </c>
      <c r="G61" s="13" t="s">
        <v>2381</v>
      </c>
      <c r="H61" s="13" t="s">
        <v>2382</v>
      </c>
      <c r="I61" s="13" t="s">
        <v>23</v>
      </c>
      <c r="J61" s="13">
        <v>1.0</v>
      </c>
      <c r="K61" s="13" t="s">
        <v>180</v>
      </c>
      <c r="L61" s="13" t="s">
        <v>175</v>
      </c>
      <c r="M61" s="13" t="s">
        <v>100</v>
      </c>
      <c r="N61" s="13" t="s">
        <v>51</v>
      </c>
      <c r="O61" s="14">
        <v>30.0</v>
      </c>
      <c r="P61" s="14">
        <f t="shared" si="2"/>
        <v>30</v>
      </c>
      <c r="Q61" s="14">
        <v>29.62</v>
      </c>
    </row>
    <row r="62">
      <c r="A62" s="12">
        <v>42903.0</v>
      </c>
      <c r="B62" s="12"/>
      <c r="C62" s="12" t="s">
        <v>2374</v>
      </c>
      <c r="D62" s="1" t="s">
        <v>177</v>
      </c>
      <c r="E62" s="15" t="str">
        <f t="shared" si="1"/>
        <v>Jun</v>
      </c>
      <c r="F62" s="13" t="s">
        <v>121</v>
      </c>
      <c r="G62" s="13" t="s">
        <v>2381</v>
      </c>
      <c r="H62" s="13" t="s">
        <v>2382</v>
      </c>
      <c r="I62" s="13" t="s">
        <v>23</v>
      </c>
      <c r="J62" s="13">
        <v>1.0</v>
      </c>
      <c r="K62" s="13" t="s">
        <v>180</v>
      </c>
      <c r="L62" s="13" t="s">
        <v>175</v>
      </c>
      <c r="M62" s="13" t="s">
        <v>100</v>
      </c>
      <c r="N62" s="13" t="s">
        <v>38</v>
      </c>
      <c r="O62" s="14">
        <v>48.48</v>
      </c>
      <c r="P62" s="14">
        <f t="shared" si="2"/>
        <v>48.48</v>
      </c>
      <c r="Q62" s="14">
        <v>48.41</v>
      </c>
    </row>
    <row r="63">
      <c r="A63" s="12">
        <v>42903.0</v>
      </c>
      <c r="B63" s="12"/>
      <c r="C63" s="12" t="s">
        <v>2374</v>
      </c>
      <c r="D63" s="1" t="s">
        <v>177</v>
      </c>
      <c r="E63" s="15" t="str">
        <f t="shared" si="1"/>
        <v>Jun</v>
      </c>
      <c r="F63" s="13" t="s">
        <v>121</v>
      </c>
      <c r="G63" s="13" t="s">
        <v>2381</v>
      </c>
      <c r="H63" s="13" t="s">
        <v>2382</v>
      </c>
      <c r="I63" s="13" t="s">
        <v>23</v>
      </c>
      <c r="J63" s="13">
        <v>1.0</v>
      </c>
      <c r="K63" s="13" t="s">
        <v>180</v>
      </c>
      <c r="L63" s="13" t="s">
        <v>175</v>
      </c>
      <c r="M63" s="13" t="s">
        <v>100</v>
      </c>
      <c r="N63" s="13" t="s">
        <v>38</v>
      </c>
      <c r="O63" s="14">
        <v>1.68</v>
      </c>
      <c r="P63" s="14">
        <f t="shared" si="2"/>
        <v>1.68</v>
      </c>
      <c r="Q63" s="14">
        <v>0.97</v>
      </c>
    </row>
    <row r="64">
      <c r="A64" s="12">
        <v>42698.0</v>
      </c>
      <c r="B64" s="12"/>
      <c r="C64" s="12" t="s">
        <v>2326</v>
      </c>
      <c r="D64" s="1" t="s">
        <v>182</v>
      </c>
      <c r="E64" s="15" t="str">
        <f t="shared" si="1"/>
        <v>Nov</v>
      </c>
      <c r="F64" s="13" t="s">
        <v>41</v>
      </c>
      <c r="G64" s="13" t="s">
        <v>2383</v>
      </c>
      <c r="H64" s="13" t="s">
        <v>2384</v>
      </c>
      <c r="I64" s="13" t="s">
        <v>23</v>
      </c>
      <c r="J64" s="13">
        <v>9.0</v>
      </c>
      <c r="K64" s="13" t="s">
        <v>35</v>
      </c>
      <c r="L64" s="13" t="s">
        <v>52</v>
      </c>
      <c r="M64" s="13" t="s">
        <v>37</v>
      </c>
      <c r="N64" s="13" t="s">
        <v>51</v>
      </c>
      <c r="O64" s="14">
        <v>13.98</v>
      </c>
      <c r="P64" s="14">
        <f t="shared" si="2"/>
        <v>125.82</v>
      </c>
      <c r="Q64" s="14">
        <v>13.69</v>
      </c>
    </row>
    <row r="65">
      <c r="A65" s="12">
        <v>42698.0</v>
      </c>
      <c r="B65" s="12"/>
      <c r="C65" s="12" t="s">
        <v>2326</v>
      </c>
      <c r="D65" s="1" t="s">
        <v>182</v>
      </c>
      <c r="E65" s="15" t="str">
        <f t="shared" si="1"/>
        <v>Nov</v>
      </c>
      <c r="F65" s="13" t="s">
        <v>41</v>
      </c>
      <c r="G65" s="13" t="s">
        <v>2383</v>
      </c>
      <c r="H65" s="13" t="s">
        <v>2384</v>
      </c>
      <c r="I65" s="13" t="s">
        <v>23</v>
      </c>
      <c r="J65" s="13">
        <v>9.0</v>
      </c>
      <c r="K65" s="13" t="s">
        <v>35</v>
      </c>
      <c r="L65" s="13" t="s">
        <v>52</v>
      </c>
      <c r="M65" s="13" t="s">
        <v>37</v>
      </c>
      <c r="N65" s="13" t="s">
        <v>38</v>
      </c>
      <c r="O65" s="14">
        <v>25.824</v>
      </c>
      <c r="P65" s="14">
        <f t="shared" si="2"/>
        <v>232.416</v>
      </c>
      <c r="Q65" s="14">
        <v>25.3</v>
      </c>
    </row>
    <row r="66">
      <c r="A66" s="12">
        <v>42698.0</v>
      </c>
      <c r="B66" s="12"/>
      <c r="C66" s="12" t="s">
        <v>2326</v>
      </c>
      <c r="D66" s="1" t="s">
        <v>182</v>
      </c>
      <c r="E66" s="15" t="str">
        <f t="shared" si="1"/>
        <v>Nov</v>
      </c>
      <c r="F66" s="13" t="s">
        <v>41</v>
      </c>
      <c r="G66" s="13" t="s">
        <v>2383</v>
      </c>
      <c r="H66" s="13" t="s">
        <v>2384</v>
      </c>
      <c r="I66" s="13" t="s">
        <v>23</v>
      </c>
      <c r="J66" s="13">
        <v>9.0</v>
      </c>
      <c r="K66" s="13" t="s">
        <v>35</v>
      </c>
      <c r="L66" s="13" t="s">
        <v>52</v>
      </c>
      <c r="M66" s="13" t="s">
        <v>37</v>
      </c>
      <c r="N66" s="13" t="s">
        <v>38</v>
      </c>
      <c r="O66" s="14">
        <v>146.73</v>
      </c>
      <c r="P66" s="14">
        <f t="shared" si="2"/>
        <v>1320.57</v>
      </c>
      <c r="Q66" s="14">
        <v>146.32</v>
      </c>
    </row>
    <row r="67">
      <c r="A67" s="12">
        <v>42698.0</v>
      </c>
      <c r="B67" s="12"/>
      <c r="C67" s="12" t="s">
        <v>2326</v>
      </c>
      <c r="D67" s="1" t="s">
        <v>182</v>
      </c>
      <c r="E67" s="15" t="str">
        <f t="shared" si="1"/>
        <v>Nov</v>
      </c>
      <c r="F67" s="13" t="s">
        <v>41</v>
      </c>
      <c r="G67" s="13" t="s">
        <v>2383</v>
      </c>
      <c r="H67" s="13" t="s">
        <v>2384</v>
      </c>
      <c r="I67" s="13" t="s">
        <v>23</v>
      </c>
      <c r="J67" s="13">
        <v>9.0</v>
      </c>
      <c r="K67" s="13" t="s">
        <v>35</v>
      </c>
      <c r="L67" s="13" t="s">
        <v>52</v>
      </c>
      <c r="M67" s="13" t="s">
        <v>37</v>
      </c>
      <c r="N67" s="13" t="s">
        <v>27</v>
      </c>
      <c r="O67" s="14">
        <v>79.76</v>
      </c>
      <c r="P67" s="14">
        <f t="shared" si="2"/>
        <v>717.84</v>
      </c>
      <c r="Q67" s="14">
        <v>79.56</v>
      </c>
    </row>
    <row r="68">
      <c r="A68" s="12">
        <v>42490.0</v>
      </c>
      <c r="B68" s="12"/>
      <c r="C68" s="12" t="s">
        <v>2332</v>
      </c>
      <c r="D68" s="6">
        <v>42495.0</v>
      </c>
      <c r="E68" s="15" t="str">
        <f t="shared" si="1"/>
        <v>May</v>
      </c>
      <c r="F68" s="13" t="s">
        <v>41</v>
      </c>
      <c r="G68" s="13" t="s">
        <v>1839</v>
      </c>
      <c r="H68" s="13" t="s">
        <v>2385</v>
      </c>
      <c r="I68" s="13" t="s">
        <v>68</v>
      </c>
      <c r="J68" s="13">
        <v>6.0</v>
      </c>
      <c r="K68" s="13" t="s">
        <v>188</v>
      </c>
      <c r="L68" s="13" t="s">
        <v>135</v>
      </c>
      <c r="M68" s="13" t="s">
        <v>71</v>
      </c>
      <c r="N68" s="13" t="s">
        <v>27</v>
      </c>
      <c r="O68" s="14">
        <v>213.115</v>
      </c>
      <c r="P68" s="14">
        <f t="shared" si="2"/>
        <v>1278.69</v>
      </c>
      <c r="Q68" s="14">
        <v>212.69</v>
      </c>
    </row>
    <row r="69">
      <c r="A69" s="12">
        <v>42136.0</v>
      </c>
      <c r="B69" s="12"/>
      <c r="C69" s="12" t="s">
        <v>2335</v>
      </c>
      <c r="D69" s="5">
        <v>42289.0</v>
      </c>
      <c r="E69" s="15" t="str">
        <f t="shared" si="1"/>
        <v>Oct</v>
      </c>
      <c r="F69" s="13" t="s">
        <v>41</v>
      </c>
      <c r="G69" s="13" t="s">
        <v>2386</v>
      </c>
      <c r="H69" s="13" t="s">
        <v>2387</v>
      </c>
      <c r="I69" s="13" t="s">
        <v>34</v>
      </c>
      <c r="J69" s="13">
        <v>8.0</v>
      </c>
      <c r="K69" s="13" t="s">
        <v>192</v>
      </c>
      <c r="L69" s="13" t="s">
        <v>193</v>
      </c>
      <c r="M69" s="13" t="s">
        <v>37</v>
      </c>
      <c r="N69" s="13" t="s">
        <v>38</v>
      </c>
      <c r="O69" s="14">
        <v>1113.024</v>
      </c>
      <c r="P69" s="14">
        <f t="shared" si="2"/>
        <v>8904.192</v>
      </c>
      <c r="Q69" s="14">
        <v>1112.23</v>
      </c>
    </row>
    <row r="70">
      <c r="A70" s="12">
        <v>42136.0</v>
      </c>
      <c r="B70" s="12"/>
      <c r="C70" s="12" t="s">
        <v>2335</v>
      </c>
      <c r="D70" s="5">
        <v>42289.0</v>
      </c>
      <c r="E70" s="15" t="str">
        <f t="shared" si="1"/>
        <v>Oct</v>
      </c>
      <c r="F70" s="13" t="s">
        <v>41</v>
      </c>
      <c r="G70" s="13" t="s">
        <v>2386</v>
      </c>
      <c r="H70" s="13" t="s">
        <v>2387</v>
      </c>
      <c r="I70" s="13" t="s">
        <v>34</v>
      </c>
      <c r="J70" s="13">
        <v>8.0</v>
      </c>
      <c r="K70" s="13" t="s">
        <v>192</v>
      </c>
      <c r="L70" s="13" t="s">
        <v>193</v>
      </c>
      <c r="M70" s="13" t="s">
        <v>37</v>
      </c>
      <c r="N70" s="13" t="s">
        <v>51</v>
      </c>
      <c r="O70" s="14">
        <v>167.968</v>
      </c>
      <c r="P70" s="14">
        <f t="shared" si="2"/>
        <v>1343.744</v>
      </c>
      <c r="Q70" s="14">
        <v>167.14</v>
      </c>
    </row>
    <row r="71">
      <c r="A71" s="12">
        <v>42831.0</v>
      </c>
      <c r="B71" s="12"/>
      <c r="C71" s="12" t="s">
        <v>2332</v>
      </c>
      <c r="D71" s="6">
        <v>42892.0</v>
      </c>
      <c r="E71" s="15" t="str">
        <f t="shared" si="1"/>
        <v>Jun</v>
      </c>
      <c r="F71" s="13" t="s">
        <v>121</v>
      </c>
      <c r="G71" s="13" t="s">
        <v>2388</v>
      </c>
      <c r="H71" s="13" t="s">
        <v>2389</v>
      </c>
      <c r="I71" s="13" t="s">
        <v>23</v>
      </c>
      <c r="J71" s="13">
        <v>2.0</v>
      </c>
      <c r="K71" s="13" t="s">
        <v>197</v>
      </c>
      <c r="L71" s="13" t="s">
        <v>198</v>
      </c>
      <c r="M71" s="13" t="s">
        <v>26</v>
      </c>
      <c r="N71" s="13" t="s">
        <v>38</v>
      </c>
      <c r="O71" s="14">
        <v>75.88</v>
      </c>
      <c r="P71" s="14">
        <f t="shared" si="2"/>
        <v>151.76</v>
      </c>
      <c r="Q71" s="14">
        <v>74.93</v>
      </c>
    </row>
    <row r="72">
      <c r="A72" s="12">
        <v>42996.0</v>
      </c>
      <c r="B72" s="12"/>
      <c r="C72" s="12" t="s">
        <v>2329</v>
      </c>
      <c r="D72" s="1" t="s">
        <v>200</v>
      </c>
      <c r="E72" s="15" t="str">
        <f t="shared" si="1"/>
        <v>Sep</v>
      </c>
      <c r="F72" s="13" t="s">
        <v>41</v>
      </c>
      <c r="G72" s="13" t="s">
        <v>2390</v>
      </c>
      <c r="H72" s="13" t="s">
        <v>2391</v>
      </c>
      <c r="I72" s="13" t="s">
        <v>23</v>
      </c>
      <c r="J72" s="13">
        <v>1.0</v>
      </c>
      <c r="K72" s="13" t="s">
        <v>174</v>
      </c>
      <c r="L72" s="13" t="s">
        <v>175</v>
      </c>
      <c r="M72" s="13" t="s">
        <v>100</v>
      </c>
      <c r="N72" s="13" t="s">
        <v>38</v>
      </c>
      <c r="O72" s="14">
        <v>4.616</v>
      </c>
      <c r="P72" s="14">
        <f t="shared" si="2"/>
        <v>4.616</v>
      </c>
      <c r="Q72" s="14">
        <v>3.87</v>
      </c>
    </row>
    <row r="73">
      <c r="A73" s="12">
        <v>43357.0</v>
      </c>
      <c r="B73" s="12"/>
      <c r="C73" s="12" t="s">
        <v>2329</v>
      </c>
      <c r="D73" s="1" t="s">
        <v>204</v>
      </c>
      <c r="E73" s="15" t="str">
        <f t="shared" si="1"/>
        <v>Sep</v>
      </c>
      <c r="F73" s="13" t="s">
        <v>20</v>
      </c>
      <c r="G73" s="13" t="s">
        <v>2356</v>
      </c>
      <c r="H73" s="13" t="s">
        <v>2357</v>
      </c>
      <c r="I73" s="13" t="s">
        <v>23</v>
      </c>
      <c r="J73" s="13">
        <v>4.0</v>
      </c>
      <c r="K73" s="13" t="s">
        <v>205</v>
      </c>
      <c r="L73" s="13" t="s">
        <v>157</v>
      </c>
      <c r="M73" s="13" t="s">
        <v>71</v>
      </c>
      <c r="N73" s="13" t="s">
        <v>38</v>
      </c>
      <c r="O73" s="14">
        <v>19.05</v>
      </c>
      <c r="P73" s="14">
        <f t="shared" si="2"/>
        <v>76.2</v>
      </c>
      <c r="Q73" s="14">
        <v>18.79</v>
      </c>
    </row>
    <row r="74">
      <c r="A74" s="12">
        <v>42486.0</v>
      </c>
      <c r="B74" s="12"/>
      <c r="C74" s="12" t="s">
        <v>2332</v>
      </c>
      <c r="D74" s="6">
        <v>42405.0</v>
      </c>
      <c r="E74" s="15" t="str">
        <f t="shared" si="1"/>
        <v>Feb</v>
      </c>
      <c r="F74" s="13" t="s">
        <v>41</v>
      </c>
      <c r="G74" s="13" t="s">
        <v>2392</v>
      </c>
      <c r="H74" s="13" t="s">
        <v>2393</v>
      </c>
      <c r="I74" s="13" t="s">
        <v>23</v>
      </c>
      <c r="J74" s="13">
        <v>3.0</v>
      </c>
      <c r="K74" s="13" t="s">
        <v>209</v>
      </c>
      <c r="L74" s="13" t="s">
        <v>210</v>
      </c>
      <c r="M74" s="13" t="s">
        <v>26</v>
      </c>
      <c r="N74" s="13" t="s">
        <v>27</v>
      </c>
      <c r="O74" s="14">
        <v>831.936</v>
      </c>
      <c r="P74" s="14">
        <f t="shared" si="2"/>
        <v>2495.808</v>
      </c>
      <c r="Q74" s="14">
        <v>831.72</v>
      </c>
    </row>
    <row r="75">
      <c r="A75" s="12">
        <v>42486.0</v>
      </c>
      <c r="B75" s="12"/>
      <c r="C75" s="12" t="s">
        <v>2332</v>
      </c>
      <c r="D75" s="6">
        <v>42405.0</v>
      </c>
      <c r="E75" s="15" t="str">
        <f t="shared" si="1"/>
        <v>Feb</v>
      </c>
      <c r="F75" s="13" t="s">
        <v>41</v>
      </c>
      <c r="G75" s="13" t="s">
        <v>2392</v>
      </c>
      <c r="H75" s="13" t="s">
        <v>2393</v>
      </c>
      <c r="I75" s="13" t="s">
        <v>23</v>
      </c>
      <c r="J75" s="13">
        <v>3.0</v>
      </c>
      <c r="K75" s="13" t="s">
        <v>209</v>
      </c>
      <c r="L75" s="13" t="s">
        <v>210</v>
      </c>
      <c r="M75" s="13" t="s">
        <v>26</v>
      </c>
      <c r="N75" s="13" t="s">
        <v>27</v>
      </c>
      <c r="O75" s="14">
        <v>97.04</v>
      </c>
      <c r="P75" s="14">
        <f t="shared" si="2"/>
        <v>291.12</v>
      </c>
      <c r="Q75" s="14">
        <v>96.98</v>
      </c>
    </row>
    <row r="76">
      <c r="A76" s="12">
        <v>42486.0</v>
      </c>
      <c r="B76" s="12"/>
      <c r="C76" s="12" t="s">
        <v>2332</v>
      </c>
      <c r="D76" s="6">
        <v>42405.0</v>
      </c>
      <c r="E76" s="15" t="str">
        <f t="shared" si="1"/>
        <v>Feb</v>
      </c>
      <c r="F76" s="13" t="s">
        <v>41</v>
      </c>
      <c r="G76" s="13" t="s">
        <v>2392</v>
      </c>
      <c r="H76" s="13" t="s">
        <v>2393</v>
      </c>
      <c r="I76" s="13" t="s">
        <v>23</v>
      </c>
      <c r="J76" s="13">
        <v>3.0</v>
      </c>
      <c r="K76" s="13" t="s">
        <v>209</v>
      </c>
      <c r="L76" s="13" t="s">
        <v>210</v>
      </c>
      <c r="M76" s="13" t="s">
        <v>26</v>
      </c>
      <c r="N76" s="13" t="s">
        <v>38</v>
      </c>
      <c r="O76" s="14">
        <v>72.784</v>
      </c>
      <c r="P76" s="14">
        <f t="shared" si="2"/>
        <v>218.352</v>
      </c>
      <c r="Q76" s="14">
        <v>72.57</v>
      </c>
    </row>
    <row r="77">
      <c r="A77" s="12">
        <v>43355.0</v>
      </c>
      <c r="B77" s="12"/>
      <c r="C77" s="12" t="s">
        <v>2329</v>
      </c>
      <c r="D77" s="5">
        <v>43416.0</v>
      </c>
      <c r="E77" s="15" t="str">
        <f t="shared" si="1"/>
        <v>Nov</v>
      </c>
      <c r="F77" s="13" t="s">
        <v>121</v>
      </c>
      <c r="G77" s="13" t="s">
        <v>2346</v>
      </c>
      <c r="H77" s="13" t="s">
        <v>2394</v>
      </c>
      <c r="I77" s="13" t="s">
        <v>34</v>
      </c>
      <c r="J77" s="13">
        <v>7.0</v>
      </c>
      <c r="K77" s="13" t="s">
        <v>129</v>
      </c>
      <c r="L77" s="13" t="s">
        <v>70</v>
      </c>
      <c r="M77" s="13" t="s">
        <v>71</v>
      </c>
      <c r="N77" s="13" t="s">
        <v>38</v>
      </c>
      <c r="O77" s="14">
        <v>1.248</v>
      </c>
      <c r="P77" s="14">
        <f t="shared" si="2"/>
        <v>8.736</v>
      </c>
      <c r="Q77" s="14">
        <v>0.33</v>
      </c>
    </row>
    <row r="78">
      <c r="A78" s="12">
        <v>43355.0</v>
      </c>
      <c r="B78" s="12"/>
      <c r="C78" s="12" t="s">
        <v>2329</v>
      </c>
      <c r="D78" s="5">
        <v>43416.0</v>
      </c>
      <c r="E78" s="15" t="str">
        <f t="shared" si="1"/>
        <v>Nov</v>
      </c>
      <c r="F78" s="13" t="s">
        <v>121</v>
      </c>
      <c r="G78" s="13" t="s">
        <v>2346</v>
      </c>
      <c r="H78" s="13" t="s">
        <v>2394</v>
      </c>
      <c r="I78" s="13" t="s">
        <v>34</v>
      </c>
      <c r="J78" s="13">
        <v>7.0</v>
      </c>
      <c r="K78" s="13" t="s">
        <v>129</v>
      </c>
      <c r="L78" s="13" t="s">
        <v>70</v>
      </c>
      <c r="M78" s="13" t="s">
        <v>71</v>
      </c>
      <c r="N78" s="13" t="s">
        <v>27</v>
      </c>
      <c r="O78" s="14">
        <v>9.708</v>
      </c>
      <c r="P78" s="14">
        <f t="shared" si="2"/>
        <v>67.956</v>
      </c>
      <c r="Q78" s="14">
        <v>8.88</v>
      </c>
    </row>
    <row r="79">
      <c r="A79" s="12">
        <v>43355.0</v>
      </c>
      <c r="B79" s="12"/>
      <c r="C79" s="12" t="s">
        <v>2329</v>
      </c>
      <c r="D79" s="5">
        <v>43416.0</v>
      </c>
      <c r="E79" s="15" t="str">
        <f t="shared" si="1"/>
        <v>Nov</v>
      </c>
      <c r="F79" s="13" t="s">
        <v>121</v>
      </c>
      <c r="G79" s="13" t="s">
        <v>2346</v>
      </c>
      <c r="H79" s="13" t="s">
        <v>2394</v>
      </c>
      <c r="I79" s="13" t="s">
        <v>34</v>
      </c>
      <c r="J79" s="13">
        <v>7.0</v>
      </c>
      <c r="K79" s="13" t="s">
        <v>129</v>
      </c>
      <c r="L79" s="13" t="s">
        <v>70</v>
      </c>
      <c r="M79" s="13" t="s">
        <v>71</v>
      </c>
      <c r="N79" s="13" t="s">
        <v>38</v>
      </c>
      <c r="O79" s="14">
        <v>27.24</v>
      </c>
      <c r="P79" s="14">
        <f t="shared" si="2"/>
        <v>190.68</v>
      </c>
      <c r="Q79" s="14">
        <v>26.58</v>
      </c>
    </row>
    <row r="80">
      <c r="A80" s="12">
        <v>42334.0</v>
      </c>
      <c r="B80" s="12"/>
      <c r="C80" s="12" t="s">
        <v>2326</v>
      </c>
      <c r="D80" s="6">
        <v>42016.0</v>
      </c>
      <c r="E80" s="15" t="str">
        <f t="shared" si="1"/>
        <v>Jan</v>
      </c>
      <c r="F80" s="13" t="s">
        <v>20</v>
      </c>
      <c r="G80" s="13" t="s">
        <v>2392</v>
      </c>
      <c r="H80" s="13" t="s">
        <v>2393</v>
      </c>
      <c r="I80" s="13" t="s">
        <v>23</v>
      </c>
      <c r="J80" s="13">
        <v>7.0</v>
      </c>
      <c r="K80" s="13" t="s">
        <v>129</v>
      </c>
      <c r="L80" s="13" t="s">
        <v>70</v>
      </c>
      <c r="M80" s="13" t="s">
        <v>71</v>
      </c>
      <c r="N80" s="13" t="s">
        <v>27</v>
      </c>
      <c r="O80" s="14">
        <v>19.3</v>
      </c>
      <c r="P80" s="14">
        <f t="shared" si="2"/>
        <v>135.1</v>
      </c>
      <c r="Q80" s="14">
        <v>18.65</v>
      </c>
    </row>
    <row r="81">
      <c r="A81" s="12">
        <v>43075.0</v>
      </c>
      <c r="B81" s="12"/>
      <c r="C81" s="12" t="s">
        <v>2325</v>
      </c>
      <c r="D81" s="1" t="s">
        <v>216</v>
      </c>
      <c r="E81" s="15" t="str">
        <f t="shared" si="1"/>
        <v>Jun</v>
      </c>
      <c r="F81" s="13" t="s">
        <v>121</v>
      </c>
      <c r="G81" s="13" t="s">
        <v>2395</v>
      </c>
      <c r="H81" s="13" t="s">
        <v>2396</v>
      </c>
      <c r="I81" s="13" t="s">
        <v>34</v>
      </c>
      <c r="J81" s="13">
        <v>3.0</v>
      </c>
      <c r="K81" s="13" t="s">
        <v>219</v>
      </c>
      <c r="L81" s="13" t="s">
        <v>220</v>
      </c>
      <c r="M81" s="13" t="s">
        <v>26</v>
      </c>
      <c r="N81" s="13" t="s">
        <v>38</v>
      </c>
      <c r="O81" s="14">
        <v>208.16</v>
      </c>
      <c r="P81" s="14">
        <f t="shared" si="2"/>
        <v>624.48</v>
      </c>
      <c r="Q81" s="14">
        <v>208.11</v>
      </c>
    </row>
    <row r="82">
      <c r="A82" s="12">
        <v>43075.0</v>
      </c>
      <c r="B82" s="12"/>
      <c r="C82" s="12" t="s">
        <v>2325</v>
      </c>
      <c r="D82" s="1" t="s">
        <v>216</v>
      </c>
      <c r="E82" s="15" t="str">
        <f t="shared" si="1"/>
        <v>Jun</v>
      </c>
      <c r="F82" s="13" t="s">
        <v>121</v>
      </c>
      <c r="G82" s="13" t="s">
        <v>2395</v>
      </c>
      <c r="H82" s="13" t="s">
        <v>2396</v>
      </c>
      <c r="I82" s="13" t="s">
        <v>34</v>
      </c>
      <c r="J82" s="13">
        <v>3.0</v>
      </c>
      <c r="K82" s="13" t="s">
        <v>219</v>
      </c>
      <c r="L82" s="13" t="s">
        <v>220</v>
      </c>
      <c r="M82" s="13" t="s">
        <v>26</v>
      </c>
      <c r="N82" s="13" t="s">
        <v>38</v>
      </c>
      <c r="O82" s="14">
        <v>16.74</v>
      </c>
      <c r="P82" s="14">
        <f t="shared" si="2"/>
        <v>50.22</v>
      </c>
      <c r="Q82" s="14">
        <v>16.28</v>
      </c>
    </row>
    <row r="83">
      <c r="A83" s="12">
        <v>42348.0</v>
      </c>
      <c r="B83" s="12"/>
      <c r="C83" s="12" t="s">
        <v>2325</v>
      </c>
      <c r="D83" s="1" t="s">
        <v>222</v>
      </c>
      <c r="E83" s="15" t="str">
        <f t="shared" si="1"/>
        <v>Oct</v>
      </c>
      <c r="F83" s="13" t="s">
        <v>41</v>
      </c>
      <c r="G83" s="13" t="s">
        <v>2397</v>
      </c>
      <c r="H83" s="13" t="s">
        <v>2398</v>
      </c>
      <c r="I83" s="13" t="s">
        <v>23</v>
      </c>
      <c r="J83" s="13">
        <v>9.0</v>
      </c>
      <c r="K83" s="13" t="s">
        <v>87</v>
      </c>
      <c r="L83" s="13" t="s">
        <v>52</v>
      </c>
      <c r="M83" s="13" t="s">
        <v>37</v>
      </c>
      <c r="N83" s="13" t="s">
        <v>38</v>
      </c>
      <c r="O83" s="14">
        <v>14.9</v>
      </c>
      <c r="P83" s="14">
        <f t="shared" si="2"/>
        <v>134.1</v>
      </c>
      <c r="Q83" s="14">
        <v>14.61</v>
      </c>
    </row>
    <row r="84">
      <c r="A84" s="12">
        <v>42348.0</v>
      </c>
      <c r="B84" s="12"/>
      <c r="C84" s="12" t="s">
        <v>2325</v>
      </c>
      <c r="D84" s="1" t="s">
        <v>222</v>
      </c>
      <c r="E84" s="15" t="str">
        <f t="shared" si="1"/>
        <v>Oct</v>
      </c>
      <c r="F84" s="13" t="s">
        <v>41</v>
      </c>
      <c r="G84" s="13" t="s">
        <v>2397</v>
      </c>
      <c r="H84" s="13" t="s">
        <v>2398</v>
      </c>
      <c r="I84" s="13" t="s">
        <v>23</v>
      </c>
      <c r="J84" s="13">
        <v>9.0</v>
      </c>
      <c r="K84" s="13" t="s">
        <v>87</v>
      </c>
      <c r="L84" s="13" t="s">
        <v>52</v>
      </c>
      <c r="M84" s="13" t="s">
        <v>37</v>
      </c>
      <c r="N84" s="13" t="s">
        <v>38</v>
      </c>
      <c r="O84" s="14">
        <v>21.39</v>
      </c>
      <c r="P84" s="14">
        <f t="shared" si="2"/>
        <v>192.51</v>
      </c>
      <c r="Q84" s="14">
        <v>20.68</v>
      </c>
    </row>
    <row r="85">
      <c r="A85" s="12">
        <v>42438.0</v>
      </c>
      <c r="B85" s="12"/>
      <c r="C85" s="12" t="s">
        <v>2399</v>
      </c>
      <c r="D85" s="6">
        <v>42591.0</v>
      </c>
      <c r="E85" s="15" t="str">
        <f t="shared" si="1"/>
        <v>Aug</v>
      </c>
      <c r="F85" s="13" t="s">
        <v>41</v>
      </c>
      <c r="G85" s="13" t="s">
        <v>2400</v>
      </c>
      <c r="H85" s="13" t="s">
        <v>2401</v>
      </c>
      <c r="I85" s="13" t="s">
        <v>34</v>
      </c>
      <c r="J85" s="13">
        <v>2.0</v>
      </c>
      <c r="K85" s="13" t="s">
        <v>228</v>
      </c>
      <c r="L85" s="13" t="s">
        <v>58</v>
      </c>
      <c r="M85" s="13" t="s">
        <v>26</v>
      </c>
      <c r="N85" s="13" t="s">
        <v>38</v>
      </c>
      <c r="O85" s="14">
        <v>200.984</v>
      </c>
      <c r="P85" s="14">
        <f t="shared" si="2"/>
        <v>401.968</v>
      </c>
      <c r="Q85" s="14">
        <v>200.44</v>
      </c>
    </row>
    <row r="86">
      <c r="A86" s="12">
        <v>43417.0</v>
      </c>
      <c r="B86" s="12"/>
      <c r="C86" s="12" t="s">
        <v>2326</v>
      </c>
      <c r="D86" s="1" t="s">
        <v>230</v>
      </c>
      <c r="E86" s="15" t="str">
        <f t="shared" si="1"/>
        <v>Nov</v>
      </c>
      <c r="F86" s="13" t="s">
        <v>121</v>
      </c>
      <c r="G86" s="13" t="s">
        <v>2402</v>
      </c>
      <c r="H86" s="13" t="s">
        <v>2403</v>
      </c>
      <c r="I86" s="13" t="s">
        <v>68</v>
      </c>
      <c r="J86" s="13">
        <v>6.0</v>
      </c>
      <c r="K86" s="13" t="s">
        <v>188</v>
      </c>
      <c r="L86" s="13" t="s">
        <v>135</v>
      </c>
      <c r="M86" s="13" t="s">
        <v>71</v>
      </c>
      <c r="N86" s="13" t="s">
        <v>38</v>
      </c>
      <c r="O86" s="14">
        <v>230.376</v>
      </c>
      <c r="P86" s="14">
        <f t="shared" si="2"/>
        <v>1382.256</v>
      </c>
      <c r="Q86" s="14">
        <v>229.82</v>
      </c>
    </row>
    <row r="87">
      <c r="A87" s="12">
        <v>43248.0</v>
      </c>
      <c r="B87" s="12"/>
      <c r="C87" s="12" t="s">
        <v>2335</v>
      </c>
      <c r="D87" s="1" t="s">
        <v>234</v>
      </c>
      <c r="E87" s="15" t="str">
        <f t="shared" si="1"/>
        <v>May</v>
      </c>
      <c r="F87" s="13" t="s">
        <v>20</v>
      </c>
      <c r="G87" s="13" t="s">
        <v>2373</v>
      </c>
      <c r="H87" s="13" t="s">
        <v>2328</v>
      </c>
      <c r="I87" s="13" t="s">
        <v>23</v>
      </c>
      <c r="J87" s="13">
        <v>2.0</v>
      </c>
      <c r="K87" s="13" t="s">
        <v>235</v>
      </c>
      <c r="L87" s="13" t="s">
        <v>236</v>
      </c>
      <c r="M87" s="13" t="s">
        <v>26</v>
      </c>
      <c r="N87" s="13" t="s">
        <v>27</v>
      </c>
      <c r="O87" s="14">
        <v>301.96</v>
      </c>
      <c r="P87" s="14">
        <f t="shared" si="2"/>
        <v>603.92</v>
      </c>
      <c r="Q87" s="14">
        <v>301.07</v>
      </c>
    </row>
    <row r="88">
      <c r="A88" s="12">
        <v>43399.0</v>
      </c>
      <c r="B88" s="12"/>
      <c r="C88" s="12" t="s">
        <v>2358</v>
      </c>
      <c r="D88" s="6">
        <v>43142.0</v>
      </c>
      <c r="E88" s="15" t="str">
        <f t="shared" si="1"/>
        <v>Feb</v>
      </c>
      <c r="F88" s="13" t="s">
        <v>41</v>
      </c>
      <c r="G88" s="13" t="s">
        <v>1839</v>
      </c>
      <c r="H88" s="13" t="s">
        <v>2404</v>
      </c>
      <c r="I88" s="13" t="s">
        <v>23</v>
      </c>
      <c r="J88" s="13">
        <v>5.0</v>
      </c>
      <c r="K88" s="13" t="s">
        <v>240</v>
      </c>
      <c r="L88" s="13" t="s">
        <v>151</v>
      </c>
      <c r="M88" s="13" t="s">
        <v>71</v>
      </c>
      <c r="N88" s="13" t="s">
        <v>51</v>
      </c>
      <c r="O88" s="14">
        <v>19.99</v>
      </c>
      <c r="P88" s="14">
        <f t="shared" si="2"/>
        <v>99.95</v>
      </c>
      <c r="Q88" s="14">
        <v>19.77</v>
      </c>
    </row>
    <row r="89">
      <c r="A89" s="12">
        <v>43399.0</v>
      </c>
      <c r="B89" s="12"/>
      <c r="C89" s="12" t="s">
        <v>2358</v>
      </c>
      <c r="D89" s="6">
        <v>43142.0</v>
      </c>
      <c r="E89" s="15" t="str">
        <f t="shared" si="1"/>
        <v>Feb</v>
      </c>
      <c r="F89" s="13" t="s">
        <v>41</v>
      </c>
      <c r="G89" s="13" t="s">
        <v>1839</v>
      </c>
      <c r="H89" s="13" t="s">
        <v>2404</v>
      </c>
      <c r="I89" s="13" t="s">
        <v>23</v>
      </c>
      <c r="J89" s="13">
        <v>5.0</v>
      </c>
      <c r="K89" s="13" t="s">
        <v>240</v>
      </c>
      <c r="L89" s="13" t="s">
        <v>151</v>
      </c>
      <c r="M89" s="13" t="s">
        <v>71</v>
      </c>
      <c r="N89" s="13" t="s">
        <v>38</v>
      </c>
      <c r="O89" s="14">
        <v>6.16</v>
      </c>
      <c r="P89" s="14">
        <f t="shared" si="2"/>
        <v>30.8</v>
      </c>
      <c r="Q89" s="14">
        <v>5.27</v>
      </c>
    </row>
    <row r="90">
      <c r="A90" s="12">
        <v>42859.0</v>
      </c>
      <c r="B90" s="12"/>
      <c r="C90" s="12" t="s">
        <v>2335</v>
      </c>
      <c r="D90" s="6">
        <v>43012.0</v>
      </c>
      <c r="E90" s="15" t="str">
        <f t="shared" si="1"/>
        <v>Oct</v>
      </c>
      <c r="F90" s="13" t="s">
        <v>20</v>
      </c>
      <c r="G90" s="13" t="s">
        <v>2405</v>
      </c>
      <c r="H90" s="13" t="s">
        <v>2406</v>
      </c>
      <c r="I90" s="13" t="s">
        <v>68</v>
      </c>
      <c r="J90" s="13">
        <v>7.0</v>
      </c>
      <c r="K90" s="13" t="s">
        <v>129</v>
      </c>
      <c r="L90" s="13" t="s">
        <v>70</v>
      </c>
      <c r="M90" s="13" t="s">
        <v>71</v>
      </c>
      <c r="N90" s="13" t="s">
        <v>38</v>
      </c>
      <c r="O90" s="14">
        <v>158.368</v>
      </c>
      <c r="P90" s="14">
        <f t="shared" si="2"/>
        <v>1108.576</v>
      </c>
      <c r="Q90" s="14">
        <v>158.13</v>
      </c>
    </row>
    <row r="91">
      <c r="A91" s="12">
        <v>42995.0</v>
      </c>
      <c r="B91" s="12"/>
      <c r="C91" s="12" t="s">
        <v>2329</v>
      </c>
      <c r="D91" s="1" t="s">
        <v>245</v>
      </c>
      <c r="E91" s="15" t="str">
        <f t="shared" si="1"/>
        <v>Sep</v>
      </c>
      <c r="F91" s="13" t="s">
        <v>41</v>
      </c>
      <c r="G91" s="13" t="s">
        <v>2407</v>
      </c>
      <c r="H91" s="13" t="s">
        <v>2408</v>
      </c>
      <c r="I91" s="13" t="s">
        <v>34</v>
      </c>
      <c r="J91" s="13">
        <v>9.0</v>
      </c>
      <c r="K91" s="13" t="s">
        <v>35</v>
      </c>
      <c r="L91" s="13" t="s">
        <v>52</v>
      </c>
      <c r="M91" s="13" t="s">
        <v>37</v>
      </c>
      <c r="N91" s="13" t="s">
        <v>38</v>
      </c>
      <c r="O91" s="14">
        <v>20.1</v>
      </c>
      <c r="P91" s="14">
        <f t="shared" si="2"/>
        <v>180.9</v>
      </c>
      <c r="Q91" s="14">
        <v>19.41</v>
      </c>
    </row>
    <row r="92">
      <c r="A92" s="12">
        <v>42995.0</v>
      </c>
      <c r="B92" s="12"/>
      <c r="C92" s="12" t="s">
        <v>2329</v>
      </c>
      <c r="D92" s="1" t="s">
        <v>245</v>
      </c>
      <c r="E92" s="15" t="str">
        <f t="shared" si="1"/>
        <v>Sep</v>
      </c>
      <c r="F92" s="13" t="s">
        <v>41</v>
      </c>
      <c r="G92" s="13" t="s">
        <v>2407</v>
      </c>
      <c r="H92" s="13" t="s">
        <v>2408</v>
      </c>
      <c r="I92" s="13" t="s">
        <v>34</v>
      </c>
      <c r="J92" s="13">
        <v>9.0</v>
      </c>
      <c r="K92" s="13" t="s">
        <v>35</v>
      </c>
      <c r="L92" s="13" t="s">
        <v>52</v>
      </c>
      <c r="M92" s="13" t="s">
        <v>37</v>
      </c>
      <c r="N92" s="13" t="s">
        <v>51</v>
      </c>
      <c r="O92" s="14">
        <v>73.584</v>
      </c>
      <c r="P92" s="14">
        <f t="shared" si="2"/>
        <v>662.256</v>
      </c>
      <c r="Q92" s="14">
        <v>73.53</v>
      </c>
    </row>
    <row r="93">
      <c r="A93" s="12">
        <v>42995.0</v>
      </c>
      <c r="B93" s="12"/>
      <c r="C93" s="12" t="s">
        <v>2329</v>
      </c>
      <c r="D93" s="1" t="s">
        <v>245</v>
      </c>
      <c r="E93" s="15" t="str">
        <f t="shared" si="1"/>
        <v>Sep</v>
      </c>
      <c r="F93" s="13" t="s">
        <v>41</v>
      </c>
      <c r="G93" s="13" t="s">
        <v>2407</v>
      </c>
      <c r="H93" s="13" t="s">
        <v>2408</v>
      </c>
      <c r="I93" s="13" t="s">
        <v>34</v>
      </c>
      <c r="J93" s="13">
        <v>9.0</v>
      </c>
      <c r="K93" s="13" t="s">
        <v>35</v>
      </c>
      <c r="L93" s="13" t="s">
        <v>52</v>
      </c>
      <c r="M93" s="13" t="s">
        <v>37</v>
      </c>
      <c r="N93" s="13" t="s">
        <v>38</v>
      </c>
      <c r="O93" s="14">
        <v>6.48</v>
      </c>
      <c r="P93" s="14">
        <f t="shared" si="2"/>
        <v>58.32</v>
      </c>
      <c r="Q93" s="14">
        <v>6.27</v>
      </c>
    </row>
    <row r="94">
      <c r="A94" s="12">
        <v>42400.0</v>
      </c>
      <c r="B94" s="12"/>
      <c r="C94" s="12" t="s">
        <v>2353</v>
      </c>
      <c r="D94" s="6">
        <v>42492.0</v>
      </c>
      <c r="E94" s="15" t="str">
        <f t="shared" si="1"/>
        <v>May</v>
      </c>
      <c r="F94" s="13" t="s">
        <v>20</v>
      </c>
      <c r="G94" s="13" t="s">
        <v>2409</v>
      </c>
      <c r="H94" s="13" t="s">
        <v>2410</v>
      </c>
      <c r="I94" s="13" t="s">
        <v>23</v>
      </c>
      <c r="J94" s="13">
        <v>5.0</v>
      </c>
      <c r="K94" s="13" t="s">
        <v>251</v>
      </c>
      <c r="L94" s="13" t="s">
        <v>151</v>
      </c>
      <c r="M94" s="13" t="s">
        <v>71</v>
      </c>
      <c r="N94" s="13" t="s">
        <v>38</v>
      </c>
      <c r="O94" s="14">
        <v>12.96</v>
      </c>
      <c r="P94" s="14">
        <f t="shared" si="2"/>
        <v>64.8</v>
      </c>
      <c r="Q94" s="14">
        <v>12.69</v>
      </c>
    </row>
    <row r="95">
      <c r="A95" s="12">
        <v>42400.0</v>
      </c>
      <c r="B95" s="12"/>
      <c r="C95" s="12" t="s">
        <v>2353</v>
      </c>
      <c r="D95" s="6">
        <v>42492.0</v>
      </c>
      <c r="E95" s="15" t="str">
        <f t="shared" si="1"/>
        <v>May</v>
      </c>
      <c r="F95" s="13" t="s">
        <v>20</v>
      </c>
      <c r="G95" s="13" t="s">
        <v>2409</v>
      </c>
      <c r="H95" s="13" t="s">
        <v>2410</v>
      </c>
      <c r="I95" s="13" t="s">
        <v>23</v>
      </c>
      <c r="J95" s="13">
        <v>5.0</v>
      </c>
      <c r="K95" s="13" t="s">
        <v>251</v>
      </c>
      <c r="L95" s="13" t="s">
        <v>151</v>
      </c>
      <c r="M95" s="13" t="s">
        <v>71</v>
      </c>
      <c r="N95" s="13" t="s">
        <v>27</v>
      </c>
      <c r="O95" s="14">
        <v>53.34</v>
      </c>
      <c r="P95" s="14">
        <f t="shared" si="2"/>
        <v>266.7</v>
      </c>
      <c r="Q95" s="14">
        <v>53.3</v>
      </c>
    </row>
    <row r="96">
      <c r="A96" s="12">
        <v>42400.0</v>
      </c>
      <c r="B96" s="12"/>
      <c r="C96" s="12" t="s">
        <v>2353</v>
      </c>
      <c r="D96" s="6">
        <v>42492.0</v>
      </c>
      <c r="E96" s="15" t="str">
        <f t="shared" si="1"/>
        <v>May</v>
      </c>
      <c r="F96" s="13" t="s">
        <v>20</v>
      </c>
      <c r="G96" s="13" t="s">
        <v>2409</v>
      </c>
      <c r="H96" s="13" t="s">
        <v>2410</v>
      </c>
      <c r="I96" s="13" t="s">
        <v>23</v>
      </c>
      <c r="J96" s="13">
        <v>5.0</v>
      </c>
      <c r="K96" s="13" t="s">
        <v>251</v>
      </c>
      <c r="L96" s="13" t="s">
        <v>151</v>
      </c>
      <c r="M96" s="13" t="s">
        <v>71</v>
      </c>
      <c r="N96" s="13" t="s">
        <v>38</v>
      </c>
      <c r="O96" s="14">
        <v>32.96</v>
      </c>
      <c r="P96" s="14">
        <f t="shared" si="2"/>
        <v>164.8</v>
      </c>
      <c r="Q96" s="14">
        <v>32.55</v>
      </c>
    </row>
    <row r="97">
      <c r="A97" s="12">
        <v>43262.0</v>
      </c>
      <c r="B97" s="12"/>
      <c r="C97" s="12" t="s">
        <v>2374</v>
      </c>
      <c r="D97" s="5">
        <v>43445.0</v>
      </c>
      <c r="E97" s="15" t="str">
        <f t="shared" si="1"/>
        <v>Dec</v>
      </c>
      <c r="F97" s="13" t="s">
        <v>41</v>
      </c>
      <c r="G97" s="13" t="s">
        <v>2411</v>
      </c>
      <c r="H97" s="13" t="s">
        <v>2412</v>
      </c>
      <c r="I97" s="13" t="s">
        <v>68</v>
      </c>
      <c r="J97" s="13">
        <v>9.0</v>
      </c>
      <c r="K97" s="13" t="s">
        <v>255</v>
      </c>
      <c r="L97" s="13" t="s">
        <v>256</v>
      </c>
      <c r="M97" s="13" t="s">
        <v>37</v>
      </c>
      <c r="N97" s="13" t="s">
        <v>38</v>
      </c>
      <c r="O97" s="14">
        <v>5.682</v>
      </c>
      <c r="P97" s="14">
        <f t="shared" si="2"/>
        <v>51.138</v>
      </c>
      <c r="Q97" s="14">
        <v>5.25</v>
      </c>
    </row>
    <row r="98">
      <c r="A98" s="12">
        <v>43354.0</v>
      </c>
      <c r="B98" s="12"/>
      <c r="C98" s="12" t="s">
        <v>2329</v>
      </c>
      <c r="D98" s="5">
        <v>43415.0</v>
      </c>
      <c r="E98" s="15" t="str">
        <f t="shared" si="1"/>
        <v>Nov</v>
      </c>
      <c r="F98" s="13" t="s">
        <v>20</v>
      </c>
      <c r="G98" s="13" t="s">
        <v>2413</v>
      </c>
      <c r="H98" s="13" t="s">
        <v>2414</v>
      </c>
      <c r="I98" s="13" t="s">
        <v>68</v>
      </c>
      <c r="J98" s="13">
        <v>1.0</v>
      </c>
      <c r="K98" s="13" t="s">
        <v>174</v>
      </c>
      <c r="L98" s="13" t="s">
        <v>175</v>
      </c>
      <c r="M98" s="13" t="s">
        <v>100</v>
      </c>
      <c r="N98" s="13" t="s">
        <v>27</v>
      </c>
      <c r="O98" s="14">
        <v>96.53</v>
      </c>
      <c r="P98" s="14">
        <f t="shared" si="2"/>
        <v>96.53</v>
      </c>
      <c r="Q98" s="14">
        <v>95.66</v>
      </c>
    </row>
    <row r="99">
      <c r="A99" s="12">
        <v>43268.0</v>
      </c>
      <c r="B99" s="12"/>
      <c r="C99" s="12" t="s">
        <v>2374</v>
      </c>
      <c r="D99" s="1" t="s">
        <v>261</v>
      </c>
      <c r="E99" s="15" t="str">
        <f t="shared" si="1"/>
        <v>Jun</v>
      </c>
      <c r="F99" s="13" t="s">
        <v>121</v>
      </c>
      <c r="G99" s="13" t="s">
        <v>2415</v>
      </c>
      <c r="H99" s="13" t="s">
        <v>2416</v>
      </c>
      <c r="I99" s="13" t="s">
        <v>23</v>
      </c>
      <c r="J99" s="13">
        <v>9.0</v>
      </c>
      <c r="K99" s="13" t="s">
        <v>87</v>
      </c>
      <c r="L99" s="13" t="s">
        <v>52</v>
      </c>
      <c r="M99" s="13" t="s">
        <v>37</v>
      </c>
      <c r="N99" s="13" t="s">
        <v>38</v>
      </c>
      <c r="O99" s="14">
        <v>51.312</v>
      </c>
      <c r="P99" s="14">
        <f t="shared" si="2"/>
        <v>461.808</v>
      </c>
      <c r="Q99" s="14">
        <v>50.59</v>
      </c>
    </row>
    <row r="100">
      <c r="A100" s="12">
        <v>42895.0</v>
      </c>
      <c r="B100" s="12"/>
      <c r="C100" s="12" t="s">
        <v>2374</v>
      </c>
      <c r="D100" s="6">
        <v>43048.0</v>
      </c>
      <c r="E100" s="15" t="str">
        <f t="shared" si="1"/>
        <v>Nov</v>
      </c>
      <c r="F100" s="13" t="s">
        <v>41</v>
      </c>
      <c r="G100" s="13" t="s">
        <v>2417</v>
      </c>
      <c r="H100" s="13" t="s">
        <v>2418</v>
      </c>
      <c r="I100" s="13" t="s">
        <v>34</v>
      </c>
      <c r="J100" s="13">
        <v>5.0</v>
      </c>
      <c r="K100" s="13" t="s">
        <v>267</v>
      </c>
      <c r="L100" s="13" t="s">
        <v>151</v>
      </c>
      <c r="M100" s="13" t="s">
        <v>71</v>
      </c>
      <c r="N100" s="13" t="s">
        <v>38</v>
      </c>
      <c r="O100" s="14">
        <v>77.88</v>
      </c>
      <c r="P100" s="14">
        <f t="shared" si="2"/>
        <v>389.4</v>
      </c>
      <c r="Q100" s="14">
        <v>77.71</v>
      </c>
    </row>
    <row r="101">
      <c r="A101" s="12">
        <v>42976.0</v>
      </c>
      <c r="B101" s="12"/>
      <c r="C101" s="12" t="s">
        <v>2322</v>
      </c>
      <c r="D101" s="6">
        <v>42775.0</v>
      </c>
      <c r="E101" s="15" t="str">
        <f t="shared" si="1"/>
        <v>Feb</v>
      </c>
      <c r="F101" s="13" t="s">
        <v>41</v>
      </c>
      <c r="G101" s="13" t="s">
        <v>2419</v>
      </c>
      <c r="H101" s="13" t="s">
        <v>2420</v>
      </c>
      <c r="I101" s="13" t="s">
        <v>68</v>
      </c>
      <c r="J101" s="13">
        <v>6.0</v>
      </c>
      <c r="K101" s="13" t="s">
        <v>188</v>
      </c>
      <c r="L101" s="13" t="s">
        <v>135</v>
      </c>
      <c r="M101" s="13" t="s">
        <v>71</v>
      </c>
      <c r="N101" s="13" t="s">
        <v>38</v>
      </c>
      <c r="O101" s="14">
        <v>64.624</v>
      </c>
      <c r="P101" s="14">
        <f t="shared" si="2"/>
        <v>387.744</v>
      </c>
      <c r="Q101" s="14">
        <v>63.94</v>
      </c>
    </row>
    <row r="102">
      <c r="A102" s="12">
        <v>42976.0</v>
      </c>
      <c r="B102" s="12"/>
      <c r="C102" s="12" t="s">
        <v>2322</v>
      </c>
      <c r="D102" s="6">
        <v>42775.0</v>
      </c>
      <c r="E102" s="15" t="str">
        <f t="shared" si="1"/>
        <v>Feb</v>
      </c>
      <c r="F102" s="13" t="s">
        <v>41</v>
      </c>
      <c r="G102" s="13" t="s">
        <v>2419</v>
      </c>
      <c r="H102" s="13" t="s">
        <v>2420</v>
      </c>
      <c r="I102" s="13" t="s">
        <v>68</v>
      </c>
      <c r="J102" s="13">
        <v>6.0</v>
      </c>
      <c r="K102" s="13" t="s">
        <v>188</v>
      </c>
      <c r="L102" s="13" t="s">
        <v>135</v>
      </c>
      <c r="M102" s="13" t="s">
        <v>71</v>
      </c>
      <c r="N102" s="13" t="s">
        <v>51</v>
      </c>
      <c r="O102" s="14">
        <v>95.976</v>
      </c>
      <c r="P102" s="14">
        <f t="shared" si="2"/>
        <v>575.856</v>
      </c>
      <c r="Q102" s="14">
        <v>95.67</v>
      </c>
    </row>
    <row r="103">
      <c r="A103" s="12">
        <v>42976.0</v>
      </c>
      <c r="B103" s="12"/>
      <c r="C103" s="12" t="s">
        <v>2322</v>
      </c>
      <c r="D103" s="6">
        <v>42775.0</v>
      </c>
      <c r="E103" s="15" t="str">
        <f t="shared" si="1"/>
        <v>Feb</v>
      </c>
      <c r="F103" s="13" t="s">
        <v>41</v>
      </c>
      <c r="G103" s="13" t="s">
        <v>2419</v>
      </c>
      <c r="H103" s="13" t="s">
        <v>2420</v>
      </c>
      <c r="I103" s="13" t="s">
        <v>68</v>
      </c>
      <c r="J103" s="13">
        <v>6.0</v>
      </c>
      <c r="K103" s="13" t="s">
        <v>188</v>
      </c>
      <c r="L103" s="13" t="s">
        <v>135</v>
      </c>
      <c r="M103" s="13" t="s">
        <v>71</v>
      </c>
      <c r="N103" s="13" t="s">
        <v>38</v>
      </c>
      <c r="O103" s="14">
        <v>1.788</v>
      </c>
      <c r="P103" s="14">
        <f t="shared" si="2"/>
        <v>10.728</v>
      </c>
      <c r="Q103" s="14">
        <v>1.03</v>
      </c>
    </row>
    <row r="104">
      <c r="A104" s="12">
        <v>42747.0</v>
      </c>
      <c r="B104" s="12"/>
      <c r="C104" s="12" t="s">
        <v>2353</v>
      </c>
      <c r="D104" s="6">
        <v>42837.0</v>
      </c>
      <c r="E104" s="15" t="str">
        <f t="shared" si="1"/>
        <v>Apr</v>
      </c>
      <c r="F104" s="13" t="s">
        <v>20</v>
      </c>
      <c r="G104" s="13" t="s">
        <v>2405</v>
      </c>
      <c r="H104" s="13" t="s">
        <v>2421</v>
      </c>
      <c r="I104" s="13" t="s">
        <v>23</v>
      </c>
      <c r="J104" s="13">
        <v>5.0</v>
      </c>
      <c r="K104" s="13" t="s">
        <v>240</v>
      </c>
      <c r="L104" s="13" t="s">
        <v>151</v>
      </c>
      <c r="M104" s="13" t="s">
        <v>71</v>
      </c>
      <c r="N104" s="13" t="s">
        <v>38</v>
      </c>
      <c r="O104" s="14">
        <v>23.92</v>
      </c>
      <c r="P104" s="14">
        <f t="shared" si="2"/>
        <v>119.6</v>
      </c>
      <c r="Q104" s="14">
        <v>23.15</v>
      </c>
    </row>
    <row r="105">
      <c r="A105" s="12">
        <v>42687.0</v>
      </c>
      <c r="B105" s="12"/>
      <c r="C105" s="12" t="s">
        <v>2326</v>
      </c>
      <c r="D105" s="1" t="s">
        <v>275</v>
      </c>
      <c r="E105" s="15" t="str">
        <f t="shared" si="1"/>
        <v>Nov</v>
      </c>
      <c r="F105" s="13" t="s">
        <v>41</v>
      </c>
      <c r="G105" s="13" t="s">
        <v>2375</v>
      </c>
      <c r="H105" s="13" t="s">
        <v>2422</v>
      </c>
      <c r="I105" s="13" t="s">
        <v>23</v>
      </c>
      <c r="J105" s="13">
        <v>8.0</v>
      </c>
      <c r="K105" s="13" t="s">
        <v>278</v>
      </c>
      <c r="L105" s="13" t="s">
        <v>279</v>
      </c>
      <c r="M105" s="13" t="s">
        <v>37</v>
      </c>
      <c r="N105" s="13" t="s">
        <v>51</v>
      </c>
      <c r="O105" s="14">
        <v>238.896</v>
      </c>
      <c r="P105" s="14">
        <f t="shared" si="2"/>
        <v>1911.168</v>
      </c>
      <c r="Q105" s="14">
        <v>238.02</v>
      </c>
    </row>
    <row r="106">
      <c r="A106" s="12">
        <v>42687.0</v>
      </c>
      <c r="B106" s="12"/>
      <c r="C106" s="12" t="s">
        <v>2326</v>
      </c>
      <c r="D106" s="1" t="s">
        <v>275</v>
      </c>
      <c r="E106" s="15" t="str">
        <f t="shared" si="1"/>
        <v>Nov</v>
      </c>
      <c r="F106" s="13" t="s">
        <v>41</v>
      </c>
      <c r="G106" s="13" t="s">
        <v>2375</v>
      </c>
      <c r="H106" s="13" t="s">
        <v>2422</v>
      </c>
      <c r="I106" s="13" t="s">
        <v>23</v>
      </c>
      <c r="J106" s="13">
        <v>8.0</v>
      </c>
      <c r="K106" s="13" t="s">
        <v>278</v>
      </c>
      <c r="L106" s="13" t="s">
        <v>279</v>
      </c>
      <c r="M106" s="13" t="s">
        <v>37</v>
      </c>
      <c r="N106" s="13" t="s">
        <v>27</v>
      </c>
      <c r="O106" s="14">
        <v>102.36</v>
      </c>
      <c r="P106" s="14">
        <f t="shared" si="2"/>
        <v>818.88</v>
      </c>
      <c r="Q106" s="14">
        <v>101.97</v>
      </c>
    </row>
    <row r="107">
      <c r="A107" s="12">
        <v>42687.0</v>
      </c>
      <c r="B107" s="12"/>
      <c r="C107" s="12" t="s">
        <v>2326</v>
      </c>
      <c r="D107" s="1" t="s">
        <v>275</v>
      </c>
      <c r="E107" s="15" t="str">
        <f t="shared" si="1"/>
        <v>Nov</v>
      </c>
      <c r="F107" s="13" t="s">
        <v>41</v>
      </c>
      <c r="G107" s="13" t="s">
        <v>2375</v>
      </c>
      <c r="H107" s="13" t="s">
        <v>2422</v>
      </c>
      <c r="I107" s="13" t="s">
        <v>23</v>
      </c>
      <c r="J107" s="13">
        <v>8.0</v>
      </c>
      <c r="K107" s="13" t="s">
        <v>278</v>
      </c>
      <c r="L107" s="13" t="s">
        <v>279</v>
      </c>
      <c r="M107" s="13" t="s">
        <v>37</v>
      </c>
      <c r="N107" s="13" t="s">
        <v>38</v>
      </c>
      <c r="O107" s="14">
        <v>36.882</v>
      </c>
      <c r="P107" s="14">
        <f t="shared" si="2"/>
        <v>295.056</v>
      </c>
      <c r="Q107" s="14">
        <v>36.75</v>
      </c>
    </row>
    <row r="108">
      <c r="A108" s="12">
        <v>43427.0</v>
      </c>
      <c r="B108" s="12"/>
      <c r="C108" s="12" t="s">
        <v>2326</v>
      </c>
      <c r="D108" s="1" t="s">
        <v>281</v>
      </c>
      <c r="E108" s="15" t="str">
        <f t="shared" si="1"/>
        <v>Nov</v>
      </c>
      <c r="F108" s="13" t="s">
        <v>41</v>
      </c>
      <c r="G108" s="13" t="s">
        <v>2379</v>
      </c>
      <c r="H108" s="13" t="s">
        <v>2423</v>
      </c>
      <c r="I108" s="13" t="s">
        <v>23</v>
      </c>
      <c r="J108" s="13">
        <v>2.0</v>
      </c>
      <c r="K108" s="13" t="s">
        <v>284</v>
      </c>
      <c r="L108" s="13" t="s">
        <v>58</v>
      </c>
      <c r="M108" s="13" t="s">
        <v>26</v>
      </c>
      <c r="N108" s="13" t="s">
        <v>51</v>
      </c>
      <c r="O108" s="14">
        <v>74.112</v>
      </c>
      <c r="P108" s="14">
        <f t="shared" si="2"/>
        <v>148.224</v>
      </c>
      <c r="Q108" s="14">
        <v>73.41</v>
      </c>
    </row>
    <row r="109">
      <c r="A109" s="12">
        <v>43427.0</v>
      </c>
      <c r="B109" s="12"/>
      <c r="C109" s="12" t="s">
        <v>2326</v>
      </c>
      <c r="D109" s="1" t="s">
        <v>281</v>
      </c>
      <c r="E109" s="15" t="str">
        <f t="shared" si="1"/>
        <v>Nov</v>
      </c>
      <c r="F109" s="13" t="s">
        <v>41</v>
      </c>
      <c r="G109" s="13" t="s">
        <v>2379</v>
      </c>
      <c r="H109" s="13" t="s">
        <v>2423</v>
      </c>
      <c r="I109" s="13" t="s">
        <v>23</v>
      </c>
      <c r="J109" s="13">
        <v>2.0</v>
      </c>
      <c r="K109" s="13" t="s">
        <v>284</v>
      </c>
      <c r="L109" s="13" t="s">
        <v>58</v>
      </c>
      <c r="M109" s="13" t="s">
        <v>26</v>
      </c>
      <c r="N109" s="13" t="s">
        <v>51</v>
      </c>
      <c r="O109" s="14">
        <v>27.992</v>
      </c>
      <c r="P109" s="14">
        <f t="shared" si="2"/>
        <v>55.984</v>
      </c>
      <c r="Q109" s="14">
        <v>27.88</v>
      </c>
    </row>
    <row r="110">
      <c r="A110" s="12">
        <v>43427.0</v>
      </c>
      <c r="B110" s="12"/>
      <c r="C110" s="12" t="s">
        <v>2326</v>
      </c>
      <c r="D110" s="1" t="s">
        <v>281</v>
      </c>
      <c r="E110" s="15" t="str">
        <f t="shared" si="1"/>
        <v>Nov</v>
      </c>
      <c r="F110" s="13" t="s">
        <v>41</v>
      </c>
      <c r="G110" s="13" t="s">
        <v>2379</v>
      </c>
      <c r="H110" s="13" t="s">
        <v>2423</v>
      </c>
      <c r="I110" s="13" t="s">
        <v>23</v>
      </c>
      <c r="J110" s="13">
        <v>2.0</v>
      </c>
      <c r="K110" s="13" t="s">
        <v>284</v>
      </c>
      <c r="L110" s="13" t="s">
        <v>58</v>
      </c>
      <c r="M110" s="13" t="s">
        <v>26</v>
      </c>
      <c r="N110" s="13" t="s">
        <v>38</v>
      </c>
      <c r="O110" s="14">
        <v>3.304</v>
      </c>
      <c r="P110" s="14">
        <f t="shared" si="2"/>
        <v>6.608</v>
      </c>
      <c r="Q110" s="14">
        <v>2.47</v>
      </c>
    </row>
    <row r="111">
      <c r="A111" s="12">
        <v>42658.0</v>
      </c>
      <c r="B111" s="12"/>
      <c r="C111" s="12" t="s">
        <v>2358</v>
      </c>
      <c r="D111" s="1" t="s">
        <v>286</v>
      </c>
      <c r="E111" s="15" t="str">
        <f t="shared" si="1"/>
        <v>Oct</v>
      </c>
      <c r="F111" s="13" t="s">
        <v>41</v>
      </c>
      <c r="G111" s="13" t="s">
        <v>2340</v>
      </c>
      <c r="H111" s="13" t="s">
        <v>2424</v>
      </c>
      <c r="I111" s="13" t="s">
        <v>68</v>
      </c>
      <c r="J111" s="13">
        <v>6.0</v>
      </c>
      <c r="K111" s="13" t="s">
        <v>289</v>
      </c>
      <c r="L111" s="13" t="s">
        <v>135</v>
      </c>
      <c r="M111" s="13" t="s">
        <v>71</v>
      </c>
      <c r="N111" s="13" t="s">
        <v>51</v>
      </c>
      <c r="O111" s="14">
        <v>339.96</v>
      </c>
      <c r="P111" s="14">
        <f t="shared" si="2"/>
        <v>2039.76</v>
      </c>
      <c r="Q111" s="14">
        <v>339.63</v>
      </c>
    </row>
    <row r="112">
      <c r="A112" s="12">
        <v>43459.0</v>
      </c>
      <c r="B112" s="12"/>
      <c r="C112" s="12" t="s">
        <v>2325</v>
      </c>
      <c r="D112" s="1" t="s">
        <v>291</v>
      </c>
      <c r="E112" s="15" t="str">
        <f t="shared" si="1"/>
        <v>Dec</v>
      </c>
      <c r="F112" s="13" t="s">
        <v>41</v>
      </c>
      <c r="G112" s="13" t="s">
        <v>2425</v>
      </c>
      <c r="H112" s="13" t="s">
        <v>2426</v>
      </c>
      <c r="I112" s="13" t="s">
        <v>34</v>
      </c>
      <c r="J112" s="13">
        <v>1.0</v>
      </c>
      <c r="K112" s="13" t="s">
        <v>174</v>
      </c>
      <c r="L112" s="13" t="s">
        <v>175</v>
      </c>
      <c r="M112" s="13" t="s">
        <v>100</v>
      </c>
      <c r="N112" s="13" t="s">
        <v>27</v>
      </c>
      <c r="O112" s="14">
        <v>41.96</v>
      </c>
      <c r="P112" s="14">
        <f t="shared" si="2"/>
        <v>41.96</v>
      </c>
      <c r="Q112" s="14">
        <v>41.02</v>
      </c>
    </row>
    <row r="113">
      <c r="A113" s="12">
        <v>42805.0</v>
      </c>
      <c r="B113" s="12"/>
      <c r="C113" s="12" t="s">
        <v>2399</v>
      </c>
      <c r="D113" s="5">
        <v>43019.0</v>
      </c>
      <c r="E113" s="15" t="str">
        <f t="shared" si="1"/>
        <v>Oct</v>
      </c>
      <c r="F113" s="13" t="s">
        <v>41</v>
      </c>
      <c r="G113" s="13" t="s">
        <v>2427</v>
      </c>
      <c r="H113" s="13" t="s">
        <v>2428</v>
      </c>
      <c r="I113" s="13" t="s">
        <v>23</v>
      </c>
      <c r="J113" s="13">
        <v>5.0</v>
      </c>
      <c r="K113" s="13" t="s">
        <v>297</v>
      </c>
      <c r="L113" s="13" t="s">
        <v>298</v>
      </c>
      <c r="M113" s="13" t="s">
        <v>71</v>
      </c>
      <c r="N113" s="13" t="s">
        <v>38</v>
      </c>
      <c r="O113" s="14">
        <v>75.96</v>
      </c>
      <c r="P113" s="14">
        <f t="shared" si="2"/>
        <v>379.8</v>
      </c>
      <c r="Q113" s="14">
        <v>75.3</v>
      </c>
    </row>
    <row r="114">
      <c r="A114" s="12">
        <v>42805.0</v>
      </c>
      <c r="B114" s="12"/>
      <c r="C114" s="12" t="s">
        <v>2399</v>
      </c>
      <c r="D114" s="5">
        <v>43019.0</v>
      </c>
      <c r="E114" s="15" t="str">
        <f t="shared" si="1"/>
        <v>Oct</v>
      </c>
      <c r="F114" s="13" t="s">
        <v>41</v>
      </c>
      <c r="G114" s="13" t="s">
        <v>2427</v>
      </c>
      <c r="H114" s="13" t="s">
        <v>2428</v>
      </c>
      <c r="I114" s="13" t="s">
        <v>23</v>
      </c>
      <c r="J114" s="13">
        <v>5.0</v>
      </c>
      <c r="K114" s="13" t="s">
        <v>297</v>
      </c>
      <c r="L114" s="13" t="s">
        <v>298</v>
      </c>
      <c r="M114" s="13" t="s">
        <v>71</v>
      </c>
      <c r="N114" s="13" t="s">
        <v>38</v>
      </c>
      <c r="O114" s="14">
        <v>27.24</v>
      </c>
      <c r="P114" s="14">
        <f t="shared" si="2"/>
        <v>136.2</v>
      </c>
      <c r="Q114" s="14">
        <v>26.8</v>
      </c>
    </row>
    <row r="115">
      <c r="A115" s="12">
        <v>42241.0</v>
      </c>
      <c r="B115" s="12"/>
      <c r="C115" s="12" t="s">
        <v>2322</v>
      </c>
      <c r="D115" s="1" t="s">
        <v>300</v>
      </c>
      <c r="E115" s="15" t="str">
        <f t="shared" si="1"/>
        <v>Aug</v>
      </c>
      <c r="F115" s="13" t="s">
        <v>20</v>
      </c>
      <c r="G115" s="13" t="s">
        <v>2429</v>
      </c>
      <c r="H115" s="13" t="s">
        <v>2430</v>
      </c>
      <c r="I115" s="13" t="s">
        <v>23</v>
      </c>
      <c r="J115" s="13">
        <v>4.0</v>
      </c>
      <c r="K115" s="13" t="s">
        <v>303</v>
      </c>
      <c r="L115" s="13" t="s">
        <v>304</v>
      </c>
      <c r="M115" s="13" t="s">
        <v>100</v>
      </c>
      <c r="N115" s="13" t="s">
        <v>38</v>
      </c>
      <c r="O115" s="14">
        <v>40.096</v>
      </c>
      <c r="P115" s="14">
        <f t="shared" si="2"/>
        <v>160.384</v>
      </c>
      <c r="Q115" s="14">
        <v>39.18</v>
      </c>
    </row>
    <row r="116">
      <c r="A116" s="12">
        <v>42241.0</v>
      </c>
      <c r="B116" s="12"/>
      <c r="C116" s="12" t="s">
        <v>2322</v>
      </c>
      <c r="D116" s="1" t="s">
        <v>300</v>
      </c>
      <c r="E116" s="15" t="str">
        <f t="shared" si="1"/>
        <v>Aug</v>
      </c>
      <c r="F116" s="13" t="s">
        <v>20</v>
      </c>
      <c r="G116" s="13" t="s">
        <v>2429</v>
      </c>
      <c r="H116" s="13" t="s">
        <v>2430</v>
      </c>
      <c r="I116" s="13" t="s">
        <v>23</v>
      </c>
      <c r="J116" s="13">
        <v>4.0</v>
      </c>
      <c r="K116" s="13" t="s">
        <v>303</v>
      </c>
      <c r="L116" s="13" t="s">
        <v>304</v>
      </c>
      <c r="M116" s="13" t="s">
        <v>100</v>
      </c>
      <c r="N116" s="13" t="s">
        <v>38</v>
      </c>
      <c r="O116" s="14">
        <v>4.72</v>
      </c>
      <c r="P116" s="14">
        <f t="shared" si="2"/>
        <v>18.88</v>
      </c>
      <c r="Q116" s="14">
        <v>4.56</v>
      </c>
    </row>
    <row r="117">
      <c r="A117" s="12">
        <v>42241.0</v>
      </c>
      <c r="B117" s="12"/>
      <c r="C117" s="12" t="s">
        <v>2322</v>
      </c>
      <c r="D117" s="1" t="s">
        <v>300</v>
      </c>
      <c r="E117" s="15" t="str">
        <f t="shared" si="1"/>
        <v>Aug</v>
      </c>
      <c r="F117" s="13" t="s">
        <v>20</v>
      </c>
      <c r="G117" s="13" t="s">
        <v>2429</v>
      </c>
      <c r="H117" s="13" t="s">
        <v>2430</v>
      </c>
      <c r="I117" s="13" t="s">
        <v>23</v>
      </c>
      <c r="J117" s="13">
        <v>4.0</v>
      </c>
      <c r="K117" s="13" t="s">
        <v>303</v>
      </c>
      <c r="L117" s="13" t="s">
        <v>304</v>
      </c>
      <c r="M117" s="13" t="s">
        <v>100</v>
      </c>
      <c r="N117" s="13" t="s">
        <v>38</v>
      </c>
      <c r="O117" s="14">
        <v>23.976</v>
      </c>
      <c r="P117" s="14">
        <f t="shared" si="2"/>
        <v>95.904</v>
      </c>
      <c r="Q117" s="14">
        <v>23.97</v>
      </c>
    </row>
    <row r="118">
      <c r="A118" s="12">
        <v>42241.0</v>
      </c>
      <c r="B118" s="12"/>
      <c r="C118" s="12" t="s">
        <v>2322</v>
      </c>
      <c r="D118" s="1" t="s">
        <v>300</v>
      </c>
      <c r="E118" s="15" t="str">
        <f t="shared" si="1"/>
        <v>Aug</v>
      </c>
      <c r="F118" s="13" t="s">
        <v>20</v>
      </c>
      <c r="G118" s="13" t="s">
        <v>2429</v>
      </c>
      <c r="H118" s="13" t="s">
        <v>2430</v>
      </c>
      <c r="I118" s="13" t="s">
        <v>23</v>
      </c>
      <c r="J118" s="13">
        <v>4.0</v>
      </c>
      <c r="K118" s="13" t="s">
        <v>303</v>
      </c>
      <c r="L118" s="13" t="s">
        <v>304</v>
      </c>
      <c r="M118" s="13" t="s">
        <v>100</v>
      </c>
      <c r="N118" s="13" t="s">
        <v>38</v>
      </c>
      <c r="O118" s="14">
        <v>130.464</v>
      </c>
      <c r="P118" s="14">
        <f t="shared" si="2"/>
        <v>521.856</v>
      </c>
      <c r="Q118" s="14">
        <v>129.68</v>
      </c>
    </row>
    <row r="119">
      <c r="A119" s="12">
        <v>42403.0</v>
      </c>
      <c r="B119" s="12"/>
      <c r="C119" s="12" t="s">
        <v>2431</v>
      </c>
      <c r="D119" s="6">
        <v>42524.0</v>
      </c>
      <c r="E119" s="15" t="str">
        <f t="shared" si="1"/>
        <v>Jun</v>
      </c>
      <c r="F119" s="13" t="s">
        <v>41</v>
      </c>
      <c r="G119" s="13" t="s">
        <v>2432</v>
      </c>
      <c r="H119" s="13" t="s">
        <v>2433</v>
      </c>
      <c r="I119" s="13" t="s">
        <v>23</v>
      </c>
      <c r="J119" s="13">
        <v>9.0</v>
      </c>
      <c r="K119" s="13" t="s">
        <v>62</v>
      </c>
      <c r="L119" s="13" t="s">
        <v>63</v>
      </c>
      <c r="M119" s="13" t="s">
        <v>37</v>
      </c>
      <c r="N119" s="13" t="s">
        <v>27</v>
      </c>
      <c r="O119" s="14">
        <v>787.53</v>
      </c>
      <c r="P119" s="14">
        <f t="shared" si="2"/>
        <v>7087.77</v>
      </c>
      <c r="Q119" s="14">
        <v>786.93</v>
      </c>
    </row>
    <row r="120">
      <c r="A120" s="12">
        <v>42494.0</v>
      </c>
      <c r="B120" s="12"/>
      <c r="C120" s="12" t="s">
        <v>2335</v>
      </c>
      <c r="D120" s="6">
        <v>42647.0</v>
      </c>
      <c r="E120" s="15" t="str">
        <f t="shared" si="1"/>
        <v>Oct</v>
      </c>
      <c r="F120" s="13" t="s">
        <v>41</v>
      </c>
      <c r="G120" s="13" t="s">
        <v>2434</v>
      </c>
      <c r="H120" s="13" t="s">
        <v>2435</v>
      </c>
      <c r="I120" s="13" t="s">
        <v>34</v>
      </c>
      <c r="J120" s="13">
        <v>3.0</v>
      </c>
      <c r="K120" s="13" t="s">
        <v>311</v>
      </c>
      <c r="L120" s="13" t="s">
        <v>210</v>
      </c>
      <c r="M120" s="13" t="s">
        <v>26</v>
      </c>
      <c r="N120" s="13" t="s">
        <v>38</v>
      </c>
      <c r="O120" s="14">
        <v>157.794</v>
      </c>
      <c r="P120" s="14">
        <f t="shared" si="2"/>
        <v>473.382</v>
      </c>
      <c r="Q120" s="14">
        <v>156.91</v>
      </c>
    </row>
    <row r="121">
      <c r="A121" s="12">
        <v>43075.0</v>
      </c>
      <c r="B121" s="12"/>
      <c r="C121" s="12" t="s">
        <v>2325</v>
      </c>
      <c r="D121" s="1" t="s">
        <v>216</v>
      </c>
      <c r="E121" s="15" t="str">
        <f t="shared" si="1"/>
        <v>Jun</v>
      </c>
      <c r="F121" s="13" t="s">
        <v>121</v>
      </c>
      <c r="G121" s="13" t="s">
        <v>2436</v>
      </c>
      <c r="H121" s="13" t="s">
        <v>2437</v>
      </c>
      <c r="I121" s="13" t="s">
        <v>23</v>
      </c>
      <c r="J121" s="13">
        <v>1.0</v>
      </c>
      <c r="K121" s="13" t="s">
        <v>315</v>
      </c>
      <c r="L121" s="13" t="s">
        <v>163</v>
      </c>
      <c r="M121" s="13" t="s">
        <v>100</v>
      </c>
      <c r="N121" s="13" t="s">
        <v>27</v>
      </c>
      <c r="O121" s="14">
        <v>47.04</v>
      </c>
      <c r="P121" s="14">
        <f t="shared" si="2"/>
        <v>47.04</v>
      </c>
      <c r="Q121" s="14">
        <v>46.83</v>
      </c>
    </row>
    <row r="122">
      <c r="A122" s="12">
        <v>43075.0</v>
      </c>
      <c r="B122" s="12"/>
      <c r="C122" s="12" t="s">
        <v>2325</v>
      </c>
      <c r="D122" s="1" t="s">
        <v>216</v>
      </c>
      <c r="E122" s="15" t="str">
        <f t="shared" si="1"/>
        <v>Jun</v>
      </c>
      <c r="F122" s="13" t="s">
        <v>121</v>
      </c>
      <c r="G122" s="13" t="s">
        <v>2436</v>
      </c>
      <c r="H122" s="13" t="s">
        <v>2437</v>
      </c>
      <c r="I122" s="13" t="s">
        <v>23</v>
      </c>
      <c r="J122" s="13">
        <v>1.0</v>
      </c>
      <c r="K122" s="13" t="s">
        <v>315</v>
      </c>
      <c r="L122" s="13" t="s">
        <v>163</v>
      </c>
      <c r="M122" s="13" t="s">
        <v>100</v>
      </c>
      <c r="N122" s="13" t="s">
        <v>38</v>
      </c>
      <c r="O122" s="14">
        <v>30.84</v>
      </c>
      <c r="P122" s="14">
        <f t="shared" si="2"/>
        <v>30.84</v>
      </c>
      <c r="Q122" s="14">
        <v>30.78</v>
      </c>
    </row>
    <row r="123">
      <c r="A123" s="12">
        <v>43075.0</v>
      </c>
      <c r="B123" s="12"/>
      <c r="C123" s="12" t="s">
        <v>2325</v>
      </c>
      <c r="D123" s="1" t="s">
        <v>216</v>
      </c>
      <c r="E123" s="15" t="str">
        <f t="shared" si="1"/>
        <v>Jun</v>
      </c>
      <c r="F123" s="13" t="s">
        <v>121</v>
      </c>
      <c r="G123" s="13" t="s">
        <v>2436</v>
      </c>
      <c r="H123" s="13" t="s">
        <v>2437</v>
      </c>
      <c r="I123" s="13" t="s">
        <v>23</v>
      </c>
      <c r="J123" s="13">
        <v>1.0</v>
      </c>
      <c r="K123" s="13" t="s">
        <v>315</v>
      </c>
      <c r="L123" s="13" t="s">
        <v>163</v>
      </c>
      <c r="M123" s="13" t="s">
        <v>100</v>
      </c>
      <c r="N123" s="13" t="s">
        <v>38</v>
      </c>
      <c r="O123" s="14">
        <v>226.56</v>
      </c>
      <c r="P123" s="14">
        <f t="shared" si="2"/>
        <v>226.56</v>
      </c>
      <c r="Q123" s="14">
        <v>225.99</v>
      </c>
    </row>
    <row r="124">
      <c r="A124" s="12">
        <v>43075.0</v>
      </c>
      <c r="B124" s="12"/>
      <c r="C124" s="12" t="s">
        <v>2325</v>
      </c>
      <c r="D124" s="1" t="s">
        <v>216</v>
      </c>
      <c r="E124" s="15" t="str">
        <f t="shared" si="1"/>
        <v>Jun</v>
      </c>
      <c r="F124" s="13" t="s">
        <v>121</v>
      </c>
      <c r="G124" s="13" t="s">
        <v>2436</v>
      </c>
      <c r="H124" s="13" t="s">
        <v>2437</v>
      </c>
      <c r="I124" s="13" t="s">
        <v>23</v>
      </c>
      <c r="J124" s="13">
        <v>1.0</v>
      </c>
      <c r="K124" s="13" t="s">
        <v>315</v>
      </c>
      <c r="L124" s="13" t="s">
        <v>163</v>
      </c>
      <c r="M124" s="13" t="s">
        <v>100</v>
      </c>
      <c r="N124" s="13" t="s">
        <v>38</v>
      </c>
      <c r="O124" s="14">
        <v>115.02</v>
      </c>
      <c r="P124" s="14">
        <f t="shared" si="2"/>
        <v>115.02</v>
      </c>
      <c r="Q124" s="14">
        <v>114.44</v>
      </c>
    </row>
    <row r="125">
      <c r="A125" s="12">
        <v>43075.0</v>
      </c>
      <c r="B125" s="12"/>
      <c r="C125" s="12" t="s">
        <v>2325</v>
      </c>
      <c r="D125" s="1" t="s">
        <v>216</v>
      </c>
      <c r="E125" s="15" t="str">
        <f t="shared" si="1"/>
        <v>Jun</v>
      </c>
      <c r="F125" s="13" t="s">
        <v>121</v>
      </c>
      <c r="G125" s="13" t="s">
        <v>2436</v>
      </c>
      <c r="H125" s="13" t="s">
        <v>2437</v>
      </c>
      <c r="I125" s="13" t="s">
        <v>23</v>
      </c>
      <c r="J125" s="13">
        <v>1.0</v>
      </c>
      <c r="K125" s="13" t="s">
        <v>315</v>
      </c>
      <c r="L125" s="13" t="s">
        <v>163</v>
      </c>
      <c r="M125" s="13" t="s">
        <v>100</v>
      </c>
      <c r="N125" s="13" t="s">
        <v>51</v>
      </c>
      <c r="O125" s="14">
        <v>68.04</v>
      </c>
      <c r="P125" s="14">
        <f t="shared" si="2"/>
        <v>68.04</v>
      </c>
      <c r="Q125" s="14">
        <v>67.05</v>
      </c>
    </row>
    <row r="126">
      <c r="A126" s="12">
        <v>42364.0</v>
      </c>
      <c r="B126" s="12"/>
      <c r="C126" s="12" t="s">
        <v>2325</v>
      </c>
      <c r="D126" s="1" t="s">
        <v>317</v>
      </c>
      <c r="E126" s="15" t="str">
        <f t="shared" si="1"/>
        <v>Dec</v>
      </c>
      <c r="F126" s="13" t="s">
        <v>20</v>
      </c>
      <c r="G126" s="13" t="s">
        <v>2438</v>
      </c>
      <c r="H126" s="13" t="s">
        <v>2439</v>
      </c>
      <c r="I126" s="13" t="s">
        <v>68</v>
      </c>
      <c r="J126" s="13">
        <v>7.0</v>
      </c>
      <c r="K126" s="13" t="s">
        <v>129</v>
      </c>
      <c r="L126" s="13" t="s">
        <v>70</v>
      </c>
      <c r="M126" s="13" t="s">
        <v>71</v>
      </c>
      <c r="N126" s="13" t="s">
        <v>27</v>
      </c>
      <c r="O126" s="14">
        <v>600.558</v>
      </c>
      <c r="P126" s="14">
        <f t="shared" si="2"/>
        <v>4203.906</v>
      </c>
      <c r="Q126" s="14">
        <v>600.44</v>
      </c>
    </row>
    <row r="127">
      <c r="A127" s="12">
        <v>42267.0</v>
      </c>
      <c r="B127" s="12"/>
      <c r="C127" s="12" t="s">
        <v>2329</v>
      </c>
      <c r="D127" s="1" t="s">
        <v>321</v>
      </c>
      <c r="E127" s="15" t="str">
        <f t="shared" si="1"/>
        <v>Sep</v>
      </c>
      <c r="F127" s="13" t="s">
        <v>41</v>
      </c>
      <c r="G127" s="13" t="s">
        <v>2440</v>
      </c>
      <c r="H127" s="13" t="s">
        <v>2441</v>
      </c>
      <c r="I127" s="13" t="s">
        <v>23</v>
      </c>
      <c r="J127" s="13">
        <v>6.0</v>
      </c>
      <c r="K127" s="13" t="s">
        <v>324</v>
      </c>
      <c r="L127" s="13" t="s">
        <v>135</v>
      </c>
      <c r="M127" s="13" t="s">
        <v>71</v>
      </c>
      <c r="N127" s="13" t="s">
        <v>27</v>
      </c>
      <c r="O127" s="14">
        <v>617.7</v>
      </c>
      <c r="P127" s="14">
        <f t="shared" si="2"/>
        <v>3706.2</v>
      </c>
      <c r="Q127" s="14">
        <v>616.9</v>
      </c>
    </row>
    <row r="128">
      <c r="A128" s="12">
        <v>43231.0</v>
      </c>
      <c r="B128" s="12"/>
      <c r="C128" s="12" t="s">
        <v>2335</v>
      </c>
      <c r="D128" s="5">
        <v>43445.0</v>
      </c>
      <c r="E128" s="15" t="str">
        <f t="shared" si="1"/>
        <v>Dec</v>
      </c>
      <c r="F128" s="13" t="s">
        <v>41</v>
      </c>
      <c r="G128" s="13" t="s">
        <v>180</v>
      </c>
      <c r="H128" s="13" t="s">
        <v>2442</v>
      </c>
      <c r="I128" s="13" t="s">
        <v>23</v>
      </c>
      <c r="J128" s="13">
        <v>8.0</v>
      </c>
      <c r="K128" s="13" t="s">
        <v>328</v>
      </c>
      <c r="L128" s="13" t="s">
        <v>193</v>
      </c>
      <c r="M128" s="13" t="s">
        <v>37</v>
      </c>
      <c r="N128" s="13" t="s">
        <v>38</v>
      </c>
      <c r="O128" s="14">
        <v>2.388</v>
      </c>
      <c r="P128" s="14">
        <f t="shared" si="2"/>
        <v>19.104</v>
      </c>
      <c r="Q128" s="14">
        <v>2.19</v>
      </c>
    </row>
    <row r="129">
      <c r="A129" s="12">
        <v>43231.0</v>
      </c>
      <c r="B129" s="12"/>
      <c r="C129" s="12" t="s">
        <v>2335</v>
      </c>
      <c r="D129" s="5">
        <v>43445.0</v>
      </c>
      <c r="E129" s="15" t="str">
        <f t="shared" si="1"/>
        <v>Dec</v>
      </c>
      <c r="F129" s="13" t="s">
        <v>41</v>
      </c>
      <c r="G129" s="13" t="s">
        <v>180</v>
      </c>
      <c r="H129" s="13" t="s">
        <v>2442</v>
      </c>
      <c r="I129" s="13" t="s">
        <v>23</v>
      </c>
      <c r="J129" s="13">
        <v>8.0</v>
      </c>
      <c r="K129" s="13" t="s">
        <v>328</v>
      </c>
      <c r="L129" s="13" t="s">
        <v>193</v>
      </c>
      <c r="M129" s="13" t="s">
        <v>37</v>
      </c>
      <c r="N129" s="13" t="s">
        <v>38</v>
      </c>
      <c r="O129" s="14">
        <v>243.992</v>
      </c>
      <c r="P129" s="14">
        <f t="shared" si="2"/>
        <v>1951.936</v>
      </c>
      <c r="Q129" s="14">
        <v>243.79</v>
      </c>
    </row>
    <row r="130">
      <c r="A130" s="12">
        <v>42897.0</v>
      </c>
      <c r="B130" s="12"/>
      <c r="C130" s="12" t="s">
        <v>2374</v>
      </c>
      <c r="D130" s="5">
        <v>43019.0</v>
      </c>
      <c r="E130" s="15" t="str">
        <f t="shared" si="1"/>
        <v>Oct</v>
      </c>
      <c r="F130" s="13" t="s">
        <v>20</v>
      </c>
      <c r="G130" s="13" t="s">
        <v>2443</v>
      </c>
      <c r="H130" s="13" t="s">
        <v>2444</v>
      </c>
      <c r="I130" s="13" t="s">
        <v>68</v>
      </c>
      <c r="J130" s="13">
        <v>9.0</v>
      </c>
      <c r="K130" s="13" t="s">
        <v>35</v>
      </c>
      <c r="L130" s="13" t="s">
        <v>52</v>
      </c>
      <c r="M130" s="13" t="s">
        <v>37</v>
      </c>
      <c r="N130" s="13" t="s">
        <v>27</v>
      </c>
      <c r="O130" s="14">
        <v>81.424</v>
      </c>
      <c r="P130" s="14">
        <f t="shared" si="2"/>
        <v>732.816</v>
      </c>
      <c r="Q130" s="14">
        <v>80.61</v>
      </c>
    </row>
    <row r="131">
      <c r="A131" s="12">
        <v>42897.0</v>
      </c>
      <c r="B131" s="12"/>
      <c r="C131" s="12" t="s">
        <v>2374</v>
      </c>
      <c r="D131" s="5">
        <v>43019.0</v>
      </c>
      <c r="E131" s="15" t="str">
        <f t="shared" si="1"/>
        <v>Oct</v>
      </c>
      <c r="F131" s="13" t="s">
        <v>20</v>
      </c>
      <c r="G131" s="13" t="s">
        <v>2443</v>
      </c>
      <c r="H131" s="13" t="s">
        <v>2444</v>
      </c>
      <c r="I131" s="13" t="s">
        <v>68</v>
      </c>
      <c r="J131" s="13">
        <v>9.0</v>
      </c>
      <c r="K131" s="13" t="s">
        <v>35</v>
      </c>
      <c r="L131" s="13" t="s">
        <v>52</v>
      </c>
      <c r="M131" s="13" t="s">
        <v>37</v>
      </c>
      <c r="N131" s="13" t="s">
        <v>27</v>
      </c>
      <c r="O131" s="14">
        <v>238.56</v>
      </c>
      <c r="P131" s="14">
        <f t="shared" si="2"/>
        <v>2147.04</v>
      </c>
      <c r="Q131" s="14">
        <v>238.11</v>
      </c>
    </row>
    <row r="132">
      <c r="A132" s="12">
        <v>43133.0</v>
      </c>
      <c r="B132" s="12"/>
      <c r="C132" s="12" t="s">
        <v>2431</v>
      </c>
      <c r="D132" s="6">
        <v>43222.0</v>
      </c>
      <c r="E132" s="15" t="str">
        <f t="shared" si="1"/>
        <v>May</v>
      </c>
      <c r="F132" s="13" t="s">
        <v>121</v>
      </c>
      <c r="G132" s="13" t="s">
        <v>2445</v>
      </c>
      <c r="H132" s="13" t="s">
        <v>2446</v>
      </c>
      <c r="I132" s="13" t="s">
        <v>34</v>
      </c>
      <c r="J132" s="13">
        <v>4.0</v>
      </c>
      <c r="K132" s="13" t="s">
        <v>303</v>
      </c>
      <c r="L132" s="13" t="s">
        <v>304</v>
      </c>
      <c r="M132" s="13" t="s">
        <v>100</v>
      </c>
      <c r="N132" s="13" t="s">
        <v>51</v>
      </c>
      <c r="O132" s="14">
        <v>59.97</v>
      </c>
      <c r="P132" s="14">
        <f t="shared" si="2"/>
        <v>239.88</v>
      </c>
      <c r="Q132" s="14">
        <v>59.36</v>
      </c>
    </row>
    <row r="133">
      <c r="A133" s="12">
        <v>43133.0</v>
      </c>
      <c r="B133" s="12"/>
      <c r="C133" s="12" t="s">
        <v>2431</v>
      </c>
      <c r="D133" s="6">
        <v>43222.0</v>
      </c>
      <c r="E133" s="15" t="str">
        <f t="shared" si="1"/>
        <v>May</v>
      </c>
      <c r="F133" s="13" t="s">
        <v>121</v>
      </c>
      <c r="G133" s="13" t="s">
        <v>2445</v>
      </c>
      <c r="H133" s="13" t="s">
        <v>2446</v>
      </c>
      <c r="I133" s="13" t="s">
        <v>34</v>
      </c>
      <c r="J133" s="13">
        <v>4.0</v>
      </c>
      <c r="K133" s="13" t="s">
        <v>303</v>
      </c>
      <c r="L133" s="13" t="s">
        <v>304</v>
      </c>
      <c r="M133" s="13" t="s">
        <v>100</v>
      </c>
      <c r="N133" s="13" t="s">
        <v>38</v>
      </c>
      <c r="O133" s="14">
        <v>78.304</v>
      </c>
      <c r="P133" s="14">
        <f t="shared" si="2"/>
        <v>313.216</v>
      </c>
      <c r="Q133" s="14">
        <v>78.24</v>
      </c>
    </row>
    <row r="134">
      <c r="A134" s="12">
        <v>43133.0</v>
      </c>
      <c r="B134" s="12"/>
      <c r="C134" s="12" t="s">
        <v>2431</v>
      </c>
      <c r="D134" s="6">
        <v>43222.0</v>
      </c>
      <c r="E134" s="15" t="str">
        <f t="shared" si="1"/>
        <v>May</v>
      </c>
      <c r="F134" s="13" t="s">
        <v>121</v>
      </c>
      <c r="G134" s="13" t="s">
        <v>2445</v>
      </c>
      <c r="H134" s="13" t="s">
        <v>2446</v>
      </c>
      <c r="I134" s="13" t="s">
        <v>34</v>
      </c>
      <c r="J134" s="13">
        <v>4.0</v>
      </c>
      <c r="K134" s="13" t="s">
        <v>303</v>
      </c>
      <c r="L134" s="13" t="s">
        <v>304</v>
      </c>
      <c r="M134" s="13" t="s">
        <v>100</v>
      </c>
      <c r="N134" s="13" t="s">
        <v>38</v>
      </c>
      <c r="O134" s="14">
        <v>21.456</v>
      </c>
      <c r="P134" s="14">
        <f t="shared" si="2"/>
        <v>85.824</v>
      </c>
      <c r="Q134" s="14">
        <v>20.85</v>
      </c>
    </row>
    <row r="135">
      <c r="A135" s="12">
        <v>43021.0</v>
      </c>
      <c r="B135" s="12"/>
      <c r="C135" s="12" t="s">
        <v>2358</v>
      </c>
      <c r="D135" s="1" t="s">
        <v>336</v>
      </c>
      <c r="E135" s="15" t="str">
        <f t="shared" si="1"/>
        <v>Oct</v>
      </c>
      <c r="F135" s="13" t="s">
        <v>41</v>
      </c>
      <c r="G135" s="13" t="s">
        <v>2375</v>
      </c>
      <c r="H135" s="13" t="s">
        <v>2401</v>
      </c>
      <c r="I135" s="13" t="s">
        <v>23</v>
      </c>
      <c r="J135" s="13">
        <v>9.0</v>
      </c>
      <c r="K135" s="13" t="s">
        <v>339</v>
      </c>
      <c r="L135" s="13" t="s">
        <v>52</v>
      </c>
      <c r="M135" s="13" t="s">
        <v>37</v>
      </c>
      <c r="N135" s="13" t="s">
        <v>38</v>
      </c>
      <c r="O135" s="14">
        <v>20.04</v>
      </c>
      <c r="P135" s="14">
        <f t="shared" si="2"/>
        <v>180.36</v>
      </c>
      <c r="Q135" s="14">
        <v>20.0</v>
      </c>
    </row>
    <row r="136">
      <c r="A136" s="12">
        <v>43021.0</v>
      </c>
      <c r="B136" s="12"/>
      <c r="C136" s="12" t="s">
        <v>2358</v>
      </c>
      <c r="D136" s="1" t="s">
        <v>336</v>
      </c>
      <c r="E136" s="15" t="str">
        <f t="shared" si="1"/>
        <v>Oct</v>
      </c>
      <c r="F136" s="13" t="s">
        <v>41</v>
      </c>
      <c r="G136" s="13" t="s">
        <v>2375</v>
      </c>
      <c r="H136" s="13" t="s">
        <v>2401</v>
      </c>
      <c r="I136" s="13" t="s">
        <v>23</v>
      </c>
      <c r="J136" s="13">
        <v>9.0</v>
      </c>
      <c r="K136" s="13" t="s">
        <v>339</v>
      </c>
      <c r="L136" s="13" t="s">
        <v>52</v>
      </c>
      <c r="M136" s="13" t="s">
        <v>37</v>
      </c>
      <c r="N136" s="13" t="s">
        <v>38</v>
      </c>
      <c r="O136" s="14">
        <v>35.44</v>
      </c>
      <c r="P136" s="14">
        <f t="shared" si="2"/>
        <v>318.96</v>
      </c>
      <c r="Q136" s="14">
        <v>35.26</v>
      </c>
    </row>
    <row r="137">
      <c r="A137" s="12">
        <v>43021.0</v>
      </c>
      <c r="B137" s="12"/>
      <c r="C137" s="12" t="s">
        <v>2358</v>
      </c>
      <c r="D137" s="1" t="s">
        <v>336</v>
      </c>
      <c r="E137" s="15" t="str">
        <f t="shared" si="1"/>
        <v>Oct</v>
      </c>
      <c r="F137" s="13" t="s">
        <v>41</v>
      </c>
      <c r="G137" s="13" t="s">
        <v>2375</v>
      </c>
      <c r="H137" s="13" t="s">
        <v>2401</v>
      </c>
      <c r="I137" s="13" t="s">
        <v>23</v>
      </c>
      <c r="J137" s="13">
        <v>9.0</v>
      </c>
      <c r="K137" s="13" t="s">
        <v>339</v>
      </c>
      <c r="L137" s="13" t="s">
        <v>52</v>
      </c>
      <c r="M137" s="13" t="s">
        <v>37</v>
      </c>
      <c r="N137" s="13" t="s">
        <v>38</v>
      </c>
      <c r="O137" s="14">
        <v>11.52</v>
      </c>
      <c r="P137" s="14">
        <f t="shared" si="2"/>
        <v>103.68</v>
      </c>
      <c r="Q137" s="14">
        <v>10.88</v>
      </c>
    </row>
    <row r="138">
      <c r="A138" s="12">
        <v>43021.0</v>
      </c>
      <c r="B138" s="12"/>
      <c r="C138" s="12" t="s">
        <v>2358</v>
      </c>
      <c r="D138" s="1" t="s">
        <v>336</v>
      </c>
      <c r="E138" s="15" t="str">
        <f t="shared" si="1"/>
        <v>Oct</v>
      </c>
      <c r="F138" s="13" t="s">
        <v>41</v>
      </c>
      <c r="G138" s="13" t="s">
        <v>2375</v>
      </c>
      <c r="H138" s="13" t="s">
        <v>2401</v>
      </c>
      <c r="I138" s="13" t="s">
        <v>23</v>
      </c>
      <c r="J138" s="13">
        <v>9.0</v>
      </c>
      <c r="K138" s="13" t="s">
        <v>339</v>
      </c>
      <c r="L138" s="13" t="s">
        <v>52</v>
      </c>
      <c r="M138" s="13" t="s">
        <v>37</v>
      </c>
      <c r="N138" s="13" t="s">
        <v>38</v>
      </c>
      <c r="O138" s="14">
        <v>4.02</v>
      </c>
      <c r="P138" s="14">
        <f t="shared" si="2"/>
        <v>36.18</v>
      </c>
      <c r="Q138" s="14">
        <v>3.77</v>
      </c>
    </row>
    <row r="139">
      <c r="A139" s="12">
        <v>43021.0</v>
      </c>
      <c r="B139" s="12"/>
      <c r="C139" s="12" t="s">
        <v>2358</v>
      </c>
      <c r="D139" s="1" t="s">
        <v>336</v>
      </c>
      <c r="E139" s="15" t="str">
        <f t="shared" si="1"/>
        <v>Oct</v>
      </c>
      <c r="F139" s="13" t="s">
        <v>41</v>
      </c>
      <c r="G139" s="13" t="s">
        <v>2375</v>
      </c>
      <c r="H139" s="13" t="s">
        <v>2401</v>
      </c>
      <c r="I139" s="13" t="s">
        <v>23</v>
      </c>
      <c r="J139" s="13">
        <v>9.0</v>
      </c>
      <c r="K139" s="13" t="s">
        <v>339</v>
      </c>
      <c r="L139" s="13" t="s">
        <v>52</v>
      </c>
      <c r="M139" s="13" t="s">
        <v>37</v>
      </c>
      <c r="N139" s="13" t="s">
        <v>38</v>
      </c>
      <c r="O139" s="14">
        <v>76.176</v>
      </c>
      <c r="P139" s="14">
        <f t="shared" si="2"/>
        <v>685.584</v>
      </c>
      <c r="Q139" s="14">
        <v>76.02</v>
      </c>
    </row>
    <row r="140">
      <c r="A140" s="12">
        <v>43021.0</v>
      </c>
      <c r="B140" s="12"/>
      <c r="C140" s="12" t="s">
        <v>2358</v>
      </c>
      <c r="D140" s="1" t="s">
        <v>336</v>
      </c>
      <c r="E140" s="15" t="str">
        <f t="shared" si="1"/>
        <v>Oct</v>
      </c>
      <c r="F140" s="13" t="s">
        <v>41</v>
      </c>
      <c r="G140" s="13" t="s">
        <v>2375</v>
      </c>
      <c r="H140" s="13" t="s">
        <v>2401</v>
      </c>
      <c r="I140" s="13" t="s">
        <v>23</v>
      </c>
      <c r="J140" s="13">
        <v>9.0</v>
      </c>
      <c r="K140" s="13" t="s">
        <v>339</v>
      </c>
      <c r="L140" s="13" t="s">
        <v>52</v>
      </c>
      <c r="M140" s="13" t="s">
        <v>37</v>
      </c>
      <c r="N140" s="13" t="s">
        <v>38</v>
      </c>
      <c r="O140" s="14">
        <v>65.88</v>
      </c>
      <c r="P140" s="14">
        <f t="shared" si="2"/>
        <v>592.92</v>
      </c>
      <c r="Q140" s="14">
        <v>65.27</v>
      </c>
    </row>
    <row r="141">
      <c r="A141" s="12">
        <v>43021.0</v>
      </c>
      <c r="B141" s="12"/>
      <c r="C141" s="12" t="s">
        <v>2358</v>
      </c>
      <c r="D141" s="1" t="s">
        <v>336</v>
      </c>
      <c r="E141" s="15" t="str">
        <f t="shared" si="1"/>
        <v>Oct</v>
      </c>
      <c r="F141" s="13" t="s">
        <v>41</v>
      </c>
      <c r="G141" s="13" t="s">
        <v>2375</v>
      </c>
      <c r="H141" s="13" t="s">
        <v>2401</v>
      </c>
      <c r="I141" s="13" t="s">
        <v>23</v>
      </c>
      <c r="J141" s="13">
        <v>9.0</v>
      </c>
      <c r="K141" s="13" t="s">
        <v>339</v>
      </c>
      <c r="L141" s="13" t="s">
        <v>52</v>
      </c>
      <c r="M141" s="13" t="s">
        <v>37</v>
      </c>
      <c r="N141" s="13" t="s">
        <v>27</v>
      </c>
      <c r="O141" s="14">
        <v>43.12</v>
      </c>
      <c r="P141" s="14">
        <f t="shared" si="2"/>
        <v>388.08</v>
      </c>
      <c r="Q141" s="14">
        <v>42.27</v>
      </c>
    </row>
    <row r="142">
      <c r="A142" s="12">
        <v>42864.0</v>
      </c>
      <c r="B142" s="12"/>
      <c r="C142" s="12" t="s">
        <v>2335</v>
      </c>
      <c r="D142" s="6">
        <v>42925.0</v>
      </c>
      <c r="E142" s="15" t="str">
        <f t="shared" si="1"/>
        <v>Jul</v>
      </c>
      <c r="F142" s="13" t="s">
        <v>20</v>
      </c>
      <c r="G142" s="13" t="s">
        <v>2447</v>
      </c>
      <c r="H142" s="13" t="s">
        <v>2448</v>
      </c>
      <c r="I142" s="13" t="s">
        <v>34</v>
      </c>
      <c r="J142" s="13">
        <v>1.0</v>
      </c>
      <c r="K142" s="13" t="s">
        <v>98</v>
      </c>
      <c r="L142" s="13" t="s">
        <v>99</v>
      </c>
      <c r="M142" s="13" t="s">
        <v>100</v>
      </c>
      <c r="N142" s="13" t="s">
        <v>27</v>
      </c>
      <c r="O142" s="14">
        <v>82.8</v>
      </c>
      <c r="P142" s="14">
        <f t="shared" si="2"/>
        <v>82.8</v>
      </c>
      <c r="Q142" s="14">
        <v>82.56</v>
      </c>
    </row>
    <row r="143">
      <c r="A143" s="12">
        <v>43361.0</v>
      </c>
      <c r="B143" s="12"/>
      <c r="C143" s="12" t="s">
        <v>2329</v>
      </c>
      <c r="D143" s="1" t="s">
        <v>141</v>
      </c>
      <c r="E143" s="15" t="str">
        <f t="shared" si="1"/>
        <v>Sep</v>
      </c>
      <c r="F143" s="13" t="s">
        <v>41</v>
      </c>
      <c r="G143" s="13" t="s">
        <v>2449</v>
      </c>
      <c r="H143" s="13" t="s">
        <v>2450</v>
      </c>
      <c r="I143" s="13" t="s">
        <v>34</v>
      </c>
      <c r="J143" s="13">
        <v>9.0</v>
      </c>
      <c r="K143" s="13" t="s">
        <v>87</v>
      </c>
      <c r="L143" s="13" t="s">
        <v>52</v>
      </c>
      <c r="M143" s="13" t="s">
        <v>37</v>
      </c>
      <c r="N143" s="13" t="s">
        <v>38</v>
      </c>
      <c r="O143" s="14">
        <v>8.82</v>
      </c>
      <c r="P143" s="14">
        <f t="shared" si="2"/>
        <v>79.38</v>
      </c>
      <c r="Q143" s="14">
        <v>8.76</v>
      </c>
    </row>
    <row r="144">
      <c r="A144" s="12">
        <v>43361.0</v>
      </c>
      <c r="B144" s="12"/>
      <c r="C144" s="12" t="s">
        <v>2329</v>
      </c>
      <c r="D144" s="1" t="s">
        <v>141</v>
      </c>
      <c r="E144" s="15" t="str">
        <f t="shared" si="1"/>
        <v>Sep</v>
      </c>
      <c r="F144" s="13" t="s">
        <v>41</v>
      </c>
      <c r="G144" s="13" t="s">
        <v>2449</v>
      </c>
      <c r="H144" s="13" t="s">
        <v>2450</v>
      </c>
      <c r="I144" s="13" t="s">
        <v>34</v>
      </c>
      <c r="J144" s="13">
        <v>9.0</v>
      </c>
      <c r="K144" s="13" t="s">
        <v>87</v>
      </c>
      <c r="L144" s="13" t="s">
        <v>52</v>
      </c>
      <c r="M144" s="13" t="s">
        <v>37</v>
      </c>
      <c r="N144" s="13" t="s">
        <v>38</v>
      </c>
      <c r="O144" s="14">
        <v>10.86</v>
      </c>
      <c r="P144" s="14">
        <f t="shared" si="2"/>
        <v>97.74</v>
      </c>
      <c r="Q144" s="14">
        <v>10.56</v>
      </c>
    </row>
    <row r="145">
      <c r="A145" s="12">
        <v>43361.0</v>
      </c>
      <c r="B145" s="12"/>
      <c r="C145" s="12" t="s">
        <v>2329</v>
      </c>
      <c r="D145" s="1" t="s">
        <v>141</v>
      </c>
      <c r="E145" s="15" t="str">
        <f t="shared" si="1"/>
        <v>Sep</v>
      </c>
      <c r="F145" s="13" t="s">
        <v>41</v>
      </c>
      <c r="G145" s="13" t="s">
        <v>2449</v>
      </c>
      <c r="H145" s="13" t="s">
        <v>2450</v>
      </c>
      <c r="I145" s="13" t="s">
        <v>34</v>
      </c>
      <c r="J145" s="13">
        <v>9.0</v>
      </c>
      <c r="K145" s="13" t="s">
        <v>87</v>
      </c>
      <c r="L145" s="13" t="s">
        <v>52</v>
      </c>
      <c r="M145" s="13" t="s">
        <v>37</v>
      </c>
      <c r="N145" s="13" t="s">
        <v>38</v>
      </c>
      <c r="O145" s="14">
        <v>143.7</v>
      </c>
      <c r="P145" s="14">
        <f t="shared" si="2"/>
        <v>1293.3</v>
      </c>
      <c r="Q145" s="14">
        <v>143.52</v>
      </c>
    </row>
    <row r="146">
      <c r="A146" s="12">
        <v>43456.0</v>
      </c>
      <c r="B146" s="12"/>
      <c r="C146" s="12" t="s">
        <v>2325</v>
      </c>
      <c r="D146" s="1" t="s">
        <v>347</v>
      </c>
      <c r="E146" s="15" t="str">
        <f t="shared" si="1"/>
        <v>Dec</v>
      </c>
      <c r="F146" s="13" t="s">
        <v>41</v>
      </c>
      <c r="G146" s="13" t="s">
        <v>2349</v>
      </c>
      <c r="H146" s="13" t="s">
        <v>2451</v>
      </c>
      <c r="I146" s="13" t="s">
        <v>23</v>
      </c>
      <c r="J146" s="13">
        <v>6.0</v>
      </c>
      <c r="K146" s="13" t="s">
        <v>350</v>
      </c>
      <c r="L146" s="13" t="s">
        <v>351</v>
      </c>
      <c r="M146" s="13" t="s">
        <v>71</v>
      </c>
      <c r="N146" s="13" t="s">
        <v>38</v>
      </c>
      <c r="O146" s="14">
        <v>839.43</v>
      </c>
      <c r="P146" s="14">
        <f t="shared" si="2"/>
        <v>5036.58</v>
      </c>
      <c r="Q146" s="14">
        <v>838.57</v>
      </c>
    </row>
    <row r="147">
      <c r="A147" s="12">
        <v>42560.0</v>
      </c>
      <c r="B147" s="12"/>
      <c r="C147" s="12" t="s">
        <v>2348</v>
      </c>
      <c r="D147" s="6">
        <v>42713.0</v>
      </c>
      <c r="E147" s="15" t="str">
        <f t="shared" si="1"/>
        <v>Dec</v>
      </c>
      <c r="F147" s="13" t="s">
        <v>41</v>
      </c>
      <c r="G147" s="13" t="s">
        <v>2452</v>
      </c>
      <c r="H147" s="13" t="s">
        <v>2453</v>
      </c>
      <c r="I147" s="13" t="s">
        <v>23</v>
      </c>
      <c r="J147" s="13">
        <v>9.0</v>
      </c>
      <c r="K147" s="13" t="s">
        <v>355</v>
      </c>
      <c r="L147" s="13" t="s">
        <v>52</v>
      </c>
      <c r="M147" s="13" t="s">
        <v>37</v>
      </c>
      <c r="N147" s="13" t="s">
        <v>38</v>
      </c>
      <c r="O147" s="14">
        <v>671.93</v>
      </c>
      <c r="P147" s="14">
        <f t="shared" si="2"/>
        <v>6047.37</v>
      </c>
      <c r="Q147" s="14">
        <v>671.11</v>
      </c>
    </row>
    <row r="148">
      <c r="A148" s="12">
        <v>42299.0</v>
      </c>
      <c r="B148" s="12"/>
      <c r="C148" s="12" t="s">
        <v>2358</v>
      </c>
      <c r="D148" s="1" t="s">
        <v>357</v>
      </c>
      <c r="E148" s="15" t="str">
        <f t="shared" si="1"/>
        <v>Oct</v>
      </c>
      <c r="F148" s="13" t="s">
        <v>41</v>
      </c>
      <c r="G148" s="13" t="s">
        <v>2454</v>
      </c>
      <c r="H148" s="13" t="s">
        <v>2455</v>
      </c>
      <c r="I148" s="13" t="s">
        <v>68</v>
      </c>
      <c r="J148" s="13">
        <v>4.0</v>
      </c>
      <c r="K148" s="13" t="s">
        <v>360</v>
      </c>
      <c r="L148" s="13" t="s">
        <v>304</v>
      </c>
      <c r="M148" s="13" t="s">
        <v>100</v>
      </c>
      <c r="N148" s="13" t="s">
        <v>27</v>
      </c>
      <c r="O148" s="14">
        <v>93.888</v>
      </c>
      <c r="P148" s="14">
        <f t="shared" si="2"/>
        <v>375.552</v>
      </c>
      <c r="Q148" s="14">
        <v>93.42</v>
      </c>
    </row>
    <row r="149">
      <c r="A149" s="12">
        <v>42867.0</v>
      </c>
      <c r="B149" s="12"/>
      <c r="C149" s="12" t="s">
        <v>2335</v>
      </c>
      <c r="D149" s="6">
        <v>42990.0</v>
      </c>
      <c r="E149" s="15" t="str">
        <f t="shared" si="1"/>
        <v>Sep</v>
      </c>
      <c r="F149" s="13" t="s">
        <v>41</v>
      </c>
      <c r="G149" s="13" t="s">
        <v>2456</v>
      </c>
      <c r="H149" s="13" t="s">
        <v>2457</v>
      </c>
      <c r="I149" s="13" t="s">
        <v>34</v>
      </c>
      <c r="J149" s="13">
        <v>5.0</v>
      </c>
      <c r="K149" s="13" t="s">
        <v>364</v>
      </c>
      <c r="L149" s="13" t="s">
        <v>77</v>
      </c>
      <c r="M149" s="13" t="s">
        <v>71</v>
      </c>
      <c r="N149" s="13" t="s">
        <v>51</v>
      </c>
      <c r="O149" s="14">
        <v>384.45</v>
      </c>
      <c r="P149" s="14">
        <f t="shared" si="2"/>
        <v>1922.25</v>
      </c>
      <c r="Q149" s="14">
        <v>383.76</v>
      </c>
    </row>
    <row r="150">
      <c r="A150" s="12">
        <v>42867.0</v>
      </c>
      <c r="B150" s="12"/>
      <c r="C150" s="12" t="s">
        <v>2335</v>
      </c>
      <c r="D150" s="6">
        <v>42990.0</v>
      </c>
      <c r="E150" s="15" t="str">
        <f t="shared" si="1"/>
        <v>Sep</v>
      </c>
      <c r="F150" s="13" t="s">
        <v>41</v>
      </c>
      <c r="G150" s="13" t="s">
        <v>2456</v>
      </c>
      <c r="H150" s="13" t="s">
        <v>2457</v>
      </c>
      <c r="I150" s="13" t="s">
        <v>34</v>
      </c>
      <c r="J150" s="13">
        <v>5.0</v>
      </c>
      <c r="K150" s="13" t="s">
        <v>364</v>
      </c>
      <c r="L150" s="13" t="s">
        <v>77</v>
      </c>
      <c r="M150" s="13" t="s">
        <v>71</v>
      </c>
      <c r="N150" s="13" t="s">
        <v>51</v>
      </c>
      <c r="O150" s="14">
        <v>149.97</v>
      </c>
      <c r="P150" s="14">
        <f t="shared" si="2"/>
        <v>749.85</v>
      </c>
      <c r="Q150" s="14">
        <v>149.92</v>
      </c>
    </row>
    <row r="151">
      <c r="A151" s="12">
        <v>42867.0</v>
      </c>
      <c r="B151" s="12"/>
      <c r="C151" s="12" t="s">
        <v>2335</v>
      </c>
      <c r="D151" s="6">
        <v>42990.0</v>
      </c>
      <c r="E151" s="15" t="str">
        <f t="shared" si="1"/>
        <v>Sep</v>
      </c>
      <c r="F151" s="13" t="s">
        <v>41</v>
      </c>
      <c r="G151" s="13" t="s">
        <v>2456</v>
      </c>
      <c r="H151" s="13" t="s">
        <v>2457</v>
      </c>
      <c r="I151" s="13" t="s">
        <v>34</v>
      </c>
      <c r="J151" s="13">
        <v>5.0</v>
      </c>
      <c r="K151" s="13" t="s">
        <v>364</v>
      </c>
      <c r="L151" s="13" t="s">
        <v>77</v>
      </c>
      <c r="M151" s="13" t="s">
        <v>71</v>
      </c>
      <c r="N151" s="13" t="s">
        <v>27</v>
      </c>
      <c r="O151" s="14">
        <v>1951.84</v>
      </c>
      <c r="P151" s="14">
        <f t="shared" si="2"/>
        <v>9759.2</v>
      </c>
      <c r="Q151" s="14">
        <v>1950.87</v>
      </c>
    </row>
    <row r="152">
      <c r="A152" s="12">
        <v>42867.0</v>
      </c>
      <c r="B152" s="12"/>
      <c r="C152" s="12" t="s">
        <v>2335</v>
      </c>
      <c r="D152" s="6">
        <v>42990.0</v>
      </c>
      <c r="E152" s="15" t="str">
        <f t="shared" si="1"/>
        <v>Sep</v>
      </c>
      <c r="F152" s="13" t="s">
        <v>41</v>
      </c>
      <c r="G152" s="13" t="s">
        <v>2456</v>
      </c>
      <c r="H152" s="13" t="s">
        <v>2457</v>
      </c>
      <c r="I152" s="13" t="s">
        <v>34</v>
      </c>
      <c r="J152" s="13">
        <v>5.0</v>
      </c>
      <c r="K152" s="13" t="s">
        <v>364</v>
      </c>
      <c r="L152" s="13" t="s">
        <v>77</v>
      </c>
      <c r="M152" s="13" t="s">
        <v>71</v>
      </c>
      <c r="N152" s="13" t="s">
        <v>38</v>
      </c>
      <c r="O152" s="14">
        <v>171.55</v>
      </c>
      <c r="P152" s="14">
        <f t="shared" si="2"/>
        <v>857.75</v>
      </c>
      <c r="Q152" s="14">
        <v>170.65</v>
      </c>
    </row>
    <row r="153">
      <c r="A153" s="12">
        <v>42807.0</v>
      </c>
      <c r="B153" s="12"/>
      <c r="C153" s="12" t="s">
        <v>2399</v>
      </c>
      <c r="D153" s="1" t="s">
        <v>366</v>
      </c>
      <c r="E153" s="15" t="str">
        <f t="shared" si="1"/>
        <v>Mar</v>
      </c>
      <c r="F153" s="13" t="s">
        <v>121</v>
      </c>
      <c r="G153" s="13" t="s">
        <v>2458</v>
      </c>
      <c r="H153" s="13" t="s">
        <v>2459</v>
      </c>
      <c r="I153" s="13" t="s">
        <v>68</v>
      </c>
      <c r="J153" s="13">
        <v>8.0</v>
      </c>
      <c r="K153" s="13" t="s">
        <v>369</v>
      </c>
      <c r="L153" s="13" t="s">
        <v>193</v>
      </c>
      <c r="M153" s="13" t="s">
        <v>37</v>
      </c>
      <c r="N153" s="13" t="s">
        <v>38</v>
      </c>
      <c r="O153" s="14">
        <v>157.92</v>
      </c>
      <c r="P153" s="14">
        <f t="shared" si="2"/>
        <v>1263.36</v>
      </c>
      <c r="Q153" s="14">
        <v>157.4</v>
      </c>
    </row>
    <row r="154">
      <c r="A154" s="12">
        <v>42807.0</v>
      </c>
      <c r="B154" s="12"/>
      <c r="C154" s="12" t="s">
        <v>2399</v>
      </c>
      <c r="D154" s="1" t="s">
        <v>366</v>
      </c>
      <c r="E154" s="15" t="str">
        <f t="shared" si="1"/>
        <v>Mar</v>
      </c>
      <c r="F154" s="13" t="s">
        <v>121</v>
      </c>
      <c r="G154" s="13" t="s">
        <v>2458</v>
      </c>
      <c r="H154" s="13" t="s">
        <v>2459</v>
      </c>
      <c r="I154" s="13" t="s">
        <v>68</v>
      </c>
      <c r="J154" s="13">
        <v>8.0</v>
      </c>
      <c r="K154" s="13" t="s">
        <v>369</v>
      </c>
      <c r="L154" s="13" t="s">
        <v>193</v>
      </c>
      <c r="M154" s="13" t="s">
        <v>37</v>
      </c>
      <c r="N154" s="13" t="s">
        <v>51</v>
      </c>
      <c r="O154" s="14">
        <v>203.184</v>
      </c>
      <c r="P154" s="14">
        <f t="shared" si="2"/>
        <v>1625.472</v>
      </c>
      <c r="Q154" s="14">
        <v>202.89</v>
      </c>
    </row>
    <row r="155">
      <c r="A155" s="12">
        <v>42521.0</v>
      </c>
      <c r="B155" s="12"/>
      <c r="C155" s="12" t="s">
        <v>2335</v>
      </c>
      <c r="D155" s="6">
        <v>42406.0</v>
      </c>
      <c r="E155" s="15" t="str">
        <f t="shared" si="1"/>
        <v>Feb</v>
      </c>
      <c r="F155" s="13" t="s">
        <v>121</v>
      </c>
      <c r="G155" s="13" t="s">
        <v>2460</v>
      </c>
      <c r="H155" s="13" t="s">
        <v>2461</v>
      </c>
      <c r="I155" s="13" t="s">
        <v>34</v>
      </c>
      <c r="J155" s="13">
        <v>9.0</v>
      </c>
      <c r="K155" s="13" t="s">
        <v>373</v>
      </c>
      <c r="L155" s="13" t="s">
        <v>52</v>
      </c>
      <c r="M155" s="13" t="s">
        <v>37</v>
      </c>
      <c r="N155" s="13" t="s">
        <v>38</v>
      </c>
      <c r="O155" s="14">
        <v>58.38</v>
      </c>
      <c r="P155" s="14">
        <f t="shared" si="2"/>
        <v>525.42</v>
      </c>
      <c r="Q155" s="14">
        <v>57.9</v>
      </c>
    </row>
    <row r="156">
      <c r="A156" s="12">
        <v>42521.0</v>
      </c>
      <c r="B156" s="12"/>
      <c r="C156" s="12" t="s">
        <v>2335</v>
      </c>
      <c r="D156" s="6">
        <v>42406.0</v>
      </c>
      <c r="E156" s="15" t="str">
        <f t="shared" si="1"/>
        <v>Feb</v>
      </c>
      <c r="F156" s="13" t="s">
        <v>121</v>
      </c>
      <c r="G156" s="13" t="s">
        <v>2460</v>
      </c>
      <c r="H156" s="13" t="s">
        <v>2461</v>
      </c>
      <c r="I156" s="13" t="s">
        <v>34</v>
      </c>
      <c r="J156" s="13">
        <v>9.0</v>
      </c>
      <c r="K156" s="13" t="s">
        <v>373</v>
      </c>
      <c r="L156" s="13" t="s">
        <v>52</v>
      </c>
      <c r="M156" s="13" t="s">
        <v>37</v>
      </c>
      <c r="N156" s="13" t="s">
        <v>38</v>
      </c>
      <c r="O156" s="14">
        <v>105.52</v>
      </c>
      <c r="P156" s="14">
        <f t="shared" si="2"/>
        <v>949.68</v>
      </c>
      <c r="Q156" s="14">
        <v>104.63</v>
      </c>
    </row>
    <row r="157">
      <c r="A157" s="12">
        <v>42521.0</v>
      </c>
      <c r="B157" s="12"/>
      <c r="C157" s="12" t="s">
        <v>2335</v>
      </c>
      <c r="D157" s="6">
        <v>42406.0</v>
      </c>
      <c r="E157" s="15" t="str">
        <f t="shared" si="1"/>
        <v>Feb</v>
      </c>
      <c r="F157" s="13" t="s">
        <v>121</v>
      </c>
      <c r="G157" s="13" t="s">
        <v>2460</v>
      </c>
      <c r="H157" s="13" t="s">
        <v>2461</v>
      </c>
      <c r="I157" s="13" t="s">
        <v>34</v>
      </c>
      <c r="J157" s="13">
        <v>9.0</v>
      </c>
      <c r="K157" s="13" t="s">
        <v>373</v>
      </c>
      <c r="L157" s="13" t="s">
        <v>52</v>
      </c>
      <c r="M157" s="13" t="s">
        <v>37</v>
      </c>
      <c r="N157" s="13" t="s">
        <v>38</v>
      </c>
      <c r="O157" s="14">
        <v>80.88</v>
      </c>
      <c r="P157" s="14">
        <f t="shared" si="2"/>
        <v>727.92</v>
      </c>
      <c r="Q157" s="14">
        <v>80.53</v>
      </c>
    </row>
    <row r="158">
      <c r="A158" s="12">
        <v>42518.0</v>
      </c>
      <c r="B158" s="12"/>
      <c r="C158" s="12" t="s">
        <v>2335</v>
      </c>
      <c r="D158" s="6">
        <v>42435.0</v>
      </c>
      <c r="E158" s="15" t="str">
        <f t="shared" si="1"/>
        <v>Mar</v>
      </c>
      <c r="F158" s="13" t="s">
        <v>41</v>
      </c>
      <c r="G158" s="13" t="s">
        <v>2462</v>
      </c>
      <c r="H158" s="13" t="s">
        <v>2463</v>
      </c>
      <c r="I158" s="13" t="s">
        <v>68</v>
      </c>
      <c r="J158" s="13">
        <v>9.0</v>
      </c>
      <c r="K158" s="13" t="s">
        <v>62</v>
      </c>
      <c r="L158" s="13" t="s">
        <v>63</v>
      </c>
      <c r="M158" s="13" t="s">
        <v>37</v>
      </c>
      <c r="N158" s="13" t="s">
        <v>38</v>
      </c>
      <c r="O158" s="14">
        <v>6.63</v>
      </c>
      <c r="P158" s="14">
        <f t="shared" si="2"/>
        <v>59.67</v>
      </c>
      <c r="Q158" s="14">
        <v>6.47</v>
      </c>
    </row>
    <row r="159">
      <c r="A159" s="12">
        <v>42007.0</v>
      </c>
      <c r="B159" s="12"/>
      <c r="C159" s="12" t="s">
        <v>2353</v>
      </c>
      <c r="D159" s="6">
        <v>42158.0</v>
      </c>
      <c r="E159" s="15" t="str">
        <f t="shared" si="1"/>
        <v>Jun</v>
      </c>
      <c r="F159" s="13" t="s">
        <v>20</v>
      </c>
      <c r="G159" s="13" t="s">
        <v>2432</v>
      </c>
      <c r="H159" s="13" t="s">
        <v>2464</v>
      </c>
      <c r="I159" s="13" t="s">
        <v>23</v>
      </c>
      <c r="J159" s="13">
        <v>9.0</v>
      </c>
      <c r="K159" s="13" t="s">
        <v>62</v>
      </c>
      <c r="L159" s="13" t="s">
        <v>63</v>
      </c>
      <c r="M159" s="13" t="s">
        <v>37</v>
      </c>
      <c r="N159" s="13" t="s">
        <v>27</v>
      </c>
      <c r="O159" s="14">
        <v>457.568</v>
      </c>
      <c r="P159" s="14">
        <f t="shared" si="2"/>
        <v>4118.112</v>
      </c>
      <c r="Q159" s="14">
        <v>457.38</v>
      </c>
    </row>
    <row r="160">
      <c r="A160" s="12">
        <v>43059.0</v>
      </c>
      <c r="B160" s="12"/>
      <c r="C160" s="12" t="s">
        <v>2326</v>
      </c>
      <c r="D160" s="1" t="s">
        <v>381</v>
      </c>
      <c r="E160" s="15" t="str">
        <f t="shared" si="1"/>
        <v>Nov</v>
      </c>
      <c r="F160" s="13" t="s">
        <v>41</v>
      </c>
      <c r="G160" s="13" t="s">
        <v>2465</v>
      </c>
      <c r="H160" s="13" t="s">
        <v>2466</v>
      </c>
      <c r="I160" s="13" t="s">
        <v>23</v>
      </c>
      <c r="J160" s="13">
        <v>7.0</v>
      </c>
      <c r="K160" s="13" t="s">
        <v>384</v>
      </c>
      <c r="L160" s="13" t="s">
        <v>385</v>
      </c>
      <c r="M160" s="13" t="s">
        <v>71</v>
      </c>
      <c r="N160" s="13" t="s">
        <v>38</v>
      </c>
      <c r="O160" s="14">
        <v>14.62</v>
      </c>
      <c r="P160" s="14">
        <f t="shared" si="2"/>
        <v>102.34</v>
      </c>
      <c r="Q160" s="14">
        <v>14.22</v>
      </c>
    </row>
    <row r="161">
      <c r="A161" s="12">
        <v>43059.0</v>
      </c>
      <c r="B161" s="12"/>
      <c r="C161" s="12" t="s">
        <v>2326</v>
      </c>
      <c r="D161" s="1" t="s">
        <v>381</v>
      </c>
      <c r="E161" s="15" t="str">
        <f t="shared" si="1"/>
        <v>Nov</v>
      </c>
      <c r="F161" s="13" t="s">
        <v>41</v>
      </c>
      <c r="G161" s="13" t="s">
        <v>2465</v>
      </c>
      <c r="H161" s="13" t="s">
        <v>2466</v>
      </c>
      <c r="I161" s="13" t="s">
        <v>23</v>
      </c>
      <c r="J161" s="13">
        <v>7.0</v>
      </c>
      <c r="K161" s="13" t="s">
        <v>384</v>
      </c>
      <c r="L161" s="13" t="s">
        <v>385</v>
      </c>
      <c r="M161" s="13" t="s">
        <v>71</v>
      </c>
      <c r="N161" s="13" t="s">
        <v>51</v>
      </c>
      <c r="O161" s="14">
        <v>944.93</v>
      </c>
      <c r="P161" s="14">
        <f t="shared" si="2"/>
        <v>6614.51</v>
      </c>
      <c r="Q161" s="14">
        <v>944.09</v>
      </c>
    </row>
    <row r="162">
      <c r="A162" s="12">
        <v>43044.0</v>
      </c>
      <c r="B162" s="12"/>
      <c r="C162" s="12" t="s">
        <v>2326</v>
      </c>
      <c r="D162" s="6">
        <v>43074.0</v>
      </c>
      <c r="E162" s="15" t="str">
        <f t="shared" si="1"/>
        <v>Dec</v>
      </c>
      <c r="F162" s="13" t="s">
        <v>121</v>
      </c>
      <c r="G162" s="13" t="s">
        <v>2381</v>
      </c>
      <c r="H162" s="13" t="s">
        <v>2467</v>
      </c>
      <c r="I162" s="13" t="s">
        <v>23</v>
      </c>
      <c r="J162" s="13">
        <v>9.0</v>
      </c>
      <c r="K162" s="13" t="s">
        <v>35</v>
      </c>
      <c r="L162" s="13" t="s">
        <v>52</v>
      </c>
      <c r="M162" s="13" t="s">
        <v>37</v>
      </c>
      <c r="N162" s="13" t="s">
        <v>38</v>
      </c>
      <c r="O162" s="14">
        <v>5.98</v>
      </c>
      <c r="P162" s="14">
        <f t="shared" si="2"/>
        <v>53.82</v>
      </c>
      <c r="Q162" s="14">
        <v>5.79</v>
      </c>
    </row>
    <row r="163">
      <c r="A163" s="12">
        <v>42732.0</v>
      </c>
      <c r="B163" s="12"/>
      <c r="C163" s="12" t="s">
        <v>2325</v>
      </c>
      <c r="D163" s="1" t="s">
        <v>126</v>
      </c>
      <c r="E163" s="15" t="str">
        <f t="shared" si="1"/>
        <v>Dec</v>
      </c>
      <c r="F163" s="13" t="s">
        <v>20</v>
      </c>
      <c r="G163" s="13" t="s">
        <v>2354</v>
      </c>
      <c r="H163" s="13" t="s">
        <v>2468</v>
      </c>
      <c r="I163" s="13" t="s">
        <v>23</v>
      </c>
      <c r="J163" s="13">
        <v>1.0</v>
      </c>
      <c r="K163" s="13" t="s">
        <v>98</v>
      </c>
      <c r="L163" s="13" t="s">
        <v>99</v>
      </c>
      <c r="M163" s="13" t="s">
        <v>100</v>
      </c>
      <c r="N163" s="13" t="s">
        <v>51</v>
      </c>
      <c r="O163" s="14">
        <v>54.384</v>
      </c>
      <c r="P163" s="14">
        <f t="shared" si="2"/>
        <v>54.384</v>
      </c>
      <c r="Q163" s="14">
        <v>54.3</v>
      </c>
    </row>
    <row r="164">
      <c r="A164" s="12">
        <v>43055.0</v>
      </c>
      <c r="B164" s="12"/>
      <c r="C164" s="12" t="s">
        <v>2326</v>
      </c>
      <c r="D164" s="1" t="s">
        <v>393</v>
      </c>
      <c r="E164" s="15" t="str">
        <f t="shared" si="1"/>
        <v>Nov</v>
      </c>
      <c r="F164" s="13" t="s">
        <v>41</v>
      </c>
      <c r="G164" s="13" t="s">
        <v>2367</v>
      </c>
      <c r="H164" s="13" t="s">
        <v>2469</v>
      </c>
      <c r="I164" s="13" t="s">
        <v>23</v>
      </c>
      <c r="J164" s="13">
        <v>8.0</v>
      </c>
      <c r="K164" s="13" t="s">
        <v>396</v>
      </c>
      <c r="L164" s="13" t="s">
        <v>397</v>
      </c>
      <c r="M164" s="13" t="s">
        <v>37</v>
      </c>
      <c r="N164" s="13" t="s">
        <v>38</v>
      </c>
      <c r="O164" s="14">
        <v>28.4</v>
      </c>
      <c r="P164" s="14">
        <f t="shared" si="2"/>
        <v>227.2</v>
      </c>
      <c r="Q164" s="14">
        <v>28.11</v>
      </c>
    </row>
    <row r="165">
      <c r="A165" s="12">
        <v>42927.0</v>
      </c>
      <c r="B165" s="12"/>
      <c r="C165" s="12" t="s">
        <v>2348</v>
      </c>
      <c r="D165" s="5">
        <v>43050.0</v>
      </c>
      <c r="E165" s="15" t="str">
        <f t="shared" si="1"/>
        <v>Nov</v>
      </c>
      <c r="F165" s="13" t="s">
        <v>41</v>
      </c>
      <c r="G165" s="13" t="s">
        <v>2470</v>
      </c>
      <c r="H165" s="13" t="s">
        <v>2471</v>
      </c>
      <c r="I165" s="13" t="s">
        <v>23</v>
      </c>
      <c r="J165" s="13">
        <v>9.0</v>
      </c>
      <c r="K165" s="13" t="s">
        <v>62</v>
      </c>
      <c r="L165" s="13" t="s">
        <v>63</v>
      </c>
      <c r="M165" s="13" t="s">
        <v>37</v>
      </c>
      <c r="N165" s="13" t="s">
        <v>38</v>
      </c>
      <c r="O165" s="14">
        <v>27.68</v>
      </c>
      <c r="P165" s="14">
        <f t="shared" si="2"/>
        <v>249.12</v>
      </c>
      <c r="Q165" s="14">
        <v>27.09</v>
      </c>
    </row>
    <row r="166">
      <c r="A166" s="12">
        <v>42225.0</v>
      </c>
      <c r="B166" s="12"/>
      <c r="C166" s="12" t="s">
        <v>2322</v>
      </c>
      <c r="D166" s="6">
        <v>42347.0</v>
      </c>
      <c r="E166" s="15" t="str">
        <f t="shared" si="1"/>
        <v>Dec</v>
      </c>
      <c r="F166" s="13" t="s">
        <v>41</v>
      </c>
      <c r="G166" s="13" t="s">
        <v>2472</v>
      </c>
      <c r="H166" s="13" t="s">
        <v>2423</v>
      </c>
      <c r="I166" s="13" t="s">
        <v>23</v>
      </c>
      <c r="J166" s="13">
        <v>7.0</v>
      </c>
      <c r="K166" s="13" t="s">
        <v>404</v>
      </c>
      <c r="L166" s="13" t="s">
        <v>70</v>
      </c>
      <c r="M166" s="13" t="s">
        <v>71</v>
      </c>
      <c r="N166" s="13" t="s">
        <v>38</v>
      </c>
      <c r="O166" s="14">
        <v>9.936</v>
      </c>
      <c r="P166" s="14">
        <f t="shared" si="2"/>
        <v>69.552</v>
      </c>
      <c r="Q166" s="14">
        <v>8.96</v>
      </c>
    </row>
    <row r="167">
      <c r="A167" s="12">
        <v>42225.0</v>
      </c>
      <c r="B167" s="12"/>
      <c r="C167" s="12" t="s">
        <v>2322</v>
      </c>
      <c r="D167" s="6">
        <v>42347.0</v>
      </c>
      <c r="E167" s="15" t="str">
        <f t="shared" si="1"/>
        <v>Dec</v>
      </c>
      <c r="F167" s="13" t="s">
        <v>41</v>
      </c>
      <c r="G167" s="13" t="s">
        <v>2472</v>
      </c>
      <c r="H167" s="13" t="s">
        <v>2423</v>
      </c>
      <c r="I167" s="13" t="s">
        <v>23</v>
      </c>
      <c r="J167" s="13">
        <v>7.0</v>
      </c>
      <c r="K167" s="13" t="s">
        <v>404</v>
      </c>
      <c r="L167" s="13" t="s">
        <v>70</v>
      </c>
      <c r="M167" s="13" t="s">
        <v>71</v>
      </c>
      <c r="N167" s="13" t="s">
        <v>51</v>
      </c>
      <c r="O167" s="14">
        <v>8159.952</v>
      </c>
      <c r="P167" s="14">
        <f t="shared" si="2"/>
        <v>57119.664</v>
      </c>
      <c r="Q167" s="14">
        <v>8159.36</v>
      </c>
    </row>
    <row r="168">
      <c r="A168" s="12">
        <v>42225.0</v>
      </c>
      <c r="B168" s="12"/>
      <c r="C168" s="12" t="s">
        <v>2322</v>
      </c>
      <c r="D168" s="6">
        <v>42347.0</v>
      </c>
      <c r="E168" s="15" t="str">
        <f t="shared" si="1"/>
        <v>Dec</v>
      </c>
      <c r="F168" s="13" t="s">
        <v>41</v>
      </c>
      <c r="G168" s="13" t="s">
        <v>2472</v>
      </c>
      <c r="H168" s="13" t="s">
        <v>2423</v>
      </c>
      <c r="I168" s="13" t="s">
        <v>23</v>
      </c>
      <c r="J168" s="13">
        <v>7.0</v>
      </c>
      <c r="K168" s="13" t="s">
        <v>404</v>
      </c>
      <c r="L168" s="13" t="s">
        <v>70</v>
      </c>
      <c r="M168" s="13" t="s">
        <v>71</v>
      </c>
      <c r="N168" s="13" t="s">
        <v>38</v>
      </c>
      <c r="O168" s="14">
        <v>275.928</v>
      </c>
      <c r="P168" s="14">
        <f t="shared" si="2"/>
        <v>1931.496</v>
      </c>
      <c r="Q168" s="14">
        <v>275.48</v>
      </c>
    </row>
    <row r="169">
      <c r="A169" s="12">
        <v>42225.0</v>
      </c>
      <c r="B169" s="12"/>
      <c r="C169" s="12" t="s">
        <v>2322</v>
      </c>
      <c r="D169" s="6">
        <v>42347.0</v>
      </c>
      <c r="E169" s="15" t="str">
        <f t="shared" si="1"/>
        <v>Dec</v>
      </c>
      <c r="F169" s="13" t="s">
        <v>41</v>
      </c>
      <c r="G169" s="13" t="s">
        <v>2472</v>
      </c>
      <c r="H169" s="13" t="s">
        <v>2423</v>
      </c>
      <c r="I169" s="13" t="s">
        <v>23</v>
      </c>
      <c r="J169" s="13">
        <v>7.0</v>
      </c>
      <c r="K169" s="13" t="s">
        <v>404</v>
      </c>
      <c r="L169" s="13" t="s">
        <v>70</v>
      </c>
      <c r="M169" s="13" t="s">
        <v>71</v>
      </c>
      <c r="N169" s="13" t="s">
        <v>27</v>
      </c>
      <c r="O169" s="14">
        <v>1740.06</v>
      </c>
      <c r="P169" s="14">
        <f t="shared" si="2"/>
        <v>12180.42</v>
      </c>
      <c r="Q169" s="14">
        <v>1739.72</v>
      </c>
    </row>
    <row r="170">
      <c r="A170" s="12">
        <v>42225.0</v>
      </c>
      <c r="B170" s="12"/>
      <c r="C170" s="12" t="s">
        <v>2322</v>
      </c>
      <c r="D170" s="6">
        <v>42347.0</v>
      </c>
      <c r="E170" s="15" t="str">
        <f t="shared" si="1"/>
        <v>Dec</v>
      </c>
      <c r="F170" s="13" t="s">
        <v>41</v>
      </c>
      <c r="G170" s="13" t="s">
        <v>2472</v>
      </c>
      <c r="H170" s="13" t="s">
        <v>2423</v>
      </c>
      <c r="I170" s="13" t="s">
        <v>23</v>
      </c>
      <c r="J170" s="13">
        <v>7.0</v>
      </c>
      <c r="K170" s="13" t="s">
        <v>404</v>
      </c>
      <c r="L170" s="13" t="s">
        <v>70</v>
      </c>
      <c r="M170" s="13" t="s">
        <v>71</v>
      </c>
      <c r="N170" s="13" t="s">
        <v>38</v>
      </c>
      <c r="O170" s="14">
        <v>32.064</v>
      </c>
      <c r="P170" s="14">
        <f t="shared" si="2"/>
        <v>224.448</v>
      </c>
      <c r="Q170" s="14">
        <v>31.9</v>
      </c>
    </row>
    <row r="171">
      <c r="A171" s="12">
        <v>42225.0</v>
      </c>
      <c r="B171" s="12"/>
      <c r="C171" s="12" t="s">
        <v>2322</v>
      </c>
      <c r="D171" s="6">
        <v>42347.0</v>
      </c>
      <c r="E171" s="15" t="str">
        <f t="shared" si="1"/>
        <v>Dec</v>
      </c>
      <c r="F171" s="13" t="s">
        <v>41</v>
      </c>
      <c r="G171" s="13" t="s">
        <v>2472</v>
      </c>
      <c r="H171" s="13" t="s">
        <v>2423</v>
      </c>
      <c r="I171" s="13" t="s">
        <v>23</v>
      </c>
      <c r="J171" s="13">
        <v>7.0</v>
      </c>
      <c r="K171" s="13" t="s">
        <v>404</v>
      </c>
      <c r="L171" s="13" t="s">
        <v>70</v>
      </c>
      <c r="M171" s="13" t="s">
        <v>71</v>
      </c>
      <c r="N171" s="13" t="s">
        <v>38</v>
      </c>
      <c r="O171" s="14">
        <v>177.98</v>
      </c>
      <c r="P171" s="14">
        <f t="shared" si="2"/>
        <v>1245.86</v>
      </c>
      <c r="Q171" s="14">
        <v>177.53</v>
      </c>
    </row>
    <row r="172">
      <c r="A172" s="12">
        <v>42225.0</v>
      </c>
      <c r="B172" s="12"/>
      <c r="C172" s="12" t="s">
        <v>2322</v>
      </c>
      <c r="D172" s="6">
        <v>42347.0</v>
      </c>
      <c r="E172" s="15" t="str">
        <f t="shared" si="1"/>
        <v>Dec</v>
      </c>
      <c r="F172" s="13" t="s">
        <v>41</v>
      </c>
      <c r="G172" s="13" t="s">
        <v>2472</v>
      </c>
      <c r="H172" s="13" t="s">
        <v>2423</v>
      </c>
      <c r="I172" s="13" t="s">
        <v>23</v>
      </c>
      <c r="J172" s="13">
        <v>7.0</v>
      </c>
      <c r="K172" s="13" t="s">
        <v>404</v>
      </c>
      <c r="L172" s="13" t="s">
        <v>70</v>
      </c>
      <c r="M172" s="13" t="s">
        <v>71</v>
      </c>
      <c r="N172" s="13" t="s">
        <v>51</v>
      </c>
      <c r="O172" s="14">
        <v>143.976</v>
      </c>
      <c r="P172" s="14">
        <f t="shared" si="2"/>
        <v>1007.832</v>
      </c>
      <c r="Q172" s="14">
        <v>143.23</v>
      </c>
    </row>
    <row r="173">
      <c r="A173" s="12">
        <v>42132.0</v>
      </c>
      <c r="B173" s="12"/>
      <c r="C173" s="12" t="s">
        <v>2335</v>
      </c>
      <c r="D173" s="6">
        <v>42255.0</v>
      </c>
      <c r="E173" s="15" t="str">
        <f t="shared" si="1"/>
        <v>Sep</v>
      </c>
      <c r="F173" s="13" t="s">
        <v>41</v>
      </c>
      <c r="G173" s="13" t="s">
        <v>2473</v>
      </c>
      <c r="H173" s="13" t="s">
        <v>2474</v>
      </c>
      <c r="I173" s="13" t="s">
        <v>23</v>
      </c>
      <c r="J173" s="13">
        <v>9.0</v>
      </c>
      <c r="K173" s="13" t="s">
        <v>35</v>
      </c>
      <c r="L173" s="13" t="s">
        <v>52</v>
      </c>
      <c r="M173" s="13" t="s">
        <v>37</v>
      </c>
      <c r="N173" s="13" t="s">
        <v>38</v>
      </c>
      <c r="O173" s="14">
        <v>20.94</v>
      </c>
      <c r="P173" s="14">
        <f t="shared" si="2"/>
        <v>188.46</v>
      </c>
      <c r="Q173" s="14">
        <v>20.32</v>
      </c>
    </row>
    <row r="174">
      <c r="A174" s="12">
        <v>42132.0</v>
      </c>
      <c r="B174" s="12"/>
      <c r="C174" s="12" t="s">
        <v>2335</v>
      </c>
      <c r="D174" s="6">
        <v>42255.0</v>
      </c>
      <c r="E174" s="15" t="str">
        <f t="shared" si="1"/>
        <v>Sep</v>
      </c>
      <c r="F174" s="13" t="s">
        <v>41</v>
      </c>
      <c r="G174" s="13" t="s">
        <v>2473</v>
      </c>
      <c r="H174" s="13" t="s">
        <v>2474</v>
      </c>
      <c r="I174" s="13" t="s">
        <v>23</v>
      </c>
      <c r="J174" s="13">
        <v>9.0</v>
      </c>
      <c r="K174" s="13" t="s">
        <v>35</v>
      </c>
      <c r="L174" s="13" t="s">
        <v>52</v>
      </c>
      <c r="M174" s="13" t="s">
        <v>37</v>
      </c>
      <c r="N174" s="13" t="s">
        <v>38</v>
      </c>
      <c r="O174" s="14">
        <v>110.96</v>
      </c>
      <c r="P174" s="14">
        <f t="shared" si="2"/>
        <v>998.64</v>
      </c>
      <c r="Q174" s="14">
        <v>110.3</v>
      </c>
    </row>
    <row r="175">
      <c r="A175" s="12">
        <v>42132.0</v>
      </c>
      <c r="B175" s="12"/>
      <c r="C175" s="12" t="s">
        <v>2335</v>
      </c>
      <c r="D175" s="6">
        <v>42255.0</v>
      </c>
      <c r="E175" s="15" t="str">
        <f t="shared" si="1"/>
        <v>Sep</v>
      </c>
      <c r="F175" s="13" t="s">
        <v>41</v>
      </c>
      <c r="G175" s="13" t="s">
        <v>2473</v>
      </c>
      <c r="H175" s="13" t="s">
        <v>2474</v>
      </c>
      <c r="I175" s="13" t="s">
        <v>23</v>
      </c>
      <c r="J175" s="13">
        <v>9.0</v>
      </c>
      <c r="K175" s="13" t="s">
        <v>35</v>
      </c>
      <c r="L175" s="13" t="s">
        <v>52</v>
      </c>
      <c r="M175" s="13" t="s">
        <v>37</v>
      </c>
      <c r="N175" s="13" t="s">
        <v>27</v>
      </c>
      <c r="O175" s="14">
        <v>340.144</v>
      </c>
      <c r="P175" s="14">
        <f t="shared" si="2"/>
        <v>3061.296</v>
      </c>
      <c r="Q175" s="14">
        <v>339.46</v>
      </c>
    </row>
    <row r="176">
      <c r="A176" s="12">
        <v>42261.0</v>
      </c>
      <c r="B176" s="12"/>
      <c r="C176" s="12" t="s">
        <v>2329</v>
      </c>
      <c r="D176" s="1" t="s">
        <v>409</v>
      </c>
      <c r="E176" s="15" t="str">
        <f t="shared" si="1"/>
        <v>Sep</v>
      </c>
      <c r="F176" s="13" t="s">
        <v>41</v>
      </c>
      <c r="G176" s="13" t="s">
        <v>2475</v>
      </c>
      <c r="H176" s="13" t="s">
        <v>2476</v>
      </c>
      <c r="I176" s="13" t="s">
        <v>34</v>
      </c>
      <c r="J176" s="13">
        <v>6.0</v>
      </c>
      <c r="K176" s="13" t="s">
        <v>188</v>
      </c>
      <c r="L176" s="13" t="s">
        <v>135</v>
      </c>
      <c r="M176" s="13" t="s">
        <v>71</v>
      </c>
      <c r="N176" s="13" t="s">
        <v>38</v>
      </c>
      <c r="O176" s="14">
        <v>52.448</v>
      </c>
      <c r="P176" s="14">
        <f t="shared" si="2"/>
        <v>314.688</v>
      </c>
      <c r="Q176" s="14">
        <v>51.78</v>
      </c>
    </row>
    <row r="177">
      <c r="A177" s="12">
        <v>42261.0</v>
      </c>
      <c r="B177" s="12"/>
      <c r="C177" s="12" t="s">
        <v>2329</v>
      </c>
      <c r="D177" s="1" t="s">
        <v>409</v>
      </c>
      <c r="E177" s="15" t="str">
        <f t="shared" si="1"/>
        <v>Sep</v>
      </c>
      <c r="F177" s="13" t="s">
        <v>41</v>
      </c>
      <c r="G177" s="13" t="s">
        <v>2475</v>
      </c>
      <c r="H177" s="13" t="s">
        <v>2476</v>
      </c>
      <c r="I177" s="13" t="s">
        <v>34</v>
      </c>
      <c r="J177" s="13">
        <v>6.0</v>
      </c>
      <c r="K177" s="13" t="s">
        <v>188</v>
      </c>
      <c r="L177" s="13" t="s">
        <v>135</v>
      </c>
      <c r="M177" s="13" t="s">
        <v>71</v>
      </c>
      <c r="N177" s="13" t="s">
        <v>38</v>
      </c>
      <c r="O177" s="14">
        <v>20.16</v>
      </c>
      <c r="P177" s="14">
        <f t="shared" si="2"/>
        <v>120.96</v>
      </c>
      <c r="Q177" s="14">
        <v>19.4</v>
      </c>
    </row>
    <row r="178">
      <c r="A178" s="12">
        <v>43211.0</v>
      </c>
      <c r="B178" s="12"/>
      <c r="C178" s="12" t="s">
        <v>2332</v>
      </c>
      <c r="D178" s="1" t="s">
        <v>413</v>
      </c>
      <c r="E178" s="15" t="str">
        <f t="shared" si="1"/>
        <v>Apr</v>
      </c>
      <c r="F178" s="13" t="s">
        <v>20</v>
      </c>
      <c r="G178" s="13" t="s">
        <v>2477</v>
      </c>
      <c r="H178" s="13" t="s">
        <v>205</v>
      </c>
      <c r="I178" s="13" t="s">
        <v>23</v>
      </c>
      <c r="J178" s="13">
        <v>7.0</v>
      </c>
      <c r="K178" s="13" t="s">
        <v>129</v>
      </c>
      <c r="L178" s="13" t="s">
        <v>70</v>
      </c>
      <c r="M178" s="13" t="s">
        <v>71</v>
      </c>
      <c r="N178" s="13" t="s">
        <v>38</v>
      </c>
      <c r="O178" s="14">
        <v>97.264</v>
      </c>
      <c r="P178" s="14">
        <f t="shared" si="2"/>
        <v>680.848</v>
      </c>
      <c r="Q178" s="14">
        <v>96.62</v>
      </c>
    </row>
    <row r="179">
      <c r="A179" s="12">
        <v>42695.0</v>
      </c>
      <c r="B179" s="12"/>
      <c r="C179" s="12" t="s">
        <v>2326</v>
      </c>
      <c r="D179" s="1" t="s">
        <v>417</v>
      </c>
      <c r="E179" s="15" t="str">
        <f t="shared" si="1"/>
        <v>Nov</v>
      </c>
      <c r="F179" s="13" t="s">
        <v>20</v>
      </c>
      <c r="G179" s="13" t="s">
        <v>2392</v>
      </c>
      <c r="H179" s="13" t="s">
        <v>2393</v>
      </c>
      <c r="I179" s="13" t="s">
        <v>23</v>
      </c>
      <c r="J179" s="13">
        <v>4.0</v>
      </c>
      <c r="K179" s="13" t="s">
        <v>360</v>
      </c>
      <c r="L179" s="13" t="s">
        <v>304</v>
      </c>
      <c r="M179" s="13" t="s">
        <v>100</v>
      </c>
      <c r="N179" s="13" t="s">
        <v>27</v>
      </c>
      <c r="O179" s="14">
        <v>396.802</v>
      </c>
      <c r="P179" s="14">
        <f t="shared" si="2"/>
        <v>1587.208</v>
      </c>
      <c r="Q179" s="14">
        <v>396.53</v>
      </c>
    </row>
    <row r="180">
      <c r="A180" s="12">
        <v>42695.0</v>
      </c>
      <c r="B180" s="12"/>
      <c r="C180" s="12" t="s">
        <v>2326</v>
      </c>
      <c r="D180" s="1" t="s">
        <v>417</v>
      </c>
      <c r="E180" s="15" t="str">
        <f t="shared" si="1"/>
        <v>Nov</v>
      </c>
      <c r="F180" s="13" t="s">
        <v>20</v>
      </c>
      <c r="G180" s="13" t="s">
        <v>2392</v>
      </c>
      <c r="H180" s="13" t="s">
        <v>2393</v>
      </c>
      <c r="I180" s="13" t="s">
        <v>23</v>
      </c>
      <c r="J180" s="13">
        <v>4.0</v>
      </c>
      <c r="K180" s="13" t="s">
        <v>360</v>
      </c>
      <c r="L180" s="13" t="s">
        <v>304</v>
      </c>
      <c r="M180" s="13" t="s">
        <v>100</v>
      </c>
      <c r="N180" s="13" t="s">
        <v>38</v>
      </c>
      <c r="O180" s="14">
        <v>15.88</v>
      </c>
      <c r="P180" s="14">
        <f t="shared" si="2"/>
        <v>63.52</v>
      </c>
      <c r="Q180" s="14">
        <v>15.7</v>
      </c>
    </row>
    <row r="181">
      <c r="A181" s="12">
        <v>42719.0</v>
      </c>
      <c r="B181" s="12"/>
      <c r="C181" s="12" t="s">
        <v>2325</v>
      </c>
      <c r="D181" s="1" t="s">
        <v>419</v>
      </c>
      <c r="E181" s="15" t="str">
        <f t="shared" si="1"/>
        <v>Dec</v>
      </c>
      <c r="F181" s="13" t="s">
        <v>41</v>
      </c>
      <c r="G181" s="13" t="s">
        <v>2407</v>
      </c>
      <c r="H181" s="13" t="s">
        <v>2341</v>
      </c>
      <c r="I181" s="13" t="s">
        <v>68</v>
      </c>
      <c r="J181" s="13">
        <v>1.0</v>
      </c>
      <c r="K181" s="13" t="s">
        <v>174</v>
      </c>
      <c r="L181" s="13" t="s">
        <v>175</v>
      </c>
      <c r="M181" s="13" t="s">
        <v>100</v>
      </c>
      <c r="N181" s="13" t="s">
        <v>38</v>
      </c>
      <c r="O181" s="14">
        <v>3.28</v>
      </c>
      <c r="P181" s="14">
        <f t="shared" si="2"/>
        <v>3.28</v>
      </c>
      <c r="Q181" s="14">
        <v>2.32</v>
      </c>
    </row>
    <row r="182">
      <c r="A182" s="12">
        <v>42136.0</v>
      </c>
      <c r="B182" s="12"/>
      <c r="C182" s="12" t="s">
        <v>2335</v>
      </c>
      <c r="D182" s="6">
        <v>42259.0</v>
      </c>
      <c r="E182" s="15" t="str">
        <f t="shared" si="1"/>
        <v>Sep</v>
      </c>
      <c r="F182" s="13" t="s">
        <v>20</v>
      </c>
      <c r="G182" s="13" t="s">
        <v>2478</v>
      </c>
      <c r="H182" s="13" t="s">
        <v>2479</v>
      </c>
      <c r="I182" s="13" t="s">
        <v>34</v>
      </c>
      <c r="J182" s="13">
        <v>6.0</v>
      </c>
      <c r="K182" s="13" t="s">
        <v>219</v>
      </c>
      <c r="L182" s="13" t="s">
        <v>135</v>
      </c>
      <c r="M182" s="13" t="s">
        <v>71</v>
      </c>
      <c r="N182" s="13" t="s">
        <v>38</v>
      </c>
      <c r="O182" s="14">
        <v>24.816</v>
      </c>
      <c r="P182" s="14">
        <f t="shared" si="2"/>
        <v>148.896</v>
      </c>
      <c r="Q182" s="14">
        <v>24.64</v>
      </c>
    </row>
    <row r="183">
      <c r="A183" s="12">
        <v>42136.0</v>
      </c>
      <c r="B183" s="12"/>
      <c r="C183" s="12" t="s">
        <v>2335</v>
      </c>
      <c r="D183" s="6">
        <v>42259.0</v>
      </c>
      <c r="E183" s="15" t="str">
        <f t="shared" si="1"/>
        <v>Sep</v>
      </c>
      <c r="F183" s="13" t="s">
        <v>20</v>
      </c>
      <c r="G183" s="13" t="s">
        <v>2478</v>
      </c>
      <c r="H183" s="13" t="s">
        <v>2479</v>
      </c>
      <c r="I183" s="13" t="s">
        <v>34</v>
      </c>
      <c r="J183" s="13">
        <v>6.0</v>
      </c>
      <c r="K183" s="13" t="s">
        <v>219</v>
      </c>
      <c r="L183" s="13" t="s">
        <v>135</v>
      </c>
      <c r="M183" s="13" t="s">
        <v>71</v>
      </c>
      <c r="N183" s="13" t="s">
        <v>51</v>
      </c>
      <c r="O183" s="14">
        <v>408.744</v>
      </c>
      <c r="P183" s="14">
        <f t="shared" si="2"/>
        <v>2452.464</v>
      </c>
      <c r="Q183" s="14">
        <v>408.52</v>
      </c>
    </row>
    <row r="184">
      <c r="A184" s="12">
        <v>42327.0</v>
      </c>
      <c r="B184" s="12"/>
      <c r="C184" s="12" t="s">
        <v>2326</v>
      </c>
      <c r="D184" s="1" t="s">
        <v>426</v>
      </c>
      <c r="E184" s="15" t="str">
        <f t="shared" si="1"/>
        <v>Nov</v>
      </c>
      <c r="F184" s="13" t="s">
        <v>20</v>
      </c>
      <c r="G184" s="13" t="s">
        <v>2480</v>
      </c>
      <c r="H184" s="13" t="s">
        <v>2481</v>
      </c>
      <c r="I184" s="13" t="s">
        <v>68</v>
      </c>
      <c r="J184" s="13">
        <v>7.0</v>
      </c>
      <c r="K184" s="13" t="s">
        <v>429</v>
      </c>
      <c r="L184" s="13" t="s">
        <v>430</v>
      </c>
      <c r="M184" s="13" t="s">
        <v>26</v>
      </c>
      <c r="N184" s="13" t="s">
        <v>51</v>
      </c>
      <c r="O184" s="14">
        <v>503.96</v>
      </c>
      <c r="P184" s="14">
        <f t="shared" si="2"/>
        <v>3527.72</v>
      </c>
      <c r="Q184" s="14">
        <v>503.87</v>
      </c>
    </row>
    <row r="185">
      <c r="A185" s="12">
        <v>42327.0</v>
      </c>
      <c r="B185" s="12"/>
      <c r="C185" s="12" t="s">
        <v>2326</v>
      </c>
      <c r="D185" s="1" t="s">
        <v>426</v>
      </c>
      <c r="E185" s="15" t="str">
        <f t="shared" si="1"/>
        <v>Nov</v>
      </c>
      <c r="F185" s="13" t="s">
        <v>20</v>
      </c>
      <c r="G185" s="13" t="s">
        <v>2480</v>
      </c>
      <c r="H185" s="13" t="s">
        <v>2481</v>
      </c>
      <c r="I185" s="13" t="s">
        <v>68</v>
      </c>
      <c r="J185" s="13">
        <v>7.0</v>
      </c>
      <c r="K185" s="13" t="s">
        <v>429</v>
      </c>
      <c r="L185" s="13" t="s">
        <v>430</v>
      </c>
      <c r="M185" s="13" t="s">
        <v>26</v>
      </c>
      <c r="N185" s="13" t="s">
        <v>51</v>
      </c>
      <c r="O185" s="14">
        <v>149.95</v>
      </c>
      <c r="P185" s="14">
        <f t="shared" si="2"/>
        <v>1049.65</v>
      </c>
      <c r="Q185" s="14">
        <v>149.34</v>
      </c>
    </row>
    <row r="186">
      <c r="A186" s="12">
        <v>42327.0</v>
      </c>
      <c r="B186" s="12"/>
      <c r="C186" s="12" t="s">
        <v>2326</v>
      </c>
      <c r="D186" s="1" t="s">
        <v>426</v>
      </c>
      <c r="E186" s="15" t="str">
        <f t="shared" si="1"/>
        <v>Nov</v>
      </c>
      <c r="F186" s="13" t="s">
        <v>20</v>
      </c>
      <c r="G186" s="13" t="s">
        <v>2480</v>
      </c>
      <c r="H186" s="13" t="s">
        <v>2481</v>
      </c>
      <c r="I186" s="13" t="s">
        <v>68</v>
      </c>
      <c r="J186" s="13">
        <v>7.0</v>
      </c>
      <c r="K186" s="13" t="s">
        <v>429</v>
      </c>
      <c r="L186" s="13" t="s">
        <v>430</v>
      </c>
      <c r="M186" s="13" t="s">
        <v>26</v>
      </c>
      <c r="N186" s="13" t="s">
        <v>51</v>
      </c>
      <c r="O186" s="14">
        <v>29.0</v>
      </c>
      <c r="P186" s="14">
        <f t="shared" si="2"/>
        <v>203</v>
      </c>
      <c r="Q186" s="14">
        <v>28.46</v>
      </c>
    </row>
    <row r="187">
      <c r="A187" s="12">
        <v>43067.0</v>
      </c>
      <c r="B187" s="12"/>
      <c r="C187" s="12" t="s">
        <v>2326</v>
      </c>
      <c r="D187" s="6">
        <v>42778.0</v>
      </c>
      <c r="E187" s="15" t="str">
        <f t="shared" si="1"/>
        <v>Feb</v>
      </c>
      <c r="F187" s="13" t="s">
        <v>41</v>
      </c>
      <c r="G187" s="13" t="s">
        <v>2449</v>
      </c>
      <c r="H187" s="13" t="s">
        <v>2482</v>
      </c>
      <c r="I187" s="13" t="s">
        <v>23</v>
      </c>
      <c r="J187" s="13">
        <v>6.0</v>
      </c>
      <c r="K187" s="13" t="s">
        <v>434</v>
      </c>
      <c r="L187" s="13" t="s">
        <v>435</v>
      </c>
      <c r="M187" s="13" t="s">
        <v>100</v>
      </c>
      <c r="N187" s="13" t="s">
        <v>38</v>
      </c>
      <c r="O187" s="14">
        <v>7.16</v>
      </c>
      <c r="P187" s="14">
        <f t="shared" si="2"/>
        <v>42.96</v>
      </c>
      <c r="Q187" s="14">
        <v>6.85</v>
      </c>
    </row>
    <row r="188">
      <c r="A188" s="12">
        <v>42242.0</v>
      </c>
      <c r="B188" s="12"/>
      <c r="C188" s="12" t="s">
        <v>2322</v>
      </c>
      <c r="D188" s="1" t="s">
        <v>437</v>
      </c>
      <c r="E188" s="15" t="str">
        <f t="shared" si="1"/>
        <v>Aug</v>
      </c>
      <c r="F188" s="13" t="s">
        <v>41</v>
      </c>
      <c r="G188" s="13" t="s">
        <v>2483</v>
      </c>
      <c r="H188" s="13" t="s">
        <v>2484</v>
      </c>
      <c r="I188" s="13" t="s">
        <v>68</v>
      </c>
      <c r="J188" s="13">
        <v>9.0</v>
      </c>
      <c r="K188" s="13" t="s">
        <v>35</v>
      </c>
      <c r="L188" s="13" t="s">
        <v>52</v>
      </c>
      <c r="M188" s="13" t="s">
        <v>37</v>
      </c>
      <c r="N188" s="13" t="s">
        <v>51</v>
      </c>
      <c r="O188" s="14">
        <v>176.8</v>
      </c>
      <c r="P188" s="14">
        <f t="shared" si="2"/>
        <v>1591.2</v>
      </c>
      <c r="Q188" s="14">
        <v>176.49</v>
      </c>
    </row>
    <row r="189">
      <c r="A189" s="12">
        <v>42932.0</v>
      </c>
      <c r="B189" s="12"/>
      <c r="C189" s="12" t="s">
        <v>2348</v>
      </c>
      <c r="D189" s="1" t="s">
        <v>137</v>
      </c>
      <c r="E189" s="15" t="str">
        <f t="shared" si="1"/>
        <v>Jul</v>
      </c>
      <c r="F189" s="13" t="s">
        <v>41</v>
      </c>
      <c r="G189" s="13" t="s">
        <v>2485</v>
      </c>
      <c r="H189" s="13" t="s">
        <v>2486</v>
      </c>
      <c r="I189" s="13" t="s">
        <v>34</v>
      </c>
      <c r="J189" s="13">
        <v>7.0</v>
      </c>
      <c r="K189" s="13" t="s">
        <v>443</v>
      </c>
      <c r="L189" s="13" t="s">
        <v>70</v>
      </c>
      <c r="M189" s="13" t="s">
        <v>71</v>
      </c>
      <c r="N189" s="13" t="s">
        <v>38</v>
      </c>
      <c r="O189" s="14">
        <v>37.224</v>
      </c>
      <c r="P189" s="14">
        <f t="shared" si="2"/>
        <v>260.568</v>
      </c>
      <c r="Q189" s="14">
        <v>37.03</v>
      </c>
    </row>
    <row r="190">
      <c r="A190" s="12">
        <v>42932.0</v>
      </c>
      <c r="B190" s="12"/>
      <c r="C190" s="12" t="s">
        <v>2348</v>
      </c>
      <c r="D190" s="1" t="s">
        <v>137</v>
      </c>
      <c r="E190" s="15" t="str">
        <f t="shared" si="1"/>
        <v>Jul</v>
      </c>
      <c r="F190" s="13" t="s">
        <v>41</v>
      </c>
      <c r="G190" s="13" t="s">
        <v>2485</v>
      </c>
      <c r="H190" s="13" t="s">
        <v>2486</v>
      </c>
      <c r="I190" s="13" t="s">
        <v>34</v>
      </c>
      <c r="J190" s="13">
        <v>7.0</v>
      </c>
      <c r="K190" s="13" t="s">
        <v>443</v>
      </c>
      <c r="L190" s="13" t="s">
        <v>70</v>
      </c>
      <c r="M190" s="13" t="s">
        <v>71</v>
      </c>
      <c r="N190" s="13" t="s">
        <v>38</v>
      </c>
      <c r="O190" s="14">
        <v>20.016</v>
      </c>
      <c r="P190" s="14">
        <f t="shared" si="2"/>
        <v>140.112</v>
      </c>
      <c r="Q190" s="14">
        <v>19.38</v>
      </c>
    </row>
    <row r="191">
      <c r="A191" s="12">
        <v>42714.0</v>
      </c>
      <c r="B191" s="12"/>
      <c r="C191" s="12" t="s">
        <v>2325</v>
      </c>
      <c r="D191" s="1" t="s">
        <v>445</v>
      </c>
      <c r="E191" s="15" t="str">
        <f t="shared" si="1"/>
        <v>Oct</v>
      </c>
      <c r="F191" s="13" t="s">
        <v>121</v>
      </c>
      <c r="G191" s="13" t="s">
        <v>2487</v>
      </c>
      <c r="H191" s="13" t="s">
        <v>2488</v>
      </c>
      <c r="I191" s="13" t="s">
        <v>68</v>
      </c>
      <c r="J191" s="13">
        <v>1.0</v>
      </c>
      <c r="K191" s="13" t="s">
        <v>174</v>
      </c>
      <c r="L191" s="13" t="s">
        <v>175</v>
      </c>
      <c r="M191" s="13" t="s">
        <v>100</v>
      </c>
      <c r="N191" s="13" t="s">
        <v>27</v>
      </c>
      <c r="O191" s="14">
        <v>899.136</v>
      </c>
      <c r="P191" s="14">
        <f t="shared" si="2"/>
        <v>899.136</v>
      </c>
      <c r="Q191" s="14">
        <v>898.53</v>
      </c>
    </row>
    <row r="192">
      <c r="A192" s="12">
        <v>42714.0</v>
      </c>
      <c r="B192" s="12"/>
      <c r="C192" s="12" t="s">
        <v>2325</v>
      </c>
      <c r="D192" s="1" t="s">
        <v>445</v>
      </c>
      <c r="E192" s="15" t="str">
        <f t="shared" si="1"/>
        <v>Oct</v>
      </c>
      <c r="F192" s="13" t="s">
        <v>121</v>
      </c>
      <c r="G192" s="13" t="s">
        <v>2487</v>
      </c>
      <c r="H192" s="13" t="s">
        <v>2488</v>
      </c>
      <c r="I192" s="13" t="s">
        <v>68</v>
      </c>
      <c r="J192" s="13">
        <v>1.0</v>
      </c>
      <c r="K192" s="13" t="s">
        <v>174</v>
      </c>
      <c r="L192" s="13" t="s">
        <v>175</v>
      </c>
      <c r="M192" s="13" t="s">
        <v>100</v>
      </c>
      <c r="N192" s="13" t="s">
        <v>51</v>
      </c>
      <c r="O192" s="14">
        <v>71.76</v>
      </c>
      <c r="P192" s="14">
        <f t="shared" si="2"/>
        <v>71.76</v>
      </c>
      <c r="Q192" s="14">
        <v>71.44</v>
      </c>
    </row>
    <row r="193">
      <c r="A193" s="12">
        <v>42714.0</v>
      </c>
      <c r="B193" s="12"/>
      <c r="C193" s="12" t="s">
        <v>2325</v>
      </c>
      <c r="D193" s="1" t="s">
        <v>445</v>
      </c>
      <c r="E193" s="15" t="str">
        <f t="shared" si="1"/>
        <v>Oct</v>
      </c>
      <c r="F193" s="13" t="s">
        <v>121</v>
      </c>
      <c r="G193" s="13" t="s">
        <v>2487</v>
      </c>
      <c r="H193" s="13" t="s">
        <v>2488</v>
      </c>
      <c r="I193" s="13" t="s">
        <v>68</v>
      </c>
      <c r="J193" s="13">
        <v>1.0</v>
      </c>
      <c r="K193" s="13" t="s">
        <v>174</v>
      </c>
      <c r="L193" s="13" t="s">
        <v>175</v>
      </c>
      <c r="M193" s="13" t="s">
        <v>100</v>
      </c>
      <c r="N193" s="13" t="s">
        <v>38</v>
      </c>
      <c r="O193" s="14">
        <v>51.84</v>
      </c>
      <c r="P193" s="14">
        <f t="shared" si="2"/>
        <v>51.84</v>
      </c>
      <c r="Q193" s="14">
        <v>51.52</v>
      </c>
    </row>
    <row r="194">
      <c r="A194" s="12">
        <v>42714.0</v>
      </c>
      <c r="B194" s="12"/>
      <c r="C194" s="12" t="s">
        <v>2325</v>
      </c>
      <c r="D194" s="1" t="s">
        <v>445</v>
      </c>
      <c r="E194" s="15" t="str">
        <f t="shared" si="1"/>
        <v>Oct</v>
      </c>
      <c r="F194" s="13" t="s">
        <v>121</v>
      </c>
      <c r="G194" s="13" t="s">
        <v>2487</v>
      </c>
      <c r="H194" s="13" t="s">
        <v>2488</v>
      </c>
      <c r="I194" s="13" t="s">
        <v>68</v>
      </c>
      <c r="J194" s="13">
        <v>1.0</v>
      </c>
      <c r="K194" s="13" t="s">
        <v>174</v>
      </c>
      <c r="L194" s="13" t="s">
        <v>175</v>
      </c>
      <c r="M194" s="13" t="s">
        <v>100</v>
      </c>
      <c r="N194" s="13" t="s">
        <v>27</v>
      </c>
      <c r="O194" s="14">
        <v>626.352</v>
      </c>
      <c r="P194" s="14">
        <f t="shared" si="2"/>
        <v>626.352</v>
      </c>
      <c r="Q194" s="14">
        <v>625.59</v>
      </c>
    </row>
    <row r="195">
      <c r="A195" s="12">
        <v>42714.0</v>
      </c>
      <c r="B195" s="12"/>
      <c r="C195" s="12" t="s">
        <v>2325</v>
      </c>
      <c r="D195" s="1" t="s">
        <v>445</v>
      </c>
      <c r="E195" s="15" t="str">
        <f t="shared" si="1"/>
        <v>Oct</v>
      </c>
      <c r="F195" s="13" t="s">
        <v>121</v>
      </c>
      <c r="G195" s="13" t="s">
        <v>2487</v>
      </c>
      <c r="H195" s="13" t="s">
        <v>2488</v>
      </c>
      <c r="I195" s="13" t="s">
        <v>68</v>
      </c>
      <c r="J195" s="13">
        <v>1.0</v>
      </c>
      <c r="K195" s="13" t="s">
        <v>174</v>
      </c>
      <c r="L195" s="13" t="s">
        <v>175</v>
      </c>
      <c r="M195" s="13" t="s">
        <v>100</v>
      </c>
      <c r="N195" s="13" t="s">
        <v>38</v>
      </c>
      <c r="O195" s="14">
        <v>19.9</v>
      </c>
      <c r="P195" s="14">
        <f t="shared" si="2"/>
        <v>19.9</v>
      </c>
      <c r="Q195" s="14">
        <v>19.54</v>
      </c>
    </row>
    <row r="196">
      <c r="A196" s="12">
        <v>42674.0</v>
      </c>
      <c r="B196" s="12"/>
      <c r="C196" s="12" t="s">
        <v>2358</v>
      </c>
      <c r="D196" s="6">
        <v>42532.0</v>
      </c>
      <c r="E196" s="15" t="str">
        <f t="shared" si="1"/>
        <v>Jun</v>
      </c>
      <c r="F196" s="13" t="s">
        <v>41</v>
      </c>
      <c r="G196" s="13" t="s">
        <v>2489</v>
      </c>
      <c r="H196" s="13" t="s">
        <v>2490</v>
      </c>
      <c r="I196" s="13" t="s">
        <v>34</v>
      </c>
      <c r="J196" s="13">
        <v>9.0</v>
      </c>
      <c r="K196" s="13" t="s">
        <v>451</v>
      </c>
      <c r="L196" s="13" t="s">
        <v>52</v>
      </c>
      <c r="M196" s="13" t="s">
        <v>37</v>
      </c>
      <c r="N196" s="13" t="s">
        <v>38</v>
      </c>
      <c r="O196" s="14">
        <v>14.28</v>
      </c>
      <c r="P196" s="14">
        <f t="shared" si="2"/>
        <v>128.52</v>
      </c>
      <c r="Q196" s="14">
        <v>14.19</v>
      </c>
    </row>
    <row r="197">
      <c r="A197" s="12">
        <v>42084.0</v>
      </c>
      <c r="B197" s="12"/>
      <c r="C197" s="12" t="s">
        <v>2399</v>
      </c>
      <c r="D197" s="1" t="s">
        <v>453</v>
      </c>
      <c r="E197" s="15" t="str">
        <f t="shared" si="1"/>
        <v>Mar</v>
      </c>
      <c r="F197" s="13" t="s">
        <v>41</v>
      </c>
      <c r="G197" s="13" t="s">
        <v>2491</v>
      </c>
      <c r="H197" s="13" t="s">
        <v>2492</v>
      </c>
      <c r="I197" s="13" t="s">
        <v>23</v>
      </c>
      <c r="J197" s="13">
        <v>4.0</v>
      </c>
      <c r="K197" s="13" t="s">
        <v>456</v>
      </c>
      <c r="L197" s="13" t="s">
        <v>304</v>
      </c>
      <c r="M197" s="13" t="s">
        <v>100</v>
      </c>
      <c r="N197" s="13" t="s">
        <v>38</v>
      </c>
      <c r="O197" s="14">
        <v>7.408</v>
      </c>
      <c r="P197" s="14">
        <f t="shared" si="2"/>
        <v>29.632</v>
      </c>
      <c r="Q197" s="14">
        <v>6.46</v>
      </c>
    </row>
    <row r="198">
      <c r="A198" s="12">
        <v>42084.0</v>
      </c>
      <c r="B198" s="12"/>
      <c r="C198" s="12" t="s">
        <v>2399</v>
      </c>
      <c r="D198" s="1" t="s">
        <v>453</v>
      </c>
      <c r="E198" s="15" t="str">
        <f t="shared" si="1"/>
        <v>Mar</v>
      </c>
      <c r="F198" s="13" t="s">
        <v>41</v>
      </c>
      <c r="G198" s="13" t="s">
        <v>2491</v>
      </c>
      <c r="H198" s="13" t="s">
        <v>2492</v>
      </c>
      <c r="I198" s="13" t="s">
        <v>23</v>
      </c>
      <c r="J198" s="13">
        <v>4.0</v>
      </c>
      <c r="K198" s="13" t="s">
        <v>456</v>
      </c>
      <c r="L198" s="13" t="s">
        <v>304</v>
      </c>
      <c r="M198" s="13" t="s">
        <v>100</v>
      </c>
      <c r="N198" s="13" t="s">
        <v>38</v>
      </c>
      <c r="O198" s="14">
        <v>6.048</v>
      </c>
      <c r="P198" s="14">
        <f t="shared" si="2"/>
        <v>24.192</v>
      </c>
      <c r="Q198" s="14">
        <v>5.82</v>
      </c>
    </row>
    <row r="199">
      <c r="A199" s="12">
        <v>43262.0</v>
      </c>
      <c r="B199" s="12"/>
      <c r="C199" s="12" t="s">
        <v>2374</v>
      </c>
      <c r="D199" s="1" t="s">
        <v>458</v>
      </c>
      <c r="E199" s="15" t="str">
        <f t="shared" si="1"/>
        <v>Nov</v>
      </c>
      <c r="F199" s="13" t="s">
        <v>41</v>
      </c>
      <c r="G199" s="13" t="s">
        <v>2493</v>
      </c>
      <c r="H199" s="13" t="s">
        <v>2406</v>
      </c>
      <c r="I199" s="13" t="s">
        <v>68</v>
      </c>
      <c r="J199" s="13">
        <v>7.0</v>
      </c>
      <c r="K199" s="13" t="s">
        <v>461</v>
      </c>
      <c r="L199" s="13" t="s">
        <v>462</v>
      </c>
      <c r="M199" s="13" t="s">
        <v>100</v>
      </c>
      <c r="N199" s="13" t="s">
        <v>38</v>
      </c>
      <c r="O199" s="14">
        <v>46.26</v>
      </c>
      <c r="P199" s="14">
        <f t="shared" si="2"/>
        <v>323.82</v>
      </c>
      <c r="Q199" s="14">
        <v>45.71</v>
      </c>
    </row>
    <row r="200">
      <c r="A200" s="12">
        <v>43258.0</v>
      </c>
      <c r="B200" s="12"/>
      <c r="C200" s="12" t="s">
        <v>2374</v>
      </c>
      <c r="D200" s="1" t="s">
        <v>464</v>
      </c>
      <c r="E200" s="15" t="str">
        <f t="shared" si="1"/>
        <v>Jul</v>
      </c>
      <c r="F200" s="13" t="s">
        <v>41</v>
      </c>
      <c r="G200" s="13" t="s">
        <v>2494</v>
      </c>
      <c r="H200" s="13" t="s">
        <v>2495</v>
      </c>
      <c r="I200" s="13" t="s">
        <v>34</v>
      </c>
      <c r="J200" s="13">
        <v>1.0</v>
      </c>
      <c r="K200" s="13" t="s">
        <v>98</v>
      </c>
      <c r="L200" s="13" t="s">
        <v>99</v>
      </c>
      <c r="M200" s="13" t="s">
        <v>100</v>
      </c>
      <c r="N200" s="13" t="s">
        <v>38</v>
      </c>
      <c r="O200" s="14">
        <v>2.946</v>
      </c>
      <c r="P200" s="14">
        <f t="shared" si="2"/>
        <v>2.946</v>
      </c>
      <c r="Q200" s="14">
        <v>2.85</v>
      </c>
    </row>
    <row r="201">
      <c r="A201" s="12">
        <v>43258.0</v>
      </c>
      <c r="B201" s="12"/>
      <c r="C201" s="12" t="s">
        <v>2374</v>
      </c>
      <c r="D201" s="1" t="s">
        <v>464</v>
      </c>
      <c r="E201" s="15" t="str">
        <f t="shared" si="1"/>
        <v>Jul</v>
      </c>
      <c r="F201" s="13" t="s">
        <v>41</v>
      </c>
      <c r="G201" s="13" t="s">
        <v>2494</v>
      </c>
      <c r="H201" s="13" t="s">
        <v>2495</v>
      </c>
      <c r="I201" s="13" t="s">
        <v>34</v>
      </c>
      <c r="J201" s="13">
        <v>1.0</v>
      </c>
      <c r="K201" s="13" t="s">
        <v>98</v>
      </c>
      <c r="L201" s="13" t="s">
        <v>99</v>
      </c>
      <c r="M201" s="13" t="s">
        <v>100</v>
      </c>
      <c r="N201" s="13" t="s">
        <v>38</v>
      </c>
      <c r="O201" s="14">
        <v>16.056</v>
      </c>
      <c r="P201" s="14">
        <f t="shared" si="2"/>
        <v>16.056</v>
      </c>
      <c r="Q201" s="14">
        <v>15.84</v>
      </c>
    </row>
    <row r="202">
      <c r="A202" s="12">
        <v>43275.0</v>
      </c>
      <c r="B202" s="12"/>
      <c r="C202" s="12" t="s">
        <v>2374</v>
      </c>
      <c r="D202" s="1" t="s">
        <v>468</v>
      </c>
      <c r="E202" s="15" t="str">
        <f t="shared" si="1"/>
        <v>Jun</v>
      </c>
      <c r="F202" s="13" t="s">
        <v>41</v>
      </c>
      <c r="G202" s="13" t="s">
        <v>2496</v>
      </c>
      <c r="H202" s="13" t="s">
        <v>2497</v>
      </c>
      <c r="I202" s="13" t="s">
        <v>23</v>
      </c>
      <c r="J202" s="13">
        <v>4.0</v>
      </c>
      <c r="K202" s="13" t="s">
        <v>471</v>
      </c>
      <c r="L202" s="13" t="s">
        <v>304</v>
      </c>
      <c r="M202" s="13" t="s">
        <v>100</v>
      </c>
      <c r="N202" s="13" t="s">
        <v>38</v>
      </c>
      <c r="O202" s="14">
        <v>21.744</v>
      </c>
      <c r="P202" s="14">
        <f t="shared" si="2"/>
        <v>86.976</v>
      </c>
      <c r="Q202" s="14">
        <v>21.73</v>
      </c>
    </row>
    <row r="203">
      <c r="A203" s="12">
        <v>42071.0</v>
      </c>
      <c r="B203" s="12"/>
      <c r="C203" s="12" t="s">
        <v>2399</v>
      </c>
      <c r="D203" s="6">
        <v>42132.0</v>
      </c>
      <c r="E203" s="15" t="str">
        <f t="shared" si="1"/>
        <v>May</v>
      </c>
      <c r="F203" s="13" t="s">
        <v>121</v>
      </c>
      <c r="G203" s="13" t="s">
        <v>2498</v>
      </c>
      <c r="H203" s="13" t="s">
        <v>2395</v>
      </c>
      <c r="I203" s="13" t="s">
        <v>23</v>
      </c>
      <c r="J203" s="13">
        <v>8.0</v>
      </c>
      <c r="K203" s="13" t="s">
        <v>475</v>
      </c>
      <c r="L203" s="13" t="s">
        <v>279</v>
      </c>
      <c r="M203" s="13" t="s">
        <v>37</v>
      </c>
      <c r="N203" s="13" t="s">
        <v>27</v>
      </c>
      <c r="O203" s="14">
        <v>218.75</v>
      </c>
      <c r="P203" s="14">
        <f t="shared" si="2"/>
        <v>1750</v>
      </c>
      <c r="Q203" s="14">
        <v>218.11</v>
      </c>
    </row>
    <row r="204">
      <c r="A204" s="12">
        <v>42071.0</v>
      </c>
      <c r="B204" s="12"/>
      <c r="C204" s="12" t="s">
        <v>2399</v>
      </c>
      <c r="D204" s="6">
        <v>42132.0</v>
      </c>
      <c r="E204" s="15" t="str">
        <f t="shared" si="1"/>
        <v>May</v>
      </c>
      <c r="F204" s="13" t="s">
        <v>121</v>
      </c>
      <c r="G204" s="13" t="s">
        <v>2498</v>
      </c>
      <c r="H204" s="13" t="s">
        <v>2395</v>
      </c>
      <c r="I204" s="13" t="s">
        <v>23</v>
      </c>
      <c r="J204" s="13">
        <v>8.0</v>
      </c>
      <c r="K204" s="13" t="s">
        <v>475</v>
      </c>
      <c r="L204" s="13" t="s">
        <v>279</v>
      </c>
      <c r="M204" s="13" t="s">
        <v>37</v>
      </c>
      <c r="N204" s="13" t="s">
        <v>38</v>
      </c>
      <c r="O204" s="14">
        <v>2.6</v>
      </c>
      <c r="P204" s="14">
        <f t="shared" si="2"/>
        <v>20.8</v>
      </c>
      <c r="Q204" s="14">
        <v>2.52</v>
      </c>
    </row>
    <row r="205">
      <c r="A205" s="12">
        <v>43451.0</v>
      </c>
      <c r="B205" s="12"/>
      <c r="C205" s="12" t="s">
        <v>2325</v>
      </c>
      <c r="D205" s="1" t="s">
        <v>477</v>
      </c>
      <c r="E205" s="15" t="str">
        <f t="shared" si="1"/>
        <v>Dec</v>
      </c>
      <c r="F205" s="13" t="s">
        <v>20</v>
      </c>
      <c r="G205" s="13" t="s">
        <v>2499</v>
      </c>
      <c r="H205" s="13" t="s">
        <v>2500</v>
      </c>
      <c r="I205" s="13" t="s">
        <v>23</v>
      </c>
      <c r="J205" s="13">
        <v>7.0</v>
      </c>
      <c r="K205" s="13" t="s">
        <v>480</v>
      </c>
      <c r="L205" s="13" t="s">
        <v>70</v>
      </c>
      <c r="M205" s="13" t="s">
        <v>71</v>
      </c>
      <c r="N205" s="13" t="s">
        <v>38</v>
      </c>
      <c r="O205" s="14">
        <v>66.284</v>
      </c>
      <c r="P205" s="14">
        <f t="shared" si="2"/>
        <v>463.988</v>
      </c>
      <c r="Q205" s="14">
        <v>65.82</v>
      </c>
    </row>
    <row r="206">
      <c r="A206" s="12">
        <v>43165.0</v>
      </c>
      <c r="B206" s="12"/>
      <c r="C206" s="12" t="s">
        <v>2399</v>
      </c>
      <c r="D206" s="6">
        <v>43287.0</v>
      </c>
      <c r="E206" s="15" t="str">
        <f t="shared" si="1"/>
        <v>Jul</v>
      </c>
      <c r="F206" s="13" t="s">
        <v>41</v>
      </c>
      <c r="G206" s="13" t="s">
        <v>2501</v>
      </c>
      <c r="H206" s="13" t="s">
        <v>2502</v>
      </c>
      <c r="I206" s="13" t="s">
        <v>34</v>
      </c>
      <c r="J206" s="13">
        <v>3.0</v>
      </c>
      <c r="K206" s="13" t="s">
        <v>364</v>
      </c>
      <c r="L206" s="13" t="s">
        <v>210</v>
      </c>
      <c r="M206" s="13" t="s">
        <v>26</v>
      </c>
      <c r="N206" s="13" t="s">
        <v>27</v>
      </c>
      <c r="O206" s="14">
        <v>35.168</v>
      </c>
      <c r="P206" s="14">
        <f t="shared" si="2"/>
        <v>105.504</v>
      </c>
      <c r="Q206" s="14">
        <v>34.2</v>
      </c>
    </row>
    <row r="207">
      <c r="A207" s="12">
        <v>43355.0</v>
      </c>
      <c r="B207" s="12"/>
      <c r="C207" s="12" t="s">
        <v>2329</v>
      </c>
      <c r="D207" s="1" t="s">
        <v>485</v>
      </c>
      <c r="E207" s="15" t="str">
        <f t="shared" si="1"/>
        <v>Dec</v>
      </c>
      <c r="F207" s="13" t="s">
        <v>41</v>
      </c>
      <c r="G207" s="13" t="s">
        <v>2503</v>
      </c>
      <c r="H207" s="13" t="s">
        <v>2504</v>
      </c>
      <c r="I207" s="13" t="s">
        <v>23</v>
      </c>
      <c r="J207" s="13">
        <v>9.0</v>
      </c>
      <c r="K207" s="13" t="s">
        <v>488</v>
      </c>
      <c r="L207" s="13" t="s">
        <v>52</v>
      </c>
      <c r="M207" s="13" t="s">
        <v>37</v>
      </c>
      <c r="N207" s="13" t="s">
        <v>51</v>
      </c>
      <c r="O207" s="14">
        <v>444.768</v>
      </c>
      <c r="P207" s="14">
        <f t="shared" si="2"/>
        <v>4002.912</v>
      </c>
      <c r="Q207" s="14">
        <v>444.02</v>
      </c>
    </row>
    <row r="208">
      <c r="A208" s="12">
        <v>43112.0</v>
      </c>
      <c r="B208" s="12"/>
      <c r="C208" s="12" t="s">
        <v>2353</v>
      </c>
      <c r="D208" s="6">
        <v>43293.0</v>
      </c>
      <c r="E208" s="15" t="str">
        <f t="shared" si="1"/>
        <v>Jul</v>
      </c>
      <c r="F208" s="13" t="s">
        <v>41</v>
      </c>
      <c r="G208" s="13" t="s">
        <v>2505</v>
      </c>
      <c r="H208" s="13" t="s">
        <v>2506</v>
      </c>
      <c r="I208" s="13" t="s">
        <v>23</v>
      </c>
      <c r="J208" s="13">
        <v>4.0</v>
      </c>
      <c r="K208" s="13" t="s">
        <v>492</v>
      </c>
      <c r="L208" s="13" t="s">
        <v>157</v>
      </c>
      <c r="M208" s="13" t="s">
        <v>71</v>
      </c>
      <c r="N208" s="13" t="s">
        <v>38</v>
      </c>
      <c r="O208" s="14">
        <v>83.92</v>
      </c>
      <c r="P208" s="14">
        <f t="shared" si="2"/>
        <v>335.68</v>
      </c>
      <c r="Q208" s="14">
        <v>83.79</v>
      </c>
    </row>
    <row r="209">
      <c r="A209" s="12">
        <v>43112.0</v>
      </c>
      <c r="B209" s="12"/>
      <c r="C209" s="12" t="s">
        <v>2353</v>
      </c>
      <c r="D209" s="6">
        <v>43293.0</v>
      </c>
      <c r="E209" s="15" t="str">
        <f t="shared" si="1"/>
        <v>Jul</v>
      </c>
      <c r="F209" s="13" t="s">
        <v>41</v>
      </c>
      <c r="G209" s="13" t="s">
        <v>2505</v>
      </c>
      <c r="H209" s="13" t="s">
        <v>2506</v>
      </c>
      <c r="I209" s="13" t="s">
        <v>23</v>
      </c>
      <c r="J209" s="13">
        <v>4.0</v>
      </c>
      <c r="K209" s="13" t="s">
        <v>492</v>
      </c>
      <c r="L209" s="13" t="s">
        <v>157</v>
      </c>
      <c r="M209" s="13" t="s">
        <v>71</v>
      </c>
      <c r="N209" s="13" t="s">
        <v>51</v>
      </c>
      <c r="O209" s="14">
        <v>131.98</v>
      </c>
      <c r="P209" s="14">
        <f t="shared" si="2"/>
        <v>527.92</v>
      </c>
      <c r="Q209" s="14">
        <v>131.38</v>
      </c>
    </row>
    <row r="210">
      <c r="A210" s="12">
        <v>43112.0</v>
      </c>
      <c r="B210" s="12"/>
      <c r="C210" s="12" t="s">
        <v>2353</v>
      </c>
      <c r="D210" s="6">
        <v>43293.0</v>
      </c>
      <c r="E210" s="15" t="str">
        <f t="shared" si="1"/>
        <v>Jul</v>
      </c>
      <c r="F210" s="13" t="s">
        <v>41</v>
      </c>
      <c r="G210" s="13" t="s">
        <v>2505</v>
      </c>
      <c r="H210" s="13" t="s">
        <v>2506</v>
      </c>
      <c r="I210" s="13" t="s">
        <v>23</v>
      </c>
      <c r="J210" s="13">
        <v>4.0</v>
      </c>
      <c r="K210" s="13" t="s">
        <v>492</v>
      </c>
      <c r="L210" s="13" t="s">
        <v>157</v>
      </c>
      <c r="M210" s="13" t="s">
        <v>71</v>
      </c>
      <c r="N210" s="13" t="s">
        <v>38</v>
      </c>
      <c r="O210" s="14">
        <v>15.92</v>
      </c>
      <c r="P210" s="14">
        <f t="shared" si="2"/>
        <v>63.68</v>
      </c>
      <c r="Q210" s="14">
        <v>15.35</v>
      </c>
    </row>
    <row r="211">
      <c r="A211" s="12">
        <v>43112.0</v>
      </c>
      <c r="B211" s="12"/>
      <c r="C211" s="12" t="s">
        <v>2353</v>
      </c>
      <c r="D211" s="6">
        <v>43293.0</v>
      </c>
      <c r="E211" s="15" t="str">
        <f t="shared" si="1"/>
        <v>Jul</v>
      </c>
      <c r="F211" s="13" t="s">
        <v>41</v>
      </c>
      <c r="G211" s="13" t="s">
        <v>2505</v>
      </c>
      <c r="H211" s="13" t="s">
        <v>2506</v>
      </c>
      <c r="I211" s="13" t="s">
        <v>23</v>
      </c>
      <c r="J211" s="13">
        <v>4.0</v>
      </c>
      <c r="K211" s="13" t="s">
        <v>492</v>
      </c>
      <c r="L211" s="13" t="s">
        <v>157</v>
      </c>
      <c r="M211" s="13" t="s">
        <v>71</v>
      </c>
      <c r="N211" s="13" t="s">
        <v>38</v>
      </c>
      <c r="O211" s="14">
        <v>52.29</v>
      </c>
      <c r="P211" s="14">
        <f t="shared" si="2"/>
        <v>209.16</v>
      </c>
      <c r="Q211" s="14">
        <v>51.64</v>
      </c>
    </row>
    <row r="212">
      <c r="A212" s="12">
        <v>43112.0</v>
      </c>
      <c r="B212" s="12"/>
      <c r="C212" s="12" t="s">
        <v>2353</v>
      </c>
      <c r="D212" s="6">
        <v>43293.0</v>
      </c>
      <c r="E212" s="15" t="str">
        <f t="shared" si="1"/>
        <v>Jul</v>
      </c>
      <c r="F212" s="13" t="s">
        <v>41</v>
      </c>
      <c r="G212" s="13" t="s">
        <v>2505</v>
      </c>
      <c r="H212" s="13" t="s">
        <v>2506</v>
      </c>
      <c r="I212" s="13" t="s">
        <v>23</v>
      </c>
      <c r="J212" s="13">
        <v>4.0</v>
      </c>
      <c r="K212" s="13" t="s">
        <v>492</v>
      </c>
      <c r="L212" s="13" t="s">
        <v>157</v>
      </c>
      <c r="M212" s="13" t="s">
        <v>71</v>
      </c>
      <c r="N212" s="13" t="s">
        <v>38</v>
      </c>
      <c r="O212" s="14">
        <v>91.99</v>
      </c>
      <c r="P212" s="14">
        <f t="shared" si="2"/>
        <v>367.96</v>
      </c>
      <c r="Q212" s="14">
        <v>91.9</v>
      </c>
    </row>
    <row r="213">
      <c r="A213" s="12">
        <v>42615.0</v>
      </c>
      <c r="B213" s="12"/>
      <c r="C213" s="12" t="s">
        <v>2329</v>
      </c>
      <c r="D213" s="1" t="s">
        <v>494</v>
      </c>
      <c r="E213" s="15" t="str">
        <f t="shared" si="1"/>
        <v>Feb</v>
      </c>
      <c r="F213" s="13" t="s">
        <v>20</v>
      </c>
      <c r="G213" s="13" t="s">
        <v>2507</v>
      </c>
      <c r="H213" s="13" t="s">
        <v>2395</v>
      </c>
      <c r="I213" s="13" t="s">
        <v>34</v>
      </c>
      <c r="J213" s="13">
        <v>7.0</v>
      </c>
      <c r="K213" s="13" t="s">
        <v>480</v>
      </c>
      <c r="L213" s="13" t="s">
        <v>70</v>
      </c>
      <c r="M213" s="13" t="s">
        <v>71</v>
      </c>
      <c r="N213" s="13" t="s">
        <v>51</v>
      </c>
      <c r="O213" s="14">
        <v>20.8</v>
      </c>
      <c r="P213" s="14">
        <f t="shared" si="2"/>
        <v>145.6</v>
      </c>
      <c r="Q213" s="14">
        <v>20.41</v>
      </c>
    </row>
    <row r="214">
      <c r="A214" s="12">
        <v>42401.0</v>
      </c>
      <c r="B214" s="12"/>
      <c r="C214" s="12" t="s">
        <v>2431</v>
      </c>
      <c r="D214" s="6">
        <v>42614.0</v>
      </c>
      <c r="E214" s="15" t="str">
        <f t="shared" si="1"/>
        <v>Sep</v>
      </c>
      <c r="F214" s="13" t="s">
        <v>41</v>
      </c>
      <c r="G214" s="13" t="s">
        <v>2508</v>
      </c>
      <c r="H214" s="13" t="s">
        <v>2509</v>
      </c>
      <c r="I214" s="13" t="s">
        <v>34</v>
      </c>
      <c r="J214" s="13">
        <v>4.0</v>
      </c>
      <c r="K214" s="13" t="s">
        <v>500</v>
      </c>
      <c r="L214" s="13" t="s">
        <v>304</v>
      </c>
      <c r="M214" s="13" t="s">
        <v>100</v>
      </c>
      <c r="N214" s="13" t="s">
        <v>38</v>
      </c>
      <c r="O214" s="14">
        <v>23.68</v>
      </c>
      <c r="P214" s="14">
        <f t="shared" si="2"/>
        <v>94.72</v>
      </c>
      <c r="Q214" s="14">
        <v>22.79</v>
      </c>
    </row>
    <row r="215">
      <c r="A215" s="12">
        <v>42401.0</v>
      </c>
      <c r="B215" s="12"/>
      <c r="C215" s="12" t="s">
        <v>2431</v>
      </c>
      <c r="D215" s="6">
        <v>42614.0</v>
      </c>
      <c r="E215" s="15" t="str">
        <f t="shared" si="1"/>
        <v>Sep</v>
      </c>
      <c r="F215" s="13" t="s">
        <v>41</v>
      </c>
      <c r="G215" s="13" t="s">
        <v>2508</v>
      </c>
      <c r="H215" s="13" t="s">
        <v>2509</v>
      </c>
      <c r="I215" s="13" t="s">
        <v>34</v>
      </c>
      <c r="J215" s="13">
        <v>4.0</v>
      </c>
      <c r="K215" s="13" t="s">
        <v>500</v>
      </c>
      <c r="L215" s="13" t="s">
        <v>304</v>
      </c>
      <c r="M215" s="13" t="s">
        <v>100</v>
      </c>
      <c r="N215" s="13" t="s">
        <v>27</v>
      </c>
      <c r="O215" s="14">
        <v>452.45</v>
      </c>
      <c r="P215" s="14">
        <f t="shared" si="2"/>
        <v>1809.8</v>
      </c>
      <c r="Q215" s="14">
        <v>451.96</v>
      </c>
    </row>
    <row r="216">
      <c r="A216" s="12">
        <v>42401.0</v>
      </c>
      <c r="B216" s="12"/>
      <c r="C216" s="12" t="s">
        <v>2431</v>
      </c>
      <c r="D216" s="6">
        <v>42614.0</v>
      </c>
      <c r="E216" s="15" t="str">
        <f t="shared" si="1"/>
        <v>Sep</v>
      </c>
      <c r="F216" s="13" t="s">
        <v>41</v>
      </c>
      <c r="G216" s="13" t="s">
        <v>2508</v>
      </c>
      <c r="H216" s="13" t="s">
        <v>2509</v>
      </c>
      <c r="I216" s="13" t="s">
        <v>34</v>
      </c>
      <c r="J216" s="13">
        <v>4.0</v>
      </c>
      <c r="K216" s="13" t="s">
        <v>500</v>
      </c>
      <c r="L216" s="13" t="s">
        <v>304</v>
      </c>
      <c r="M216" s="13" t="s">
        <v>100</v>
      </c>
      <c r="N216" s="13" t="s">
        <v>51</v>
      </c>
      <c r="O216" s="14">
        <v>62.982</v>
      </c>
      <c r="P216" s="14">
        <f t="shared" si="2"/>
        <v>251.928</v>
      </c>
      <c r="Q216" s="14">
        <v>62.62</v>
      </c>
    </row>
    <row r="217">
      <c r="A217" s="12">
        <v>42401.0</v>
      </c>
      <c r="B217" s="12"/>
      <c r="C217" s="12" t="s">
        <v>2431</v>
      </c>
      <c r="D217" s="6">
        <v>42614.0</v>
      </c>
      <c r="E217" s="15" t="str">
        <f t="shared" si="1"/>
        <v>Sep</v>
      </c>
      <c r="F217" s="13" t="s">
        <v>41</v>
      </c>
      <c r="G217" s="13" t="s">
        <v>2508</v>
      </c>
      <c r="H217" s="13" t="s">
        <v>2509</v>
      </c>
      <c r="I217" s="13" t="s">
        <v>34</v>
      </c>
      <c r="J217" s="13">
        <v>4.0</v>
      </c>
      <c r="K217" s="13" t="s">
        <v>500</v>
      </c>
      <c r="L217" s="13" t="s">
        <v>304</v>
      </c>
      <c r="M217" s="13" t="s">
        <v>100</v>
      </c>
      <c r="N217" s="13" t="s">
        <v>51</v>
      </c>
      <c r="O217" s="14">
        <v>1188.0</v>
      </c>
      <c r="P217" s="14">
        <f t="shared" si="2"/>
        <v>4752</v>
      </c>
      <c r="Q217" s="14">
        <v>1187.52</v>
      </c>
    </row>
    <row r="218">
      <c r="A218" s="12">
        <v>42401.0</v>
      </c>
      <c r="B218" s="12"/>
      <c r="C218" s="12" t="s">
        <v>2431</v>
      </c>
      <c r="D218" s="6">
        <v>42614.0</v>
      </c>
      <c r="E218" s="15" t="str">
        <f t="shared" si="1"/>
        <v>Sep</v>
      </c>
      <c r="F218" s="13" t="s">
        <v>41</v>
      </c>
      <c r="G218" s="13" t="s">
        <v>2508</v>
      </c>
      <c r="H218" s="13" t="s">
        <v>2509</v>
      </c>
      <c r="I218" s="13" t="s">
        <v>34</v>
      </c>
      <c r="J218" s="13">
        <v>4.0</v>
      </c>
      <c r="K218" s="13" t="s">
        <v>500</v>
      </c>
      <c r="L218" s="13" t="s">
        <v>304</v>
      </c>
      <c r="M218" s="13" t="s">
        <v>100</v>
      </c>
      <c r="N218" s="13" t="s">
        <v>51</v>
      </c>
      <c r="O218" s="14">
        <v>89.584</v>
      </c>
      <c r="P218" s="14">
        <f t="shared" si="2"/>
        <v>358.336</v>
      </c>
      <c r="Q218" s="14">
        <v>88.71</v>
      </c>
    </row>
    <row r="219">
      <c r="A219" s="12">
        <v>43036.0</v>
      </c>
      <c r="B219" s="12"/>
      <c r="C219" s="12" t="s">
        <v>2358</v>
      </c>
      <c r="D219" s="6">
        <v>42746.0</v>
      </c>
      <c r="E219" s="15" t="str">
        <f t="shared" si="1"/>
        <v>Jan</v>
      </c>
      <c r="F219" s="13" t="s">
        <v>41</v>
      </c>
      <c r="G219" s="13" t="s">
        <v>2447</v>
      </c>
      <c r="H219" s="13" t="s">
        <v>2510</v>
      </c>
      <c r="I219" s="13" t="s">
        <v>23</v>
      </c>
      <c r="J219" s="13">
        <v>9.0</v>
      </c>
      <c r="K219" s="13" t="s">
        <v>35</v>
      </c>
      <c r="L219" s="13" t="s">
        <v>52</v>
      </c>
      <c r="M219" s="13" t="s">
        <v>37</v>
      </c>
      <c r="N219" s="13" t="s">
        <v>38</v>
      </c>
      <c r="O219" s="14">
        <v>93.06</v>
      </c>
      <c r="P219" s="14">
        <f t="shared" si="2"/>
        <v>837.54</v>
      </c>
      <c r="Q219" s="14">
        <v>92.37</v>
      </c>
    </row>
    <row r="220">
      <c r="A220" s="12">
        <v>43036.0</v>
      </c>
      <c r="B220" s="12"/>
      <c r="C220" s="12" t="s">
        <v>2358</v>
      </c>
      <c r="D220" s="6">
        <v>42746.0</v>
      </c>
      <c r="E220" s="15" t="str">
        <f t="shared" si="1"/>
        <v>Jan</v>
      </c>
      <c r="F220" s="13" t="s">
        <v>41</v>
      </c>
      <c r="G220" s="13" t="s">
        <v>2447</v>
      </c>
      <c r="H220" s="13" t="s">
        <v>2510</v>
      </c>
      <c r="I220" s="13" t="s">
        <v>23</v>
      </c>
      <c r="J220" s="13">
        <v>9.0</v>
      </c>
      <c r="K220" s="13" t="s">
        <v>35</v>
      </c>
      <c r="L220" s="13" t="s">
        <v>52</v>
      </c>
      <c r="M220" s="13" t="s">
        <v>37</v>
      </c>
      <c r="N220" s="13" t="s">
        <v>51</v>
      </c>
      <c r="O220" s="14">
        <v>302.376</v>
      </c>
      <c r="P220" s="14">
        <f t="shared" si="2"/>
        <v>2721.384</v>
      </c>
      <c r="Q220" s="14">
        <v>301.89</v>
      </c>
    </row>
    <row r="221">
      <c r="A221" s="12">
        <v>42728.0</v>
      </c>
      <c r="B221" s="12"/>
      <c r="C221" s="12" t="s">
        <v>2325</v>
      </c>
      <c r="D221" s="1" t="s">
        <v>505</v>
      </c>
      <c r="E221" s="15" t="str">
        <f t="shared" si="1"/>
        <v>Dec</v>
      </c>
      <c r="F221" s="13" t="s">
        <v>121</v>
      </c>
      <c r="G221" s="13" t="s">
        <v>2511</v>
      </c>
      <c r="H221" s="13" t="s">
        <v>2357</v>
      </c>
      <c r="I221" s="13" t="s">
        <v>23</v>
      </c>
      <c r="J221" s="13">
        <v>4.0</v>
      </c>
      <c r="K221" s="13" t="s">
        <v>508</v>
      </c>
      <c r="L221" s="13" t="s">
        <v>304</v>
      </c>
      <c r="M221" s="13" t="s">
        <v>100</v>
      </c>
      <c r="N221" s="13" t="s">
        <v>38</v>
      </c>
      <c r="O221" s="14">
        <v>5.584</v>
      </c>
      <c r="P221" s="14">
        <f t="shared" si="2"/>
        <v>22.336</v>
      </c>
      <c r="Q221" s="14">
        <v>5.29</v>
      </c>
    </row>
    <row r="222">
      <c r="A222" s="12">
        <v>42728.0</v>
      </c>
      <c r="B222" s="12"/>
      <c r="C222" s="12" t="s">
        <v>2325</v>
      </c>
      <c r="D222" s="1" t="s">
        <v>505</v>
      </c>
      <c r="E222" s="15" t="str">
        <f t="shared" si="1"/>
        <v>Dec</v>
      </c>
      <c r="F222" s="13" t="s">
        <v>121</v>
      </c>
      <c r="G222" s="13" t="s">
        <v>2511</v>
      </c>
      <c r="H222" s="13" t="s">
        <v>2357</v>
      </c>
      <c r="I222" s="13" t="s">
        <v>23</v>
      </c>
      <c r="J222" s="13">
        <v>4.0</v>
      </c>
      <c r="K222" s="13" t="s">
        <v>508</v>
      </c>
      <c r="L222" s="13" t="s">
        <v>304</v>
      </c>
      <c r="M222" s="13" t="s">
        <v>100</v>
      </c>
      <c r="N222" s="13" t="s">
        <v>38</v>
      </c>
      <c r="O222" s="14">
        <v>22.704</v>
      </c>
      <c r="P222" s="14">
        <f t="shared" si="2"/>
        <v>90.816</v>
      </c>
      <c r="Q222" s="14">
        <v>22.21</v>
      </c>
    </row>
    <row r="223">
      <c r="A223" s="12">
        <v>42728.0</v>
      </c>
      <c r="B223" s="12"/>
      <c r="C223" s="12" t="s">
        <v>2325</v>
      </c>
      <c r="D223" s="1" t="s">
        <v>505</v>
      </c>
      <c r="E223" s="15" t="str">
        <f t="shared" si="1"/>
        <v>Dec</v>
      </c>
      <c r="F223" s="13" t="s">
        <v>121</v>
      </c>
      <c r="G223" s="13" t="s">
        <v>2511</v>
      </c>
      <c r="H223" s="13" t="s">
        <v>2357</v>
      </c>
      <c r="I223" s="13" t="s">
        <v>23</v>
      </c>
      <c r="J223" s="13">
        <v>4.0</v>
      </c>
      <c r="K223" s="13" t="s">
        <v>508</v>
      </c>
      <c r="L223" s="13" t="s">
        <v>304</v>
      </c>
      <c r="M223" s="13" t="s">
        <v>100</v>
      </c>
      <c r="N223" s="13" t="s">
        <v>38</v>
      </c>
      <c r="O223" s="14">
        <v>19.776</v>
      </c>
      <c r="P223" s="14">
        <f t="shared" si="2"/>
        <v>79.104</v>
      </c>
      <c r="Q223" s="14">
        <v>18.84</v>
      </c>
    </row>
    <row r="224">
      <c r="A224" s="12">
        <v>42728.0</v>
      </c>
      <c r="B224" s="12"/>
      <c r="C224" s="12" t="s">
        <v>2325</v>
      </c>
      <c r="D224" s="1" t="s">
        <v>505</v>
      </c>
      <c r="E224" s="15" t="str">
        <f t="shared" si="1"/>
        <v>Dec</v>
      </c>
      <c r="F224" s="13" t="s">
        <v>121</v>
      </c>
      <c r="G224" s="13" t="s">
        <v>2511</v>
      </c>
      <c r="H224" s="13" t="s">
        <v>2357</v>
      </c>
      <c r="I224" s="13" t="s">
        <v>23</v>
      </c>
      <c r="J224" s="13">
        <v>4.0</v>
      </c>
      <c r="K224" s="13" t="s">
        <v>508</v>
      </c>
      <c r="L224" s="13" t="s">
        <v>304</v>
      </c>
      <c r="M224" s="13" t="s">
        <v>100</v>
      </c>
      <c r="N224" s="13" t="s">
        <v>27</v>
      </c>
      <c r="O224" s="14">
        <v>72.704</v>
      </c>
      <c r="P224" s="14">
        <f t="shared" si="2"/>
        <v>290.816</v>
      </c>
      <c r="Q224" s="14">
        <v>72.19</v>
      </c>
    </row>
    <row r="225">
      <c r="A225" s="12">
        <v>42728.0</v>
      </c>
      <c r="B225" s="12"/>
      <c r="C225" s="12" t="s">
        <v>2325</v>
      </c>
      <c r="D225" s="1" t="s">
        <v>505</v>
      </c>
      <c r="E225" s="15" t="str">
        <f t="shared" si="1"/>
        <v>Dec</v>
      </c>
      <c r="F225" s="13" t="s">
        <v>121</v>
      </c>
      <c r="G225" s="13" t="s">
        <v>2511</v>
      </c>
      <c r="H225" s="13" t="s">
        <v>2357</v>
      </c>
      <c r="I225" s="13" t="s">
        <v>23</v>
      </c>
      <c r="J225" s="13">
        <v>4.0</v>
      </c>
      <c r="K225" s="13" t="s">
        <v>508</v>
      </c>
      <c r="L225" s="13" t="s">
        <v>304</v>
      </c>
      <c r="M225" s="13" t="s">
        <v>100</v>
      </c>
      <c r="N225" s="13" t="s">
        <v>51</v>
      </c>
      <c r="O225" s="14">
        <v>479.988</v>
      </c>
      <c r="P225" s="14">
        <f t="shared" si="2"/>
        <v>1919.952</v>
      </c>
      <c r="Q225" s="14">
        <v>479.35</v>
      </c>
    </row>
    <row r="226">
      <c r="A226" s="12">
        <v>42728.0</v>
      </c>
      <c r="B226" s="12"/>
      <c r="C226" s="12" t="s">
        <v>2325</v>
      </c>
      <c r="D226" s="1" t="s">
        <v>505</v>
      </c>
      <c r="E226" s="15" t="str">
        <f t="shared" si="1"/>
        <v>Dec</v>
      </c>
      <c r="F226" s="13" t="s">
        <v>121</v>
      </c>
      <c r="G226" s="13" t="s">
        <v>2511</v>
      </c>
      <c r="H226" s="13" t="s">
        <v>2357</v>
      </c>
      <c r="I226" s="13" t="s">
        <v>23</v>
      </c>
      <c r="J226" s="13">
        <v>4.0</v>
      </c>
      <c r="K226" s="13" t="s">
        <v>508</v>
      </c>
      <c r="L226" s="13" t="s">
        <v>304</v>
      </c>
      <c r="M226" s="13" t="s">
        <v>100</v>
      </c>
      <c r="N226" s="13" t="s">
        <v>38</v>
      </c>
      <c r="O226" s="14">
        <v>27.168</v>
      </c>
      <c r="P226" s="14">
        <f t="shared" si="2"/>
        <v>108.672</v>
      </c>
      <c r="Q226" s="14">
        <v>26.83</v>
      </c>
    </row>
    <row r="227">
      <c r="A227" s="12">
        <v>42621.0</v>
      </c>
      <c r="B227" s="12"/>
      <c r="C227" s="12" t="s">
        <v>2329</v>
      </c>
      <c r="D227" s="1" t="s">
        <v>510</v>
      </c>
      <c r="E227" s="15" t="str">
        <f t="shared" si="1"/>
        <v>Aug</v>
      </c>
      <c r="F227" s="13" t="s">
        <v>41</v>
      </c>
      <c r="G227" s="13" t="s">
        <v>2478</v>
      </c>
      <c r="H227" s="13" t="s">
        <v>2370</v>
      </c>
      <c r="I227" s="13" t="s">
        <v>34</v>
      </c>
      <c r="J227" s="13">
        <v>4.0</v>
      </c>
      <c r="K227" s="13" t="s">
        <v>513</v>
      </c>
      <c r="L227" s="13" t="s">
        <v>157</v>
      </c>
      <c r="M227" s="13" t="s">
        <v>71</v>
      </c>
      <c r="N227" s="13" t="s">
        <v>38</v>
      </c>
      <c r="O227" s="14">
        <v>2.2</v>
      </c>
      <c r="P227" s="14">
        <f t="shared" si="2"/>
        <v>8.8</v>
      </c>
      <c r="Q227" s="14">
        <v>2.12</v>
      </c>
    </row>
    <row r="228">
      <c r="A228" s="12">
        <v>42621.0</v>
      </c>
      <c r="B228" s="12"/>
      <c r="C228" s="12" t="s">
        <v>2329</v>
      </c>
      <c r="D228" s="1" t="s">
        <v>510</v>
      </c>
      <c r="E228" s="15" t="str">
        <f t="shared" si="1"/>
        <v>Aug</v>
      </c>
      <c r="F228" s="13" t="s">
        <v>41</v>
      </c>
      <c r="G228" s="13" t="s">
        <v>2478</v>
      </c>
      <c r="H228" s="13" t="s">
        <v>2370</v>
      </c>
      <c r="I228" s="13" t="s">
        <v>34</v>
      </c>
      <c r="J228" s="13">
        <v>4.0</v>
      </c>
      <c r="K228" s="13" t="s">
        <v>513</v>
      </c>
      <c r="L228" s="13" t="s">
        <v>157</v>
      </c>
      <c r="M228" s="13" t="s">
        <v>71</v>
      </c>
      <c r="N228" s="13" t="s">
        <v>27</v>
      </c>
      <c r="O228" s="14">
        <v>622.45</v>
      </c>
      <c r="P228" s="14">
        <f t="shared" si="2"/>
        <v>2489.8</v>
      </c>
      <c r="Q228" s="14">
        <v>622.09</v>
      </c>
    </row>
    <row r="229">
      <c r="A229" s="12">
        <v>42621.0</v>
      </c>
      <c r="B229" s="12"/>
      <c r="C229" s="12" t="s">
        <v>2329</v>
      </c>
      <c r="D229" s="1" t="s">
        <v>510</v>
      </c>
      <c r="E229" s="15" t="str">
        <f t="shared" si="1"/>
        <v>Aug</v>
      </c>
      <c r="F229" s="13" t="s">
        <v>41</v>
      </c>
      <c r="G229" s="13" t="s">
        <v>2478</v>
      </c>
      <c r="H229" s="13" t="s">
        <v>2370</v>
      </c>
      <c r="I229" s="13" t="s">
        <v>34</v>
      </c>
      <c r="J229" s="13">
        <v>4.0</v>
      </c>
      <c r="K229" s="13" t="s">
        <v>513</v>
      </c>
      <c r="L229" s="13" t="s">
        <v>157</v>
      </c>
      <c r="M229" s="13" t="s">
        <v>71</v>
      </c>
      <c r="N229" s="13" t="s">
        <v>38</v>
      </c>
      <c r="O229" s="14">
        <v>21.98</v>
      </c>
      <c r="P229" s="14">
        <f t="shared" si="2"/>
        <v>87.92</v>
      </c>
      <c r="Q229" s="14">
        <v>21.78</v>
      </c>
    </row>
    <row r="230">
      <c r="A230" s="12">
        <v>42428.0</v>
      </c>
      <c r="B230" s="12"/>
      <c r="C230" s="12" t="s">
        <v>2431</v>
      </c>
      <c r="D230" s="6">
        <v>42463.0</v>
      </c>
      <c r="E230" s="15" t="str">
        <f t="shared" si="1"/>
        <v>Apr</v>
      </c>
      <c r="F230" s="13" t="s">
        <v>41</v>
      </c>
      <c r="G230" s="13" t="s">
        <v>2493</v>
      </c>
      <c r="H230" s="13" t="s">
        <v>2439</v>
      </c>
      <c r="I230" s="13" t="s">
        <v>23</v>
      </c>
      <c r="J230" s="13">
        <v>3.0</v>
      </c>
      <c r="K230" s="13" t="s">
        <v>235</v>
      </c>
      <c r="L230" s="13" t="s">
        <v>210</v>
      </c>
      <c r="M230" s="13" t="s">
        <v>26</v>
      </c>
      <c r="N230" s="13" t="s">
        <v>27</v>
      </c>
      <c r="O230" s="14">
        <v>161.568</v>
      </c>
      <c r="P230" s="14">
        <f t="shared" si="2"/>
        <v>484.704</v>
      </c>
      <c r="Q230" s="14">
        <v>161.03</v>
      </c>
    </row>
    <row r="231">
      <c r="A231" s="12">
        <v>42428.0</v>
      </c>
      <c r="B231" s="12"/>
      <c r="C231" s="12" t="s">
        <v>2431</v>
      </c>
      <c r="D231" s="6">
        <v>42463.0</v>
      </c>
      <c r="E231" s="15" t="str">
        <f t="shared" si="1"/>
        <v>Apr</v>
      </c>
      <c r="F231" s="13" t="s">
        <v>41</v>
      </c>
      <c r="G231" s="13" t="s">
        <v>2493</v>
      </c>
      <c r="H231" s="13" t="s">
        <v>2439</v>
      </c>
      <c r="I231" s="13" t="s">
        <v>23</v>
      </c>
      <c r="J231" s="13">
        <v>3.0</v>
      </c>
      <c r="K231" s="13" t="s">
        <v>235</v>
      </c>
      <c r="L231" s="13" t="s">
        <v>210</v>
      </c>
      <c r="M231" s="13" t="s">
        <v>26</v>
      </c>
      <c r="N231" s="13" t="s">
        <v>27</v>
      </c>
      <c r="O231" s="14">
        <v>389.696</v>
      </c>
      <c r="P231" s="14">
        <f t="shared" si="2"/>
        <v>1169.088</v>
      </c>
      <c r="Q231" s="14">
        <v>389.21</v>
      </c>
    </row>
    <row r="232">
      <c r="A232" s="12">
        <v>42260.0</v>
      </c>
      <c r="B232" s="12"/>
      <c r="C232" s="12" t="s">
        <v>2329</v>
      </c>
      <c r="D232" s="1" t="s">
        <v>518</v>
      </c>
      <c r="E232" s="15" t="str">
        <f t="shared" si="1"/>
        <v>Sep</v>
      </c>
      <c r="F232" s="13" t="s">
        <v>41</v>
      </c>
      <c r="G232" s="13" t="s">
        <v>2369</v>
      </c>
      <c r="H232" s="13" t="s">
        <v>2512</v>
      </c>
      <c r="I232" s="13" t="s">
        <v>34</v>
      </c>
      <c r="J232" s="13">
        <v>2.0</v>
      </c>
      <c r="K232" s="13" t="s">
        <v>284</v>
      </c>
      <c r="L232" s="13" t="s">
        <v>58</v>
      </c>
      <c r="M232" s="13" t="s">
        <v>26</v>
      </c>
      <c r="N232" s="13" t="s">
        <v>38</v>
      </c>
      <c r="O232" s="14">
        <v>18.648</v>
      </c>
      <c r="P232" s="14">
        <f t="shared" si="2"/>
        <v>37.296</v>
      </c>
      <c r="Q232" s="14">
        <v>18.45</v>
      </c>
    </row>
    <row r="233">
      <c r="A233" s="12">
        <v>43285.0</v>
      </c>
      <c r="B233" s="12"/>
      <c r="C233" s="12" t="s">
        <v>2348</v>
      </c>
      <c r="D233" s="6">
        <v>43438.0</v>
      </c>
      <c r="E233" s="15" t="str">
        <f t="shared" si="1"/>
        <v>Dec</v>
      </c>
      <c r="F233" s="13" t="s">
        <v>41</v>
      </c>
      <c r="G233" s="13" t="s">
        <v>2402</v>
      </c>
      <c r="H233" s="13" t="s">
        <v>2403</v>
      </c>
      <c r="I233" s="13" t="s">
        <v>68</v>
      </c>
      <c r="J233" s="13">
        <v>3.0</v>
      </c>
      <c r="K233" s="13" t="s">
        <v>522</v>
      </c>
      <c r="L233" s="13" t="s">
        <v>145</v>
      </c>
      <c r="M233" s="13" t="s">
        <v>26</v>
      </c>
      <c r="N233" s="13" t="s">
        <v>27</v>
      </c>
      <c r="O233" s="14">
        <v>233.86</v>
      </c>
      <c r="P233" s="14">
        <f t="shared" si="2"/>
        <v>701.58</v>
      </c>
      <c r="Q233" s="14">
        <v>233.41</v>
      </c>
    </row>
    <row r="234">
      <c r="A234" s="12">
        <v>43285.0</v>
      </c>
      <c r="B234" s="12"/>
      <c r="C234" s="12" t="s">
        <v>2348</v>
      </c>
      <c r="D234" s="6">
        <v>43438.0</v>
      </c>
      <c r="E234" s="15" t="str">
        <f t="shared" si="1"/>
        <v>Dec</v>
      </c>
      <c r="F234" s="13" t="s">
        <v>41</v>
      </c>
      <c r="G234" s="13" t="s">
        <v>2402</v>
      </c>
      <c r="H234" s="13" t="s">
        <v>2403</v>
      </c>
      <c r="I234" s="13" t="s">
        <v>68</v>
      </c>
      <c r="J234" s="13">
        <v>3.0</v>
      </c>
      <c r="K234" s="13" t="s">
        <v>522</v>
      </c>
      <c r="L234" s="13" t="s">
        <v>145</v>
      </c>
      <c r="M234" s="13" t="s">
        <v>26</v>
      </c>
      <c r="N234" s="13" t="s">
        <v>27</v>
      </c>
      <c r="O234" s="14">
        <v>620.6145</v>
      </c>
      <c r="P234" s="14">
        <f t="shared" si="2"/>
        <v>1861.8435</v>
      </c>
      <c r="Q234" s="14">
        <v>620.39</v>
      </c>
    </row>
    <row r="235">
      <c r="A235" s="12">
        <v>43285.0</v>
      </c>
      <c r="B235" s="12"/>
      <c r="C235" s="12" t="s">
        <v>2348</v>
      </c>
      <c r="D235" s="6">
        <v>43438.0</v>
      </c>
      <c r="E235" s="15" t="str">
        <f t="shared" si="1"/>
        <v>Dec</v>
      </c>
      <c r="F235" s="13" t="s">
        <v>41</v>
      </c>
      <c r="G235" s="13" t="s">
        <v>2402</v>
      </c>
      <c r="H235" s="13" t="s">
        <v>2403</v>
      </c>
      <c r="I235" s="13" t="s">
        <v>68</v>
      </c>
      <c r="J235" s="13">
        <v>3.0</v>
      </c>
      <c r="K235" s="13" t="s">
        <v>522</v>
      </c>
      <c r="L235" s="13" t="s">
        <v>145</v>
      </c>
      <c r="M235" s="13" t="s">
        <v>26</v>
      </c>
      <c r="N235" s="13" t="s">
        <v>38</v>
      </c>
      <c r="O235" s="14">
        <v>5.328</v>
      </c>
      <c r="P235" s="14">
        <f t="shared" si="2"/>
        <v>15.984</v>
      </c>
      <c r="Q235" s="14">
        <v>4.57</v>
      </c>
    </row>
    <row r="236">
      <c r="A236" s="12">
        <v>43285.0</v>
      </c>
      <c r="B236" s="12"/>
      <c r="C236" s="12" t="s">
        <v>2348</v>
      </c>
      <c r="D236" s="6">
        <v>43438.0</v>
      </c>
      <c r="E236" s="15" t="str">
        <f t="shared" si="1"/>
        <v>Dec</v>
      </c>
      <c r="F236" s="13" t="s">
        <v>41</v>
      </c>
      <c r="G236" s="13" t="s">
        <v>2402</v>
      </c>
      <c r="H236" s="13" t="s">
        <v>2403</v>
      </c>
      <c r="I236" s="13" t="s">
        <v>68</v>
      </c>
      <c r="J236" s="13">
        <v>3.0</v>
      </c>
      <c r="K236" s="13" t="s">
        <v>522</v>
      </c>
      <c r="L236" s="13" t="s">
        <v>145</v>
      </c>
      <c r="M236" s="13" t="s">
        <v>26</v>
      </c>
      <c r="N236" s="13" t="s">
        <v>27</v>
      </c>
      <c r="O236" s="14">
        <v>258.072</v>
      </c>
      <c r="P236" s="14">
        <f t="shared" si="2"/>
        <v>774.216</v>
      </c>
      <c r="Q236" s="14">
        <v>258.03</v>
      </c>
    </row>
    <row r="237">
      <c r="A237" s="12">
        <v>43285.0</v>
      </c>
      <c r="B237" s="12"/>
      <c r="C237" s="12" t="s">
        <v>2348</v>
      </c>
      <c r="D237" s="6">
        <v>43438.0</v>
      </c>
      <c r="E237" s="15" t="str">
        <f t="shared" si="1"/>
        <v>Dec</v>
      </c>
      <c r="F237" s="13" t="s">
        <v>41</v>
      </c>
      <c r="G237" s="13" t="s">
        <v>2402</v>
      </c>
      <c r="H237" s="13" t="s">
        <v>2403</v>
      </c>
      <c r="I237" s="13" t="s">
        <v>68</v>
      </c>
      <c r="J237" s="13">
        <v>3.0</v>
      </c>
      <c r="K237" s="13" t="s">
        <v>522</v>
      </c>
      <c r="L237" s="13" t="s">
        <v>145</v>
      </c>
      <c r="M237" s="13" t="s">
        <v>26</v>
      </c>
      <c r="N237" s="13" t="s">
        <v>51</v>
      </c>
      <c r="O237" s="14">
        <v>617.976</v>
      </c>
      <c r="P237" s="14">
        <f t="shared" si="2"/>
        <v>1853.928</v>
      </c>
      <c r="Q237" s="14">
        <v>617.0</v>
      </c>
    </row>
    <row r="238">
      <c r="A238" s="12">
        <v>43445.0</v>
      </c>
      <c r="B238" s="12"/>
      <c r="C238" s="12" t="s">
        <v>2325</v>
      </c>
      <c r="D238" s="1" t="s">
        <v>230</v>
      </c>
      <c r="E238" s="15" t="str">
        <f t="shared" si="1"/>
        <v>Nov</v>
      </c>
      <c r="F238" s="13" t="s">
        <v>41</v>
      </c>
      <c r="G238" s="13" t="s">
        <v>2478</v>
      </c>
      <c r="H238" s="13" t="s">
        <v>2513</v>
      </c>
      <c r="I238" s="13" t="s">
        <v>34</v>
      </c>
      <c r="J238" s="13">
        <v>9.0</v>
      </c>
      <c r="K238" s="13" t="s">
        <v>526</v>
      </c>
      <c r="L238" s="13" t="s">
        <v>52</v>
      </c>
      <c r="M238" s="13" t="s">
        <v>37</v>
      </c>
      <c r="N238" s="13" t="s">
        <v>38</v>
      </c>
      <c r="O238" s="14">
        <v>10.56</v>
      </c>
      <c r="P238" s="14">
        <f t="shared" si="2"/>
        <v>95.04</v>
      </c>
      <c r="Q238" s="14">
        <v>9.71</v>
      </c>
    </row>
    <row r="239">
      <c r="A239" s="12">
        <v>42831.0</v>
      </c>
      <c r="B239" s="12"/>
      <c r="C239" s="12" t="s">
        <v>2332</v>
      </c>
      <c r="D239" s="6">
        <v>42984.0</v>
      </c>
      <c r="E239" s="15" t="str">
        <f t="shared" si="1"/>
        <v>Sep</v>
      </c>
      <c r="F239" s="13" t="s">
        <v>20</v>
      </c>
      <c r="G239" s="13" t="s">
        <v>2346</v>
      </c>
      <c r="H239" s="13" t="s">
        <v>2514</v>
      </c>
      <c r="I239" s="13" t="s">
        <v>23</v>
      </c>
      <c r="J239" s="13">
        <v>6.0</v>
      </c>
      <c r="K239" s="13" t="s">
        <v>188</v>
      </c>
      <c r="L239" s="13" t="s">
        <v>135</v>
      </c>
      <c r="M239" s="13" t="s">
        <v>71</v>
      </c>
      <c r="N239" s="13" t="s">
        <v>38</v>
      </c>
      <c r="O239" s="14">
        <v>25.92</v>
      </c>
      <c r="P239" s="14">
        <f t="shared" si="2"/>
        <v>155.52</v>
      </c>
      <c r="Q239" s="14">
        <v>25.59</v>
      </c>
    </row>
    <row r="240">
      <c r="A240" s="12">
        <v>42831.0</v>
      </c>
      <c r="B240" s="12"/>
      <c r="C240" s="12" t="s">
        <v>2332</v>
      </c>
      <c r="D240" s="6">
        <v>42984.0</v>
      </c>
      <c r="E240" s="15" t="str">
        <f t="shared" si="1"/>
        <v>Sep</v>
      </c>
      <c r="F240" s="13" t="s">
        <v>20</v>
      </c>
      <c r="G240" s="13" t="s">
        <v>2346</v>
      </c>
      <c r="H240" s="13" t="s">
        <v>2514</v>
      </c>
      <c r="I240" s="13" t="s">
        <v>23</v>
      </c>
      <c r="J240" s="13">
        <v>6.0</v>
      </c>
      <c r="K240" s="13" t="s">
        <v>188</v>
      </c>
      <c r="L240" s="13" t="s">
        <v>135</v>
      </c>
      <c r="M240" s="13" t="s">
        <v>71</v>
      </c>
      <c r="N240" s="13" t="s">
        <v>27</v>
      </c>
      <c r="O240" s="14">
        <v>419.68</v>
      </c>
      <c r="P240" s="14">
        <f t="shared" si="2"/>
        <v>2518.08</v>
      </c>
      <c r="Q240" s="14">
        <v>418.98</v>
      </c>
    </row>
    <row r="241">
      <c r="A241" s="12">
        <v>42831.0</v>
      </c>
      <c r="B241" s="12"/>
      <c r="C241" s="12" t="s">
        <v>2332</v>
      </c>
      <c r="D241" s="6">
        <v>42984.0</v>
      </c>
      <c r="E241" s="15" t="str">
        <f t="shared" si="1"/>
        <v>Sep</v>
      </c>
      <c r="F241" s="13" t="s">
        <v>20</v>
      </c>
      <c r="G241" s="13" t="s">
        <v>2346</v>
      </c>
      <c r="H241" s="13" t="s">
        <v>2514</v>
      </c>
      <c r="I241" s="13" t="s">
        <v>23</v>
      </c>
      <c r="J241" s="13">
        <v>6.0</v>
      </c>
      <c r="K241" s="13" t="s">
        <v>188</v>
      </c>
      <c r="L241" s="13" t="s">
        <v>135</v>
      </c>
      <c r="M241" s="13" t="s">
        <v>71</v>
      </c>
      <c r="N241" s="13" t="s">
        <v>27</v>
      </c>
      <c r="O241" s="14">
        <v>11.688</v>
      </c>
      <c r="P241" s="14">
        <f t="shared" si="2"/>
        <v>70.128</v>
      </c>
      <c r="Q241" s="14">
        <v>10.99</v>
      </c>
    </row>
    <row r="242">
      <c r="A242" s="12">
        <v>42831.0</v>
      </c>
      <c r="B242" s="12"/>
      <c r="C242" s="12" t="s">
        <v>2332</v>
      </c>
      <c r="D242" s="6">
        <v>42984.0</v>
      </c>
      <c r="E242" s="15" t="str">
        <f t="shared" si="1"/>
        <v>Sep</v>
      </c>
      <c r="F242" s="13" t="s">
        <v>20</v>
      </c>
      <c r="G242" s="13" t="s">
        <v>2346</v>
      </c>
      <c r="H242" s="13" t="s">
        <v>2514</v>
      </c>
      <c r="I242" s="13" t="s">
        <v>23</v>
      </c>
      <c r="J242" s="13">
        <v>6.0</v>
      </c>
      <c r="K242" s="13" t="s">
        <v>188</v>
      </c>
      <c r="L242" s="13" t="s">
        <v>135</v>
      </c>
      <c r="M242" s="13" t="s">
        <v>71</v>
      </c>
      <c r="N242" s="13" t="s">
        <v>51</v>
      </c>
      <c r="O242" s="14">
        <v>31.984</v>
      </c>
      <c r="P242" s="14">
        <f t="shared" si="2"/>
        <v>191.904</v>
      </c>
      <c r="Q242" s="14">
        <v>31.54</v>
      </c>
    </row>
    <row r="243">
      <c r="A243" s="12">
        <v>42831.0</v>
      </c>
      <c r="B243" s="12"/>
      <c r="C243" s="12" t="s">
        <v>2332</v>
      </c>
      <c r="D243" s="6">
        <v>42984.0</v>
      </c>
      <c r="E243" s="15" t="str">
        <f t="shared" si="1"/>
        <v>Sep</v>
      </c>
      <c r="F243" s="13" t="s">
        <v>20</v>
      </c>
      <c r="G243" s="13" t="s">
        <v>2346</v>
      </c>
      <c r="H243" s="13" t="s">
        <v>2514</v>
      </c>
      <c r="I243" s="13" t="s">
        <v>23</v>
      </c>
      <c r="J243" s="13">
        <v>6.0</v>
      </c>
      <c r="K243" s="13" t="s">
        <v>188</v>
      </c>
      <c r="L243" s="13" t="s">
        <v>135</v>
      </c>
      <c r="M243" s="13" t="s">
        <v>71</v>
      </c>
      <c r="N243" s="13" t="s">
        <v>27</v>
      </c>
      <c r="O243" s="14">
        <v>177.225</v>
      </c>
      <c r="P243" s="14">
        <f t="shared" si="2"/>
        <v>1063.35</v>
      </c>
      <c r="Q243" s="14">
        <v>177.17</v>
      </c>
    </row>
    <row r="244">
      <c r="A244" s="12">
        <v>42831.0</v>
      </c>
      <c r="B244" s="12"/>
      <c r="C244" s="12" t="s">
        <v>2332</v>
      </c>
      <c r="D244" s="6">
        <v>42984.0</v>
      </c>
      <c r="E244" s="15" t="str">
        <f t="shared" si="1"/>
        <v>Sep</v>
      </c>
      <c r="F244" s="13" t="s">
        <v>20</v>
      </c>
      <c r="G244" s="13" t="s">
        <v>2346</v>
      </c>
      <c r="H244" s="13" t="s">
        <v>2514</v>
      </c>
      <c r="I244" s="13" t="s">
        <v>23</v>
      </c>
      <c r="J244" s="13">
        <v>6.0</v>
      </c>
      <c r="K244" s="13" t="s">
        <v>188</v>
      </c>
      <c r="L244" s="13" t="s">
        <v>135</v>
      </c>
      <c r="M244" s="13" t="s">
        <v>71</v>
      </c>
      <c r="N244" s="13" t="s">
        <v>27</v>
      </c>
      <c r="O244" s="14">
        <v>4.044</v>
      </c>
      <c r="P244" s="14">
        <f t="shared" si="2"/>
        <v>24.264</v>
      </c>
      <c r="Q244" s="14">
        <v>3.17</v>
      </c>
    </row>
    <row r="245">
      <c r="A245" s="12">
        <v>42831.0</v>
      </c>
      <c r="B245" s="12"/>
      <c r="C245" s="12" t="s">
        <v>2332</v>
      </c>
      <c r="D245" s="6">
        <v>42984.0</v>
      </c>
      <c r="E245" s="15" t="str">
        <f t="shared" si="1"/>
        <v>Sep</v>
      </c>
      <c r="F245" s="13" t="s">
        <v>20</v>
      </c>
      <c r="G245" s="13" t="s">
        <v>2346</v>
      </c>
      <c r="H245" s="13" t="s">
        <v>2514</v>
      </c>
      <c r="I245" s="13" t="s">
        <v>23</v>
      </c>
      <c r="J245" s="13">
        <v>6.0</v>
      </c>
      <c r="K245" s="13" t="s">
        <v>188</v>
      </c>
      <c r="L245" s="13" t="s">
        <v>135</v>
      </c>
      <c r="M245" s="13" t="s">
        <v>71</v>
      </c>
      <c r="N245" s="13" t="s">
        <v>38</v>
      </c>
      <c r="O245" s="14">
        <v>7.408</v>
      </c>
      <c r="P245" s="14">
        <f t="shared" si="2"/>
        <v>44.448</v>
      </c>
      <c r="Q245" s="14">
        <v>6.77</v>
      </c>
    </row>
    <row r="246">
      <c r="A246" s="12">
        <v>42010.0</v>
      </c>
      <c r="B246" s="12"/>
      <c r="C246" s="12" t="s">
        <v>2353</v>
      </c>
      <c r="D246" s="6">
        <v>42161.0</v>
      </c>
      <c r="E246" s="15" t="str">
        <f t="shared" si="1"/>
        <v>Jun</v>
      </c>
      <c r="F246" s="13" t="s">
        <v>20</v>
      </c>
      <c r="G246" s="13" t="s">
        <v>2515</v>
      </c>
      <c r="H246" s="13" t="s">
        <v>2509</v>
      </c>
      <c r="I246" s="13" t="s">
        <v>68</v>
      </c>
      <c r="J246" s="13">
        <v>5.0</v>
      </c>
      <c r="K246" s="13" t="s">
        <v>533</v>
      </c>
      <c r="L246" s="13" t="s">
        <v>151</v>
      </c>
      <c r="M246" s="13" t="s">
        <v>71</v>
      </c>
      <c r="N246" s="13" t="s">
        <v>27</v>
      </c>
      <c r="O246" s="14">
        <v>2001.86</v>
      </c>
      <c r="P246" s="14">
        <f t="shared" si="2"/>
        <v>10009.3</v>
      </c>
      <c r="Q246" s="14">
        <v>2001.35</v>
      </c>
    </row>
    <row r="247">
      <c r="A247" s="12">
        <v>42010.0</v>
      </c>
      <c r="B247" s="12"/>
      <c r="C247" s="12" t="s">
        <v>2353</v>
      </c>
      <c r="D247" s="6">
        <v>42161.0</v>
      </c>
      <c r="E247" s="15" t="str">
        <f t="shared" si="1"/>
        <v>Jun</v>
      </c>
      <c r="F247" s="13" t="s">
        <v>20</v>
      </c>
      <c r="G247" s="13" t="s">
        <v>2515</v>
      </c>
      <c r="H247" s="13" t="s">
        <v>2509</v>
      </c>
      <c r="I247" s="13" t="s">
        <v>68</v>
      </c>
      <c r="J247" s="13">
        <v>5.0</v>
      </c>
      <c r="K247" s="13" t="s">
        <v>533</v>
      </c>
      <c r="L247" s="13" t="s">
        <v>151</v>
      </c>
      <c r="M247" s="13" t="s">
        <v>71</v>
      </c>
      <c r="N247" s="13" t="s">
        <v>38</v>
      </c>
      <c r="O247" s="14">
        <v>166.72</v>
      </c>
      <c r="P247" s="14">
        <f t="shared" si="2"/>
        <v>833.6</v>
      </c>
      <c r="Q247" s="14">
        <v>166.12</v>
      </c>
    </row>
    <row r="248">
      <c r="A248" s="12">
        <v>42010.0</v>
      </c>
      <c r="B248" s="12"/>
      <c r="C248" s="12" t="s">
        <v>2353</v>
      </c>
      <c r="D248" s="6">
        <v>42161.0</v>
      </c>
      <c r="E248" s="15" t="str">
        <f t="shared" si="1"/>
        <v>Jun</v>
      </c>
      <c r="F248" s="13" t="s">
        <v>20</v>
      </c>
      <c r="G248" s="13" t="s">
        <v>2515</v>
      </c>
      <c r="H248" s="13" t="s">
        <v>2509</v>
      </c>
      <c r="I248" s="13" t="s">
        <v>68</v>
      </c>
      <c r="J248" s="13">
        <v>5.0</v>
      </c>
      <c r="K248" s="13" t="s">
        <v>533</v>
      </c>
      <c r="L248" s="13" t="s">
        <v>151</v>
      </c>
      <c r="M248" s="13" t="s">
        <v>71</v>
      </c>
      <c r="N248" s="13" t="s">
        <v>38</v>
      </c>
      <c r="O248" s="14">
        <v>47.88</v>
      </c>
      <c r="P248" s="14">
        <f t="shared" si="2"/>
        <v>239.4</v>
      </c>
      <c r="Q248" s="14">
        <v>47.37</v>
      </c>
    </row>
    <row r="249">
      <c r="A249" s="12">
        <v>42010.0</v>
      </c>
      <c r="B249" s="12"/>
      <c r="C249" s="12" t="s">
        <v>2353</v>
      </c>
      <c r="D249" s="6">
        <v>42161.0</v>
      </c>
      <c r="E249" s="15" t="str">
        <f t="shared" si="1"/>
        <v>Jun</v>
      </c>
      <c r="F249" s="13" t="s">
        <v>20</v>
      </c>
      <c r="G249" s="13" t="s">
        <v>2515</v>
      </c>
      <c r="H249" s="13" t="s">
        <v>2509</v>
      </c>
      <c r="I249" s="13" t="s">
        <v>68</v>
      </c>
      <c r="J249" s="13">
        <v>5.0</v>
      </c>
      <c r="K249" s="13" t="s">
        <v>533</v>
      </c>
      <c r="L249" s="13" t="s">
        <v>151</v>
      </c>
      <c r="M249" s="13" t="s">
        <v>71</v>
      </c>
      <c r="N249" s="13" t="s">
        <v>38</v>
      </c>
      <c r="O249" s="14">
        <v>1503.25</v>
      </c>
      <c r="P249" s="14">
        <f t="shared" si="2"/>
        <v>7516.25</v>
      </c>
      <c r="Q249" s="14">
        <v>1502.81</v>
      </c>
    </row>
    <row r="250">
      <c r="A250" s="12">
        <v>42010.0</v>
      </c>
      <c r="B250" s="12"/>
      <c r="C250" s="12" t="s">
        <v>2353</v>
      </c>
      <c r="D250" s="6">
        <v>42161.0</v>
      </c>
      <c r="E250" s="15" t="str">
        <f t="shared" si="1"/>
        <v>Jun</v>
      </c>
      <c r="F250" s="13" t="s">
        <v>20</v>
      </c>
      <c r="G250" s="13" t="s">
        <v>2515</v>
      </c>
      <c r="H250" s="13" t="s">
        <v>2509</v>
      </c>
      <c r="I250" s="13" t="s">
        <v>68</v>
      </c>
      <c r="J250" s="13">
        <v>5.0</v>
      </c>
      <c r="K250" s="13" t="s">
        <v>533</v>
      </c>
      <c r="L250" s="13" t="s">
        <v>151</v>
      </c>
      <c r="M250" s="13" t="s">
        <v>71</v>
      </c>
      <c r="N250" s="13" t="s">
        <v>38</v>
      </c>
      <c r="O250" s="14">
        <v>25.92</v>
      </c>
      <c r="P250" s="14">
        <f t="shared" si="2"/>
        <v>129.6</v>
      </c>
      <c r="Q250" s="14">
        <v>25.76</v>
      </c>
    </row>
    <row r="251">
      <c r="A251" s="12">
        <v>43020.0</v>
      </c>
      <c r="B251" s="12"/>
      <c r="C251" s="12" t="s">
        <v>2358</v>
      </c>
      <c r="D251" s="1" t="s">
        <v>535</v>
      </c>
      <c r="E251" s="15" t="str">
        <f t="shared" si="1"/>
        <v>Dec</v>
      </c>
      <c r="F251" s="13" t="s">
        <v>20</v>
      </c>
      <c r="G251" s="13" t="s">
        <v>2499</v>
      </c>
      <c r="H251" s="13" t="s">
        <v>2516</v>
      </c>
      <c r="I251" s="13" t="s">
        <v>23</v>
      </c>
      <c r="J251" s="13">
        <v>9.0</v>
      </c>
      <c r="K251" s="13" t="s">
        <v>87</v>
      </c>
      <c r="L251" s="13" t="s">
        <v>52</v>
      </c>
      <c r="M251" s="13" t="s">
        <v>37</v>
      </c>
      <c r="N251" s="13" t="s">
        <v>27</v>
      </c>
      <c r="O251" s="14">
        <v>321.568</v>
      </c>
      <c r="P251" s="14">
        <f t="shared" si="2"/>
        <v>2894.112</v>
      </c>
      <c r="Q251" s="14">
        <v>320.85</v>
      </c>
    </row>
    <row r="252">
      <c r="A252" s="12">
        <v>43048.0</v>
      </c>
      <c r="B252" s="12"/>
      <c r="C252" s="12" t="s">
        <v>2326</v>
      </c>
      <c r="D252" s="1" t="s">
        <v>539</v>
      </c>
      <c r="E252" s="15" t="str">
        <f t="shared" si="1"/>
        <v>Sep</v>
      </c>
      <c r="F252" s="13" t="s">
        <v>41</v>
      </c>
      <c r="G252" s="13" t="s">
        <v>2517</v>
      </c>
      <c r="H252" s="13" t="s">
        <v>2518</v>
      </c>
      <c r="I252" s="13" t="s">
        <v>23</v>
      </c>
      <c r="J252" s="13">
        <v>9.0</v>
      </c>
      <c r="K252" s="13" t="s">
        <v>542</v>
      </c>
      <c r="L252" s="13" t="s">
        <v>52</v>
      </c>
      <c r="M252" s="13" t="s">
        <v>37</v>
      </c>
      <c r="N252" s="13" t="s">
        <v>38</v>
      </c>
      <c r="O252" s="14">
        <v>7.61</v>
      </c>
      <c r="P252" s="14">
        <f t="shared" si="2"/>
        <v>68.49</v>
      </c>
      <c r="Q252" s="14">
        <v>7.3</v>
      </c>
    </row>
    <row r="253">
      <c r="A253" s="12">
        <v>43048.0</v>
      </c>
      <c r="B253" s="12"/>
      <c r="C253" s="12" t="s">
        <v>2326</v>
      </c>
      <c r="D253" s="1" t="s">
        <v>539</v>
      </c>
      <c r="E253" s="15" t="str">
        <f t="shared" si="1"/>
        <v>Sep</v>
      </c>
      <c r="F253" s="13" t="s">
        <v>41</v>
      </c>
      <c r="G253" s="13" t="s">
        <v>2517</v>
      </c>
      <c r="H253" s="13" t="s">
        <v>2518</v>
      </c>
      <c r="I253" s="13" t="s">
        <v>23</v>
      </c>
      <c r="J253" s="13">
        <v>9.0</v>
      </c>
      <c r="K253" s="13" t="s">
        <v>542</v>
      </c>
      <c r="L253" s="13" t="s">
        <v>52</v>
      </c>
      <c r="M253" s="13" t="s">
        <v>37</v>
      </c>
      <c r="N253" s="13" t="s">
        <v>51</v>
      </c>
      <c r="O253" s="14">
        <v>3347.37</v>
      </c>
      <c r="P253" s="14">
        <f t="shared" si="2"/>
        <v>30126.33</v>
      </c>
      <c r="Q253" s="14">
        <v>3347.33</v>
      </c>
    </row>
    <row r="254">
      <c r="A254" s="12">
        <v>43020.0</v>
      </c>
      <c r="B254" s="12"/>
      <c r="C254" s="12" t="s">
        <v>2358</v>
      </c>
      <c r="D254" s="1" t="s">
        <v>89</v>
      </c>
      <c r="E254" s="15" t="str">
        <f t="shared" si="1"/>
        <v>Dec</v>
      </c>
      <c r="F254" s="13" t="s">
        <v>121</v>
      </c>
      <c r="G254" s="13" t="s">
        <v>2519</v>
      </c>
      <c r="H254" s="13" t="s">
        <v>2520</v>
      </c>
      <c r="I254" s="13" t="s">
        <v>23</v>
      </c>
      <c r="J254" s="13">
        <v>1.0</v>
      </c>
      <c r="K254" s="13" t="s">
        <v>174</v>
      </c>
      <c r="L254" s="13" t="s">
        <v>175</v>
      </c>
      <c r="M254" s="13" t="s">
        <v>100</v>
      </c>
      <c r="N254" s="13" t="s">
        <v>38</v>
      </c>
      <c r="O254" s="14">
        <v>80.58</v>
      </c>
      <c r="P254" s="14">
        <f t="shared" si="2"/>
        <v>80.58</v>
      </c>
      <c r="Q254" s="14">
        <v>79.76</v>
      </c>
    </row>
    <row r="255">
      <c r="A255" s="12">
        <v>43020.0</v>
      </c>
      <c r="B255" s="12"/>
      <c r="C255" s="12" t="s">
        <v>2358</v>
      </c>
      <c r="D255" s="1" t="s">
        <v>89</v>
      </c>
      <c r="E255" s="15" t="str">
        <f t="shared" si="1"/>
        <v>Dec</v>
      </c>
      <c r="F255" s="13" t="s">
        <v>121</v>
      </c>
      <c r="G255" s="13" t="s">
        <v>2519</v>
      </c>
      <c r="H255" s="13" t="s">
        <v>2520</v>
      </c>
      <c r="I255" s="13" t="s">
        <v>23</v>
      </c>
      <c r="J255" s="13">
        <v>1.0</v>
      </c>
      <c r="K255" s="13" t="s">
        <v>174</v>
      </c>
      <c r="L255" s="13" t="s">
        <v>175</v>
      </c>
      <c r="M255" s="13" t="s">
        <v>100</v>
      </c>
      <c r="N255" s="13" t="s">
        <v>38</v>
      </c>
      <c r="O255" s="14">
        <v>361.92</v>
      </c>
      <c r="P255" s="14">
        <f t="shared" si="2"/>
        <v>361.92</v>
      </c>
      <c r="Q255" s="14">
        <v>361.13</v>
      </c>
    </row>
    <row r="256">
      <c r="A256" s="12">
        <v>42702.0</v>
      </c>
      <c r="B256" s="12"/>
      <c r="C256" s="12" t="s">
        <v>2326</v>
      </c>
      <c r="D256" s="6">
        <v>42472.0</v>
      </c>
      <c r="E256" s="15" t="str">
        <f t="shared" si="1"/>
        <v>Apr</v>
      </c>
      <c r="F256" s="13" t="s">
        <v>41</v>
      </c>
      <c r="G256" s="13" t="s">
        <v>2521</v>
      </c>
      <c r="H256" s="13" t="s">
        <v>2522</v>
      </c>
      <c r="I256" s="13" t="s">
        <v>34</v>
      </c>
      <c r="J256" s="13">
        <v>6.0</v>
      </c>
      <c r="K256" s="13" t="s">
        <v>188</v>
      </c>
      <c r="L256" s="13" t="s">
        <v>135</v>
      </c>
      <c r="M256" s="13" t="s">
        <v>71</v>
      </c>
      <c r="N256" s="13" t="s">
        <v>27</v>
      </c>
      <c r="O256" s="14">
        <v>12.132</v>
      </c>
      <c r="P256" s="14">
        <f t="shared" si="2"/>
        <v>72.792</v>
      </c>
      <c r="Q256" s="14">
        <v>11.56</v>
      </c>
    </row>
    <row r="257">
      <c r="A257" s="12">
        <v>42702.0</v>
      </c>
      <c r="B257" s="12"/>
      <c r="C257" s="12" t="s">
        <v>2326</v>
      </c>
      <c r="D257" s="6">
        <v>42472.0</v>
      </c>
      <c r="E257" s="15" t="str">
        <f t="shared" si="1"/>
        <v>Apr</v>
      </c>
      <c r="F257" s="13" t="s">
        <v>41</v>
      </c>
      <c r="G257" s="13" t="s">
        <v>2521</v>
      </c>
      <c r="H257" s="13" t="s">
        <v>2522</v>
      </c>
      <c r="I257" s="13" t="s">
        <v>34</v>
      </c>
      <c r="J257" s="13">
        <v>6.0</v>
      </c>
      <c r="K257" s="13" t="s">
        <v>188</v>
      </c>
      <c r="L257" s="13" t="s">
        <v>135</v>
      </c>
      <c r="M257" s="13" t="s">
        <v>71</v>
      </c>
      <c r="N257" s="13" t="s">
        <v>38</v>
      </c>
      <c r="O257" s="14">
        <v>82.368</v>
      </c>
      <c r="P257" s="14">
        <f t="shared" si="2"/>
        <v>494.208</v>
      </c>
      <c r="Q257" s="14">
        <v>81.4</v>
      </c>
    </row>
    <row r="258">
      <c r="A258" s="12">
        <v>42702.0</v>
      </c>
      <c r="B258" s="12"/>
      <c r="C258" s="12" t="s">
        <v>2326</v>
      </c>
      <c r="D258" s="6">
        <v>42472.0</v>
      </c>
      <c r="E258" s="15" t="str">
        <f t="shared" si="1"/>
        <v>Apr</v>
      </c>
      <c r="F258" s="13" t="s">
        <v>41</v>
      </c>
      <c r="G258" s="13" t="s">
        <v>2521</v>
      </c>
      <c r="H258" s="13" t="s">
        <v>2522</v>
      </c>
      <c r="I258" s="13" t="s">
        <v>34</v>
      </c>
      <c r="J258" s="13">
        <v>6.0</v>
      </c>
      <c r="K258" s="13" t="s">
        <v>188</v>
      </c>
      <c r="L258" s="13" t="s">
        <v>135</v>
      </c>
      <c r="M258" s="13" t="s">
        <v>71</v>
      </c>
      <c r="N258" s="13" t="s">
        <v>38</v>
      </c>
      <c r="O258" s="14">
        <v>53.92</v>
      </c>
      <c r="P258" s="14">
        <f t="shared" si="2"/>
        <v>323.52</v>
      </c>
      <c r="Q258" s="14">
        <v>53.56</v>
      </c>
    </row>
    <row r="259">
      <c r="A259" s="12">
        <v>42702.0</v>
      </c>
      <c r="B259" s="12"/>
      <c r="C259" s="12" t="s">
        <v>2326</v>
      </c>
      <c r="D259" s="6">
        <v>42472.0</v>
      </c>
      <c r="E259" s="15" t="str">
        <f t="shared" si="1"/>
        <v>Apr</v>
      </c>
      <c r="F259" s="13" t="s">
        <v>41</v>
      </c>
      <c r="G259" s="13" t="s">
        <v>2521</v>
      </c>
      <c r="H259" s="13" t="s">
        <v>2522</v>
      </c>
      <c r="I259" s="13" t="s">
        <v>34</v>
      </c>
      <c r="J259" s="13">
        <v>6.0</v>
      </c>
      <c r="K259" s="13" t="s">
        <v>188</v>
      </c>
      <c r="L259" s="13" t="s">
        <v>135</v>
      </c>
      <c r="M259" s="13" t="s">
        <v>71</v>
      </c>
      <c r="N259" s="13" t="s">
        <v>51</v>
      </c>
      <c r="O259" s="14">
        <v>647.904</v>
      </c>
      <c r="P259" s="14">
        <f t="shared" si="2"/>
        <v>3887.424</v>
      </c>
      <c r="Q259" s="14">
        <v>647.48</v>
      </c>
    </row>
    <row r="260">
      <c r="A260" s="12">
        <v>43112.0</v>
      </c>
      <c r="B260" s="12"/>
      <c r="C260" s="12" t="s">
        <v>2353</v>
      </c>
      <c r="D260" s="6">
        <v>43171.0</v>
      </c>
      <c r="E260" s="15" t="str">
        <f t="shared" si="1"/>
        <v>Mar</v>
      </c>
      <c r="F260" s="13" t="s">
        <v>20</v>
      </c>
      <c r="G260" s="13" t="s">
        <v>2523</v>
      </c>
      <c r="H260" s="13" t="s">
        <v>2524</v>
      </c>
      <c r="I260" s="13" t="s">
        <v>23</v>
      </c>
      <c r="J260" s="13">
        <v>1.0</v>
      </c>
      <c r="K260" s="13" t="s">
        <v>174</v>
      </c>
      <c r="L260" s="13" t="s">
        <v>175</v>
      </c>
      <c r="M260" s="13" t="s">
        <v>100</v>
      </c>
      <c r="N260" s="13" t="s">
        <v>51</v>
      </c>
      <c r="O260" s="14">
        <v>20.37</v>
      </c>
      <c r="P260" s="14">
        <f t="shared" si="2"/>
        <v>20.37</v>
      </c>
      <c r="Q260" s="14">
        <v>20.03</v>
      </c>
    </row>
    <row r="261">
      <c r="A261" s="12">
        <v>43112.0</v>
      </c>
      <c r="B261" s="12"/>
      <c r="C261" s="12" t="s">
        <v>2353</v>
      </c>
      <c r="D261" s="6">
        <v>43171.0</v>
      </c>
      <c r="E261" s="15" t="str">
        <f t="shared" si="1"/>
        <v>Mar</v>
      </c>
      <c r="F261" s="13" t="s">
        <v>20</v>
      </c>
      <c r="G261" s="13" t="s">
        <v>2523</v>
      </c>
      <c r="H261" s="13" t="s">
        <v>2524</v>
      </c>
      <c r="I261" s="13" t="s">
        <v>23</v>
      </c>
      <c r="J261" s="13">
        <v>1.0</v>
      </c>
      <c r="K261" s="13" t="s">
        <v>174</v>
      </c>
      <c r="L261" s="13" t="s">
        <v>175</v>
      </c>
      <c r="M261" s="13" t="s">
        <v>100</v>
      </c>
      <c r="N261" s="13" t="s">
        <v>38</v>
      </c>
      <c r="O261" s="14">
        <v>221.55</v>
      </c>
      <c r="P261" s="14">
        <f t="shared" si="2"/>
        <v>221.55</v>
      </c>
      <c r="Q261" s="14">
        <v>220.87</v>
      </c>
    </row>
    <row r="262">
      <c r="A262" s="12">
        <v>43112.0</v>
      </c>
      <c r="B262" s="12"/>
      <c r="C262" s="12" t="s">
        <v>2353</v>
      </c>
      <c r="D262" s="6">
        <v>43171.0</v>
      </c>
      <c r="E262" s="15" t="str">
        <f t="shared" si="1"/>
        <v>Mar</v>
      </c>
      <c r="F262" s="13" t="s">
        <v>20</v>
      </c>
      <c r="G262" s="13" t="s">
        <v>2523</v>
      </c>
      <c r="H262" s="13" t="s">
        <v>2524</v>
      </c>
      <c r="I262" s="13" t="s">
        <v>23</v>
      </c>
      <c r="J262" s="13">
        <v>1.0</v>
      </c>
      <c r="K262" s="13" t="s">
        <v>174</v>
      </c>
      <c r="L262" s="13" t="s">
        <v>175</v>
      </c>
      <c r="M262" s="13" t="s">
        <v>100</v>
      </c>
      <c r="N262" s="13" t="s">
        <v>38</v>
      </c>
      <c r="O262" s="14">
        <v>17.52</v>
      </c>
      <c r="P262" s="14">
        <f t="shared" si="2"/>
        <v>17.52</v>
      </c>
      <c r="Q262" s="14">
        <v>16.7</v>
      </c>
    </row>
    <row r="263">
      <c r="A263" s="12">
        <v>43318.0</v>
      </c>
      <c r="B263" s="12"/>
      <c r="C263" s="12" t="s">
        <v>2322</v>
      </c>
      <c r="D263" s="6">
        <v>43440.0</v>
      </c>
      <c r="E263" s="15" t="str">
        <f t="shared" si="1"/>
        <v>Dec</v>
      </c>
      <c r="F263" s="13" t="s">
        <v>41</v>
      </c>
      <c r="G263" s="13" t="s">
        <v>2525</v>
      </c>
      <c r="H263" s="13" t="s">
        <v>2526</v>
      </c>
      <c r="I263" s="13" t="s">
        <v>34</v>
      </c>
      <c r="J263" s="13">
        <v>7.0</v>
      </c>
      <c r="K263" s="13" t="s">
        <v>355</v>
      </c>
      <c r="L263" s="13" t="s">
        <v>70</v>
      </c>
      <c r="M263" s="13" t="s">
        <v>71</v>
      </c>
      <c r="N263" s="13" t="s">
        <v>38</v>
      </c>
      <c r="O263" s="14">
        <v>1.624</v>
      </c>
      <c r="P263" s="14">
        <f t="shared" si="2"/>
        <v>11.368</v>
      </c>
      <c r="Q263" s="14">
        <v>0.85</v>
      </c>
    </row>
    <row r="264">
      <c r="A264" s="12">
        <v>42266.0</v>
      </c>
      <c r="B264" s="12"/>
      <c r="C264" s="12" t="s">
        <v>2329</v>
      </c>
      <c r="D264" s="1" t="s">
        <v>556</v>
      </c>
      <c r="E264" s="15" t="str">
        <f t="shared" si="1"/>
        <v>Sep</v>
      </c>
      <c r="F264" s="13" t="s">
        <v>20</v>
      </c>
      <c r="G264" s="13" t="s">
        <v>2327</v>
      </c>
      <c r="H264" s="13" t="s">
        <v>2476</v>
      </c>
      <c r="I264" s="13" t="s">
        <v>34</v>
      </c>
      <c r="J264" s="13">
        <v>7.0</v>
      </c>
      <c r="K264" s="13" t="s">
        <v>129</v>
      </c>
      <c r="L264" s="13" t="s">
        <v>70</v>
      </c>
      <c r="M264" s="13" t="s">
        <v>71</v>
      </c>
      <c r="N264" s="13" t="s">
        <v>51</v>
      </c>
      <c r="O264" s="14">
        <v>3059.982</v>
      </c>
      <c r="P264" s="14">
        <f t="shared" si="2"/>
        <v>21419.874</v>
      </c>
      <c r="Q264" s="14">
        <v>3059.67</v>
      </c>
    </row>
    <row r="265">
      <c r="A265" s="12">
        <v>42266.0</v>
      </c>
      <c r="B265" s="12"/>
      <c r="C265" s="12" t="s">
        <v>2329</v>
      </c>
      <c r="D265" s="1" t="s">
        <v>556</v>
      </c>
      <c r="E265" s="15" t="str">
        <f t="shared" si="1"/>
        <v>Sep</v>
      </c>
      <c r="F265" s="13" t="s">
        <v>20</v>
      </c>
      <c r="G265" s="13" t="s">
        <v>2327</v>
      </c>
      <c r="H265" s="13" t="s">
        <v>2476</v>
      </c>
      <c r="I265" s="13" t="s">
        <v>34</v>
      </c>
      <c r="J265" s="13">
        <v>7.0</v>
      </c>
      <c r="K265" s="13" t="s">
        <v>129</v>
      </c>
      <c r="L265" s="13" t="s">
        <v>70</v>
      </c>
      <c r="M265" s="13" t="s">
        <v>71</v>
      </c>
      <c r="N265" s="13" t="s">
        <v>51</v>
      </c>
      <c r="O265" s="14">
        <v>2519.958</v>
      </c>
      <c r="P265" s="14">
        <f t="shared" si="2"/>
        <v>17639.706</v>
      </c>
      <c r="Q265" s="14">
        <v>2519.78</v>
      </c>
    </row>
    <row r="266">
      <c r="A266" s="12">
        <v>42892.0</v>
      </c>
      <c r="B266" s="12"/>
      <c r="C266" s="12" t="s">
        <v>2374</v>
      </c>
      <c r="D266" s="1" t="s">
        <v>560</v>
      </c>
      <c r="E266" s="15" t="str">
        <f t="shared" si="1"/>
        <v>Jun</v>
      </c>
      <c r="F266" s="13" t="s">
        <v>41</v>
      </c>
      <c r="G266" s="13" t="s">
        <v>2527</v>
      </c>
      <c r="H266" s="13" t="s">
        <v>2528</v>
      </c>
      <c r="I266" s="13" t="s">
        <v>23</v>
      </c>
      <c r="J266" s="13">
        <v>6.0</v>
      </c>
      <c r="K266" s="13" t="s">
        <v>188</v>
      </c>
      <c r="L266" s="13" t="s">
        <v>135</v>
      </c>
      <c r="M266" s="13" t="s">
        <v>71</v>
      </c>
      <c r="N266" s="13" t="s">
        <v>51</v>
      </c>
      <c r="O266" s="14">
        <v>328.224</v>
      </c>
      <c r="P266" s="14">
        <f t="shared" si="2"/>
        <v>1969.344</v>
      </c>
      <c r="Q266" s="14">
        <v>328.16</v>
      </c>
    </row>
    <row r="267">
      <c r="A267" s="12">
        <v>42654.0</v>
      </c>
      <c r="B267" s="12"/>
      <c r="C267" s="12" t="s">
        <v>2358</v>
      </c>
      <c r="D267" s="1" t="s">
        <v>564</v>
      </c>
      <c r="E267" s="15" t="str">
        <f t="shared" si="1"/>
        <v>Nov</v>
      </c>
      <c r="F267" s="13" t="s">
        <v>41</v>
      </c>
      <c r="G267" s="13" t="s">
        <v>2438</v>
      </c>
      <c r="H267" s="13" t="s">
        <v>2529</v>
      </c>
      <c r="I267" s="13" t="s">
        <v>23</v>
      </c>
      <c r="J267" s="13">
        <v>9.0</v>
      </c>
      <c r="K267" s="13" t="s">
        <v>567</v>
      </c>
      <c r="L267" s="13" t="s">
        <v>52</v>
      </c>
      <c r="M267" s="13" t="s">
        <v>37</v>
      </c>
      <c r="N267" s="13" t="s">
        <v>51</v>
      </c>
      <c r="O267" s="14">
        <v>79.9</v>
      </c>
      <c r="P267" s="14">
        <f t="shared" si="2"/>
        <v>719.1</v>
      </c>
      <c r="Q267" s="14">
        <v>79.2</v>
      </c>
    </row>
    <row r="268">
      <c r="A268" s="12">
        <v>43267.0</v>
      </c>
      <c r="B268" s="12"/>
      <c r="C268" s="12" t="s">
        <v>2374</v>
      </c>
      <c r="D268" s="1" t="s">
        <v>261</v>
      </c>
      <c r="E268" s="15" t="str">
        <f t="shared" si="1"/>
        <v>Jun</v>
      </c>
      <c r="F268" s="13" t="s">
        <v>41</v>
      </c>
      <c r="G268" s="13" t="s">
        <v>2530</v>
      </c>
      <c r="H268" s="13" t="s">
        <v>2531</v>
      </c>
      <c r="I268" s="13" t="s">
        <v>34</v>
      </c>
      <c r="J268" s="13">
        <v>2.0</v>
      </c>
      <c r="K268" s="13" t="s">
        <v>571</v>
      </c>
      <c r="L268" s="13" t="s">
        <v>58</v>
      </c>
      <c r="M268" s="13" t="s">
        <v>26</v>
      </c>
      <c r="N268" s="13" t="s">
        <v>38</v>
      </c>
      <c r="O268" s="14">
        <v>14.016</v>
      </c>
      <c r="P268" s="14">
        <f t="shared" si="2"/>
        <v>28.032</v>
      </c>
      <c r="Q268" s="14">
        <v>13.92</v>
      </c>
    </row>
    <row r="269">
      <c r="A269" s="12">
        <v>42757.0</v>
      </c>
      <c r="B269" s="12"/>
      <c r="C269" s="12" t="s">
        <v>2353</v>
      </c>
      <c r="D269" s="1" t="s">
        <v>573</v>
      </c>
      <c r="E269" s="15" t="str">
        <f t="shared" si="1"/>
        <v>Jan</v>
      </c>
      <c r="F269" s="13" t="s">
        <v>41</v>
      </c>
      <c r="G269" s="13" t="s">
        <v>1839</v>
      </c>
      <c r="H269" s="13" t="s">
        <v>2404</v>
      </c>
      <c r="I269" s="13" t="s">
        <v>23</v>
      </c>
      <c r="J269" s="13">
        <v>7.0</v>
      </c>
      <c r="K269" s="13" t="s">
        <v>574</v>
      </c>
      <c r="L269" s="13" t="s">
        <v>462</v>
      </c>
      <c r="M269" s="13" t="s">
        <v>100</v>
      </c>
      <c r="N269" s="13" t="s">
        <v>38</v>
      </c>
      <c r="O269" s="14">
        <v>7.56</v>
      </c>
      <c r="P269" s="14">
        <f t="shared" si="2"/>
        <v>52.92</v>
      </c>
      <c r="Q269" s="14">
        <v>6.82</v>
      </c>
    </row>
    <row r="270">
      <c r="A270" s="12">
        <v>43355.0</v>
      </c>
      <c r="B270" s="12"/>
      <c r="C270" s="12" t="s">
        <v>2329</v>
      </c>
      <c r="D270" s="1" t="s">
        <v>576</v>
      </c>
      <c r="E270" s="15" t="str">
        <f t="shared" si="1"/>
        <v>Dec</v>
      </c>
      <c r="F270" s="13" t="s">
        <v>41</v>
      </c>
      <c r="G270" s="13" t="s">
        <v>2532</v>
      </c>
      <c r="H270" s="13" t="s">
        <v>2360</v>
      </c>
      <c r="I270" s="13" t="s">
        <v>34</v>
      </c>
      <c r="J270" s="13">
        <v>4.0</v>
      </c>
      <c r="K270" s="13" t="s">
        <v>579</v>
      </c>
      <c r="L270" s="13" t="s">
        <v>304</v>
      </c>
      <c r="M270" s="13" t="s">
        <v>100</v>
      </c>
      <c r="N270" s="13" t="s">
        <v>38</v>
      </c>
      <c r="O270" s="14">
        <v>37.208</v>
      </c>
      <c r="P270" s="14">
        <f t="shared" si="2"/>
        <v>148.832</v>
      </c>
      <c r="Q270" s="14">
        <v>36.95</v>
      </c>
    </row>
    <row r="271">
      <c r="A271" s="12">
        <v>43355.0</v>
      </c>
      <c r="B271" s="12"/>
      <c r="C271" s="12" t="s">
        <v>2329</v>
      </c>
      <c r="D271" s="1" t="s">
        <v>576</v>
      </c>
      <c r="E271" s="15" t="str">
        <f t="shared" si="1"/>
        <v>Dec</v>
      </c>
      <c r="F271" s="13" t="s">
        <v>41</v>
      </c>
      <c r="G271" s="13" t="s">
        <v>2532</v>
      </c>
      <c r="H271" s="13" t="s">
        <v>2360</v>
      </c>
      <c r="I271" s="13" t="s">
        <v>34</v>
      </c>
      <c r="J271" s="13">
        <v>4.0</v>
      </c>
      <c r="K271" s="13" t="s">
        <v>579</v>
      </c>
      <c r="L271" s="13" t="s">
        <v>304</v>
      </c>
      <c r="M271" s="13" t="s">
        <v>100</v>
      </c>
      <c r="N271" s="13" t="s">
        <v>38</v>
      </c>
      <c r="O271" s="14">
        <v>57.576</v>
      </c>
      <c r="P271" s="14">
        <f t="shared" si="2"/>
        <v>230.304</v>
      </c>
      <c r="Q271" s="14">
        <v>56.83</v>
      </c>
    </row>
    <row r="272">
      <c r="A272" s="12">
        <v>43462.0</v>
      </c>
      <c r="B272" s="12"/>
      <c r="C272" s="12" t="s">
        <v>2325</v>
      </c>
      <c r="D272" s="6">
        <v>43497.0</v>
      </c>
      <c r="E272" s="15" t="str">
        <f t="shared" si="1"/>
        <v>Feb</v>
      </c>
      <c r="F272" s="13" t="s">
        <v>20</v>
      </c>
      <c r="G272" s="13" t="s">
        <v>2533</v>
      </c>
      <c r="H272" s="13" t="s">
        <v>2534</v>
      </c>
      <c r="I272" s="13" t="s">
        <v>34</v>
      </c>
      <c r="J272" s="13">
        <v>9.0</v>
      </c>
      <c r="K272" s="13" t="s">
        <v>87</v>
      </c>
      <c r="L272" s="13" t="s">
        <v>52</v>
      </c>
      <c r="M272" s="13" t="s">
        <v>37</v>
      </c>
      <c r="N272" s="13" t="s">
        <v>38</v>
      </c>
      <c r="O272" s="14">
        <v>725.84</v>
      </c>
      <c r="P272" s="14">
        <f t="shared" si="2"/>
        <v>6532.56</v>
      </c>
      <c r="Q272" s="14">
        <v>725.11</v>
      </c>
    </row>
    <row r="273">
      <c r="A273" s="12">
        <v>42581.0</v>
      </c>
      <c r="B273" s="12"/>
      <c r="C273" s="12" t="s">
        <v>2348</v>
      </c>
      <c r="D273" s="1" t="s">
        <v>584</v>
      </c>
      <c r="E273" s="15" t="str">
        <f t="shared" si="1"/>
        <v>Jul</v>
      </c>
      <c r="F273" s="13" t="s">
        <v>121</v>
      </c>
      <c r="G273" s="13" t="s">
        <v>2452</v>
      </c>
      <c r="H273" s="13" t="s">
        <v>2453</v>
      </c>
      <c r="I273" s="13" t="s">
        <v>23</v>
      </c>
      <c r="J273" s="13">
        <v>9.0</v>
      </c>
      <c r="K273" s="13" t="s">
        <v>87</v>
      </c>
      <c r="L273" s="13" t="s">
        <v>52</v>
      </c>
      <c r="M273" s="13" t="s">
        <v>37</v>
      </c>
      <c r="N273" s="13" t="s">
        <v>51</v>
      </c>
      <c r="O273" s="14">
        <v>209.93</v>
      </c>
      <c r="P273" s="14">
        <f t="shared" si="2"/>
        <v>1889.37</v>
      </c>
      <c r="Q273" s="14">
        <v>209.15</v>
      </c>
    </row>
    <row r="274">
      <c r="A274" s="12">
        <v>42581.0</v>
      </c>
      <c r="B274" s="12"/>
      <c r="C274" s="12" t="s">
        <v>2348</v>
      </c>
      <c r="D274" s="1" t="s">
        <v>584</v>
      </c>
      <c r="E274" s="15" t="str">
        <f t="shared" si="1"/>
        <v>Jul</v>
      </c>
      <c r="F274" s="13" t="s">
        <v>121</v>
      </c>
      <c r="G274" s="13" t="s">
        <v>2452</v>
      </c>
      <c r="H274" s="13" t="s">
        <v>2453</v>
      </c>
      <c r="I274" s="13" t="s">
        <v>23</v>
      </c>
      <c r="J274" s="13">
        <v>9.0</v>
      </c>
      <c r="K274" s="13" t="s">
        <v>87</v>
      </c>
      <c r="L274" s="13" t="s">
        <v>52</v>
      </c>
      <c r="M274" s="13" t="s">
        <v>37</v>
      </c>
      <c r="N274" s="13" t="s">
        <v>27</v>
      </c>
      <c r="O274" s="14">
        <v>5.28</v>
      </c>
      <c r="P274" s="14">
        <f t="shared" si="2"/>
        <v>47.52</v>
      </c>
      <c r="Q274" s="14">
        <v>4.86</v>
      </c>
    </row>
    <row r="275">
      <c r="A275" s="12">
        <v>42581.0</v>
      </c>
      <c r="B275" s="12"/>
      <c r="C275" s="12" t="s">
        <v>2348</v>
      </c>
      <c r="D275" s="1" t="s">
        <v>584</v>
      </c>
      <c r="E275" s="15" t="str">
        <f t="shared" si="1"/>
        <v>Jul</v>
      </c>
      <c r="F275" s="13" t="s">
        <v>121</v>
      </c>
      <c r="G275" s="13" t="s">
        <v>2452</v>
      </c>
      <c r="H275" s="13" t="s">
        <v>2453</v>
      </c>
      <c r="I275" s="13" t="s">
        <v>23</v>
      </c>
      <c r="J275" s="13">
        <v>9.0</v>
      </c>
      <c r="K275" s="13" t="s">
        <v>87</v>
      </c>
      <c r="L275" s="13" t="s">
        <v>52</v>
      </c>
      <c r="M275" s="13" t="s">
        <v>37</v>
      </c>
      <c r="N275" s="13" t="s">
        <v>38</v>
      </c>
      <c r="O275" s="14">
        <v>10.92</v>
      </c>
      <c r="P275" s="14">
        <f t="shared" si="2"/>
        <v>98.28</v>
      </c>
      <c r="Q275" s="14">
        <v>10.3</v>
      </c>
    </row>
    <row r="276">
      <c r="A276" s="12">
        <v>43359.0</v>
      </c>
      <c r="B276" s="12"/>
      <c r="C276" s="12" t="s">
        <v>2329</v>
      </c>
      <c r="D276" s="1" t="s">
        <v>204</v>
      </c>
      <c r="E276" s="15" t="str">
        <f t="shared" si="1"/>
        <v>Sep</v>
      </c>
      <c r="F276" s="13" t="s">
        <v>121</v>
      </c>
      <c r="G276" s="13" t="s">
        <v>2535</v>
      </c>
      <c r="H276" s="13" t="s">
        <v>2357</v>
      </c>
      <c r="I276" s="13" t="s">
        <v>34</v>
      </c>
      <c r="J276" s="13">
        <v>9.0</v>
      </c>
      <c r="K276" s="13" t="s">
        <v>588</v>
      </c>
      <c r="L276" s="13" t="s">
        <v>52</v>
      </c>
      <c r="M276" s="13" t="s">
        <v>37</v>
      </c>
      <c r="N276" s="13" t="s">
        <v>38</v>
      </c>
      <c r="O276" s="14">
        <v>8.82</v>
      </c>
      <c r="P276" s="14">
        <f t="shared" si="2"/>
        <v>79.38</v>
      </c>
      <c r="Q276" s="14">
        <v>8.48</v>
      </c>
    </row>
    <row r="277">
      <c r="A277" s="12">
        <v>43359.0</v>
      </c>
      <c r="B277" s="12"/>
      <c r="C277" s="12" t="s">
        <v>2329</v>
      </c>
      <c r="D277" s="1" t="s">
        <v>204</v>
      </c>
      <c r="E277" s="15" t="str">
        <f t="shared" si="1"/>
        <v>Sep</v>
      </c>
      <c r="F277" s="13" t="s">
        <v>121</v>
      </c>
      <c r="G277" s="13" t="s">
        <v>2535</v>
      </c>
      <c r="H277" s="13" t="s">
        <v>2357</v>
      </c>
      <c r="I277" s="13" t="s">
        <v>34</v>
      </c>
      <c r="J277" s="13">
        <v>9.0</v>
      </c>
      <c r="K277" s="13" t="s">
        <v>588</v>
      </c>
      <c r="L277" s="13" t="s">
        <v>52</v>
      </c>
      <c r="M277" s="13" t="s">
        <v>37</v>
      </c>
      <c r="N277" s="13" t="s">
        <v>38</v>
      </c>
      <c r="O277" s="14">
        <v>5.98</v>
      </c>
      <c r="P277" s="14">
        <f t="shared" si="2"/>
        <v>53.82</v>
      </c>
      <c r="Q277" s="14">
        <v>5.94</v>
      </c>
    </row>
    <row r="278">
      <c r="A278" s="12">
        <v>43386.0</v>
      </c>
      <c r="B278" s="12"/>
      <c r="C278" s="12" t="s">
        <v>2358</v>
      </c>
      <c r="D278" s="1" t="s">
        <v>590</v>
      </c>
      <c r="E278" s="15" t="str">
        <f t="shared" si="1"/>
        <v>Oct</v>
      </c>
      <c r="F278" s="13" t="s">
        <v>41</v>
      </c>
      <c r="G278" s="13" t="s">
        <v>2333</v>
      </c>
      <c r="H278" s="13" t="s">
        <v>2536</v>
      </c>
      <c r="I278" s="13" t="s">
        <v>34</v>
      </c>
      <c r="J278" s="13">
        <v>1.0</v>
      </c>
      <c r="K278" s="13" t="s">
        <v>98</v>
      </c>
      <c r="L278" s="13" t="s">
        <v>99</v>
      </c>
      <c r="M278" s="13" t="s">
        <v>100</v>
      </c>
      <c r="N278" s="13" t="s">
        <v>38</v>
      </c>
      <c r="O278" s="14">
        <v>11.648</v>
      </c>
      <c r="P278" s="14">
        <f t="shared" si="2"/>
        <v>11.648</v>
      </c>
      <c r="Q278" s="14">
        <v>11.42</v>
      </c>
    </row>
    <row r="279">
      <c r="A279" s="12">
        <v>43386.0</v>
      </c>
      <c r="B279" s="12"/>
      <c r="C279" s="12" t="s">
        <v>2358</v>
      </c>
      <c r="D279" s="1" t="s">
        <v>590</v>
      </c>
      <c r="E279" s="15" t="str">
        <f t="shared" si="1"/>
        <v>Oct</v>
      </c>
      <c r="F279" s="13" t="s">
        <v>41</v>
      </c>
      <c r="G279" s="13" t="s">
        <v>2333</v>
      </c>
      <c r="H279" s="13" t="s">
        <v>2536</v>
      </c>
      <c r="I279" s="13" t="s">
        <v>34</v>
      </c>
      <c r="J279" s="13">
        <v>1.0</v>
      </c>
      <c r="K279" s="13" t="s">
        <v>98</v>
      </c>
      <c r="L279" s="13" t="s">
        <v>99</v>
      </c>
      <c r="M279" s="13" t="s">
        <v>100</v>
      </c>
      <c r="N279" s="13" t="s">
        <v>38</v>
      </c>
      <c r="O279" s="14">
        <v>18.176</v>
      </c>
      <c r="P279" s="14">
        <f t="shared" si="2"/>
        <v>18.176</v>
      </c>
      <c r="Q279" s="14">
        <v>18.17</v>
      </c>
    </row>
    <row r="280">
      <c r="A280" s="12">
        <v>43386.0</v>
      </c>
      <c r="B280" s="12"/>
      <c r="C280" s="12" t="s">
        <v>2358</v>
      </c>
      <c r="D280" s="1" t="s">
        <v>590</v>
      </c>
      <c r="E280" s="15" t="str">
        <f t="shared" si="1"/>
        <v>Oct</v>
      </c>
      <c r="F280" s="13" t="s">
        <v>41</v>
      </c>
      <c r="G280" s="13" t="s">
        <v>2333</v>
      </c>
      <c r="H280" s="13" t="s">
        <v>2536</v>
      </c>
      <c r="I280" s="13" t="s">
        <v>34</v>
      </c>
      <c r="J280" s="13">
        <v>1.0</v>
      </c>
      <c r="K280" s="13" t="s">
        <v>98</v>
      </c>
      <c r="L280" s="13" t="s">
        <v>99</v>
      </c>
      <c r="M280" s="13" t="s">
        <v>100</v>
      </c>
      <c r="N280" s="13" t="s">
        <v>38</v>
      </c>
      <c r="O280" s="14">
        <v>59.712</v>
      </c>
      <c r="P280" s="14">
        <f t="shared" si="2"/>
        <v>59.712</v>
      </c>
      <c r="Q280" s="14">
        <v>59.13</v>
      </c>
    </row>
    <row r="281">
      <c r="A281" s="12">
        <v>43386.0</v>
      </c>
      <c r="B281" s="12"/>
      <c r="C281" s="12" t="s">
        <v>2358</v>
      </c>
      <c r="D281" s="1" t="s">
        <v>590</v>
      </c>
      <c r="E281" s="15" t="str">
        <f t="shared" si="1"/>
        <v>Oct</v>
      </c>
      <c r="F281" s="13" t="s">
        <v>41</v>
      </c>
      <c r="G281" s="13" t="s">
        <v>2333</v>
      </c>
      <c r="H281" s="13" t="s">
        <v>2536</v>
      </c>
      <c r="I281" s="13" t="s">
        <v>34</v>
      </c>
      <c r="J281" s="13">
        <v>1.0</v>
      </c>
      <c r="K281" s="13" t="s">
        <v>98</v>
      </c>
      <c r="L281" s="13" t="s">
        <v>99</v>
      </c>
      <c r="M281" s="13" t="s">
        <v>100</v>
      </c>
      <c r="N281" s="13" t="s">
        <v>38</v>
      </c>
      <c r="O281" s="14">
        <v>24.84</v>
      </c>
      <c r="P281" s="14">
        <f t="shared" si="2"/>
        <v>24.84</v>
      </c>
      <c r="Q281" s="14">
        <v>24.29</v>
      </c>
    </row>
    <row r="282">
      <c r="A282" s="12">
        <v>42639.0</v>
      </c>
      <c r="B282" s="12"/>
      <c r="C282" s="12" t="s">
        <v>2329</v>
      </c>
      <c r="D282" s="1" t="s">
        <v>594</v>
      </c>
      <c r="E282" s="15" t="str">
        <f t="shared" si="1"/>
        <v>Sep</v>
      </c>
      <c r="F282" s="13" t="s">
        <v>20</v>
      </c>
      <c r="G282" s="13" t="s">
        <v>2436</v>
      </c>
      <c r="H282" s="13" t="s">
        <v>2437</v>
      </c>
      <c r="I282" s="13" t="s">
        <v>23</v>
      </c>
      <c r="J282" s="13">
        <v>7.0</v>
      </c>
      <c r="K282" s="13" t="s">
        <v>129</v>
      </c>
      <c r="L282" s="13" t="s">
        <v>70</v>
      </c>
      <c r="M282" s="13" t="s">
        <v>71</v>
      </c>
      <c r="N282" s="13" t="s">
        <v>38</v>
      </c>
      <c r="O282" s="14">
        <v>2.08</v>
      </c>
      <c r="P282" s="14">
        <f t="shared" si="2"/>
        <v>14.56</v>
      </c>
      <c r="Q282" s="14">
        <v>1.98</v>
      </c>
    </row>
    <row r="283">
      <c r="A283" s="12">
        <v>42639.0</v>
      </c>
      <c r="B283" s="12"/>
      <c r="C283" s="12" t="s">
        <v>2329</v>
      </c>
      <c r="D283" s="1" t="s">
        <v>594</v>
      </c>
      <c r="E283" s="15" t="str">
        <f t="shared" si="1"/>
        <v>Sep</v>
      </c>
      <c r="F283" s="13" t="s">
        <v>20</v>
      </c>
      <c r="G283" s="13" t="s">
        <v>2436</v>
      </c>
      <c r="H283" s="13" t="s">
        <v>2437</v>
      </c>
      <c r="I283" s="13" t="s">
        <v>23</v>
      </c>
      <c r="J283" s="13">
        <v>7.0</v>
      </c>
      <c r="K283" s="13" t="s">
        <v>129</v>
      </c>
      <c r="L283" s="13" t="s">
        <v>70</v>
      </c>
      <c r="M283" s="13" t="s">
        <v>71</v>
      </c>
      <c r="N283" s="13" t="s">
        <v>51</v>
      </c>
      <c r="O283" s="14">
        <v>1114.4</v>
      </c>
      <c r="P283" s="14">
        <f t="shared" si="2"/>
        <v>7800.8</v>
      </c>
      <c r="Q283" s="14">
        <v>1113.53</v>
      </c>
    </row>
    <row r="284">
      <c r="A284" s="12">
        <v>42411.0</v>
      </c>
      <c r="B284" s="12"/>
      <c r="C284" s="12" t="s">
        <v>2431</v>
      </c>
      <c r="D284" s="6">
        <v>42532.0</v>
      </c>
      <c r="E284" s="15" t="str">
        <f t="shared" si="1"/>
        <v>Jun</v>
      </c>
      <c r="F284" s="13" t="s">
        <v>41</v>
      </c>
      <c r="G284" s="13" t="s">
        <v>2537</v>
      </c>
      <c r="H284" s="13" t="s">
        <v>2538</v>
      </c>
      <c r="I284" s="13" t="s">
        <v>23</v>
      </c>
      <c r="J284" s="13">
        <v>9.0</v>
      </c>
      <c r="K284" s="13" t="s">
        <v>35</v>
      </c>
      <c r="L284" s="13" t="s">
        <v>52</v>
      </c>
      <c r="M284" s="13" t="s">
        <v>37</v>
      </c>
      <c r="N284" s="13" t="s">
        <v>27</v>
      </c>
      <c r="O284" s="14">
        <v>1038.84</v>
      </c>
      <c r="P284" s="14">
        <f t="shared" si="2"/>
        <v>9349.56</v>
      </c>
      <c r="Q284" s="14">
        <v>1038.1</v>
      </c>
    </row>
    <row r="285">
      <c r="A285" s="12">
        <v>42639.0</v>
      </c>
      <c r="B285" s="12"/>
      <c r="C285" s="12" t="s">
        <v>2329</v>
      </c>
      <c r="D285" s="6">
        <v>42410.0</v>
      </c>
      <c r="E285" s="15" t="str">
        <f t="shared" si="1"/>
        <v>Feb</v>
      </c>
      <c r="F285" s="13" t="s">
        <v>41</v>
      </c>
      <c r="G285" s="13" t="s">
        <v>2356</v>
      </c>
      <c r="H285" s="13" t="s">
        <v>2357</v>
      </c>
      <c r="I285" s="13" t="s">
        <v>23</v>
      </c>
      <c r="J285" s="13">
        <v>9.0</v>
      </c>
      <c r="K285" s="13" t="s">
        <v>255</v>
      </c>
      <c r="L285" s="13" t="s">
        <v>256</v>
      </c>
      <c r="M285" s="13" t="s">
        <v>37</v>
      </c>
      <c r="N285" s="13" t="s">
        <v>38</v>
      </c>
      <c r="O285" s="14">
        <v>141.76</v>
      </c>
      <c r="P285" s="14">
        <f t="shared" si="2"/>
        <v>1275.84</v>
      </c>
      <c r="Q285" s="14">
        <v>141.39</v>
      </c>
    </row>
    <row r="286">
      <c r="A286" s="12">
        <v>42639.0</v>
      </c>
      <c r="B286" s="12"/>
      <c r="C286" s="12" t="s">
        <v>2329</v>
      </c>
      <c r="D286" s="6">
        <v>42410.0</v>
      </c>
      <c r="E286" s="15" t="str">
        <f t="shared" si="1"/>
        <v>Feb</v>
      </c>
      <c r="F286" s="13" t="s">
        <v>41</v>
      </c>
      <c r="G286" s="13" t="s">
        <v>2356</v>
      </c>
      <c r="H286" s="13" t="s">
        <v>2357</v>
      </c>
      <c r="I286" s="13" t="s">
        <v>23</v>
      </c>
      <c r="J286" s="13">
        <v>9.0</v>
      </c>
      <c r="K286" s="13" t="s">
        <v>255</v>
      </c>
      <c r="L286" s="13" t="s">
        <v>256</v>
      </c>
      <c r="M286" s="13" t="s">
        <v>37</v>
      </c>
      <c r="N286" s="13" t="s">
        <v>51</v>
      </c>
      <c r="O286" s="14">
        <v>239.8</v>
      </c>
      <c r="P286" s="14">
        <f t="shared" si="2"/>
        <v>2158.2</v>
      </c>
      <c r="Q286" s="14">
        <v>239.3</v>
      </c>
    </row>
    <row r="287">
      <c r="A287" s="12">
        <v>42639.0</v>
      </c>
      <c r="B287" s="12"/>
      <c r="C287" s="12" t="s">
        <v>2329</v>
      </c>
      <c r="D287" s="6">
        <v>42410.0</v>
      </c>
      <c r="E287" s="15" t="str">
        <f t="shared" si="1"/>
        <v>Feb</v>
      </c>
      <c r="F287" s="13" t="s">
        <v>41</v>
      </c>
      <c r="G287" s="13" t="s">
        <v>2356</v>
      </c>
      <c r="H287" s="13" t="s">
        <v>2357</v>
      </c>
      <c r="I287" s="13" t="s">
        <v>23</v>
      </c>
      <c r="J287" s="13">
        <v>9.0</v>
      </c>
      <c r="K287" s="13" t="s">
        <v>255</v>
      </c>
      <c r="L287" s="13" t="s">
        <v>256</v>
      </c>
      <c r="M287" s="13" t="s">
        <v>37</v>
      </c>
      <c r="N287" s="13" t="s">
        <v>38</v>
      </c>
      <c r="O287" s="14">
        <v>31.104</v>
      </c>
      <c r="P287" s="14">
        <f t="shared" si="2"/>
        <v>279.936</v>
      </c>
      <c r="Q287" s="14">
        <v>30.4</v>
      </c>
    </row>
    <row r="288">
      <c r="A288" s="12">
        <v>43087.0</v>
      </c>
      <c r="B288" s="12"/>
      <c r="C288" s="12" t="s">
        <v>2325</v>
      </c>
      <c r="D288" s="1" t="s">
        <v>600</v>
      </c>
      <c r="E288" s="15" t="str">
        <f t="shared" si="1"/>
        <v>Dec</v>
      </c>
      <c r="F288" s="13" t="s">
        <v>20</v>
      </c>
      <c r="G288" s="13" t="s">
        <v>2438</v>
      </c>
      <c r="H288" s="13" t="s">
        <v>2539</v>
      </c>
      <c r="I288" s="13" t="s">
        <v>34</v>
      </c>
      <c r="J288" s="13">
        <v>3.0</v>
      </c>
      <c r="K288" s="13" t="s">
        <v>603</v>
      </c>
      <c r="L288" s="13" t="s">
        <v>145</v>
      </c>
      <c r="M288" s="13" t="s">
        <v>26</v>
      </c>
      <c r="N288" s="13" t="s">
        <v>38</v>
      </c>
      <c r="O288" s="14">
        <v>254.058</v>
      </c>
      <c r="P288" s="14">
        <f t="shared" si="2"/>
        <v>762.174</v>
      </c>
      <c r="Q288" s="14">
        <v>253.74</v>
      </c>
    </row>
    <row r="289">
      <c r="A289" s="12">
        <v>43087.0</v>
      </c>
      <c r="B289" s="12"/>
      <c r="C289" s="12" t="s">
        <v>2325</v>
      </c>
      <c r="D289" s="1" t="s">
        <v>600</v>
      </c>
      <c r="E289" s="15" t="str">
        <f t="shared" si="1"/>
        <v>Dec</v>
      </c>
      <c r="F289" s="13" t="s">
        <v>20</v>
      </c>
      <c r="G289" s="13" t="s">
        <v>2438</v>
      </c>
      <c r="H289" s="13" t="s">
        <v>2539</v>
      </c>
      <c r="I289" s="13" t="s">
        <v>34</v>
      </c>
      <c r="J289" s="13">
        <v>3.0</v>
      </c>
      <c r="K289" s="13" t="s">
        <v>603</v>
      </c>
      <c r="L289" s="13" t="s">
        <v>145</v>
      </c>
      <c r="M289" s="13" t="s">
        <v>26</v>
      </c>
      <c r="N289" s="13" t="s">
        <v>38</v>
      </c>
      <c r="O289" s="14">
        <v>194.528</v>
      </c>
      <c r="P289" s="14">
        <f t="shared" si="2"/>
        <v>583.584</v>
      </c>
      <c r="Q289" s="14">
        <v>193.93</v>
      </c>
    </row>
    <row r="290">
      <c r="A290" s="12">
        <v>43087.0</v>
      </c>
      <c r="B290" s="12"/>
      <c r="C290" s="12" t="s">
        <v>2325</v>
      </c>
      <c r="D290" s="1" t="s">
        <v>600</v>
      </c>
      <c r="E290" s="15" t="str">
        <f t="shared" si="1"/>
        <v>Dec</v>
      </c>
      <c r="F290" s="13" t="s">
        <v>20</v>
      </c>
      <c r="G290" s="13" t="s">
        <v>2438</v>
      </c>
      <c r="H290" s="13" t="s">
        <v>2539</v>
      </c>
      <c r="I290" s="13" t="s">
        <v>34</v>
      </c>
      <c r="J290" s="13">
        <v>3.0</v>
      </c>
      <c r="K290" s="13" t="s">
        <v>603</v>
      </c>
      <c r="L290" s="13" t="s">
        <v>145</v>
      </c>
      <c r="M290" s="13" t="s">
        <v>26</v>
      </c>
      <c r="N290" s="13" t="s">
        <v>38</v>
      </c>
      <c r="O290" s="14">
        <v>961.48</v>
      </c>
      <c r="P290" s="14">
        <f t="shared" si="2"/>
        <v>2884.44</v>
      </c>
      <c r="Q290" s="14">
        <v>961.3</v>
      </c>
    </row>
    <row r="291">
      <c r="A291" s="12">
        <v>43059.0</v>
      </c>
      <c r="B291" s="12"/>
      <c r="C291" s="12" t="s">
        <v>2326</v>
      </c>
      <c r="D291" s="1" t="s">
        <v>381</v>
      </c>
      <c r="E291" s="15" t="str">
        <f t="shared" si="1"/>
        <v>Nov</v>
      </c>
      <c r="F291" s="13" t="s">
        <v>20</v>
      </c>
      <c r="G291" s="13" t="s">
        <v>2540</v>
      </c>
      <c r="H291" s="13" t="s">
        <v>2421</v>
      </c>
      <c r="I291" s="13" t="s">
        <v>68</v>
      </c>
      <c r="J291" s="13">
        <v>4.0</v>
      </c>
      <c r="K291" s="13" t="s">
        <v>303</v>
      </c>
      <c r="L291" s="13" t="s">
        <v>304</v>
      </c>
      <c r="M291" s="13" t="s">
        <v>100</v>
      </c>
      <c r="N291" s="13" t="s">
        <v>38</v>
      </c>
      <c r="O291" s="14">
        <v>19.096</v>
      </c>
      <c r="P291" s="14">
        <f t="shared" si="2"/>
        <v>76.384</v>
      </c>
      <c r="Q291" s="14">
        <v>18.34</v>
      </c>
    </row>
    <row r="292">
      <c r="A292" s="12">
        <v>43059.0</v>
      </c>
      <c r="B292" s="12"/>
      <c r="C292" s="12" t="s">
        <v>2326</v>
      </c>
      <c r="D292" s="1" t="s">
        <v>381</v>
      </c>
      <c r="E292" s="15" t="str">
        <f t="shared" si="1"/>
        <v>Nov</v>
      </c>
      <c r="F292" s="13" t="s">
        <v>20</v>
      </c>
      <c r="G292" s="13" t="s">
        <v>2540</v>
      </c>
      <c r="H292" s="13" t="s">
        <v>2421</v>
      </c>
      <c r="I292" s="13" t="s">
        <v>68</v>
      </c>
      <c r="J292" s="13">
        <v>4.0</v>
      </c>
      <c r="K292" s="13" t="s">
        <v>303</v>
      </c>
      <c r="L292" s="13" t="s">
        <v>304</v>
      </c>
      <c r="M292" s="13" t="s">
        <v>100</v>
      </c>
      <c r="N292" s="13" t="s">
        <v>38</v>
      </c>
      <c r="O292" s="14">
        <v>18.496</v>
      </c>
      <c r="P292" s="14">
        <f t="shared" si="2"/>
        <v>73.984</v>
      </c>
      <c r="Q292" s="14">
        <v>18.02</v>
      </c>
    </row>
    <row r="293">
      <c r="A293" s="12">
        <v>43059.0</v>
      </c>
      <c r="B293" s="12"/>
      <c r="C293" s="12" t="s">
        <v>2326</v>
      </c>
      <c r="D293" s="1" t="s">
        <v>381</v>
      </c>
      <c r="E293" s="15" t="str">
        <f t="shared" si="1"/>
        <v>Nov</v>
      </c>
      <c r="F293" s="13" t="s">
        <v>20</v>
      </c>
      <c r="G293" s="13" t="s">
        <v>2540</v>
      </c>
      <c r="H293" s="13" t="s">
        <v>2421</v>
      </c>
      <c r="I293" s="13" t="s">
        <v>68</v>
      </c>
      <c r="J293" s="13">
        <v>4.0</v>
      </c>
      <c r="K293" s="13" t="s">
        <v>303</v>
      </c>
      <c r="L293" s="13" t="s">
        <v>304</v>
      </c>
      <c r="M293" s="13" t="s">
        <v>100</v>
      </c>
      <c r="N293" s="13" t="s">
        <v>51</v>
      </c>
      <c r="O293" s="14">
        <v>255.984</v>
      </c>
      <c r="P293" s="14">
        <f t="shared" si="2"/>
        <v>1023.936</v>
      </c>
      <c r="Q293" s="14">
        <v>255.27</v>
      </c>
    </row>
    <row r="294">
      <c r="A294" s="12">
        <v>43059.0</v>
      </c>
      <c r="B294" s="12"/>
      <c r="C294" s="12" t="s">
        <v>2326</v>
      </c>
      <c r="D294" s="1" t="s">
        <v>381</v>
      </c>
      <c r="E294" s="15" t="str">
        <f t="shared" si="1"/>
        <v>Nov</v>
      </c>
      <c r="F294" s="13" t="s">
        <v>20</v>
      </c>
      <c r="G294" s="13" t="s">
        <v>2540</v>
      </c>
      <c r="H294" s="13" t="s">
        <v>2421</v>
      </c>
      <c r="I294" s="13" t="s">
        <v>68</v>
      </c>
      <c r="J294" s="13">
        <v>4.0</v>
      </c>
      <c r="K294" s="13" t="s">
        <v>303</v>
      </c>
      <c r="L294" s="13" t="s">
        <v>304</v>
      </c>
      <c r="M294" s="13" t="s">
        <v>100</v>
      </c>
      <c r="N294" s="13" t="s">
        <v>27</v>
      </c>
      <c r="O294" s="14">
        <v>86.97</v>
      </c>
      <c r="P294" s="14">
        <f t="shared" si="2"/>
        <v>347.88</v>
      </c>
      <c r="Q294" s="14">
        <v>86.48</v>
      </c>
    </row>
    <row r="295">
      <c r="A295" s="12">
        <v>42364.0</v>
      </c>
      <c r="B295" s="12"/>
      <c r="C295" s="12" t="s">
        <v>2325</v>
      </c>
      <c r="D295" s="1" t="s">
        <v>317</v>
      </c>
      <c r="E295" s="15" t="str">
        <f t="shared" si="1"/>
        <v>Dec</v>
      </c>
      <c r="F295" s="13" t="s">
        <v>121</v>
      </c>
      <c r="G295" s="13" t="s">
        <v>2517</v>
      </c>
      <c r="H295" s="13" t="s">
        <v>2541</v>
      </c>
      <c r="I295" s="13" t="s">
        <v>34</v>
      </c>
      <c r="J295" s="13">
        <v>8.0</v>
      </c>
      <c r="K295" s="13" t="s">
        <v>610</v>
      </c>
      <c r="L295" s="13" t="s">
        <v>279</v>
      </c>
      <c r="M295" s="13" t="s">
        <v>37</v>
      </c>
      <c r="N295" s="13" t="s">
        <v>27</v>
      </c>
      <c r="O295" s="14">
        <v>300.416</v>
      </c>
      <c r="P295" s="14">
        <f t="shared" si="2"/>
        <v>2403.328</v>
      </c>
      <c r="Q295" s="14">
        <v>299.42</v>
      </c>
    </row>
    <row r="296">
      <c r="A296" s="12">
        <v>42364.0</v>
      </c>
      <c r="B296" s="12"/>
      <c r="C296" s="12" t="s">
        <v>2325</v>
      </c>
      <c r="D296" s="1" t="s">
        <v>317</v>
      </c>
      <c r="E296" s="15" t="str">
        <f t="shared" si="1"/>
        <v>Dec</v>
      </c>
      <c r="F296" s="13" t="s">
        <v>121</v>
      </c>
      <c r="G296" s="13" t="s">
        <v>2517</v>
      </c>
      <c r="H296" s="13" t="s">
        <v>2541</v>
      </c>
      <c r="I296" s="13" t="s">
        <v>34</v>
      </c>
      <c r="J296" s="13">
        <v>8.0</v>
      </c>
      <c r="K296" s="13" t="s">
        <v>610</v>
      </c>
      <c r="L296" s="13" t="s">
        <v>279</v>
      </c>
      <c r="M296" s="13" t="s">
        <v>37</v>
      </c>
      <c r="N296" s="13" t="s">
        <v>27</v>
      </c>
      <c r="O296" s="14">
        <v>230.352</v>
      </c>
      <c r="P296" s="14">
        <f t="shared" si="2"/>
        <v>1842.816</v>
      </c>
      <c r="Q296" s="14">
        <v>229.78</v>
      </c>
    </row>
    <row r="297">
      <c r="A297" s="12">
        <v>42364.0</v>
      </c>
      <c r="B297" s="12"/>
      <c r="C297" s="12" t="s">
        <v>2325</v>
      </c>
      <c r="D297" s="1" t="s">
        <v>317</v>
      </c>
      <c r="E297" s="15" t="str">
        <f t="shared" si="1"/>
        <v>Dec</v>
      </c>
      <c r="F297" s="13" t="s">
        <v>121</v>
      </c>
      <c r="G297" s="13" t="s">
        <v>2517</v>
      </c>
      <c r="H297" s="13" t="s">
        <v>2541</v>
      </c>
      <c r="I297" s="13" t="s">
        <v>34</v>
      </c>
      <c r="J297" s="13">
        <v>8.0</v>
      </c>
      <c r="K297" s="13" t="s">
        <v>610</v>
      </c>
      <c r="L297" s="13" t="s">
        <v>279</v>
      </c>
      <c r="M297" s="13" t="s">
        <v>37</v>
      </c>
      <c r="N297" s="13" t="s">
        <v>27</v>
      </c>
      <c r="O297" s="14">
        <v>218.352</v>
      </c>
      <c r="P297" s="14">
        <f t="shared" si="2"/>
        <v>1746.816</v>
      </c>
      <c r="Q297" s="14">
        <v>218.02</v>
      </c>
    </row>
    <row r="298">
      <c r="A298" s="12">
        <v>42364.0</v>
      </c>
      <c r="B298" s="12"/>
      <c r="C298" s="12" t="s">
        <v>2325</v>
      </c>
      <c r="D298" s="1" t="s">
        <v>317</v>
      </c>
      <c r="E298" s="15" t="str">
        <f t="shared" si="1"/>
        <v>Dec</v>
      </c>
      <c r="F298" s="13" t="s">
        <v>121</v>
      </c>
      <c r="G298" s="13" t="s">
        <v>2517</v>
      </c>
      <c r="H298" s="13" t="s">
        <v>2541</v>
      </c>
      <c r="I298" s="13" t="s">
        <v>34</v>
      </c>
      <c r="J298" s="13">
        <v>8.0</v>
      </c>
      <c r="K298" s="13" t="s">
        <v>610</v>
      </c>
      <c r="L298" s="13" t="s">
        <v>279</v>
      </c>
      <c r="M298" s="13" t="s">
        <v>37</v>
      </c>
      <c r="N298" s="13" t="s">
        <v>38</v>
      </c>
      <c r="O298" s="14">
        <v>78.6</v>
      </c>
      <c r="P298" s="14">
        <f t="shared" si="2"/>
        <v>628.8</v>
      </c>
      <c r="Q298" s="14">
        <v>78.29</v>
      </c>
    </row>
    <row r="299">
      <c r="A299" s="12">
        <v>42364.0</v>
      </c>
      <c r="B299" s="12"/>
      <c r="C299" s="12" t="s">
        <v>2325</v>
      </c>
      <c r="D299" s="1" t="s">
        <v>317</v>
      </c>
      <c r="E299" s="15" t="str">
        <f t="shared" si="1"/>
        <v>Dec</v>
      </c>
      <c r="F299" s="13" t="s">
        <v>121</v>
      </c>
      <c r="G299" s="13" t="s">
        <v>2517</v>
      </c>
      <c r="H299" s="13" t="s">
        <v>2541</v>
      </c>
      <c r="I299" s="13" t="s">
        <v>34</v>
      </c>
      <c r="J299" s="13">
        <v>8.0</v>
      </c>
      <c r="K299" s="13" t="s">
        <v>610</v>
      </c>
      <c r="L299" s="13" t="s">
        <v>279</v>
      </c>
      <c r="M299" s="13" t="s">
        <v>37</v>
      </c>
      <c r="N299" s="13" t="s">
        <v>38</v>
      </c>
      <c r="O299" s="14">
        <v>27.552</v>
      </c>
      <c r="P299" s="14">
        <f t="shared" si="2"/>
        <v>220.416</v>
      </c>
      <c r="Q299" s="14">
        <v>27.54</v>
      </c>
    </row>
    <row r="300">
      <c r="A300" s="12">
        <v>43036.0</v>
      </c>
      <c r="B300" s="12"/>
      <c r="C300" s="12" t="s">
        <v>2358</v>
      </c>
      <c r="D300" s="6">
        <v>42805.0</v>
      </c>
      <c r="E300" s="15" t="str">
        <f t="shared" si="1"/>
        <v>Mar</v>
      </c>
      <c r="F300" s="13" t="s">
        <v>41</v>
      </c>
      <c r="G300" s="13" t="s">
        <v>2447</v>
      </c>
      <c r="H300" s="13" t="s">
        <v>2448</v>
      </c>
      <c r="I300" s="13" t="s">
        <v>34</v>
      </c>
      <c r="J300" s="13">
        <v>7.0</v>
      </c>
      <c r="K300" s="13" t="s">
        <v>612</v>
      </c>
      <c r="L300" s="13" t="s">
        <v>462</v>
      </c>
      <c r="M300" s="13" t="s">
        <v>100</v>
      </c>
      <c r="N300" s="13" t="s">
        <v>38</v>
      </c>
      <c r="O300" s="14">
        <v>32.4</v>
      </c>
      <c r="P300" s="14">
        <f t="shared" si="2"/>
        <v>226.8</v>
      </c>
      <c r="Q300" s="14">
        <v>32.06</v>
      </c>
    </row>
    <row r="301">
      <c r="A301" s="12">
        <v>43036.0</v>
      </c>
      <c r="B301" s="12"/>
      <c r="C301" s="12" t="s">
        <v>2358</v>
      </c>
      <c r="D301" s="6">
        <v>42805.0</v>
      </c>
      <c r="E301" s="15" t="str">
        <f t="shared" si="1"/>
        <v>Mar</v>
      </c>
      <c r="F301" s="13" t="s">
        <v>41</v>
      </c>
      <c r="G301" s="13" t="s">
        <v>2447</v>
      </c>
      <c r="H301" s="13" t="s">
        <v>2448</v>
      </c>
      <c r="I301" s="13" t="s">
        <v>34</v>
      </c>
      <c r="J301" s="13">
        <v>7.0</v>
      </c>
      <c r="K301" s="13" t="s">
        <v>612</v>
      </c>
      <c r="L301" s="13" t="s">
        <v>462</v>
      </c>
      <c r="M301" s="13" t="s">
        <v>100</v>
      </c>
      <c r="N301" s="13" t="s">
        <v>38</v>
      </c>
      <c r="O301" s="14">
        <v>1082.48</v>
      </c>
      <c r="P301" s="14">
        <f t="shared" si="2"/>
        <v>7577.36</v>
      </c>
      <c r="Q301" s="14">
        <v>1081.82</v>
      </c>
    </row>
    <row r="302">
      <c r="A302" s="12">
        <v>43036.0</v>
      </c>
      <c r="B302" s="12"/>
      <c r="C302" s="12" t="s">
        <v>2358</v>
      </c>
      <c r="D302" s="6">
        <v>42805.0</v>
      </c>
      <c r="E302" s="15" t="str">
        <f t="shared" si="1"/>
        <v>Mar</v>
      </c>
      <c r="F302" s="13" t="s">
        <v>41</v>
      </c>
      <c r="G302" s="13" t="s">
        <v>2447</v>
      </c>
      <c r="H302" s="13" t="s">
        <v>2448</v>
      </c>
      <c r="I302" s="13" t="s">
        <v>34</v>
      </c>
      <c r="J302" s="13">
        <v>7.0</v>
      </c>
      <c r="K302" s="13" t="s">
        <v>612</v>
      </c>
      <c r="L302" s="13" t="s">
        <v>462</v>
      </c>
      <c r="M302" s="13" t="s">
        <v>100</v>
      </c>
      <c r="N302" s="13" t="s">
        <v>38</v>
      </c>
      <c r="O302" s="14">
        <v>56.91</v>
      </c>
      <c r="P302" s="14">
        <f t="shared" si="2"/>
        <v>398.37</v>
      </c>
      <c r="Q302" s="14">
        <v>56.78</v>
      </c>
    </row>
    <row r="303">
      <c r="A303" s="12">
        <v>43036.0</v>
      </c>
      <c r="B303" s="12"/>
      <c r="C303" s="12" t="s">
        <v>2358</v>
      </c>
      <c r="D303" s="6">
        <v>42805.0</v>
      </c>
      <c r="E303" s="15" t="str">
        <f t="shared" si="1"/>
        <v>Mar</v>
      </c>
      <c r="F303" s="13" t="s">
        <v>41</v>
      </c>
      <c r="G303" s="13" t="s">
        <v>2447</v>
      </c>
      <c r="H303" s="13" t="s">
        <v>2448</v>
      </c>
      <c r="I303" s="13" t="s">
        <v>34</v>
      </c>
      <c r="J303" s="13">
        <v>7.0</v>
      </c>
      <c r="K303" s="13" t="s">
        <v>612</v>
      </c>
      <c r="L303" s="13" t="s">
        <v>462</v>
      </c>
      <c r="M303" s="13" t="s">
        <v>100</v>
      </c>
      <c r="N303" s="13" t="s">
        <v>27</v>
      </c>
      <c r="O303" s="14">
        <v>77.6</v>
      </c>
      <c r="P303" s="14">
        <f t="shared" si="2"/>
        <v>543.2</v>
      </c>
      <c r="Q303" s="14">
        <v>76.91</v>
      </c>
    </row>
    <row r="304">
      <c r="A304" s="12">
        <v>43036.0</v>
      </c>
      <c r="B304" s="12"/>
      <c r="C304" s="12" t="s">
        <v>2358</v>
      </c>
      <c r="D304" s="6">
        <v>42805.0</v>
      </c>
      <c r="E304" s="15" t="str">
        <f t="shared" si="1"/>
        <v>Mar</v>
      </c>
      <c r="F304" s="13" t="s">
        <v>41</v>
      </c>
      <c r="G304" s="13" t="s">
        <v>2447</v>
      </c>
      <c r="H304" s="13" t="s">
        <v>2448</v>
      </c>
      <c r="I304" s="13" t="s">
        <v>34</v>
      </c>
      <c r="J304" s="13">
        <v>7.0</v>
      </c>
      <c r="K304" s="13" t="s">
        <v>612</v>
      </c>
      <c r="L304" s="13" t="s">
        <v>462</v>
      </c>
      <c r="M304" s="13" t="s">
        <v>100</v>
      </c>
      <c r="N304" s="13" t="s">
        <v>38</v>
      </c>
      <c r="O304" s="14">
        <v>14.28</v>
      </c>
      <c r="P304" s="14">
        <f t="shared" si="2"/>
        <v>99.96</v>
      </c>
      <c r="Q304" s="14">
        <v>14.16</v>
      </c>
    </row>
    <row r="305">
      <c r="A305" s="12">
        <v>43423.0</v>
      </c>
      <c r="B305" s="12"/>
      <c r="C305" s="12" t="s">
        <v>2326</v>
      </c>
      <c r="D305" s="1" t="s">
        <v>614</v>
      </c>
      <c r="E305" s="15" t="str">
        <f t="shared" si="1"/>
        <v>Nov</v>
      </c>
      <c r="F305" s="13" t="s">
        <v>41</v>
      </c>
      <c r="G305" s="13" t="s">
        <v>2447</v>
      </c>
      <c r="H305" s="13" t="s">
        <v>2510</v>
      </c>
      <c r="I305" s="13" t="s">
        <v>23</v>
      </c>
      <c r="J305" s="13">
        <v>6.0</v>
      </c>
      <c r="K305" s="13" t="s">
        <v>188</v>
      </c>
      <c r="L305" s="13" t="s">
        <v>135</v>
      </c>
      <c r="M305" s="13" t="s">
        <v>71</v>
      </c>
      <c r="N305" s="13" t="s">
        <v>27</v>
      </c>
      <c r="O305" s="14">
        <v>219.075</v>
      </c>
      <c r="P305" s="14">
        <f t="shared" si="2"/>
        <v>1314.45</v>
      </c>
      <c r="Q305" s="14">
        <v>218.6</v>
      </c>
    </row>
    <row r="306">
      <c r="A306" s="12">
        <v>42465.0</v>
      </c>
      <c r="B306" s="12"/>
      <c r="C306" s="12" t="s">
        <v>2332</v>
      </c>
      <c r="D306" s="6">
        <v>42618.0</v>
      </c>
      <c r="E306" s="15" t="str">
        <f t="shared" si="1"/>
        <v>Sep</v>
      </c>
      <c r="F306" s="13" t="s">
        <v>20</v>
      </c>
      <c r="G306" s="13" t="s">
        <v>2438</v>
      </c>
      <c r="H306" s="13" t="s">
        <v>2542</v>
      </c>
      <c r="I306" s="13" t="s">
        <v>34</v>
      </c>
      <c r="J306" s="13">
        <v>1.0</v>
      </c>
      <c r="K306" s="13" t="s">
        <v>174</v>
      </c>
      <c r="L306" s="13" t="s">
        <v>175</v>
      </c>
      <c r="M306" s="13" t="s">
        <v>100</v>
      </c>
      <c r="N306" s="13" t="s">
        <v>27</v>
      </c>
      <c r="O306" s="14">
        <v>26.8</v>
      </c>
      <c r="P306" s="14">
        <f t="shared" si="2"/>
        <v>26.8</v>
      </c>
      <c r="Q306" s="14">
        <v>25.99</v>
      </c>
    </row>
    <row r="307">
      <c r="A307" s="12">
        <v>42368.0</v>
      </c>
      <c r="B307" s="12"/>
      <c r="C307" s="12" t="s">
        <v>2325</v>
      </c>
      <c r="D307" s="6">
        <v>42461.0</v>
      </c>
      <c r="E307" s="15" t="str">
        <f t="shared" si="1"/>
        <v>Apr</v>
      </c>
      <c r="F307" s="13" t="s">
        <v>41</v>
      </c>
      <c r="G307" s="13" t="s">
        <v>2346</v>
      </c>
      <c r="H307" s="13" t="s">
        <v>2394</v>
      </c>
      <c r="I307" s="13" t="s">
        <v>34</v>
      </c>
      <c r="J307" s="13">
        <v>4.0</v>
      </c>
      <c r="K307" s="13" t="s">
        <v>619</v>
      </c>
      <c r="L307" s="13" t="s">
        <v>157</v>
      </c>
      <c r="M307" s="13" t="s">
        <v>71</v>
      </c>
      <c r="N307" s="13" t="s">
        <v>38</v>
      </c>
      <c r="O307" s="14">
        <v>9.84</v>
      </c>
      <c r="P307" s="14">
        <f t="shared" si="2"/>
        <v>39.36</v>
      </c>
      <c r="Q307" s="14">
        <v>9.41</v>
      </c>
    </row>
    <row r="308">
      <c r="A308" s="12">
        <v>42010.0</v>
      </c>
      <c r="B308" s="12"/>
      <c r="C308" s="12" t="s">
        <v>2353</v>
      </c>
      <c r="D308" s="6">
        <v>42161.0</v>
      </c>
      <c r="E308" s="15" t="str">
        <f t="shared" si="1"/>
        <v>Jun</v>
      </c>
      <c r="F308" s="13" t="s">
        <v>41</v>
      </c>
      <c r="G308" s="13" t="s">
        <v>2543</v>
      </c>
      <c r="H308" s="13" t="s">
        <v>2544</v>
      </c>
      <c r="I308" s="13" t="s">
        <v>68</v>
      </c>
      <c r="J308" s="13">
        <v>8.0</v>
      </c>
      <c r="K308" s="13" t="s">
        <v>623</v>
      </c>
      <c r="L308" s="13" t="s">
        <v>462</v>
      </c>
      <c r="M308" s="13" t="s">
        <v>100</v>
      </c>
      <c r="N308" s="13" t="s">
        <v>38</v>
      </c>
      <c r="O308" s="14">
        <v>45.48</v>
      </c>
      <c r="P308" s="14">
        <f t="shared" si="2"/>
        <v>363.84</v>
      </c>
      <c r="Q308" s="14">
        <v>45.44</v>
      </c>
    </row>
    <row r="309">
      <c r="A309" s="12">
        <v>42010.0</v>
      </c>
      <c r="B309" s="12"/>
      <c r="C309" s="12" t="s">
        <v>2353</v>
      </c>
      <c r="D309" s="6">
        <v>42161.0</v>
      </c>
      <c r="E309" s="15" t="str">
        <f t="shared" si="1"/>
        <v>Jun</v>
      </c>
      <c r="F309" s="13" t="s">
        <v>41</v>
      </c>
      <c r="G309" s="13" t="s">
        <v>2543</v>
      </c>
      <c r="H309" s="13" t="s">
        <v>2544</v>
      </c>
      <c r="I309" s="13" t="s">
        <v>68</v>
      </c>
      <c r="J309" s="13">
        <v>8.0</v>
      </c>
      <c r="K309" s="13" t="s">
        <v>623</v>
      </c>
      <c r="L309" s="13" t="s">
        <v>462</v>
      </c>
      <c r="M309" s="13" t="s">
        <v>100</v>
      </c>
      <c r="N309" s="13" t="s">
        <v>38</v>
      </c>
      <c r="O309" s="14">
        <v>289.2</v>
      </c>
      <c r="P309" s="14">
        <f t="shared" si="2"/>
        <v>2313.6</v>
      </c>
      <c r="Q309" s="14">
        <v>288.87</v>
      </c>
    </row>
    <row r="310">
      <c r="A310" s="12">
        <v>43205.0</v>
      </c>
      <c r="B310" s="12"/>
      <c r="C310" s="12" t="s">
        <v>2332</v>
      </c>
      <c r="D310" s="1" t="s">
        <v>625</v>
      </c>
      <c r="E310" s="15" t="str">
        <f t="shared" si="1"/>
        <v>Apr</v>
      </c>
      <c r="F310" s="13" t="s">
        <v>121</v>
      </c>
      <c r="G310" s="13" t="s">
        <v>2545</v>
      </c>
      <c r="H310" s="13" t="s">
        <v>2495</v>
      </c>
      <c r="I310" s="13" t="s">
        <v>23</v>
      </c>
      <c r="J310" s="13">
        <v>2.0</v>
      </c>
      <c r="K310" s="13" t="s">
        <v>628</v>
      </c>
      <c r="L310" s="13" t="s">
        <v>198</v>
      </c>
      <c r="M310" s="13" t="s">
        <v>26</v>
      </c>
      <c r="N310" s="13" t="s">
        <v>38</v>
      </c>
      <c r="O310" s="14">
        <v>4.89</v>
      </c>
      <c r="P310" s="14">
        <f t="shared" si="2"/>
        <v>9.78</v>
      </c>
      <c r="Q310" s="14">
        <v>4.36</v>
      </c>
    </row>
    <row r="311">
      <c r="A311" s="12">
        <v>43078.0</v>
      </c>
      <c r="B311" s="12"/>
      <c r="C311" s="12" t="s">
        <v>2325</v>
      </c>
      <c r="D311" s="1" t="s">
        <v>630</v>
      </c>
      <c r="E311" s="15" t="str">
        <f t="shared" si="1"/>
        <v>Sep</v>
      </c>
      <c r="F311" s="13" t="s">
        <v>20</v>
      </c>
      <c r="G311" s="13" t="s">
        <v>2546</v>
      </c>
      <c r="H311" s="13" t="s">
        <v>2547</v>
      </c>
      <c r="I311" s="13" t="s">
        <v>34</v>
      </c>
      <c r="J311" s="13">
        <v>8.0</v>
      </c>
      <c r="K311" s="13" t="s">
        <v>633</v>
      </c>
      <c r="L311" s="13" t="s">
        <v>279</v>
      </c>
      <c r="M311" s="13" t="s">
        <v>37</v>
      </c>
      <c r="N311" s="13" t="s">
        <v>27</v>
      </c>
      <c r="O311" s="14">
        <v>15.136</v>
      </c>
      <c r="P311" s="14">
        <f t="shared" si="2"/>
        <v>121.088</v>
      </c>
      <c r="Q311" s="14">
        <v>14.89</v>
      </c>
    </row>
    <row r="312">
      <c r="A312" s="12">
        <v>43078.0</v>
      </c>
      <c r="B312" s="12"/>
      <c r="C312" s="12" t="s">
        <v>2325</v>
      </c>
      <c r="D312" s="1" t="s">
        <v>630</v>
      </c>
      <c r="E312" s="15" t="str">
        <f t="shared" si="1"/>
        <v>Sep</v>
      </c>
      <c r="F312" s="13" t="s">
        <v>20</v>
      </c>
      <c r="G312" s="13" t="s">
        <v>2546</v>
      </c>
      <c r="H312" s="13" t="s">
        <v>2547</v>
      </c>
      <c r="I312" s="13" t="s">
        <v>34</v>
      </c>
      <c r="J312" s="13">
        <v>8.0</v>
      </c>
      <c r="K312" s="13" t="s">
        <v>633</v>
      </c>
      <c r="L312" s="13" t="s">
        <v>279</v>
      </c>
      <c r="M312" s="13" t="s">
        <v>37</v>
      </c>
      <c r="N312" s="13" t="s">
        <v>27</v>
      </c>
      <c r="O312" s="14">
        <v>466.768</v>
      </c>
      <c r="P312" s="14">
        <f t="shared" si="2"/>
        <v>3734.144</v>
      </c>
      <c r="Q312" s="14">
        <v>465.9</v>
      </c>
    </row>
    <row r="313">
      <c r="A313" s="12">
        <v>43078.0</v>
      </c>
      <c r="B313" s="12"/>
      <c r="C313" s="12" t="s">
        <v>2325</v>
      </c>
      <c r="D313" s="1" t="s">
        <v>630</v>
      </c>
      <c r="E313" s="15" t="str">
        <f t="shared" si="1"/>
        <v>Sep</v>
      </c>
      <c r="F313" s="13" t="s">
        <v>20</v>
      </c>
      <c r="G313" s="13" t="s">
        <v>2546</v>
      </c>
      <c r="H313" s="13" t="s">
        <v>2547</v>
      </c>
      <c r="I313" s="13" t="s">
        <v>34</v>
      </c>
      <c r="J313" s="13">
        <v>8.0</v>
      </c>
      <c r="K313" s="13" t="s">
        <v>633</v>
      </c>
      <c r="L313" s="13" t="s">
        <v>279</v>
      </c>
      <c r="M313" s="13" t="s">
        <v>37</v>
      </c>
      <c r="N313" s="13" t="s">
        <v>27</v>
      </c>
      <c r="O313" s="14">
        <v>15.232</v>
      </c>
      <c r="P313" s="14">
        <f t="shared" si="2"/>
        <v>121.856</v>
      </c>
      <c r="Q313" s="14">
        <v>14.76</v>
      </c>
    </row>
    <row r="314">
      <c r="A314" s="12">
        <v>43078.0</v>
      </c>
      <c r="B314" s="12"/>
      <c r="C314" s="12" t="s">
        <v>2325</v>
      </c>
      <c r="D314" s="1" t="s">
        <v>630</v>
      </c>
      <c r="E314" s="15" t="str">
        <f t="shared" si="1"/>
        <v>Sep</v>
      </c>
      <c r="F314" s="13" t="s">
        <v>20</v>
      </c>
      <c r="G314" s="13" t="s">
        <v>2546</v>
      </c>
      <c r="H314" s="13" t="s">
        <v>2547</v>
      </c>
      <c r="I314" s="13" t="s">
        <v>34</v>
      </c>
      <c r="J314" s="13">
        <v>8.0</v>
      </c>
      <c r="K314" s="13" t="s">
        <v>633</v>
      </c>
      <c r="L314" s="13" t="s">
        <v>279</v>
      </c>
      <c r="M314" s="13" t="s">
        <v>37</v>
      </c>
      <c r="N314" s="13" t="s">
        <v>38</v>
      </c>
      <c r="O314" s="14">
        <v>6.264</v>
      </c>
      <c r="P314" s="14">
        <f t="shared" si="2"/>
        <v>50.112</v>
      </c>
      <c r="Q314" s="14">
        <v>5.52</v>
      </c>
    </row>
    <row r="315">
      <c r="A315" s="12">
        <v>42274.0</v>
      </c>
      <c r="B315" s="12"/>
      <c r="C315" s="12" t="s">
        <v>2329</v>
      </c>
      <c r="D315" s="6">
        <v>42073.0</v>
      </c>
      <c r="E315" s="15" t="str">
        <f t="shared" si="1"/>
        <v>Mar</v>
      </c>
      <c r="F315" s="13" t="s">
        <v>41</v>
      </c>
      <c r="G315" s="13" t="s">
        <v>2548</v>
      </c>
      <c r="H315" s="13" t="s">
        <v>2549</v>
      </c>
      <c r="I315" s="13" t="s">
        <v>34</v>
      </c>
      <c r="J315" s="13">
        <v>7.0</v>
      </c>
      <c r="K315" s="13" t="s">
        <v>637</v>
      </c>
      <c r="L315" s="13" t="s">
        <v>462</v>
      </c>
      <c r="M315" s="13" t="s">
        <v>100</v>
      </c>
      <c r="N315" s="13" t="s">
        <v>27</v>
      </c>
      <c r="O315" s="14">
        <v>87.54</v>
      </c>
      <c r="P315" s="14">
        <f t="shared" si="2"/>
        <v>612.78</v>
      </c>
      <c r="Q315" s="14">
        <v>87.11</v>
      </c>
    </row>
    <row r="316">
      <c r="A316" s="12">
        <v>42255.0</v>
      </c>
      <c r="B316" s="12"/>
      <c r="C316" s="12" t="s">
        <v>2329</v>
      </c>
      <c r="D316" s="1" t="s">
        <v>639</v>
      </c>
      <c r="E316" s="15" t="str">
        <f t="shared" si="1"/>
        <v>Aug</v>
      </c>
      <c r="F316" s="13" t="s">
        <v>41</v>
      </c>
      <c r="G316" s="13" t="s">
        <v>2550</v>
      </c>
      <c r="H316" s="13" t="s">
        <v>2551</v>
      </c>
      <c r="I316" s="13" t="s">
        <v>34</v>
      </c>
      <c r="J316" s="13">
        <v>3.0</v>
      </c>
      <c r="K316" s="13" t="s">
        <v>642</v>
      </c>
      <c r="L316" s="13" t="s">
        <v>145</v>
      </c>
      <c r="M316" s="13" t="s">
        <v>26</v>
      </c>
      <c r="N316" s="13" t="s">
        <v>51</v>
      </c>
      <c r="O316" s="14">
        <v>178.384</v>
      </c>
      <c r="P316" s="14">
        <f t="shared" si="2"/>
        <v>535.152</v>
      </c>
      <c r="Q316" s="14">
        <v>178.32</v>
      </c>
    </row>
    <row r="317">
      <c r="A317" s="12">
        <v>42255.0</v>
      </c>
      <c r="B317" s="12"/>
      <c r="C317" s="12" t="s">
        <v>2329</v>
      </c>
      <c r="D317" s="1" t="s">
        <v>639</v>
      </c>
      <c r="E317" s="15" t="str">
        <f t="shared" si="1"/>
        <v>Aug</v>
      </c>
      <c r="F317" s="13" t="s">
        <v>41</v>
      </c>
      <c r="G317" s="13" t="s">
        <v>2550</v>
      </c>
      <c r="H317" s="13" t="s">
        <v>2551</v>
      </c>
      <c r="I317" s="13" t="s">
        <v>34</v>
      </c>
      <c r="J317" s="13">
        <v>3.0</v>
      </c>
      <c r="K317" s="13" t="s">
        <v>642</v>
      </c>
      <c r="L317" s="13" t="s">
        <v>145</v>
      </c>
      <c r="M317" s="13" t="s">
        <v>26</v>
      </c>
      <c r="N317" s="13" t="s">
        <v>38</v>
      </c>
      <c r="O317" s="14">
        <v>15.552</v>
      </c>
      <c r="P317" s="14">
        <f t="shared" si="2"/>
        <v>46.656</v>
      </c>
      <c r="Q317" s="14">
        <v>15.28</v>
      </c>
    </row>
    <row r="318">
      <c r="A318" s="12">
        <v>42366.0</v>
      </c>
      <c r="B318" s="12"/>
      <c r="C318" s="12" t="s">
        <v>2325</v>
      </c>
      <c r="D318" s="1" t="s">
        <v>644</v>
      </c>
      <c r="E318" s="15" t="str">
        <f t="shared" si="1"/>
        <v>Dec</v>
      </c>
      <c r="F318" s="13" t="s">
        <v>121</v>
      </c>
      <c r="G318" s="13" t="s">
        <v>2552</v>
      </c>
      <c r="H318" s="13" t="s">
        <v>2553</v>
      </c>
      <c r="I318" s="13" t="s">
        <v>34</v>
      </c>
      <c r="J318" s="13">
        <v>1.0</v>
      </c>
      <c r="K318" s="13" t="s">
        <v>98</v>
      </c>
      <c r="L318" s="13" t="s">
        <v>99</v>
      </c>
      <c r="M318" s="13" t="s">
        <v>100</v>
      </c>
      <c r="N318" s="13" t="s">
        <v>38</v>
      </c>
      <c r="O318" s="14">
        <v>99.136</v>
      </c>
      <c r="P318" s="14">
        <f t="shared" si="2"/>
        <v>99.136</v>
      </c>
      <c r="Q318" s="14">
        <v>99.02</v>
      </c>
    </row>
    <row r="319">
      <c r="A319" s="12">
        <v>42105.0</v>
      </c>
      <c r="B319" s="12"/>
      <c r="C319" s="12" t="s">
        <v>2332</v>
      </c>
      <c r="D319" s="6">
        <v>42258.0</v>
      </c>
      <c r="E319" s="15" t="str">
        <f t="shared" si="1"/>
        <v>Sep</v>
      </c>
      <c r="F319" s="13" t="s">
        <v>41</v>
      </c>
      <c r="G319" s="13" t="s">
        <v>2554</v>
      </c>
      <c r="H319" s="13" t="s">
        <v>2555</v>
      </c>
      <c r="I319" s="13" t="s">
        <v>68</v>
      </c>
      <c r="J319" s="13">
        <v>1.0</v>
      </c>
      <c r="K319" s="13" t="s">
        <v>174</v>
      </c>
      <c r="L319" s="13" t="s">
        <v>175</v>
      </c>
      <c r="M319" s="13" t="s">
        <v>100</v>
      </c>
      <c r="N319" s="13" t="s">
        <v>27</v>
      </c>
      <c r="O319" s="14">
        <v>135.882</v>
      </c>
      <c r="P319" s="14">
        <f t="shared" si="2"/>
        <v>135.882</v>
      </c>
      <c r="Q319" s="14">
        <v>135.21</v>
      </c>
    </row>
    <row r="320">
      <c r="A320" s="12">
        <v>42105.0</v>
      </c>
      <c r="B320" s="12"/>
      <c r="C320" s="12" t="s">
        <v>2332</v>
      </c>
      <c r="D320" s="6">
        <v>42258.0</v>
      </c>
      <c r="E320" s="15" t="str">
        <f t="shared" si="1"/>
        <v>Sep</v>
      </c>
      <c r="F320" s="13" t="s">
        <v>41</v>
      </c>
      <c r="G320" s="13" t="s">
        <v>2554</v>
      </c>
      <c r="H320" s="13" t="s">
        <v>2555</v>
      </c>
      <c r="I320" s="13" t="s">
        <v>68</v>
      </c>
      <c r="J320" s="13">
        <v>1.0</v>
      </c>
      <c r="K320" s="13" t="s">
        <v>174</v>
      </c>
      <c r="L320" s="13" t="s">
        <v>175</v>
      </c>
      <c r="M320" s="13" t="s">
        <v>100</v>
      </c>
      <c r="N320" s="13" t="s">
        <v>51</v>
      </c>
      <c r="O320" s="14">
        <v>3991.98</v>
      </c>
      <c r="P320" s="14">
        <f t="shared" si="2"/>
        <v>3991.98</v>
      </c>
      <c r="Q320" s="14">
        <v>3991.36</v>
      </c>
    </row>
    <row r="321">
      <c r="A321" s="12">
        <v>42105.0</v>
      </c>
      <c r="B321" s="12"/>
      <c r="C321" s="12" t="s">
        <v>2332</v>
      </c>
      <c r="D321" s="6">
        <v>42258.0</v>
      </c>
      <c r="E321" s="15" t="str">
        <f t="shared" si="1"/>
        <v>Sep</v>
      </c>
      <c r="F321" s="13" t="s">
        <v>41</v>
      </c>
      <c r="G321" s="13" t="s">
        <v>2554</v>
      </c>
      <c r="H321" s="13" t="s">
        <v>2555</v>
      </c>
      <c r="I321" s="13" t="s">
        <v>68</v>
      </c>
      <c r="J321" s="13">
        <v>1.0</v>
      </c>
      <c r="K321" s="13" t="s">
        <v>174</v>
      </c>
      <c r="L321" s="13" t="s">
        <v>175</v>
      </c>
      <c r="M321" s="13" t="s">
        <v>100</v>
      </c>
      <c r="N321" s="13" t="s">
        <v>51</v>
      </c>
      <c r="O321" s="14">
        <v>275.94</v>
      </c>
      <c r="P321" s="14">
        <f t="shared" si="2"/>
        <v>275.94</v>
      </c>
      <c r="Q321" s="14">
        <v>275.36</v>
      </c>
    </row>
    <row r="322">
      <c r="A322" s="12">
        <v>42105.0</v>
      </c>
      <c r="B322" s="12"/>
      <c r="C322" s="12" t="s">
        <v>2332</v>
      </c>
      <c r="D322" s="6">
        <v>42258.0</v>
      </c>
      <c r="E322" s="15" t="str">
        <f t="shared" si="1"/>
        <v>Sep</v>
      </c>
      <c r="F322" s="13" t="s">
        <v>41</v>
      </c>
      <c r="G322" s="13" t="s">
        <v>2554</v>
      </c>
      <c r="H322" s="13" t="s">
        <v>2555</v>
      </c>
      <c r="I322" s="13" t="s">
        <v>68</v>
      </c>
      <c r="J322" s="13">
        <v>1.0</v>
      </c>
      <c r="K322" s="13" t="s">
        <v>174</v>
      </c>
      <c r="L322" s="13" t="s">
        <v>175</v>
      </c>
      <c r="M322" s="13" t="s">
        <v>100</v>
      </c>
      <c r="N322" s="13" t="s">
        <v>51</v>
      </c>
      <c r="O322" s="14">
        <v>360.0</v>
      </c>
      <c r="P322" s="14">
        <f t="shared" si="2"/>
        <v>360</v>
      </c>
      <c r="Q322" s="14">
        <v>359.42</v>
      </c>
    </row>
    <row r="323">
      <c r="A323" s="12">
        <v>42105.0</v>
      </c>
      <c r="B323" s="12"/>
      <c r="C323" s="12" t="s">
        <v>2332</v>
      </c>
      <c r="D323" s="6">
        <v>42258.0</v>
      </c>
      <c r="E323" s="15" t="str">
        <f t="shared" si="1"/>
        <v>Sep</v>
      </c>
      <c r="F323" s="13" t="s">
        <v>41</v>
      </c>
      <c r="G323" s="13" t="s">
        <v>2554</v>
      </c>
      <c r="H323" s="13" t="s">
        <v>2555</v>
      </c>
      <c r="I323" s="13" t="s">
        <v>68</v>
      </c>
      <c r="J323" s="13">
        <v>1.0</v>
      </c>
      <c r="K323" s="13" t="s">
        <v>174</v>
      </c>
      <c r="L323" s="13" t="s">
        <v>175</v>
      </c>
      <c r="M323" s="13" t="s">
        <v>100</v>
      </c>
      <c r="N323" s="13" t="s">
        <v>38</v>
      </c>
      <c r="O323" s="14">
        <v>43.57</v>
      </c>
      <c r="P323" s="14">
        <f t="shared" si="2"/>
        <v>43.57</v>
      </c>
      <c r="Q323" s="14">
        <v>43.4</v>
      </c>
    </row>
    <row r="324">
      <c r="A324" s="12">
        <v>42266.0</v>
      </c>
      <c r="B324" s="12"/>
      <c r="C324" s="12" t="s">
        <v>2329</v>
      </c>
      <c r="D324" s="1" t="s">
        <v>651</v>
      </c>
      <c r="E324" s="15" t="str">
        <f t="shared" si="1"/>
        <v>Sep</v>
      </c>
      <c r="F324" s="13" t="s">
        <v>41</v>
      </c>
      <c r="G324" s="13" t="s">
        <v>2483</v>
      </c>
      <c r="H324" s="13" t="s">
        <v>2556</v>
      </c>
      <c r="I324" s="13" t="s">
        <v>34</v>
      </c>
      <c r="J324" s="13">
        <v>9.0</v>
      </c>
      <c r="K324" s="13" t="s">
        <v>654</v>
      </c>
      <c r="L324" s="13" t="s">
        <v>52</v>
      </c>
      <c r="M324" s="13" t="s">
        <v>37</v>
      </c>
      <c r="N324" s="13" t="s">
        <v>38</v>
      </c>
      <c r="O324" s="14">
        <v>7.16</v>
      </c>
      <c r="P324" s="14">
        <f t="shared" si="2"/>
        <v>64.44</v>
      </c>
      <c r="Q324" s="14">
        <v>6.57</v>
      </c>
    </row>
    <row r="325">
      <c r="A325" s="12">
        <v>42848.0</v>
      </c>
      <c r="B325" s="12"/>
      <c r="C325" s="12" t="s">
        <v>2332</v>
      </c>
      <c r="D325" s="1" t="s">
        <v>656</v>
      </c>
      <c r="E325" s="15" t="str">
        <f t="shared" si="1"/>
        <v>Apr</v>
      </c>
      <c r="F325" s="13" t="s">
        <v>41</v>
      </c>
      <c r="G325" s="13" t="s">
        <v>2557</v>
      </c>
      <c r="H325" s="13" t="s">
        <v>2517</v>
      </c>
      <c r="I325" s="13" t="s">
        <v>34</v>
      </c>
      <c r="J325" s="13">
        <v>9.0</v>
      </c>
      <c r="K325" s="13" t="s">
        <v>659</v>
      </c>
      <c r="L325" s="13" t="s">
        <v>52</v>
      </c>
      <c r="M325" s="13" t="s">
        <v>37</v>
      </c>
      <c r="N325" s="13" t="s">
        <v>38</v>
      </c>
      <c r="O325" s="14">
        <v>251.52</v>
      </c>
      <c r="P325" s="14">
        <f t="shared" si="2"/>
        <v>2263.68</v>
      </c>
      <c r="Q325" s="14">
        <v>250.57</v>
      </c>
    </row>
    <row r="326">
      <c r="A326" s="12">
        <v>42848.0</v>
      </c>
      <c r="B326" s="12"/>
      <c r="C326" s="12" t="s">
        <v>2332</v>
      </c>
      <c r="D326" s="1" t="s">
        <v>656</v>
      </c>
      <c r="E326" s="15" t="str">
        <f t="shared" si="1"/>
        <v>Apr</v>
      </c>
      <c r="F326" s="13" t="s">
        <v>41</v>
      </c>
      <c r="G326" s="13" t="s">
        <v>2557</v>
      </c>
      <c r="H326" s="13" t="s">
        <v>2517</v>
      </c>
      <c r="I326" s="13" t="s">
        <v>34</v>
      </c>
      <c r="J326" s="13">
        <v>9.0</v>
      </c>
      <c r="K326" s="13" t="s">
        <v>659</v>
      </c>
      <c r="L326" s="13" t="s">
        <v>52</v>
      </c>
      <c r="M326" s="13" t="s">
        <v>37</v>
      </c>
      <c r="N326" s="13" t="s">
        <v>51</v>
      </c>
      <c r="O326" s="14">
        <v>99.99</v>
      </c>
      <c r="P326" s="14">
        <f t="shared" si="2"/>
        <v>899.91</v>
      </c>
      <c r="Q326" s="14">
        <v>99.99</v>
      </c>
    </row>
    <row r="327">
      <c r="A327" s="12">
        <v>43170.0</v>
      </c>
      <c r="B327" s="12"/>
      <c r="C327" s="12" t="s">
        <v>2399</v>
      </c>
      <c r="D327" s="6">
        <v>43231.0</v>
      </c>
      <c r="E327" s="15" t="str">
        <f t="shared" si="1"/>
        <v>May</v>
      </c>
      <c r="F327" s="13" t="s">
        <v>20</v>
      </c>
      <c r="G327" s="13" t="s">
        <v>2558</v>
      </c>
      <c r="H327" s="13" t="s">
        <v>2471</v>
      </c>
      <c r="I327" s="13" t="s">
        <v>34</v>
      </c>
      <c r="J327" s="13">
        <v>3.0</v>
      </c>
      <c r="K327" s="13" t="s">
        <v>663</v>
      </c>
      <c r="L327" s="13" t="s">
        <v>210</v>
      </c>
      <c r="M327" s="13" t="s">
        <v>26</v>
      </c>
      <c r="N327" s="13" t="s">
        <v>27</v>
      </c>
      <c r="O327" s="14">
        <v>15.992</v>
      </c>
      <c r="P327" s="14">
        <f t="shared" si="2"/>
        <v>47.976</v>
      </c>
      <c r="Q327" s="14">
        <v>15.43</v>
      </c>
    </row>
    <row r="328">
      <c r="A328" s="12">
        <v>42977.0</v>
      </c>
      <c r="B328" s="12"/>
      <c r="C328" s="12" t="s">
        <v>2322</v>
      </c>
      <c r="D328" s="6">
        <v>42744.0</v>
      </c>
      <c r="E328" s="15" t="str">
        <f t="shared" si="1"/>
        <v>Jan</v>
      </c>
      <c r="F328" s="13" t="s">
        <v>121</v>
      </c>
      <c r="G328" s="13" t="s">
        <v>2373</v>
      </c>
      <c r="H328" s="13" t="s">
        <v>2559</v>
      </c>
      <c r="I328" s="13" t="s">
        <v>23</v>
      </c>
      <c r="J328" s="13">
        <v>1.0</v>
      </c>
      <c r="K328" s="13" t="s">
        <v>98</v>
      </c>
      <c r="L328" s="13" t="s">
        <v>99</v>
      </c>
      <c r="M328" s="13" t="s">
        <v>100</v>
      </c>
      <c r="N328" s="13" t="s">
        <v>51</v>
      </c>
      <c r="O328" s="14">
        <v>290.898</v>
      </c>
      <c r="P328" s="14">
        <f t="shared" si="2"/>
        <v>290.898</v>
      </c>
      <c r="Q328" s="14">
        <v>290.29</v>
      </c>
    </row>
    <row r="329">
      <c r="A329" s="12">
        <v>42977.0</v>
      </c>
      <c r="B329" s="12"/>
      <c r="C329" s="12" t="s">
        <v>2322</v>
      </c>
      <c r="D329" s="6">
        <v>42744.0</v>
      </c>
      <c r="E329" s="15" t="str">
        <f t="shared" si="1"/>
        <v>Jan</v>
      </c>
      <c r="F329" s="13" t="s">
        <v>121</v>
      </c>
      <c r="G329" s="13" t="s">
        <v>2373</v>
      </c>
      <c r="H329" s="13" t="s">
        <v>2559</v>
      </c>
      <c r="I329" s="13" t="s">
        <v>23</v>
      </c>
      <c r="J329" s="13">
        <v>1.0</v>
      </c>
      <c r="K329" s="13" t="s">
        <v>98</v>
      </c>
      <c r="L329" s="13" t="s">
        <v>99</v>
      </c>
      <c r="M329" s="13" t="s">
        <v>100</v>
      </c>
      <c r="N329" s="13" t="s">
        <v>38</v>
      </c>
      <c r="O329" s="14">
        <v>54.224</v>
      </c>
      <c r="P329" s="14">
        <f t="shared" si="2"/>
        <v>54.224</v>
      </c>
      <c r="Q329" s="14">
        <v>53.98</v>
      </c>
    </row>
    <row r="330">
      <c r="A330" s="12">
        <v>42977.0</v>
      </c>
      <c r="B330" s="12"/>
      <c r="C330" s="12" t="s">
        <v>2322</v>
      </c>
      <c r="D330" s="6">
        <v>42744.0</v>
      </c>
      <c r="E330" s="15" t="str">
        <f t="shared" si="1"/>
        <v>Jan</v>
      </c>
      <c r="F330" s="13" t="s">
        <v>121</v>
      </c>
      <c r="G330" s="13" t="s">
        <v>2373</v>
      </c>
      <c r="H330" s="13" t="s">
        <v>2559</v>
      </c>
      <c r="I330" s="13" t="s">
        <v>23</v>
      </c>
      <c r="J330" s="13">
        <v>1.0</v>
      </c>
      <c r="K330" s="13" t="s">
        <v>98</v>
      </c>
      <c r="L330" s="13" t="s">
        <v>99</v>
      </c>
      <c r="M330" s="13" t="s">
        <v>100</v>
      </c>
      <c r="N330" s="13" t="s">
        <v>27</v>
      </c>
      <c r="O330" s="14">
        <v>786.744</v>
      </c>
      <c r="P330" s="14">
        <f t="shared" si="2"/>
        <v>786.744</v>
      </c>
      <c r="Q330" s="14">
        <v>786.38</v>
      </c>
    </row>
    <row r="331">
      <c r="A331" s="12">
        <v>42977.0</v>
      </c>
      <c r="B331" s="12"/>
      <c r="C331" s="12" t="s">
        <v>2322</v>
      </c>
      <c r="D331" s="6">
        <v>42744.0</v>
      </c>
      <c r="E331" s="15" t="str">
        <f t="shared" si="1"/>
        <v>Jan</v>
      </c>
      <c r="F331" s="13" t="s">
        <v>121</v>
      </c>
      <c r="G331" s="13" t="s">
        <v>2373</v>
      </c>
      <c r="H331" s="13" t="s">
        <v>2559</v>
      </c>
      <c r="I331" s="13" t="s">
        <v>23</v>
      </c>
      <c r="J331" s="13">
        <v>1.0</v>
      </c>
      <c r="K331" s="13" t="s">
        <v>98</v>
      </c>
      <c r="L331" s="13" t="s">
        <v>99</v>
      </c>
      <c r="M331" s="13" t="s">
        <v>100</v>
      </c>
      <c r="N331" s="13" t="s">
        <v>38</v>
      </c>
      <c r="O331" s="14">
        <v>100.24</v>
      </c>
      <c r="P331" s="14">
        <f t="shared" si="2"/>
        <v>100.24</v>
      </c>
      <c r="Q331" s="14">
        <v>99.24</v>
      </c>
    </row>
    <row r="332">
      <c r="A332" s="12">
        <v>42977.0</v>
      </c>
      <c r="B332" s="12"/>
      <c r="C332" s="12" t="s">
        <v>2322</v>
      </c>
      <c r="D332" s="6">
        <v>42744.0</v>
      </c>
      <c r="E332" s="15" t="str">
        <f t="shared" si="1"/>
        <v>Jan</v>
      </c>
      <c r="F332" s="13" t="s">
        <v>121</v>
      </c>
      <c r="G332" s="13" t="s">
        <v>2373</v>
      </c>
      <c r="H332" s="13" t="s">
        <v>2559</v>
      </c>
      <c r="I332" s="13" t="s">
        <v>23</v>
      </c>
      <c r="J332" s="13">
        <v>1.0</v>
      </c>
      <c r="K332" s="13" t="s">
        <v>98</v>
      </c>
      <c r="L332" s="13" t="s">
        <v>99</v>
      </c>
      <c r="M332" s="13" t="s">
        <v>100</v>
      </c>
      <c r="N332" s="13" t="s">
        <v>38</v>
      </c>
      <c r="O332" s="14">
        <v>37.764</v>
      </c>
      <c r="P332" s="14">
        <f t="shared" si="2"/>
        <v>37.764</v>
      </c>
      <c r="Q332" s="14">
        <v>37.7</v>
      </c>
    </row>
    <row r="333">
      <c r="A333" s="12">
        <v>42850.0</v>
      </c>
      <c r="B333" s="12"/>
      <c r="C333" s="12" t="s">
        <v>2332</v>
      </c>
      <c r="D333" s="1" t="s">
        <v>668</v>
      </c>
      <c r="E333" s="15" t="str">
        <f t="shared" si="1"/>
        <v>Apr</v>
      </c>
      <c r="F333" s="13" t="s">
        <v>20</v>
      </c>
      <c r="G333" s="13" t="s">
        <v>2560</v>
      </c>
      <c r="H333" s="13" t="s">
        <v>2561</v>
      </c>
      <c r="I333" s="13" t="s">
        <v>23</v>
      </c>
      <c r="J333" s="13">
        <v>1.0</v>
      </c>
      <c r="K333" s="13" t="s">
        <v>98</v>
      </c>
      <c r="L333" s="13" t="s">
        <v>99</v>
      </c>
      <c r="M333" s="13" t="s">
        <v>100</v>
      </c>
      <c r="N333" s="13" t="s">
        <v>51</v>
      </c>
      <c r="O333" s="14">
        <v>82.8</v>
      </c>
      <c r="P333" s="14">
        <f t="shared" si="2"/>
        <v>82.8</v>
      </c>
      <c r="Q333" s="14">
        <v>82.11</v>
      </c>
    </row>
    <row r="334">
      <c r="A334" s="12">
        <v>42850.0</v>
      </c>
      <c r="B334" s="12"/>
      <c r="C334" s="12" t="s">
        <v>2332</v>
      </c>
      <c r="D334" s="1" t="s">
        <v>668</v>
      </c>
      <c r="E334" s="15" t="str">
        <f t="shared" si="1"/>
        <v>Apr</v>
      </c>
      <c r="F334" s="13" t="s">
        <v>20</v>
      </c>
      <c r="G334" s="13" t="s">
        <v>2560</v>
      </c>
      <c r="H334" s="13" t="s">
        <v>2561</v>
      </c>
      <c r="I334" s="13" t="s">
        <v>23</v>
      </c>
      <c r="J334" s="13">
        <v>1.0</v>
      </c>
      <c r="K334" s="13" t="s">
        <v>98</v>
      </c>
      <c r="L334" s="13" t="s">
        <v>99</v>
      </c>
      <c r="M334" s="13" t="s">
        <v>100</v>
      </c>
      <c r="N334" s="13" t="s">
        <v>38</v>
      </c>
      <c r="O334" s="14">
        <v>20.724</v>
      </c>
      <c r="P334" s="14">
        <f t="shared" si="2"/>
        <v>20.724</v>
      </c>
      <c r="Q334" s="14">
        <v>20.19</v>
      </c>
    </row>
    <row r="335">
      <c r="A335" s="12">
        <v>42850.0</v>
      </c>
      <c r="B335" s="12"/>
      <c r="C335" s="12" t="s">
        <v>2332</v>
      </c>
      <c r="D335" s="1" t="s">
        <v>668</v>
      </c>
      <c r="E335" s="15" t="str">
        <f t="shared" si="1"/>
        <v>Apr</v>
      </c>
      <c r="F335" s="13" t="s">
        <v>20</v>
      </c>
      <c r="G335" s="13" t="s">
        <v>2560</v>
      </c>
      <c r="H335" s="13" t="s">
        <v>2561</v>
      </c>
      <c r="I335" s="13" t="s">
        <v>23</v>
      </c>
      <c r="J335" s="13">
        <v>1.0</v>
      </c>
      <c r="K335" s="13" t="s">
        <v>98</v>
      </c>
      <c r="L335" s="13" t="s">
        <v>99</v>
      </c>
      <c r="M335" s="13" t="s">
        <v>100</v>
      </c>
      <c r="N335" s="13" t="s">
        <v>38</v>
      </c>
      <c r="O335" s="14">
        <v>4.896</v>
      </c>
      <c r="P335" s="14">
        <f t="shared" si="2"/>
        <v>4.896</v>
      </c>
      <c r="Q335" s="14">
        <v>4.8</v>
      </c>
    </row>
    <row r="336">
      <c r="A336" s="12">
        <v>42378.0</v>
      </c>
      <c r="B336" s="12"/>
      <c r="C336" s="12" t="s">
        <v>2353</v>
      </c>
      <c r="D336" s="6">
        <v>42469.0</v>
      </c>
      <c r="E336" s="15" t="str">
        <f t="shared" si="1"/>
        <v>Apr</v>
      </c>
      <c r="F336" s="13" t="s">
        <v>20</v>
      </c>
      <c r="G336" s="13" t="s">
        <v>2562</v>
      </c>
      <c r="H336" s="13" t="s">
        <v>2563</v>
      </c>
      <c r="I336" s="13" t="s">
        <v>23</v>
      </c>
      <c r="J336" s="13">
        <v>9.0</v>
      </c>
      <c r="K336" s="13" t="s">
        <v>35</v>
      </c>
      <c r="L336" s="13" t="s">
        <v>52</v>
      </c>
      <c r="M336" s="13" t="s">
        <v>37</v>
      </c>
      <c r="N336" s="13" t="s">
        <v>38</v>
      </c>
      <c r="O336" s="14">
        <v>4.752</v>
      </c>
      <c r="P336" s="14">
        <f t="shared" si="2"/>
        <v>42.768</v>
      </c>
      <c r="Q336" s="14">
        <v>4.63</v>
      </c>
    </row>
    <row r="337">
      <c r="A337" s="12">
        <v>42378.0</v>
      </c>
      <c r="B337" s="12"/>
      <c r="C337" s="12" t="s">
        <v>2353</v>
      </c>
      <c r="D337" s="6">
        <v>42469.0</v>
      </c>
      <c r="E337" s="15" t="str">
        <f t="shared" si="1"/>
        <v>Apr</v>
      </c>
      <c r="F337" s="13" t="s">
        <v>20</v>
      </c>
      <c r="G337" s="13" t="s">
        <v>2562</v>
      </c>
      <c r="H337" s="13" t="s">
        <v>2563</v>
      </c>
      <c r="I337" s="13" t="s">
        <v>23</v>
      </c>
      <c r="J337" s="13">
        <v>9.0</v>
      </c>
      <c r="K337" s="13" t="s">
        <v>35</v>
      </c>
      <c r="L337" s="13" t="s">
        <v>52</v>
      </c>
      <c r="M337" s="13" t="s">
        <v>37</v>
      </c>
      <c r="N337" s="13" t="s">
        <v>51</v>
      </c>
      <c r="O337" s="14">
        <v>959.984</v>
      </c>
      <c r="P337" s="14">
        <f t="shared" si="2"/>
        <v>8639.856</v>
      </c>
      <c r="Q337" s="14">
        <v>959.68</v>
      </c>
    </row>
    <row r="338">
      <c r="A338" s="12">
        <v>42378.0</v>
      </c>
      <c r="B338" s="12"/>
      <c r="C338" s="12" t="s">
        <v>2353</v>
      </c>
      <c r="D338" s="6">
        <v>42469.0</v>
      </c>
      <c r="E338" s="15" t="str">
        <f t="shared" si="1"/>
        <v>Apr</v>
      </c>
      <c r="F338" s="13" t="s">
        <v>20</v>
      </c>
      <c r="G338" s="13" t="s">
        <v>2562</v>
      </c>
      <c r="H338" s="13" t="s">
        <v>2563</v>
      </c>
      <c r="I338" s="13" t="s">
        <v>23</v>
      </c>
      <c r="J338" s="13">
        <v>9.0</v>
      </c>
      <c r="K338" s="13" t="s">
        <v>35</v>
      </c>
      <c r="L338" s="13" t="s">
        <v>52</v>
      </c>
      <c r="M338" s="13" t="s">
        <v>37</v>
      </c>
      <c r="N338" s="13" t="s">
        <v>38</v>
      </c>
      <c r="O338" s="14">
        <v>14.368</v>
      </c>
      <c r="P338" s="14">
        <f t="shared" si="2"/>
        <v>129.312</v>
      </c>
      <c r="Q338" s="14">
        <v>13.73</v>
      </c>
    </row>
    <row r="339">
      <c r="A339" s="12">
        <v>42345.0</v>
      </c>
      <c r="B339" s="12"/>
      <c r="C339" s="12" t="s">
        <v>2325</v>
      </c>
      <c r="D339" s="1" t="s">
        <v>675</v>
      </c>
      <c r="E339" s="15" t="str">
        <f t="shared" si="1"/>
        <v>Jul</v>
      </c>
      <c r="F339" s="13" t="s">
        <v>41</v>
      </c>
      <c r="G339" s="13" t="s">
        <v>2564</v>
      </c>
      <c r="H339" s="13" t="s">
        <v>2565</v>
      </c>
      <c r="I339" s="13" t="s">
        <v>34</v>
      </c>
      <c r="J339" s="13">
        <v>9.0</v>
      </c>
      <c r="K339" s="13" t="s">
        <v>87</v>
      </c>
      <c r="L339" s="13" t="s">
        <v>52</v>
      </c>
      <c r="M339" s="13" t="s">
        <v>37</v>
      </c>
      <c r="N339" s="13" t="s">
        <v>38</v>
      </c>
      <c r="O339" s="14">
        <v>7.712</v>
      </c>
      <c r="P339" s="14">
        <f t="shared" si="2"/>
        <v>69.408</v>
      </c>
      <c r="Q339" s="14">
        <v>7.19</v>
      </c>
    </row>
    <row r="340">
      <c r="A340" s="12">
        <v>42345.0</v>
      </c>
      <c r="B340" s="12"/>
      <c r="C340" s="12" t="s">
        <v>2325</v>
      </c>
      <c r="D340" s="1" t="s">
        <v>675</v>
      </c>
      <c r="E340" s="15" t="str">
        <f t="shared" si="1"/>
        <v>Jul</v>
      </c>
      <c r="F340" s="13" t="s">
        <v>41</v>
      </c>
      <c r="G340" s="13" t="s">
        <v>2564</v>
      </c>
      <c r="H340" s="13" t="s">
        <v>2565</v>
      </c>
      <c r="I340" s="13" t="s">
        <v>34</v>
      </c>
      <c r="J340" s="13">
        <v>9.0</v>
      </c>
      <c r="K340" s="13" t="s">
        <v>87</v>
      </c>
      <c r="L340" s="13" t="s">
        <v>52</v>
      </c>
      <c r="M340" s="13" t="s">
        <v>37</v>
      </c>
      <c r="N340" s="13" t="s">
        <v>27</v>
      </c>
      <c r="O340" s="14">
        <v>698.352</v>
      </c>
      <c r="P340" s="14">
        <f t="shared" si="2"/>
        <v>6285.168</v>
      </c>
      <c r="Q340" s="14">
        <v>698.24</v>
      </c>
    </row>
    <row r="341">
      <c r="A341" s="12">
        <v>42543.0</v>
      </c>
      <c r="B341" s="12"/>
      <c r="C341" s="12" t="s">
        <v>2374</v>
      </c>
      <c r="D341" s="1" t="s">
        <v>679</v>
      </c>
      <c r="E341" s="15" t="str">
        <f t="shared" si="1"/>
        <v>Jun</v>
      </c>
      <c r="F341" s="13" t="s">
        <v>20</v>
      </c>
      <c r="G341" s="13" t="s">
        <v>2346</v>
      </c>
      <c r="H341" s="13" t="s">
        <v>2514</v>
      </c>
      <c r="I341" s="13" t="s">
        <v>23</v>
      </c>
      <c r="J341" s="13">
        <v>8.0</v>
      </c>
      <c r="K341" s="13" t="s">
        <v>680</v>
      </c>
      <c r="L341" s="13" t="s">
        <v>83</v>
      </c>
      <c r="M341" s="13" t="s">
        <v>37</v>
      </c>
      <c r="N341" s="13" t="s">
        <v>38</v>
      </c>
      <c r="O341" s="14">
        <v>4.96</v>
      </c>
      <c r="P341" s="14">
        <f t="shared" si="2"/>
        <v>39.68</v>
      </c>
      <c r="Q341" s="14">
        <v>4.45</v>
      </c>
    </row>
    <row r="342">
      <c r="A342" s="12">
        <v>42107.0</v>
      </c>
      <c r="B342" s="12"/>
      <c r="C342" s="12" t="s">
        <v>2332</v>
      </c>
      <c r="D342" s="1" t="s">
        <v>682</v>
      </c>
      <c r="E342" s="15" t="str">
        <f t="shared" si="1"/>
        <v>Apr</v>
      </c>
      <c r="F342" s="13" t="s">
        <v>20</v>
      </c>
      <c r="G342" s="13" t="s">
        <v>2447</v>
      </c>
      <c r="H342" s="13" t="s">
        <v>2448</v>
      </c>
      <c r="I342" s="13" t="s">
        <v>34</v>
      </c>
      <c r="J342" s="13">
        <v>1.0</v>
      </c>
      <c r="K342" s="13" t="s">
        <v>98</v>
      </c>
      <c r="L342" s="13" t="s">
        <v>99</v>
      </c>
      <c r="M342" s="13" t="s">
        <v>100</v>
      </c>
      <c r="N342" s="13" t="s">
        <v>38</v>
      </c>
      <c r="O342" s="14">
        <v>17.856</v>
      </c>
      <c r="P342" s="14">
        <f t="shared" si="2"/>
        <v>17.856</v>
      </c>
      <c r="Q342" s="14">
        <v>17.12</v>
      </c>
    </row>
    <row r="343">
      <c r="A343" s="12">
        <v>42107.0</v>
      </c>
      <c r="B343" s="12"/>
      <c r="C343" s="12" t="s">
        <v>2332</v>
      </c>
      <c r="D343" s="1" t="s">
        <v>682</v>
      </c>
      <c r="E343" s="15" t="str">
        <f t="shared" si="1"/>
        <v>Apr</v>
      </c>
      <c r="F343" s="13" t="s">
        <v>20</v>
      </c>
      <c r="G343" s="13" t="s">
        <v>2447</v>
      </c>
      <c r="H343" s="13" t="s">
        <v>2448</v>
      </c>
      <c r="I343" s="13" t="s">
        <v>34</v>
      </c>
      <c r="J343" s="13">
        <v>1.0</v>
      </c>
      <c r="K343" s="13" t="s">
        <v>98</v>
      </c>
      <c r="L343" s="13" t="s">
        <v>99</v>
      </c>
      <c r="M343" s="13" t="s">
        <v>100</v>
      </c>
      <c r="N343" s="13" t="s">
        <v>38</v>
      </c>
      <c r="O343" s="14">
        <v>509.97</v>
      </c>
      <c r="P343" s="14">
        <f t="shared" si="2"/>
        <v>509.97</v>
      </c>
      <c r="Q343" s="14">
        <v>509.93</v>
      </c>
    </row>
    <row r="344">
      <c r="A344" s="12">
        <v>42107.0</v>
      </c>
      <c r="B344" s="12"/>
      <c r="C344" s="12" t="s">
        <v>2332</v>
      </c>
      <c r="D344" s="1" t="s">
        <v>682</v>
      </c>
      <c r="E344" s="15" t="str">
        <f t="shared" si="1"/>
        <v>Apr</v>
      </c>
      <c r="F344" s="13" t="s">
        <v>20</v>
      </c>
      <c r="G344" s="13" t="s">
        <v>2447</v>
      </c>
      <c r="H344" s="13" t="s">
        <v>2448</v>
      </c>
      <c r="I344" s="13" t="s">
        <v>34</v>
      </c>
      <c r="J344" s="13">
        <v>1.0</v>
      </c>
      <c r="K344" s="13" t="s">
        <v>98</v>
      </c>
      <c r="L344" s="13" t="s">
        <v>99</v>
      </c>
      <c r="M344" s="13" t="s">
        <v>100</v>
      </c>
      <c r="N344" s="13" t="s">
        <v>38</v>
      </c>
      <c r="O344" s="14">
        <v>30.992</v>
      </c>
      <c r="P344" s="14">
        <f t="shared" si="2"/>
        <v>30.992</v>
      </c>
      <c r="Q344" s="14">
        <v>30.06</v>
      </c>
    </row>
    <row r="345">
      <c r="A345" s="12">
        <v>42107.0</v>
      </c>
      <c r="B345" s="12"/>
      <c r="C345" s="12" t="s">
        <v>2332</v>
      </c>
      <c r="D345" s="1" t="s">
        <v>682</v>
      </c>
      <c r="E345" s="15" t="str">
        <f t="shared" si="1"/>
        <v>Apr</v>
      </c>
      <c r="F345" s="13" t="s">
        <v>20</v>
      </c>
      <c r="G345" s="13" t="s">
        <v>2447</v>
      </c>
      <c r="H345" s="13" t="s">
        <v>2448</v>
      </c>
      <c r="I345" s="13" t="s">
        <v>34</v>
      </c>
      <c r="J345" s="13">
        <v>1.0</v>
      </c>
      <c r="K345" s="13" t="s">
        <v>98</v>
      </c>
      <c r="L345" s="13" t="s">
        <v>99</v>
      </c>
      <c r="M345" s="13" t="s">
        <v>100</v>
      </c>
      <c r="N345" s="13" t="s">
        <v>51</v>
      </c>
      <c r="O345" s="14">
        <v>71.928</v>
      </c>
      <c r="P345" s="14">
        <f t="shared" si="2"/>
        <v>71.928</v>
      </c>
      <c r="Q345" s="14">
        <v>71.77</v>
      </c>
    </row>
    <row r="346">
      <c r="A346" s="12">
        <v>42724.0</v>
      </c>
      <c r="B346" s="12"/>
      <c r="C346" s="12" t="s">
        <v>2325</v>
      </c>
      <c r="D346" s="1" t="s">
        <v>684</v>
      </c>
      <c r="E346" s="15" t="str">
        <f t="shared" si="1"/>
        <v>Dec</v>
      </c>
      <c r="F346" s="13" t="s">
        <v>41</v>
      </c>
      <c r="G346" s="13" t="s">
        <v>2473</v>
      </c>
      <c r="H346" s="13" t="s">
        <v>2474</v>
      </c>
      <c r="I346" s="13" t="s">
        <v>23</v>
      </c>
      <c r="J346" s="13">
        <v>7.0</v>
      </c>
      <c r="K346" s="13" t="s">
        <v>685</v>
      </c>
      <c r="L346" s="13" t="s">
        <v>70</v>
      </c>
      <c r="M346" s="13" t="s">
        <v>71</v>
      </c>
      <c r="N346" s="13" t="s">
        <v>38</v>
      </c>
      <c r="O346" s="14">
        <v>88.8</v>
      </c>
      <c r="P346" s="14">
        <f t="shared" si="2"/>
        <v>621.6</v>
      </c>
      <c r="Q346" s="14">
        <v>88.41</v>
      </c>
    </row>
    <row r="347">
      <c r="A347" s="12">
        <v>43266.0</v>
      </c>
      <c r="B347" s="12"/>
      <c r="C347" s="12" t="s">
        <v>2374</v>
      </c>
      <c r="D347" s="1" t="s">
        <v>687</v>
      </c>
      <c r="E347" s="15" t="str">
        <f t="shared" si="1"/>
        <v>Jun</v>
      </c>
      <c r="F347" s="13" t="s">
        <v>41</v>
      </c>
      <c r="G347" s="13" t="s">
        <v>2427</v>
      </c>
      <c r="H347" s="13" t="s">
        <v>2566</v>
      </c>
      <c r="I347" s="13" t="s">
        <v>23</v>
      </c>
      <c r="J347" s="13">
        <v>9.0</v>
      </c>
      <c r="K347" s="13" t="s">
        <v>87</v>
      </c>
      <c r="L347" s="13" t="s">
        <v>52</v>
      </c>
      <c r="M347" s="13" t="s">
        <v>37</v>
      </c>
      <c r="N347" s="13" t="s">
        <v>51</v>
      </c>
      <c r="O347" s="14">
        <v>47.976</v>
      </c>
      <c r="P347" s="14">
        <f t="shared" si="2"/>
        <v>431.784</v>
      </c>
      <c r="Q347" s="14">
        <v>47.57</v>
      </c>
    </row>
    <row r="348">
      <c r="A348" s="12">
        <v>43319.0</v>
      </c>
      <c r="B348" s="12"/>
      <c r="C348" s="12" t="s">
        <v>2322</v>
      </c>
      <c r="D348" s="6">
        <v>43441.0</v>
      </c>
      <c r="E348" s="15" t="str">
        <f t="shared" si="1"/>
        <v>Dec</v>
      </c>
      <c r="F348" s="13" t="s">
        <v>41</v>
      </c>
      <c r="G348" s="13" t="s">
        <v>2458</v>
      </c>
      <c r="H348" s="13" t="s">
        <v>2567</v>
      </c>
      <c r="I348" s="13" t="s">
        <v>23</v>
      </c>
      <c r="J348" s="13">
        <v>1.0</v>
      </c>
      <c r="K348" s="13" t="s">
        <v>693</v>
      </c>
      <c r="L348" s="13" t="s">
        <v>694</v>
      </c>
      <c r="M348" s="13" t="s">
        <v>100</v>
      </c>
      <c r="N348" s="13" t="s">
        <v>38</v>
      </c>
      <c r="O348" s="14">
        <v>7.56</v>
      </c>
      <c r="P348" s="14">
        <f t="shared" si="2"/>
        <v>7.56</v>
      </c>
      <c r="Q348" s="14">
        <v>6.69</v>
      </c>
    </row>
    <row r="349">
      <c r="A349" s="12">
        <v>43319.0</v>
      </c>
      <c r="B349" s="12"/>
      <c r="C349" s="12" t="s">
        <v>2322</v>
      </c>
      <c r="D349" s="6">
        <v>43441.0</v>
      </c>
      <c r="E349" s="15" t="str">
        <f t="shared" si="1"/>
        <v>Dec</v>
      </c>
      <c r="F349" s="13" t="s">
        <v>41</v>
      </c>
      <c r="G349" s="13" t="s">
        <v>2458</v>
      </c>
      <c r="H349" s="13" t="s">
        <v>2567</v>
      </c>
      <c r="I349" s="13" t="s">
        <v>23</v>
      </c>
      <c r="J349" s="13">
        <v>1.0</v>
      </c>
      <c r="K349" s="13" t="s">
        <v>693</v>
      </c>
      <c r="L349" s="13" t="s">
        <v>694</v>
      </c>
      <c r="M349" s="13" t="s">
        <v>100</v>
      </c>
      <c r="N349" s="13" t="s">
        <v>38</v>
      </c>
      <c r="O349" s="14">
        <v>24.56</v>
      </c>
      <c r="P349" s="14">
        <f t="shared" si="2"/>
        <v>24.56</v>
      </c>
      <c r="Q349" s="14">
        <v>23.77</v>
      </c>
    </row>
    <row r="350">
      <c r="A350" s="12">
        <v>43319.0</v>
      </c>
      <c r="B350" s="12"/>
      <c r="C350" s="12" t="s">
        <v>2322</v>
      </c>
      <c r="D350" s="6">
        <v>43441.0</v>
      </c>
      <c r="E350" s="15" t="str">
        <f t="shared" si="1"/>
        <v>Dec</v>
      </c>
      <c r="F350" s="13" t="s">
        <v>41</v>
      </c>
      <c r="G350" s="13" t="s">
        <v>2458</v>
      </c>
      <c r="H350" s="13" t="s">
        <v>2567</v>
      </c>
      <c r="I350" s="13" t="s">
        <v>23</v>
      </c>
      <c r="J350" s="13">
        <v>1.0</v>
      </c>
      <c r="K350" s="13" t="s">
        <v>693</v>
      </c>
      <c r="L350" s="13" t="s">
        <v>694</v>
      </c>
      <c r="M350" s="13" t="s">
        <v>100</v>
      </c>
      <c r="N350" s="13" t="s">
        <v>38</v>
      </c>
      <c r="O350" s="14">
        <v>12.96</v>
      </c>
      <c r="P350" s="14">
        <f t="shared" si="2"/>
        <v>12.96</v>
      </c>
      <c r="Q350" s="14">
        <v>12.95</v>
      </c>
    </row>
    <row r="351">
      <c r="A351" s="12">
        <v>42744.0</v>
      </c>
      <c r="B351" s="12"/>
      <c r="C351" s="12" t="s">
        <v>2353</v>
      </c>
      <c r="D351" s="6">
        <v>42803.0</v>
      </c>
      <c r="E351" s="15" t="str">
        <f t="shared" si="1"/>
        <v>Mar</v>
      </c>
      <c r="F351" s="13" t="s">
        <v>121</v>
      </c>
      <c r="G351" s="13" t="s">
        <v>2568</v>
      </c>
      <c r="H351" s="13" t="s">
        <v>2569</v>
      </c>
      <c r="I351" s="13" t="s">
        <v>68</v>
      </c>
      <c r="J351" s="13">
        <v>1.0</v>
      </c>
      <c r="K351" s="13" t="s">
        <v>174</v>
      </c>
      <c r="L351" s="13" t="s">
        <v>175</v>
      </c>
      <c r="M351" s="13" t="s">
        <v>100</v>
      </c>
      <c r="N351" s="13" t="s">
        <v>51</v>
      </c>
      <c r="O351" s="14">
        <v>6.79</v>
      </c>
      <c r="P351" s="14">
        <f t="shared" si="2"/>
        <v>6.79</v>
      </c>
      <c r="Q351" s="14">
        <v>6.4</v>
      </c>
    </row>
    <row r="352">
      <c r="A352" s="12">
        <v>42744.0</v>
      </c>
      <c r="B352" s="12"/>
      <c r="C352" s="12" t="s">
        <v>2353</v>
      </c>
      <c r="D352" s="6">
        <v>42803.0</v>
      </c>
      <c r="E352" s="15" t="str">
        <f t="shared" si="1"/>
        <v>Mar</v>
      </c>
      <c r="F352" s="13" t="s">
        <v>121</v>
      </c>
      <c r="G352" s="13" t="s">
        <v>2568</v>
      </c>
      <c r="H352" s="13" t="s">
        <v>2569</v>
      </c>
      <c r="I352" s="13" t="s">
        <v>68</v>
      </c>
      <c r="J352" s="13">
        <v>1.0</v>
      </c>
      <c r="K352" s="13" t="s">
        <v>174</v>
      </c>
      <c r="L352" s="13" t="s">
        <v>175</v>
      </c>
      <c r="M352" s="13" t="s">
        <v>100</v>
      </c>
      <c r="N352" s="13" t="s">
        <v>38</v>
      </c>
      <c r="O352" s="14">
        <v>24.56</v>
      </c>
      <c r="P352" s="14">
        <f t="shared" si="2"/>
        <v>24.56</v>
      </c>
      <c r="Q352" s="14">
        <v>23.66</v>
      </c>
    </row>
    <row r="353">
      <c r="A353" s="12">
        <v>42744.0</v>
      </c>
      <c r="B353" s="12"/>
      <c r="C353" s="12" t="s">
        <v>2353</v>
      </c>
      <c r="D353" s="6">
        <v>42803.0</v>
      </c>
      <c r="E353" s="15" t="str">
        <f t="shared" si="1"/>
        <v>Mar</v>
      </c>
      <c r="F353" s="13" t="s">
        <v>121</v>
      </c>
      <c r="G353" s="13" t="s">
        <v>2568</v>
      </c>
      <c r="H353" s="13" t="s">
        <v>2569</v>
      </c>
      <c r="I353" s="13" t="s">
        <v>68</v>
      </c>
      <c r="J353" s="13">
        <v>1.0</v>
      </c>
      <c r="K353" s="13" t="s">
        <v>174</v>
      </c>
      <c r="L353" s="13" t="s">
        <v>175</v>
      </c>
      <c r="M353" s="13" t="s">
        <v>100</v>
      </c>
      <c r="N353" s="13" t="s">
        <v>38</v>
      </c>
      <c r="O353" s="14">
        <v>3.048</v>
      </c>
      <c r="P353" s="14">
        <f t="shared" si="2"/>
        <v>3.048</v>
      </c>
      <c r="Q353" s="14">
        <v>2.22</v>
      </c>
    </row>
    <row r="354">
      <c r="A354" s="12">
        <v>42744.0</v>
      </c>
      <c r="B354" s="12"/>
      <c r="C354" s="12" t="s">
        <v>2353</v>
      </c>
      <c r="D354" s="6">
        <v>42803.0</v>
      </c>
      <c r="E354" s="15" t="str">
        <f t="shared" si="1"/>
        <v>Mar</v>
      </c>
      <c r="F354" s="13" t="s">
        <v>121</v>
      </c>
      <c r="G354" s="13" t="s">
        <v>2568</v>
      </c>
      <c r="H354" s="13" t="s">
        <v>2569</v>
      </c>
      <c r="I354" s="13" t="s">
        <v>68</v>
      </c>
      <c r="J354" s="13">
        <v>1.0</v>
      </c>
      <c r="K354" s="13" t="s">
        <v>174</v>
      </c>
      <c r="L354" s="13" t="s">
        <v>175</v>
      </c>
      <c r="M354" s="13" t="s">
        <v>100</v>
      </c>
      <c r="N354" s="13" t="s">
        <v>38</v>
      </c>
      <c r="O354" s="14">
        <v>49.12</v>
      </c>
      <c r="P354" s="14">
        <f t="shared" si="2"/>
        <v>49.12</v>
      </c>
      <c r="Q354" s="14">
        <v>48.36</v>
      </c>
    </row>
    <row r="355">
      <c r="A355" s="12">
        <v>42744.0</v>
      </c>
      <c r="B355" s="12"/>
      <c r="C355" s="12" t="s">
        <v>2353</v>
      </c>
      <c r="D355" s="6">
        <v>42803.0</v>
      </c>
      <c r="E355" s="15" t="str">
        <f t="shared" si="1"/>
        <v>Mar</v>
      </c>
      <c r="F355" s="13" t="s">
        <v>121</v>
      </c>
      <c r="G355" s="13" t="s">
        <v>2568</v>
      </c>
      <c r="H355" s="13" t="s">
        <v>2569</v>
      </c>
      <c r="I355" s="13" t="s">
        <v>68</v>
      </c>
      <c r="J355" s="13">
        <v>1.0</v>
      </c>
      <c r="K355" s="13" t="s">
        <v>174</v>
      </c>
      <c r="L355" s="13" t="s">
        <v>175</v>
      </c>
      <c r="M355" s="13" t="s">
        <v>100</v>
      </c>
      <c r="N355" s="13" t="s">
        <v>38</v>
      </c>
      <c r="O355" s="14">
        <v>4355.168</v>
      </c>
      <c r="P355" s="14">
        <f t="shared" si="2"/>
        <v>4355.168</v>
      </c>
      <c r="Q355" s="14">
        <v>4355.06</v>
      </c>
    </row>
    <row r="356">
      <c r="A356" s="12">
        <v>42951.0</v>
      </c>
      <c r="B356" s="12"/>
      <c r="C356" s="12" t="s">
        <v>2322</v>
      </c>
      <c r="D356" s="1" t="s">
        <v>699</v>
      </c>
      <c r="E356" s="15" t="str">
        <f t="shared" si="1"/>
        <v>Apr</v>
      </c>
      <c r="F356" s="13" t="s">
        <v>41</v>
      </c>
      <c r="G356" s="13" t="s">
        <v>2570</v>
      </c>
      <c r="H356" s="13" t="s">
        <v>2514</v>
      </c>
      <c r="I356" s="13" t="s">
        <v>23</v>
      </c>
      <c r="J356" s="13">
        <v>1.0</v>
      </c>
      <c r="K356" s="13" t="s">
        <v>174</v>
      </c>
      <c r="L356" s="13" t="s">
        <v>175</v>
      </c>
      <c r="M356" s="13" t="s">
        <v>100</v>
      </c>
      <c r="N356" s="13" t="s">
        <v>27</v>
      </c>
      <c r="O356" s="14">
        <v>388.704</v>
      </c>
      <c r="P356" s="14">
        <f t="shared" si="2"/>
        <v>388.704</v>
      </c>
      <c r="Q356" s="14">
        <v>388.45</v>
      </c>
    </row>
    <row r="357">
      <c r="A357" s="12">
        <v>42951.0</v>
      </c>
      <c r="B357" s="12"/>
      <c r="C357" s="12" t="s">
        <v>2322</v>
      </c>
      <c r="D357" s="1" t="s">
        <v>699</v>
      </c>
      <c r="E357" s="15" t="str">
        <f t="shared" si="1"/>
        <v>Apr</v>
      </c>
      <c r="F357" s="13" t="s">
        <v>41</v>
      </c>
      <c r="G357" s="13" t="s">
        <v>2570</v>
      </c>
      <c r="H357" s="13" t="s">
        <v>2514</v>
      </c>
      <c r="I357" s="13" t="s">
        <v>23</v>
      </c>
      <c r="J357" s="13">
        <v>1.0</v>
      </c>
      <c r="K357" s="13" t="s">
        <v>174</v>
      </c>
      <c r="L357" s="13" t="s">
        <v>175</v>
      </c>
      <c r="M357" s="13" t="s">
        <v>100</v>
      </c>
      <c r="N357" s="13" t="s">
        <v>38</v>
      </c>
      <c r="O357" s="14">
        <v>8.26</v>
      </c>
      <c r="P357" s="14">
        <f t="shared" si="2"/>
        <v>8.26</v>
      </c>
      <c r="Q357" s="14">
        <v>7.81</v>
      </c>
    </row>
    <row r="358">
      <c r="A358" s="12">
        <v>42951.0</v>
      </c>
      <c r="B358" s="12"/>
      <c r="C358" s="12" t="s">
        <v>2322</v>
      </c>
      <c r="D358" s="1" t="s">
        <v>699</v>
      </c>
      <c r="E358" s="15" t="str">
        <f t="shared" si="1"/>
        <v>Apr</v>
      </c>
      <c r="F358" s="13" t="s">
        <v>41</v>
      </c>
      <c r="G358" s="13" t="s">
        <v>2570</v>
      </c>
      <c r="H358" s="13" t="s">
        <v>2514</v>
      </c>
      <c r="I358" s="13" t="s">
        <v>23</v>
      </c>
      <c r="J358" s="13">
        <v>1.0</v>
      </c>
      <c r="K358" s="13" t="s">
        <v>174</v>
      </c>
      <c r="L358" s="13" t="s">
        <v>175</v>
      </c>
      <c r="M358" s="13" t="s">
        <v>100</v>
      </c>
      <c r="N358" s="13" t="s">
        <v>38</v>
      </c>
      <c r="O358" s="14">
        <v>17.04</v>
      </c>
      <c r="P358" s="14">
        <f t="shared" si="2"/>
        <v>17.04</v>
      </c>
      <c r="Q358" s="14">
        <v>16.07</v>
      </c>
    </row>
    <row r="359">
      <c r="A359" s="12">
        <v>42951.0</v>
      </c>
      <c r="B359" s="12"/>
      <c r="C359" s="12" t="s">
        <v>2322</v>
      </c>
      <c r="D359" s="1" t="s">
        <v>699</v>
      </c>
      <c r="E359" s="15" t="str">
        <f t="shared" si="1"/>
        <v>Apr</v>
      </c>
      <c r="F359" s="13" t="s">
        <v>41</v>
      </c>
      <c r="G359" s="13" t="s">
        <v>2570</v>
      </c>
      <c r="H359" s="13" t="s">
        <v>2514</v>
      </c>
      <c r="I359" s="13" t="s">
        <v>23</v>
      </c>
      <c r="J359" s="13">
        <v>1.0</v>
      </c>
      <c r="K359" s="13" t="s">
        <v>174</v>
      </c>
      <c r="L359" s="13" t="s">
        <v>175</v>
      </c>
      <c r="M359" s="13" t="s">
        <v>100</v>
      </c>
      <c r="N359" s="13" t="s">
        <v>38</v>
      </c>
      <c r="O359" s="14">
        <v>34.4</v>
      </c>
      <c r="P359" s="14">
        <f t="shared" si="2"/>
        <v>34.4</v>
      </c>
      <c r="Q359" s="14">
        <v>34.1</v>
      </c>
    </row>
    <row r="360">
      <c r="A360" s="12">
        <v>42848.0</v>
      </c>
      <c r="B360" s="12"/>
      <c r="C360" s="12" t="s">
        <v>2332</v>
      </c>
      <c r="D360" s="1" t="s">
        <v>703</v>
      </c>
      <c r="E360" s="15" t="str">
        <f t="shared" si="1"/>
        <v>Apr</v>
      </c>
      <c r="F360" s="13" t="s">
        <v>41</v>
      </c>
      <c r="G360" s="13" t="s">
        <v>2501</v>
      </c>
      <c r="H360" s="13" t="s">
        <v>2502</v>
      </c>
      <c r="I360" s="13" t="s">
        <v>34</v>
      </c>
      <c r="J360" s="13">
        <v>2.0</v>
      </c>
      <c r="K360" s="13" t="s">
        <v>284</v>
      </c>
      <c r="L360" s="13" t="s">
        <v>58</v>
      </c>
      <c r="M360" s="13" t="s">
        <v>26</v>
      </c>
      <c r="N360" s="13" t="s">
        <v>38</v>
      </c>
      <c r="O360" s="14">
        <v>36.24</v>
      </c>
      <c r="P360" s="14">
        <f t="shared" si="2"/>
        <v>72.48</v>
      </c>
      <c r="Q360" s="14">
        <v>35.9</v>
      </c>
    </row>
    <row r="361">
      <c r="A361" s="12">
        <v>43315.0</v>
      </c>
      <c r="B361" s="12"/>
      <c r="C361" s="12" t="s">
        <v>2322</v>
      </c>
      <c r="D361" s="6">
        <v>43407.0</v>
      </c>
      <c r="E361" s="15" t="str">
        <f t="shared" si="1"/>
        <v>Nov</v>
      </c>
      <c r="F361" s="13" t="s">
        <v>121</v>
      </c>
      <c r="G361" s="13" t="s">
        <v>2508</v>
      </c>
      <c r="H361" s="13" t="s">
        <v>2394</v>
      </c>
      <c r="I361" s="13" t="s">
        <v>34</v>
      </c>
      <c r="J361" s="13">
        <v>3.0</v>
      </c>
      <c r="K361" s="13" t="s">
        <v>303</v>
      </c>
      <c r="L361" s="13" t="s">
        <v>707</v>
      </c>
      <c r="M361" s="13" t="s">
        <v>26</v>
      </c>
      <c r="N361" s="13" t="s">
        <v>38</v>
      </c>
      <c r="O361" s="14">
        <v>647.84</v>
      </c>
      <c r="P361" s="14">
        <f t="shared" si="2"/>
        <v>1943.52</v>
      </c>
      <c r="Q361" s="14">
        <v>647.21</v>
      </c>
    </row>
    <row r="362">
      <c r="A362" s="12">
        <v>43315.0</v>
      </c>
      <c r="B362" s="12"/>
      <c r="C362" s="12" t="s">
        <v>2322</v>
      </c>
      <c r="D362" s="6">
        <v>43407.0</v>
      </c>
      <c r="E362" s="15" t="str">
        <f t="shared" si="1"/>
        <v>Nov</v>
      </c>
      <c r="F362" s="13" t="s">
        <v>121</v>
      </c>
      <c r="G362" s="13" t="s">
        <v>2508</v>
      </c>
      <c r="H362" s="13" t="s">
        <v>2394</v>
      </c>
      <c r="I362" s="13" t="s">
        <v>34</v>
      </c>
      <c r="J362" s="13">
        <v>3.0</v>
      </c>
      <c r="K362" s="13" t="s">
        <v>303</v>
      </c>
      <c r="L362" s="13" t="s">
        <v>707</v>
      </c>
      <c r="M362" s="13" t="s">
        <v>26</v>
      </c>
      <c r="N362" s="13" t="s">
        <v>38</v>
      </c>
      <c r="O362" s="14">
        <v>20.7</v>
      </c>
      <c r="P362" s="14">
        <f t="shared" si="2"/>
        <v>62.1</v>
      </c>
      <c r="Q362" s="14">
        <v>20.01</v>
      </c>
    </row>
    <row r="363">
      <c r="A363" s="12">
        <v>43368.0</v>
      </c>
      <c r="B363" s="12"/>
      <c r="C363" s="12" t="s">
        <v>2329</v>
      </c>
      <c r="D363" s="6">
        <v>43110.0</v>
      </c>
      <c r="E363" s="15" t="str">
        <f t="shared" si="1"/>
        <v>Jan</v>
      </c>
      <c r="F363" s="13" t="s">
        <v>41</v>
      </c>
      <c r="G363" s="13" t="s">
        <v>2571</v>
      </c>
      <c r="H363" s="13" t="s">
        <v>2572</v>
      </c>
      <c r="I363" s="13" t="s">
        <v>23</v>
      </c>
      <c r="J363" s="13">
        <v>1.0</v>
      </c>
      <c r="K363" s="13" t="s">
        <v>174</v>
      </c>
      <c r="L363" s="13" t="s">
        <v>175</v>
      </c>
      <c r="M363" s="13" t="s">
        <v>100</v>
      </c>
      <c r="N363" s="13" t="s">
        <v>38</v>
      </c>
      <c r="O363" s="14">
        <v>20.7</v>
      </c>
      <c r="P363" s="14">
        <f t="shared" si="2"/>
        <v>20.7</v>
      </c>
      <c r="Q363" s="14">
        <v>20.49</v>
      </c>
    </row>
    <row r="364">
      <c r="A364" s="12">
        <v>43368.0</v>
      </c>
      <c r="B364" s="12"/>
      <c r="C364" s="12" t="s">
        <v>2329</v>
      </c>
      <c r="D364" s="6">
        <v>43110.0</v>
      </c>
      <c r="E364" s="15" t="str">
        <f t="shared" si="1"/>
        <v>Jan</v>
      </c>
      <c r="F364" s="13" t="s">
        <v>41</v>
      </c>
      <c r="G364" s="13" t="s">
        <v>2571</v>
      </c>
      <c r="H364" s="13" t="s">
        <v>2572</v>
      </c>
      <c r="I364" s="13" t="s">
        <v>23</v>
      </c>
      <c r="J364" s="13">
        <v>1.0</v>
      </c>
      <c r="K364" s="13" t="s">
        <v>174</v>
      </c>
      <c r="L364" s="13" t="s">
        <v>175</v>
      </c>
      <c r="M364" s="13" t="s">
        <v>100</v>
      </c>
      <c r="N364" s="13" t="s">
        <v>27</v>
      </c>
      <c r="O364" s="14">
        <v>488.646</v>
      </c>
      <c r="P364" s="14">
        <f t="shared" si="2"/>
        <v>488.646</v>
      </c>
      <c r="Q364" s="14">
        <v>488.09</v>
      </c>
    </row>
    <row r="365">
      <c r="A365" s="12">
        <v>43368.0</v>
      </c>
      <c r="B365" s="12"/>
      <c r="C365" s="12" t="s">
        <v>2329</v>
      </c>
      <c r="D365" s="6">
        <v>43110.0</v>
      </c>
      <c r="E365" s="15" t="str">
        <f t="shared" si="1"/>
        <v>Jan</v>
      </c>
      <c r="F365" s="13" t="s">
        <v>41</v>
      </c>
      <c r="G365" s="13" t="s">
        <v>2571</v>
      </c>
      <c r="H365" s="13" t="s">
        <v>2572</v>
      </c>
      <c r="I365" s="13" t="s">
        <v>23</v>
      </c>
      <c r="J365" s="13">
        <v>1.0</v>
      </c>
      <c r="K365" s="13" t="s">
        <v>174</v>
      </c>
      <c r="L365" s="13" t="s">
        <v>175</v>
      </c>
      <c r="M365" s="13" t="s">
        <v>100</v>
      </c>
      <c r="N365" s="13" t="s">
        <v>38</v>
      </c>
      <c r="O365" s="14">
        <v>5.56</v>
      </c>
      <c r="P365" s="14">
        <f t="shared" si="2"/>
        <v>5.56</v>
      </c>
      <c r="Q365" s="14">
        <v>5.19</v>
      </c>
    </row>
    <row r="366">
      <c r="A366" s="12">
        <v>43368.0</v>
      </c>
      <c r="B366" s="12"/>
      <c r="C366" s="12" t="s">
        <v>2329</v>
      </c>
      <c r="D366" s="6">
        <v>43110.0</v>
      </c>
      <c r="E366" s="15" t="str">
        <f t="shared" si="1"/>
        <v>Jan</v>
      </c>
      <c r="F366" s="13" t="s">
        <v>41</v>
      </c>
      <c r="G366" s="13" t="s">
        <v>2571</v>
      </c>
      <c r="H366" s="13" t="s">
        <v>2572</v>
      </c>
      <c r="I366" s="13" t="s">
        <v>23</v>
      </c>
      <c r="J366" s="13">
        <v>1.0</v>
      </c>
      <c r="K366" s="13" t="s">
        <v>174</v>
      </c>
      <c r="L366" s="13" t="s">
        <v>175</v>
      </c>
      <c r="M366" s="13" t="s">
        <v>100</v>
      </c>
      <c r="N366" s="13" t="s">
        <v>27</v>
      </c>
      <c r="O366" s="14">
        <v>47.12</v>
      </c>
      <c r="P366" s="14">
        <f t="shared" si="2"/>
        <v>47.12</v>
      </c>
      <c r="Q366" s="14">
        <v>46.53</v>
      </c>
    </row>
    <row r="367">
      <c r="A367" s="12">
        <v>42271.0</v>
      </c>
      <c r="B367" s="12"/>
      <c r="C367" s="12" t="s">
        <v>2329</v>
      </c>
      <c r="D367" s="1" t="s">
        <v>712</v>
      </c>
      <c r="E367" s="15" t="str">
        <f t="shared" si="1"/>
        <v>Sep</v>
      </c>
      <c r="F367" s="13" t="s">
        <v>41</v>
      </c>
      <c r="G367" s="13" t="s">
        <v>2573</v>
      </c>
      <c r="H367" s="13" t="s">
        <v>2574</v>
      </c>
      <c r="I367" s="13" t="s">
        <v>23</v>
      </c>
      <c r="J367" s="13">
        <v>9.0</v>
      </c>
      <c r="K367" s="13" t="s">
        <v>87</v>
      </c>
      <c r="L367" s="13" t="s">
        <v>52</v>
      </c>
      <c r="M367" s="13" t="s">
        <v>37</v>
      </c>
      <c r="N367" s="13" t="s">
        <v>38</v>
      </c>
      <c r="O367" s="14">
        <v>211.96</v>
      </c>
      <c r="P367" s="14">
        <f t="shared" si="2"/>
        <v>1907.64</v>
      </c>
      <c r="Q367" s="14">
        <v>211.15</v>
      </c>
    </row>
    <row r="368">
      <c r="A368" s="12">
        <v>43029.0</v>
      </c>
      <c r="B368" s="12"/>
      <c r="C368" s="12" t="s">
        <v>2358</v>
      </c>
      <c r="D368" s="1" t="s">
        <v>716</v>
      </c>
      <c r="E368" s="15" t="str">
        <f t="shared" si="1"/>
        <v>Oct</v>
      </c>
      <c r="F368" s="13" t="s">
        <v>717</v>
      </c>
      <c r="G368" s="13" t="s">
        <v>2507</v>
      </c>
      <c r="H368" s="13" t="s">
        <v>2575</v>
      </c>
      <c r="I368" s="13" t="s">
        <v>34</v>
      </c>
      <c r="J368" s="13">
        <v>6.0</v>
      </c>
      <c r="K368" s="13" t="s">
        <v>720</v>
      </c>
      <c r="L368" s="13" t="s">
        <v>435</v>
      </c>
      <c r="M368" s="13" t="s">
        <v>100</v>
      </c>
      <c r="N368" s="13" t="s">
        <v>38</v>
      </c>
      <c r="O368" s="14">
        <v>23.2</v>
      </c>
      <c r="P368" s="14">
        <f t="shared" si="2"/>
        <v>139.2</v>
      </c>
      <c r="Q368" s="14">
        <v>22.28</v>
      </c>
    </row>
    <row r="369">
      <c r="A369" s="12">
        <v>43029.0</v>
      </c>
      <c r="B369" s="12"/>
      <c r="C369" s="12" t="s">
        <v>2358</v>
      </c>
      <c r="D369" s="1" t="s">
        <v>716</v>
      </c>
      <c r="E369" s="15" t="str">
        <f t="shared" si="1"/>
        <v>Oct</v>
      </c>
      <c r="F369" s="13" t="s">
        <v>717</v>
      </c>
      <c r="G369" s="13" t="s">
        <v>2507</v>
      </c>
      <c r="H369" s="13" t="s">
        <v>2575</v>
      </c>
      <c r="I369" s="13" t="s">
        <v>34</v>
      </c>
      <c r="J369" s="13">
        <v>6.0</v>
      </c>
      <c r="K369" s="13" t="s">
        <v>720</v>
      </c>
      <c r="L369" s="13" t="s">
        <v>435</v>
      </c>
      <c r="M369" s="13" t="s">
        <v>100</v>
      </c>
      <c r="N369" s="13" t="s">
        <v>38</v>
      </c>
      <c r="O369" s="14">
        <v>7.36</v>
      </c>
      <c r="P369" s="14">
        <f t="shared" si="2"/>
        <v>44.16</v>
      </c>
      <c r="Q369" s="14">
        <v>6.65</v>
      </c>
    </row>
    <row r="370">
      <c r="A370" s="12">
        <v>43029.0</v>
      </c>
      <c r="B370" s="12"/>
      <c r="C370" s="12" t="s">
        <v>2358</v>
      </c>
      <c r="D370" s="1" t="s">
        <v>716</v>
      </c>
      <c r="E370" s="15" t="str">
        <f t="shared" si="1"/>
        <v>Oct</v>
      </c>
      <c r="F370" s="13" t="s">
        <v>717</v>
      </c>
      <c r="G370" s="13" t="s">
        <v>2507</v>
      </c>
      <c r="H370" s="13" t="s">
        <v>2575</v>
      </c>
      <c r="I370" s="13" t="s">
        <v>34</v>
      </c>
      <c r="J370" s="13">
        <v>6.0</v>
      </c>
      <c r="K370" s="13" t="s">
        <v>720</v>
      </c>
      <c r="L370" s="13" t="s">
        <v>435</v>
      </c>
      <c r="M370" s="13" t="s">
        <v>100</v>
      </c>
      <c r="N370" s="13" t="s">
        <v>38</v>
      </c>
      <c r="O370" s="14">
        <v>104.79</v>
      </c>
      <c r="P370" s="14">
        <f t="shared" si="2"/>
        <v>628.74</v>
      </c>
      <c r="Q370" s="14">
        <v>104.42</v>
      </c>
    </row>
    <row r="371">
      <c r="A371" s="12">
        <v>43029.0</v>
      </c>
      <c r="B371" s="12"/>
      <c r="C371" s="12" t="s">
        <v>2358</v>
      </c>
      <c r="D371" s="1" t="s">
        <v>716</v>
      </c>
      <c r="E371" s="15" t="str">
        <f t="shared" si="1"/>
        <v>Oct</v>
      </c>
      <c r="F371" s="13" t="s">
        <v>717</v>
      </c>
      <c r="G371" s="13" t="s">
        <v>2507</v>
      </c>
      <c r="H371" s="13" t="s">
        <v>2575</v>
      </c>
      <c r="I371" s="13" t="s">
        <v>34</v>
      </c>
      <c r="J371" s="13">
        <v>6.0</v>
      </c>
      <c r="K371" s="13" t="s">
        <v>720</v>
      </c>
      <c r="L371" s="13" t="s">
        <v>435</v>
      </c>
      <c r="M371" s="13" t="s">
        <v>100</v>
      </c>
      <c r="N371" s="13" t="s">
        <v>27</v>
      </c>
      <c r="O371" s="14">
        <v>1043.92</v>
      </c>
      <c r="P371" s="14">
        <f t="shared" si="2"/>
        <v>6263.52</v>
      </c>
      <c r="Q371" s="14">
        <v>1042.99</v>
      </c>
    </row>
    <row r="372">
      <c r="A372" s="12">
        <v>43249.0</v>
      </c>
      <c r="B372" s="12"/>
      <c r="C372" s="12" t="s">
        <v>2335</v>
      </c>
      <c r="D372" s="6">
        <v>43196.0</v>
      </c>
      <c r="E372" s="15" t="str">
        <f t="shared" si="1"/>
        <v>Apr</v>
      </c>
      <c r="F372" s="13" t="s">
        <v>41</v>
      </c>
      <c r="G372" s="13" t="s">
        <v>2576</v>
      </c>
      <c r="H372" s="13" t="s">
        <v>2577</v>
      </c>
      <c r="I372" s="13" t="s">
        <v>23</v>
      </c>
      <c r="J372" s="13">
        <v>7.0</v>
      </c>
      <c r="K372" s="13" t="s">
        <v>724</v>
      </c>
      <c r="L372" s="13" t="s">
        <v>70</v>
      </c>
      <c r="M372" s="13" t="s">
        <v>71</v>
      </c>
      <c r="N372" s="13" t="s">
        <v>38</v>
      </c>
      <c r="O372" s="14">
        <v>25.92</v>
      </c>
      <c r="P372" s="14">
        <f t="shared" si="2"/>
        <v>181.44</v>
      </c>
      <c r="Q372" s="14">
        <v>25.3</v>
      </c>
    </row>
    <row r="373">
      <c r="A373" s="12">
        <v>43249.0</v>
      </c>
      <c r="B373" s="12"/>
      <c r="C373" s="12" t="s">
        <v>2335</v>
      </c>
      <c r="D373" s="6">
        <v>43196.0</v>
      </c>
      <c r="E373" s="15" t="str">
        <f t="shared" si="1"/>
        <v>Apr</v>
      </c>
      <c r="F373" s="13" t="s">
        <v>41</v>
      </c>
      <c r="G373" s="13" t="s">
        <v>2576</v>
      </c>
      <c r="H373" s="13" t="s">
        <v>2577</v>
      </c>
      <c r="I373" s="13" t="s">
        <v>23</v>
      </c>
      <c r="J373" s="13">
        <v>7.0</v>
      </c>
      <c r="K373" s="13" t="s">
        <v>724</v>
      </c>
      <c r="L373" s="13" t="s">
        <v>70</v>
      </c>
      <c r="M373" s="13" t="s">
        <v>71</v>
      </c>
      <c r="N373" s="13" t="s">
        <v>38</v>
      </c>
      <c r="O373" s="14">
        <v>53.424</v>
      </c>
      <c r="P373" s="14">
        <f t="shared" si="2"/>
        <v>373.968</v>
      </c>
      <c r="Q373" s="14">
        <v>52.95</v>
      </c>
    </row>
    <row r="374">
      <c r="A374" s="12">
        <v>42208.0</v>
      </c>
      <c r="B374" s="12"/>
      <c r="C374" s="12" t="s">
        <v>2348</v>
      </c>
      <c r="D374" s="1" t="s">
        <v>726</v>
      </c>
      <c r="E374" s="15" t="str">
        <f t="shared" si="1"/>
        <v>Jul</v>
      </c>
      <c r="F374" s="13" t="s">
        <v>41</v>
      </c>
      <c r="G374" s="13" t="s">
        <v>2578</v>
      </c>
      <c r="H374" s="13" t="s">
        <v>2579</v>
      </c>
      <c r="I374" s="13" t="s">
        <v>23</v>
      </c>
      <c r="J374" s="13">
        <v>8.0</v>
      </c>
      <c r="K374" s="13" t="s">
        <v>729</v>
      </c>
      <c r="L374" s="13" t="s">
        <v>193</v>
      </c>
      <c r="M374" s="13" t="s">
        <v>37</v>
      </c>
      <c r="N374" s="13" t="s">
        <v>38</v>
      </c>
      <c r="O374" s="14">
        <v>8.16</v>
      </c>
      <c r="P374" s="14">
        <f t="shared" si="2"/>
        <v>65.28</v>
      </c>
      <c r="Q374" s="14">
        <v>7.87</v>
      </c>
    </row>
    <row r="375">
      <c r="A375" s="12">
        <v>42208.0</v>
      </c>
      <c r="B375" s="12"/>
      <c r="C375" s="12" t="s">
        <v>2348</v>
      </c>
      <c r="D375" s="1" t="s">
        <v>726</v>
      </c>
      <c r="E375" s="15" t="str">
        <f t="shared" si="1"/>
        <v>Jul</v>
      </c>
      <c r="F375" s="13" t="s">
        <v>41</v>
      </c>
      <c r="G375" s="13" t="s">
        <v>2578</v>
      </c>
      <c r="H375" s="13" t="s">
        <v>2579</v>
      </c>
      <c r="I375" s="13" t="s">
        <v>23</v>
      </c>
      <c r="J375" s="13">
        <v>8.0</v>
      </c>
      <c r="K375" s="13" t="s">
        <v>729</v>
      </c>
      <c r="L375" s="13" t="s">
        <v>193</v>
      </c>
      <c r="M375" s="13" t="s">
        <v>37</v>
      </c>
      <c r="N375" s="13" t="s">
        <v>51</v>
      </c>
      <c r="O375" s="14">
        <v>1023.936</v>
      </c>
      <c r="P375" s="14">
        <f t="shared" si="2"/>
        <v>8191.488</v>
      </c>
      <c r="Q375" s="14">
        <v>1023.84</v>
      </c>
    </row>
    <row r="376">
      <c r="A376" s="12">
        <v>42208.0</v>
      </c>
      <c r="B376" s="12"/>
      <c r="C376" s="12" t="s">
        <v>2348</v>
      </c>
      <c r="D376" s="1" t="s">
        <v>726</v>
      </c>
      <c r="E376" s="15" t="str">
        <f t="shared" si="1"/>
        <v>Jul</v>
      </c>
      <c r="F376" s="13" t="s">
        <v>41</v>
      </c>
      <c r="G376" s="13" t="s">
        <v>2578</v>
      </c>
      <c r="H376" s="13" t="s">
        <v>2579</v>
      </c>
      <c r="I376" s="13" t="s">
        <v>23</v>
      </c>
      <c r="J376" s="13">
        <v>8.0</v>
      </c>
      <c r="K376" s="13" t="s">
        <v>729</v>
      </c>
      <c r="L376" s="13" t="s">
        <v>193</v>
      </c>
      <c r="M376" s="13" t="s">
        <v>37</v>
      </c>
      <c r="N376" s="13" t="s">
        <v>38</v>
      </c>
      <c r="O376" s="14">
        <v>9.24</v>
      </c>
      <c r="P376" s="14">
        <f t="shared" si="2"/>
        <v>73.92</v>
      </c>
      <c r="Q376" s="14">
        <v>8.58</v>
      </c>
    </row>
    <row r="377">
      <c r="A377" s="12">
        <v>42208.0</v>
      </c>
      <c r="B377" s="12"/>
      <c r="C377" s="12" t="s">
        <v>2348</v>
      </c>
      <c r="D377" s="1" t="s">
        <v>726</v>
      </c>
      <c r="E377" s="15" t="str">
        <f t="shared" si="1"/>
        <v>Jul</v>
      </c>
      <c r="F377" s="13" t="s">
        <v>41</v>
      </c>
      <c r="G377" s="13" t="s">
        <v>2578</v>
      </c>
      <c r="H377" s="13" t="s">
        <v>2579</v>
      </c>
      <c r="I377" s="13" t="s">
        <v>23</v>
      </c>
      <c r="J377" s="13">
        <v>8.0</v>
      </c>
      <c r="K377" s="13" t="s">
        <v>729</v>
      </c>
      <c r="L377" s="13" t="s">
        <v>193</v>
      </c>
      <c r="M377" s="13" t="s">
        <v>37</v>
      </c>
      <c r="N377" s="13" t="s">
        <v>51</v>
      </c>
      <c r="O377" s="14">
        <v>479.04</v>
      </c>
      <c r="P377" s="14">
        <f t="shared" si="2"/>
        <v>3832.32</v>
      </c>
      <c r="Q377" s="14">
        <v>478.19</v>
      </c>
    </row>
    <row r="378">
      <c r="A378" s="12">
        <v>43006.0</v>
      </c>
      <c r="B378" s="12"/>
      <c r="C378" s="12" t="s">
        <v>2329</v>
      </c>
      <c r="D378" s="6">
        <v>42745.0</v>
      </c>
      <c r="E378" s="15" t="str">
        <f t="shared" si="1"/>
        <v>Jan</v>
      </c>
      <c r="F378" s="13" t="s">
        <v>121</v>
      </c>
      <c r="G378" s="13" t="s">
        <v>2580</v>
      </c>
      <c r="H378" s="13" t="s">
        <v>2581</v>
      </c>
      <c r="I378" s="13" t="s">
        <v>34</v>
      </c>
      <c r="J378" s="13">
        <v>6.0</v>
      </c>
      <c r="K378" s="13" t="s">
        <v>733</v>
      </c>
      <c r="L378" s="13" t="s">
        <v>135</v>
      </c>
      <c r="M378" s="13" t="s">
        <v>71</v>
      </c>
      <c r="N378" s="13" t="s">
        <v>38</v>
      </c>
      <c r="O378" s="14">
        <v>99.136</v>
      </c>
      <c r="P378" s="14">
        <f t="shared" si="2"/>
        <v>594.816</v>
      </c>
      <c r="Q378" s="14">
        <v>98.18</v>
      </c>
    </row>
    <row r="379">
      <c r="A379" s="12">
        <v>43339.0</v>
      </c>
      <c r="B379" s="12"/>
      <c r="C379" s="12" t="s">
        <v>2322</v>
      </c>
      <c r="D379" s="6">
        <v>43109.0</v>
      </c>
      <c r="E379" s="15" t="str">
        <f t="shared" si="1"/>
        <v>Jan</v>
      </c>
      <c r="F379" s="13" t="s">
        <v>41</v>
      </c>
      <c r="G379" s="13" t="s">
        <v>2334</v>
      </c>
      <c r="H379" s="13" t="s">
        <v>2582</v>
      </c>
      <c r="I379" s="13" t="s">
        <v>34</v>
      </c>
      <c r="J379" s="13">
        <v>2.0</v>
      </c>
      <c r="K379" s="13" t="s">
        <v>364</v>
      </c>
      <c r="L379" s="13" t="s">
        <v>694</v>
      </c>
      <c r="M379" s="13" t="s">
        <v>100</v>
      </c>
      <c r="N379" s="13" t="s">
        <v>27</v>
      </c>
      <c r="O379" s="14">
        <v>1488.424</v>
      </c>
      <c r="P379" s="14">
        <f t="shared" si="2"/>
        <v>2976.848</v>
      </c>
      <c r="Q379" s="14">
        <v>1488.22</v>
      </c>
    </row>
    <row r="380">
      <c r="A380" s="12">
        <v>42488.0</v>
      </c>
      <c r="B380" s="12"/>
      <c r="C380" s="12" t="s">
        <v>2332</v>
      </c>
      <c r="D380" s="6">
        <v>42495.0</v>
      </c>
      <c r="E380" s="15" t="str">
        <f t="shared" si="1"/>
        <v>May</v>
      </c>
      <c r="F380" s="13" t="s">
        <v>41</v>
      </c>
      <c r="G380" s="13" t="s">
        <v>2583</v>
      </c>
      <c r="H380" s="13" t="s">
        <v>2584</v>
      </c>
      <c r="I380" s="13" t="s">
        <v>23</v>
      </c>
      <c r="J380" s="13">
        <v>7.0</v>
      </c>
      <c r="K380" s="13" t="s">
        <v>129</v>
      </c>
      <c r="L380" s="13" t="s">
        <v>70</v>
      </c>
      <c r="M380" s="13" t="s">
        <v>71</v>
      </c>
      <c r="N380" s="13" t="s">
        <v>38</v>
      </c>
      <c r="O380" s="14">
        <v>8.652</v>
      </c>
      <c r="P380" s="14">
        <f t="shared" si="2"/>
        <v>60.564</v>
      </c>
      <c r="Q380" s="14">
        <v>7.8</v>
      </c>
    </row>
    <row r="381">
      <c r="A381" s="12">
        <v>42488.0</v>
      </c>
      <c r="B381" s="12"/>
      <c r="C381" s="12" t="s">
        <v>2332</v>
      </c>
      <c r="D381" s="6">
        <v>42495.0</v>
      </c>
      <c r="E381" s="15" t="str">
        <f t="shared" si="1"/>
        <v>May</v>
      </c>
      <c r="F381" s="13" t="s">
        <v>41</v>
      </c>
      <c r="G381" s="13" t="s">
        <v>2583</v>
      </c>
      <c r="H381" s="13" t="s">
        <v>2584</v>
      </c>
      <c r="I381" s="13" t="s">
        <v>23</v>
      </c>
      <c r="J381" s="13">
        <v>7.0</v>
      </c>
      <c r="K381" s="13" t="s">
        <v>129</v>
      </c>
      <c r="L381" s="13" t="s">
        <v>70</v>
      </c>
      <c r="M381" s="13" t="s">
        <v>71</v>
      </c>
      <c r="N381" s="13" t="s">
        <v>38</v>
      </c>
      <c r="O381" s="14">
        <v>23.832</v>
      </c>
      <c r="P381" s="14">
        <f t="shared" si="2"/>
        <v>166.824</v>
      </c>
      <c r="Q381" s="14">
        <v>23.31</v>
      </c>
    </row>
    <row r="382">
      <c r="A382" s="12">
        <v>42488.0</v>
      </c>
      <c r="B382" s="12"/>
      <c r="C382" s="12" t="s">
        <v>2332</v>
      </c>
      <c r="D382" s="6">
        <v>42495.0</v>
      </c>
      <c r="E382" s="15" t="str">
        <f t="shared" si="1"/>
        <v>May</v>
      </c>
      <c r="F382" s="13" t="s">
        <v>41</v>
      </c>
      <c r="G382" s="13" t="s">
        <v>2583</v>
      </c>
      <c r="H382" s="13" t="s">
        <v>2584</v>
      </c>
      <c r="I382" s="13" t="s">
        <v>23</v>
      </c>
      <c r="J382" s="13">
        <v>7.0</v>
      </c>
      <c r="K382" s="13" t="s">
        <v>129</v>
      </c>
      <c r="L382" s="13" t="s">
        <v>70</v>
      </c>
      <c r="M382" s="13" t="s">
        <v>71</v>
      </c>
      <c r="N382" s="13" t="s">
        <v>38</v>
      </c>
      <c r="O382" s="14">
        <v>12.176</v>
      </c>
      <c r="P382" s="14">
        <f t="shared" si="2"/>
        <v>85.232</v>
      </c>
      <c r="Q382" s="14">
        <v>12.05</v>
      </c>
    </row>
    <row r="383">
      <c r="A383" s="12">
        <v>43036.0</v>
      </c>
      <c r="B383" s="12"/>
      <c r="C383" s="12" t="s">
        <v>2358</v>
      </c>
      <c r="D383" s="1" t="s">
        <v>741</v>
      </c>
      <c r="E383" s="15" t="str">
        <f t="shared" si="1"/>
        <v>Oct</v>
      </c>
      <c r="F383" s="13" t="s">
        <v>121</v>
      </c>
      <c r="G383" s="13" t="s">
        <v>2342</v>
      </c>
      <c r="H383" s="13" t="s">
        <v>2585</v>
      </c>
      <c r="I383" s="13" t="s">
        <v>34</v>
      </c>
      <c r="J383" s="13">
        <v>9.0</v>
      </c>
      <c r="K383" s="13" t="s">
        <v>87</v>
      </c>
      <c r="L383" s="13" t="s">
        <v>52</v>
      </c>
      <c r="M383" s="13" t="s">
        <v>37</v>
      </c>
      <c r="N383" s="13" t="s">
        <v>38</v>
      </c>
      <c r="O383" s="14">
        <v>50.96</v>
      </c>
      <c r="P383" s="14">
        <f t="shared" si="2"/>
        <v>458.64</v>
      </c>
      <c r="Q383" s="14">
        <v>50.41</v>
      </c>
    </row>
    <row r="384">
      <c r="A384" s="12">
        <v>43036.0</v>
      </c>
      <c r="B384" s="12"/>
      <c r="C384" s="12" t="s">
        <v>2358</v>
      </c>
      <c r="D384" s="1" t="s">
        <v>741</v>
      </c>
      <c r="E384" s="15" t="str">
        <f t="shared" si="1"/>
        <v>Oct</v>
      </c>
      <c r="F384" s="13" t="s">
        <v>121</v>
      </c>
      <c r="G384" s="13" t="s">
        <v>2342</v>
      </c>
      <c r="H384" s="13" t="s">
        <v>2585</v>
      </c>
      <c r="I384" s="13" t="s">
        <v>34</v>
      </c>
      <c r="J384" s="13">
        <v>9.0</v>
      </c>
      <c r="K384" s="13" t="s">
        <v>87</v>
      </c>
      <c r="L384" s="13" t="s">
        <v>52</v>
      </c>
      <c r="M384" s="13" t="s">
        <v>37</v>
      </c>
      <c r="N384" s="13" t="s">
        <v>38</v>
      </c>
      <c r="O384" s="14">
        <v>49.536</v>
      </c>
      <c r="P384" s="14">
        <f t="shared" si="2"/>
        <v>445.824</v>
      </c>
      <c r="Q384" s="14">
        <v>49.01</v>
      </c>
    </row>
    <row r="385">
      <c r="A385" s="12">
        <v>42547.0</v>
      </c>
      <c r="B385" s="12"/>
      <c r="C385" s="12" t="s">
        <v>2374</v>
      </c>
      <c r="D385" s="1" t="s">
        <v>745</v>
      </c>
      <c r="E385" s="15" t="str">
        <f t="shared" si="1"/>
        <v>Jun</v>
      </c>
      <c r="F385" s="13" t="s">
        <v>20</v>
      </c>
      <c r="G385" s="13" t="s">
        <v>2586</v>
      </c>
      <c r="H385" s="13" t="s">
        <v>2424</v>
      </c>
      <c r="I385" s="13" t="s">
        <v>34</v>
      </c>
      <c r="J385" s="13">
        <v>4.0</v>
      </c>
      <c r="K385" s="13" t="s">
        <v>619</v>
      </c>
      <c r="L385" s="13" t="s">
        <v>157</v>
      </c>
      <c r="M385" s="13" t="s">
        <v>71</v>
      </c>
      <c r="N385" s="13" t="s">
        <v>51</v>
      </c>
      <c r="O385" s="14">
        <v>41.9</v>
      </c>
      <c r="P385" s="14">
        <f t="shared" si="2"/>
        <v>167.6</v>
      </c>
      <c r="Q385" s="14">
        <v>41.31</v>
      </c>
    </row>
    <row r="386">
      <c r="A386" s="12">
        <v>42701.0</v>
      </c>
      <c r="B386" s="12"/>
      <c r="C386" s="12" t="s">
        <v>2326</v>
      </c>
      <c r="D386" s="6">
        <v>42412.0</v>
      </c>
      <c r="E386" s="15" t="str">
        <f t="shared" si="1"/>
        <v>Feb</v>
      </c>
      <c r="F386" s="13" t="s">
        <v>41</v>
      </c>
      <c r="G386" s="13" t="s">
        <v>2587</v>
      </c>
      <c r="H386" s="13" t="s">
        <v>2588</v>
      </c>
      <c r="I386" s="13" t="s">
        <v>23</v>
      </c>
      <c r="J386" s="13">
        <v>3.0</v>
      </c>
      <c r="K386" s="13" t="s">
        <v>751</v>
      </c>
      <c r="L386" s="13" t="s">
        <v>145</v>
      </c>
      <c r="M386" s="13" t="s">
        <v>26</v>
      </c>
      <c r="N386" s="13" t="s">
        <v>27</v>
      </c>
      <c r="O386" s="14">
        <v>375.4575</v>
      </c>
      <c r="P386" s="14">
        <f t="shared" si="2"/>
        <v>1126.3725</v>
      </c>
      <c r="Q386" s="14">
        <v>374.84</v>
      </c>
    </row>
    <row r="387">
      <c r="A387" s="12">
        <v>42701.0</v>
      </c>
      <c r="B387" s="12"/>
      <c r="C387" s="12" t="s">
        <v>2326</v>
      </c>
      <c r="D387" s="6">
        <v>42412.0</v>
      </c>
      <c r="E387" s="15" t="str">
        <f t="shared" si="1"/>
        <v>Feb</v>
      </c>
      <c r="F387" s="13" t="s">
        <v>41</v>
      </c>
      <c r="G387" s="13" t="s">
        <v>2587</v>
      </c>
      <c r="H387" s="13" t="s">
        <v>2588</v>
      </c>
      <c r="I387" s="13" t="s">
        <v>23</v>
      </c>
      <c r="J387" s="13">
        <v>3.0</v>
      </c>
      <c r="K387" s="13" t="s">
        <v>751</v>
      </c>
      <c r="L387" s="13" t="s">
        <v>145</v>
      </c>
      <c r="M387" s="13" t="s">
        <v>26</v>
      </c>
      <c r="N387" s="13" t="s">
        <v>51</v>
      </c>
      <c r="O387" s="14">
        <v>83.976</v>
      </c>
      <c r="P387" s="14">
        <f t="shared" si="2"/>
        <v>251.928</v>
      </c>
      <c r="Q387" s="14">
        <v>83.07</v>
      </c>
    </row>
    <row r="388">
      <c r="A388" s="12">
        <v>42441.0</v>
      </c>
      <c r="B388" s="12"/>
      <c r="C388" s="12" t="s">
        <v>2399</v>
      </c>
      <c r="D388" s="6">
        <v>42563.0</v>
      </c>
      <c r="E388" s="15" t="str">
        <f t="shared" si="1"/>
        <v>Jul</v>
      </c>
      <c r="F388" s="13" t="s">
        <v>41</v>
      </c>
      <c r="G388" s="13" t="s">
        <v>2589</v>
      </c>
      <c r="H388" s="13" t="s">
        <v>2590</v>
      </c>
      <c r="I388" s="13" t="s">
        <v>34</v>
      </c>
      <c r="J388" s="13">
        <v>1.0</v>
      </c>
      <c r="K388" s="13" t="s">
        <v>98</v>
      </c>
      <c r="L388" s="13" t="s">
        <v>99</v>
      </c>
      <c r="M388" s="13" t="s">
        <v>100</v>
      </c>
      <c r="N388" s="13" t="s">
        <v>51</v>
      </c>
      <c r="O388" s="14">
        <v>482.34</v>
      </c>
      <c r="P388" s="14">
        <f t="shared" si="2"/>
        <v>482.34</v>
      </c>
      <c r="Q388" s="14">
        <v>481.81</v>
      </c>
    </row>
    <row r="389">
      <c r="A389" s="12">
        <v>42441.0</v>
      </c>
      <c r="B389" s="12"/>
      <c r="C389" s="12" t="s">
        <v>2399</v>
      </c>
      <c r="D389" s="6">
        <v>42563.0</v>
      </c>
      <c r="E389" s="15" t="str">
        <f t="shared" si="1"/>
        <v>Jul</v>
      </c>
      <c r="F389" s="13" t="s">
        <v>41</v>
      </c>
      <c r="G389" s="13" t="s">
        <v>2589</v>
      </c>
      <c r="H389" s="13" t="s">
        <v>2590</v>
      </c>
      <c r="I389" s="13" t="s">
        <v>34</v>
      </c>
      <c r="J389" s="13">
        <v>1.0</v>
      </c>
      <c r="K389" s="13" t="s">
        <v>98</v>
      </c>
      <c r="L389" s="13" t="s">
        <v>99</v>
      </c>
      <c r="M389" s="13" t="s">
        <v>100</v>
      </c>
      <c r="N389" s="13" t="s">
        <v>27</v>
      </c>
      <c r="O389" s="14">
        <v>2.96</v>
      </c>
      <c r="P389" s="14">
        <f t="shared" si="2"/>
        <v>2.96</v>
      </c>
      <c r="Q389" s="14">
        <v>2.24</v>
      </c>
    </row>
    <row r="390">
      <c r="A390" s="12">
        <v>42332.0</v>
      </c>
      <c r="B390" s="12"/>
      <c r="C390" s="12" t="s">
        <v>2326</v>
      </c>
      <c r="D390" s="1" t="s">
        <v>756</v>
      </c>
      <c r="E390" s="15" t="str">
        <f t="shared" si="1"/>
        <v>Nov</v>
      </c>
      <c r="F390" s="13" t="s">
        <v>121</v>
      </c>
      <c r="G390" s="13" t="s">
        <v>2554</v>
      </c>
      <c r="H390" s="13" t="s">
        <v>2591</v>
      </c>
      <c r="I390" s="13" t="s">
        <v>23</v>
      </c>
      <c r="J390" s="13">
        <v>4.0</v>
      </c>
      <c r="K390" s="13" t="s">
        <v>579</v>
      </c>
      <c r="L390" s="13" t="s">
        <v>304</v>
      </c>
      <c r="M390" s="13" t="s">
        <v>100</v>
      </c>
      <c r="N390" s="13" t="s">
        <v>38</v>
      </c>
      <c r="O390" s="14">
        <v>2.624</v>
      </c>
      <c r="P390" s="14">
        <f t="shared" si="2"/>
        <v>10.496</v>
      </c>
      <c r="Q390" s="14">
        <v>2.11</v>
      </c>
    </row>
    <row r="391">
      <c r="A391" s="12">
        <v>43416.0</v>
      </c>
      <c r="B391" s="12"/>
      <c r="C391" s="12" t="s">
        <v>2326</v>
      </c>
      <c r="D391" s="1" t="s">
        <v>760</v>
      </c>
      <c r="E391" s="15" t="str">
        <f t="shared" si="1"/>
        <v>Dec</v>
      </c>
      <c r="F391" s="13" t="s">
        <v>41</v>
      </c>
      <c r="G391" s="13" t="s">
        <v>2592</v>
      </c>
      <c r="H391" s="13" t="s">
        <v>2593</v>
      </c>
      <c r="I391" s="13" t="s">
        <v>23</v>
      </c>
      <c r="J391" s="13">
        <v>1.0</v>
      </c>
      <c r="K391" s="13" t="s">
        <v>174</v>
      </c>
      <c r="L391" s="13" t="s">
        <v>175</v>
      </c>
      <c r="M391" s="13" t="s">
        <v>100</v>
      </c>
      <c r="N391" s="13" t="s">
        <v>38</v>
      </c>
      <c r="O391" s="14">
        <v>23.36</v>
      </c>
      <c r="P391" s="14">
        <f t="shared" si="2"/>
        <v>23.36</v>
      </c>
      <c r="Q391" s="14">
        <v>22.76</v>
      </c>
    </row>
    <row r="392">
      <c r="A392" s="12">
        <v>43416.0</v>
      </c>
      <c r="B392" s="12"/>
      <c r="C392" s="12" t="s">
        <v>2326</v>
      </c>
      <c r="D392" s="1" t="s">
        <v>760</v>
      </c>
      <c r="E392" s="15" t="str">
        <f t="shared" si="1"/>
        <v>Dec</v>
      </c>
      <c r="F392" s="13" t="s">
        <v>41</v>
      </c>
      <c r="G392" s="13" t="s">
        <v>2592</v>
      </c>
      <c r="H392" s="13" t="s">
        <v>2593</v>
      </c>
      <c r="I392" s="13" t="s">
        <v>23</v>
      </c>
      <c r="J392" s="13">
        <v>1.0</v>
      </c>
      <c r="K392" s="13" t="s">
        <v>174</v>
      </c>
      <c r="L392" s="13" t="s">
        <v>175</v>
      </c>
      <c r="M392" s="13" t="s">
        <v>100</v>
      </c>
      <c r="N392" s="13" t="s">
        <v>51</v>
      </c>
      <c r="O392" s="14">
        <v>39.98</v>
      </c>
      <c r="P392" s="14">
        <f t="shared" si="2"/>
        <v>39.98</v>
      </c>
      <c r="Q392" s="14">
        <v>39.12</v>
      </c>
    </row>
    <row r="393">
      <c r="A393" s="12">
        <v>42268.0</v>
      </c>
      <c r="B393" s="12"/>
      <c r="C393" s="12" t="s">
        <v>2329</v>
      </c>
      <c r="D393" s="1" t="s">
        <v>764</v>
      </c>
      <c r="E393" s="15" t="str">
        <f t="shared" si="1"/>
        <v>Sep</v>
      </c>
      <c r="F393" s="13" t="s">
        <v>20</v>
      </c>
      <c r="G393" s="13" t="s">
        <v>2594</v>
      </c>
      <c r="H393" s="13" t="s">
        <v>2595</v>
      </c>
      <c r="I393" s="13" t="s">
        <v>23</v>
      </c>
      <c r="J393" s="13">
        <v>9.0</v>
      </c>
      <c r="K393" s="13" t="s">
        <v>767</v>
      </c>
      <c r="L393" s="13" t="s">
        <v>63</v>
      </c>
      <c r="M393" s="13" t="s">
        <v>37</v>
      </c>
      <c r="N393" s="13" t="s">
        <v>51</v>
      </c>
      <c r="O393" s="14">
        <v>246.384</v>
      </c>
      <c r="P393" s="14">
        <f t="shared" si="2"/>
        <v>2217.456</v>
      </c>
      <c r="Q393" s="14">
        <v>245.6</v>
      </c>
    </row>
    <row r="394">
      <c r="A394" s="12">
        <v>42268.0</v>
      </c>
      <c r="B394" s="12"/>
      <c r="C394" s="12" t="s">
        <v>2329</v>
      </c>
      <c r="D394" s="1" t="s">
        <v>764</v>
      </c>
      <c r="E394" s="15" t="str">
        <f t="shared" si="1"/>
        <v>Sep</v>
      </c>
      <c r="F394" s="13" t="s">
        <v>20</v>
      </c>
      <c r="G394" s="13" t="s">
        <v>2594</v>
      </c>
      <c r="H394" s="13" t="s">
        <v>2595</v>
      </c>
      <c r="I394" s="13" t="s">
        <v>23</v>
      </c>
      <c r="J394" s="13">
        <v>9.0</v>
      </c>
      <c r="K394" s="13" t="s">
        <v>767</v>
      </c>
      <c r="L394" s="13" t="s">
        <v>63</v>
      </c>
      <c r="M394" s="13" t="s">
        <v>37</v>
      </c>
      <c r="N394" s="13" t="s">
        <v>51</v>
      </c>
      <c r="O394" s="14">
        <v>1799.97</v>
      </c>
      <c r="P394" s="14">
        <f t="shared" si="2"/>
        <v>16199.73</v>
      </c>
      <c r="Q394" s="14">
        <v>1799.44</v>
      </c>
    </row>
    <row r="395">
      <c r="A395" s="12">
        <v>42191.0</v>
      </c>
      <c r="B395" s="12"/>
      <c r="C395" s="12" t="s">
        <v>2348</v>
      </c>
      <c r="D395" s="6">
        <v>42283.0</v>
      </c>
      <c r="E395" s="15" t="str">
        <f t="shared" si="1"/>
        <v>Oct</v>
      </c>
      <c r="F395" s="13" t="s">
        <v>20</v>
      </c>
      <c r="G395" s="13" t="s">
        <v>2596</v>
      </c>
      <c r="H395" s="13" t="s">
        <v>2597</v>
      </c>
      <c r="I395" s="13" t="s">
        <v>34</v>
      </c>
      <c r="J395" s="13">
        <v>6.0</v>
      </c>
      <c r="K395" s="13" t="s">
        <v>771</v>
      </c>
      <c r="L395" s="13" t="s">
        <v>135</v>
      </c>
      <c r="M395" s="13" t="s">
        <v>71</v>
      </c>
      <c r="N395" s="13" t="s">
        <v>38</v>
      </c>
      <c r="O395" s="14">
        <v>12.462</v>
      </c>
      <c r="P395" s="14">
        <f t="shared" si="2"/>
        <v>74.772</v>
      </c>
      <c r="Q395" s="14">
        <v>11.68</v>
      </c>
    </row>
    <row r="396">
      <c r="A396" s="12">
        <v>43281.0</v>
      </c>
      <c r="B396" s="12"/>
      <c r="C396" s="12" t="s">
        <v>2374</v>
      </c>
      <c r="D396" s="6">
        <v>43227.0</v>
      </c>
      <c r="E396" s="15" t="str">
        <f t="shared" si="1"/>
        <v>May</v>
      </c>
      <c r="F396" s="13" t="s">
        <v>41</v>
      </c>
      <c r="G396" s="13" t="s">
        <v>2598</v>
      </c>
      <c r="H396" s="13" t="s">
        <v>2599</v>
      </c>
      <c r="I396" s="13" t="s">
        <v>68</v>
      </c>
      <c r="J396" s="13">
        <v>8.0</v>
      </c>
      <c r="K396" s="13" t="s">
        <v>775</v>
      </c>
      <c r="L396" s="13" t="s">
        <v>776</v>
      </c>
      <c r="M396" s="13" t="s">
        <v>37</v>
      </c>
      <c r="N396" s="13" t="s">
        <v>38</v>
      </c>
      <c r="O396" s="14">
        <v>75.792</v>
      </c>
      <c r="P396" s="14">
        <f t="shared" si="2"/>
        <v>606.336</v>
      </c>
      <c r="Q396" s="14">
        <v>75.2</v>
      </c>
    </row>
    <row r="397">
      <c r="A397" s="12">
        <v>43390.0</v>
      </c>
      <c r="B397" s="12"/>
      <c r="C397" s="12" t="s">
        <v>2358</v>
      </c>
      <c r="D397" s="1" t="s">
        <v>778</v>
      </c>
      <c r="E397" s="15" t="str">
        <f t="shared" si="1"/>
        <v>Oct</v>
      </c>
      <c r="F397" s="13" t="s">
        <v>20</v>
      </c>
      <c r="G397" s="13" t="s">
        <v>2600</v>
      </c>
      <c r="H397" s="13" t="s">
        <v>2601</v>
      </c>
      <c r="I397" s="13" t="s">
        <v>34</v>
      </c>
      <c r="J397" s="13">
        <v>2.0</v>
      </c>
      <c r="K397" s="13" t="s">
        <v>781</v>
      </c>
      <c r="L397" s="13" t="s">
        <v>782</v>
      </c>
      <c r="M397" s="13" t="s">
        <v>100</v>
      </c>
      <c r="N397" s="13" t="s">
        <v>38</v>
      </c>
      <c r="O397" s="14">
        <v>49.96</v>
      </c>
      <c r="P397" s="14">
        <f t="shared" si="2"/>
        <v>99.92</v>
      </c>
      <c r="Q397" s="14">
        <v>49.81</v>
      </c>
    </row>
    <row r="398">
      <c r="A398" s="12">
        <v>43390.0</v>
      </c>
      <c r="B398" s="12"/>
      <c r="C398" s="12" t="s">
        <v>2358</v>
      </c>
      <c r="D398" s="1" t="s">
        <v>778</v>
      </c>
      <c r="E398" s="15" t="str">
        <f t="shared" si="1"/>
        <v>Oct</v>
      </c>
      <c r="F398" s="13" t="s">
        <v>20</v>
      </c>
      <c r="G398" s="13" t="s">
        <v>2600</v>
      </c>
      <c r="H398" s="13" t="s">
        <v>2601</v>
      </c>
      <c r="I398" s="13" t="s">
        <v>34</v>
      </c>
      <c r="J398" s="13">
        <v>2.0</v>
      </c>
      <c r="K398" s="13" t="s">
        <v>781</v>
      </c>
      <c r="L398" s="13" t="s">
        <v>782</v>
      </c>
      <c r="M398" s="13" t="s">
        <v>100</v>
      </c>
      <c r="N398" s="13" t="s">
        <v>38</v>
      </c>
      <c r="O398" s="14">
        <v>12.96</v>
      </c>
      <c r="P398" s="14">
        <f t="shared" si="2"/>
        <v>25.92</v>
      </c>
      <c r="Q398" s="14">
        <v>12.37</v>
      </c>
    </row>
    <row r="399">
      <c r="A399" s="12">
        <v>42674.0</v>
      </c>
      <c r="B399" s="12"/>
      <c r="C399" s="12" t="s">
        <v>2358</v>
      </c>
      <c r="D399" s="6">
        <v>42471.0</v>
      </c>
      <c r="E399" s="15" t="str">
        <f t="shared" si="1"/>
        <v>Apr</v>
      </c>
      <c r="F399" s="13" t="s">
        <v>41</v>
      </c>
      <c r="G399" s="13" t="s">
        <v>2338</v>
      </c>
      <c r="H399" s="13" t="s">
        <v>2339</v>
      </c>
      <c r="I399" s="13" t="s">
        <v>68</v>
      </c>
      <c r="J399" s="13">
        <v>4.0</v>
      </c>
      <c r="K399" s="13" t="s">
        <v>205</v>
      </c>
      <c r="L399" s="13" t="s">
        <v>157</v>
      </c>
      <c r="M399" s="13" t="s">
        <v>71</v>
      </c>
      <c r="N399" s="13" t="s">
        <v>38</v>
      </c>
      <c r="O399" s="14">
        <v>70.12</v>
      </c>
      <c r="P399" s="14">
        <f t="shared" si="2"/>
        <v>280.48</v>
      </c>
      <c r="Q399" s="14">
        <v>69.33</v>
      </c>
    </row>
    <row r="400">
      <c r="A400" s="12">
        <v>42956.0</v>
      </c>
      <c r="B400" s="12"/>
      <c r="C400" s="12" t="s">
        <v>2322</v>
      </c>
      <c r="D400" s="6">
        <v>43017.0</v>
      </c>
      <c r="E400" s="15" t="str">
        <f t="shared" si="1"/>
        <v>Oct</v>
      </c>
      <c r="F400" s="13" t="s">
        <v>20</v>
      </c>
      <c r="G400" s="13" t="s">
        <v>2602</v>
      </c>
      <c r="H400" s="13" t="s">
        <v>2603</v>
      </c>
      <c r="I400" s="13" t="s">
        <v>23</v>
      </c>
      <c r="J400" s="13">
        <v>7.0</v>
      </c>
      <c r="K400" s="13" t="s">
        <v>129</v>
      </c>
      <c r="L400" s="13" t="s">
        <v>70</v>
      </c>
      <c r="M400" s="13" t="s">
        <v>71</v>
      </c>
      <c r="N400" s="13" t="s">
        <v>38</v>
      </c>
      <c r="O400" s="14">
        <v>35.952</v>
      </c>
      <c r="P400" s="14">
        <f t="shared" si="2"/>
        <v>251.664</v>
      </c>
      <c r="Q400" s="14">
        <v>35.91</v>
      </c>
    </row>
    <row r="401">
      <c r="A401" s="12">
        <v>42956.0</v>
      </c>
      <c r="B401" s="12"/>
      <c r="C401" s="12" t="s">
        <v>2322</v>
      </c>
      <c r="D401" s="6">
        <v>43017.0</v>
      </c>
      <c r="E401" s="15" t="str">
        <f t="shared" si="1"/>
        <v>Oct</v>
      </c>
      <c r="F401" s="13" t="s">
        <v>20</v>
      </c>
      <c r="G401" s="13" t="s">
        <v>2602</v>
      </c>
      <c r="H401" s="13" t="s">
        <v>2603</v>
      </c>
      <c r="I401" s="13" t="s">
        <v>23</v>
      </c>
      <c r="J401" s="13">
        <v>7.0</v>
      </c>
      <c r="K401" s="13" t="s">
        <v>129</v>
      </c>
      <c r="L401" s="13" t="s">
        <v>70</v>
      </c>
      <c r="M401" s="13" t="s">
        <v>71</v>
      </c>
      <c r="N401" s="13" t="s">
        <v>27</v>
      </c>
      <c r="O401" s="14">
        <v>2396.2656</v>
      </c>
      <c r="P401" s="14">
        <f t="shared" si="2"/>
        <v>16773.8592</v>
      </c>
      <c r="Q401" s="14">
        <v>2395.78</v>
      </c>
    </row>
    <row r="402">
      <c r="A402" s="12">
        <v>42956.0</v>
      </c>
      <c r="B402" s="12"/>
      <c r="C402" s="12" t="s">
        <v>2322</v>
      </c>
      <c r="D402" s="6">
        <v>43017.0</v>
      </c>
      <c r="E402" s="15" t="str">
        <f t="shared" si="1"/>
        <v>Oct</v>
      </c>
      <c r="F402" s="13" t="s">
        <v>20</v>
      </c>
      <c r="G402" s="13" t="s">
        <v>2602</v>
      </c>
      <c r="H402" s="13" t="s">
        <v>2603</v>
      </c>
      <c r="I402" s="13" t="s">
        <v>23</v>
      </c>
      <c r="J402" s="13">
        <v>7.0</v>
      </c>
      <c r="K402" s="13" t="s">
        <v>129</v>
      </c>
      <c r="L402" s="13" t="s">
        <v>70</v>
      </c>
      <c r="M402" s="13" t="s">
        <v>71</v>
      </c>
      <c r="N402" s="13" t="s">
        <v>38</v>
      </c>
      <c r="O402" s="14">
        <v>131.136</v>
      </c>
      <c r="P402" s="14">
        <f t="shared" si="2"/>
        <v>917.952</v>
      </c>
      <c r="Q402" s="14">
        <v>130.97</v>
      </c>
    </row>
    <row r="403">
      <c r="A403" s="12">
        <v>42956.0</v>
      </c>
      <c r="B403" s="12"/>
      <c r="C403" s="12" t="s">
        <v>2322</v>
      </c>
      <c r="D403" s="6">
        <v>43017.0</v>
      </c>
      <c r="E403" s="15" t="str">
        <f t="shared" si="1"/>
        <v>Oct</v>
      </c>
      <c r="F403" s="13" t="s">
        <v>20</v>
      </c>
      <c r="G403" s="13" t="s">
        <v>2602</v>
      </c>
      <c r="H403" s="13" t="s">
        <v>2603</v>
      </c>
      <c r="I403" s="13" t="s">
        <v>23</v>
      </c>
      <c r="J403" s="13">
        <v>7.0</v>
      </c>
      <c r="K403" s="13" t="s">
        <v>129</v>
      </c>
      <c r="L403" s="13" t="s">
        <v>70</v>
      </c>
      <c r="M403" s="13" t="s">
        <v>71</v>
      </c>
      <c r="N403" s="13" t="s">
        <v>51</v>
      </c>
      <c r="O403" s="14">
        <v>57.584</v>
      </c>
      <c r="P403" s="14">
        <f t="shared" si="2"/>
        <v>403.088</v>
      </c>
      <c r="Q403" s="14">
        <v>57.1</v>
      </c>
    </row>
    <row r="404">
      <c r="A404" s="12">
        <v>42362.0</v>
      </c>
      <c r="B404" s="12"/>
      <c r="C404" s="12" t="s">
        <v>2325</v>
      </c>
      <c r="D404" s="1" t="s">
        <v>788</v>
      </c>
      <c r="E404" s="15" t="str">
        <f t="shared" si="1"/>
        <v>Dec</v>
      </c>
      <c r="F404" s="13" t="s">
        <v>121</v>
      </c>
      <c r="G404" s="13" t="s">
        <v>2604</v>
      </c>
      <c r="H404" s="13" t="s">
        <v>2605</v>
      </c>
      <c r="I404" s="13" t="s">
        <v>23</v>
      </c>
      <c r="J404" s="13">
        <v>3.0</v>
      </c>
      <c r="K404" s="13" t="s">
        <v>791</v>
      </c>
      <c r="L404" s="13" t="s">
        <v>145</v>
      </c>
      <c r="M404" s="13" t="s">
        <v>26</v>
      </c>
      <c r="N404" s="13" t="s">
        <v>38</v>
      </c>
      <c r="O404" s="14">
        <v>9.568</v>
      </c>
      <c r="P404" s="14">
        <f t="shared" si="2"/>
        <v>28.704</v>
      </c>
      <c r="Q404" s="14">
        <v>8.71</v>
      </c>
    </row>
    <row r="405">
      <c r="A405" s="12">
        <v>42110.0</v>
      </c>
      <c r="B405" s="12"/>
      <c r="C405" s="12" t="s">
        <v>2332</v>
      </c>
      <c r="D405" s="1" t="s">
        <v>793</v>
      </c>
      <c r="E405" s="15" t="str">
        <f t="shared" si="1"/>
        <v>Apr</v>
      </c>
      <c r="F405" s="13" t="s">
        <v>41</v>
      </c>
      <c r="G405" s="13" t="s">
        <v>2460</v>
      </c>
      <c r="H405" s="13" t="s">
        <v>2461</v>
      </c>
      <c r="I405" s="13" t="s">
        <v>34</v>
      </c>
      <c r="J405" s="13">
        <v>2.0</v>
      </c>
      <c r="K405" s="13" t="s">
        <v>315</v>
      </c>
      <c r="L405" s="13" t="s">
        <v>58</v>
      </c>
      <c r="M405" s="13" t="s">
        <v>26</v>
      </c>
      <c r="N405" s="13" t="s">
        <v>38</v>
      </c>
      <c r="O405" s="14">
        <v>39.072</v>
      </c>
      <c r="P405" s="14">
        <f t="shared" si="2"/>
        <v>78.144</v>
      </c>
      <c r="Q405" s="14">
        <v>38.51</v>
      </c>
    </row>
    <row r="406">
      <c r="A406" s="12">
        <v>43458.0</v>
      </c>
      <c r="B406" s="12"/>
      <c r="C406" s="12" t="s">
        <v>2325</v>
      </c>
      <c r="D406" s="1" t="s">
        <v>795</v>
      </c>
      <c r="E406" s="15" t="str">
        <f t="shared" si="1"/>
        <v>Dec</v>
      </c>
      <c r="F406" s="13" t="s">
        <v>41</v>
      </c>
      <c r="G406" s="13" t="s">
        <v>2527</v>
      </c>
      <c r="H406" s="13" t="s">
        <v>2606</v>
      </c>
      <c r="I406" s="13" t="s">
        <v>23</v>
      </c>
      <c r="J406" s="13">
        <v>1.0</v>
      </c>
      <c r="K406" s="13" t="s">
        <v>174</v>
      </c>
      <c r="L406" s="13" t="s">
        <v>175</v>
      </c>
      <c r="M406" s="13" t="s">
        <v>100</v>
      </c>
      <c r="N406" s="13" t="s">
        <v>38</v>
      </c>
      <c r="O406" s="14">
        <v>35.91</v>
      </c>
      <c r="P406" s="14">
        <f t="shared" si="2"/>
        <v>35.91</v>
      </c>
      <c r="Q406" s="14">
        <v>35.67</v>
      </c>
    </row>
    <row r="407">
      <c r="A407" s="12">
        <v>43324.0</v>
      </c>
      <c r="B407" s="12"/>
      <c r="C407" s="12" t="s">
        <v>2322</v>
      </c>
      <c r="D407" s="5">
        <v>43446.0</v>
      </c>
      <c r="E407" s="15" t="str">
        <f t="shared" si="1"/>
        <v>Dec</v>
      </c>
      <c r="F407" s="13" t="s">
        <v>41</v>
      </c>
      <c r="G407" s="13" t="s">
        <v>2607</v>
      </c>
      <c r="H407" s="13" t="s">
        <v>2608</v>
      </c>
      <c r="I407" s="13" t="s">
        <v>23</v>
      </c>
      <c r="J407" s="13">
        <v>9.0</v>
      </c>
      <c r="K407" s="13" t="s">
        <v>87</v>
      </c>
      <c r="L407" s="13" t="s">
        <v>52</v>
      </c>
      <c r="M407" s="13" t="s">
        <v>37</v>
      </c>
      <c r="N407" s="13" t="s">
        <v>51</v>
      </c>
      <c r="O407" s="14">
        <v>179.95</v>
      </c>
      <c r="P407" s="14">
        <f t="shared" si="2"/>
        <v>1619.55</v>
      </c>
      <c r="Q407" s="14">
        <v>179.62</v>
      </c>
    </row>
    <row r="408">
      <c r="A408" s="12">
        <v>43324.0</v>
      </c>
      <c r="B408" s="12"/>
      <c r="C408" s="12" t="s">
        <v>2322</v>
      </c>
      <c r="D408" s="5">
        <v>43446.0</v>
      </c>
      <c r="E408" s="15" t="str">
        <f t="shared" si="1"/>
        <v>Dec</v>
      </c>
      <c r="F408" s="13" t="s">
        <v>41</v>
      </c>
      <c r="G408" s="13" t="s">
        <v>2607</v>
      </c>
      <c r="H408" s="13" t="s">
        <v>2608</v>
      </c>
      <c r="I408" s="13" t="s">
        <v>23</v>
      </c>
      <c r="J408" s="13">
        <v>9.0</v>
      </c>
      <c r="K408" s="13" t="s">
        <v>87</v>
      </c>
      <c r="L408" s="13" t="s">
        <v>52</v>
      </c>
      <c r="M408" s="13" t="s">
        <v>37</v>
      </c>
      <c r="N408" s="13" t="s">
        <v>51</v>
      </c>
      <c r="O408" s="14">
        <v>1199.976</v>
      </c>
      <c r="P408" s="14">
        <f t="shared" si="2"/>
        <v>10799.784</v>
      </c>
      <c r="Q408" s="14">
        <v>1199.86</v>
      </c>
    </row>
    <row r="409">
      <c r="A409" s="12">
        <v>43324.0</v>
      </c>
      <c r="B409" s="12"/>
      <c r="C409" s="12" t="s">
        <v>2322</v>
      </c>
      <c r="D409" s="5">
        <v>43446.0</v>
      </c>
      <c r="E409" s="15" t="str">
        <f t="shared" si="1"/>
        <v>Dec</v>
      </c>
      <c r="F409" s="13" t="s">
        <v>41</v>
      </c>
      <c r="G409" s="13" t="s">
        <v>2607</v>
      </c>
      <c r="H409" s="13" t="s">
        <v>2608</v>
      </c>
      <c r="I409" s="13" t="s">
        <v>23</v>
      </c>
      <c r="J409" s="13">
        <v>9.0</v>
      </c>
      <c r="K409" s="13" t="s">
        <v>87</v>
      </c>
      <c r="L409" s="13" t="s">
        <v>52</v>
      </c>
      <c r="M409" s="13" t="s">
        <v>37</v>
      </c>
      <c r="N409" s="13" t="s">
        <v>38</v>
      </c>
      <c r="O409" s="14">
        <v>27.15</v>
      </c>
      <c r="P409" s="14">
        <f t="shared" si="2"/>
        <v>244.35</v>
      </c>
      <c r="Q409" s="14">
        <v>27.07</v>
      </c>
    </row>
    <row r="410">
      <c r="A410" s="12">
        <v>43324.0</v>
      </c>
      <c r="B410" s="12"/>
      <c r="C410" s="12" t="s">
        <v>2322</v>
      </c>
      <c r="D410" s="5">
        <v>43446.0</v>
      </c>
      <c r="E410" s="15" t="str">
        <f t="shared" si="1"/>
        <v>Dec</v>
      </c>
      <c r="F410" s="13" t="s">
        <v>41</v>
      </c>
      <c r="G410" s="13" t="s">
        <v>2607</v>
      </c>
      <c r="H410" s="13" t="s">
        <v>2608</v>
      </c>
      <c r="I410" s="13" t="s">
        <v>23</v>
      </c>
      <c r="J410" s="13">
        <v>9.0</v>
      </c>
      <c r="K410" s="13" t="s">
        <v>87</v>
      </c>
      <c r="L410" s="13" t="s">
        <v>52</v>
      </c>
      <c r="M410" s="13" t="s">
        <v>37</v>
      </c>
      <c r="N410" s="13" t="s">
        <v>27</v>
      </c>
      <c r="O410" s="14">
        <v>1004.024</v>
      </c>
      <c r="P410" s="14">
        <f t="shared" si="2"/>
        <v>9036.216</v>
      </c>
      <c r="Q410" s="14">
        <v>1003.74</v>
      </c>
    </row>
    <row r="411">
      <c r="A411" s="12">
        <v>43324.0</v>
      </c>
      <c r="B411" s="12"/>
      <c r="C411" s="12" t="s">
        <v>2322</v>
      </c>
      <c r="D411" s="5">
        <v>43446.0</v>
      </c>
      <c r="E411" s="15" t="str">
        <f t="shared" si="1"/>
        <v>Dec</v>
      </c>
      <c r="F411" s="13" t="s">
        <v>41</v>
      </c>
      <c r="G411" s="13" t="s">
        <v>2607</v>
      </c>
      <c r="H411" s="13" t="s">
        <v>2608</v>
      </c>
      <c r="I411" s="13" t="s">
        <v>23</v>
      </c>
      <c r="J411" s="13">
        <v>9.0</v>
      </c>
      <c r="K411" s="13" t="s">
        <v>87</v>
      </c>
      <c r="L411" s="13" t="s">
        <v>52</v>
      </c>
      <c r="M411" s="13" t="s">
        <v>37</v>
      </c>
      <c r="N411" s="13" t="s">
        <v>38</v>
      </c>
      <c r="O411" s="14">
        <v>9.68</v>
      </c>
      <c r="P411" s="14">
        <f t="shared" si="2"/>
        <v>87.12</v>
      </c>
      <c r="Q411" s="14">
        <v>8.77</v>
      </c>
    </row>
    <row r="412">
      <c r="A412" s="12">
        <v>43324.0</v>
      </c>
      <c r="B412" s="12"/>
      <c r="C412" s="12" t="s">
        <v>2322</v>
      </c>
      <c r="D412" s="5">
        <v>43446.0</v>
      </c>
      <c r="E412" s="15" t="str">
        <f t="shared" si="1"/>
        <v>Dec</v>
      </c>
      <c r="F412" s="13" t="s">
        <v>41</v>
      </c>
      <c r="G412" s="13" t="s">
        <v>2607</v>
      </c>
      <c r="H412" s="13" t="s">
        <v>2608</v>
      </c>
      <c r="I412" s="13" t="s">
        <v>23</v>
      </c>
      <c r="J412" s="13">
        <v>9.0</v>
      </c>
      <c r="K412" s="13" t="s">
        <v>87</v>
      </c>
      <c r="L412" s="13" t="s">
        <v>52</v>
      </c>
      <c r="M412" s="13" t="s">
        <v>37</v>
      </c>
      <c r="N412" s="13" t="s">
        <v>38</v>
      </c>
      <c r="O412" s="14">
        <v>28.35</v>
      </c>
      <c r="P412" s="14">
        <f t="shared" si="2"/>
        <v>255.15</v>
      </c>
      <c r="Q412" s="14">
        <v>27.45</v>
      </c>
    </row>
    <row r="413">
      <c r="A413" s="12">
        <v>43324.0</v>
      </c>
      <c r="B413" s="12"/>
      <c r="C413" s="12" t="s">
        <v>2322</v>
      </c>
      <c r="D413" s="5">
        <v>43446.0</v>
      </c>
      <c r="E413" s="15" t="str">
        <f t="shared" si="1"/>
        <v>Dec</v>
      </c>
      <c r="F413" s="13" t="s">
        <v>41</v>
      </c>
      <c r="G413" s="13" t="s">
        <v>2607</v>
      </c>
      <c r="H413" s="13" t="s">
        <v>2608</v>
      </c>
      <c r="I413" s="13" t="s">
        <v>23</v>
      </c>
      <c r="J413" s="13">
        <v>9.0</v>
      </c>
      <c r="K413" s="13" t="s">
        <v>87</v>
      </c>
      <c r="L413" s="13" t="s">
        <v>52</v>
      </c>
      <c r="M413" s="13" t="s">
        <v>37</v>
      </c>
      <c r="N413" s="13" t="s">
        <v>38</v>
      </c>
      <c r="O413" s="14">
        <v>55.98</v>
      </c>
      <c r="P413" s="14">
        <f t="shared" si="2"/>
        <v>503.82</v>
      </c>
      <c r="Q413" s="14">
        <v>55.71</v>
      </c>
    </row>
    <row r="414">
      <c r="A414" s="12">
        <v>43324.0</v>
      </c>
      <c r="B414" s="12"/>
      <c r="C414" s="12" t="s">
        <v>2322</v>
      </c>
      <c r="D414" s="5">
        <v>43446.0</v>
      </c>
      <c r="E414" s="15" t="str">
        <f t="shared" si="1"/>
        <v>Dec</v>
      </c>
      <c r="F414" s="13" t="s">
        <v>41</v>
      </c>
      <c r="G414" s="13" t="s">
        <v>2607</v>
      </c>
      <c r="H414" s="13" t="s">
        <v>2608</v>
      </c>
      <c r="I414" s="13" t="s">
        <v>23</v>
      </c>
      <c r="J414" s="13">
        <v>9.0</v>
      </c>
      <c r="K414" s="13" t="s">
        <v>87</v>
      </c>
      <c r="L414" s="13" t="s">
        <v>52</v>
      </c>
      <c r="M414" s="13" t="s">
        <v>37</v>
      </c>
      <c r="N414" s="13" t="s">
        <v>27</v>
      </c>
      <c r="O414" s="14">
        <v>1336.829</v>
      </c>
      <c r="P414" s="14">
        <f t="shared" si="2"/>
        <v>12031.461</v>
      </c>
      <c r="Q414" s="14">
        <v>1336.39</v>
      </c>
    </row>
    <row r="415">
      <c r="A415" s="12">
        <v>43324.0</v>
      </c>
      <c r="B415" s="12"/>
      <c r="C415" s="12" t="s">
        <v>2322</v>
      </c>
      <c r="D415" s="5">
        <v>43446.0</v>
      </c>
      <c r="E415" s="15" t="str">
        <f t="shared" si="1"/>
        <v>Dec</v>
      </c>
      <c r="F415" s="13" t="s">
        <v>41</v>
      </c>
      <c r="G415" s="13" t="s">
        <v>2607</v>
      </c>
      <c r="H415" s="13" t="s">
        <v>2608</v>
      </c>
      <c r="I415" s="13" t="s">
        <v>23</v>
      </c>
      <c r="J415" s="13">
        <v>9.0</v>
      </c>
      <c r="K415" s="13" t="s">
        <v>87</v>
      </c>
      <c r="L415" s="13" t="s">
        <v>52</v>
      </c>
      <c r="M415" s="13" t="s">
        <v>37</v>
      </c>
      <c r="N415" s="13" t="s">
        <v>27</v>
      </c>
      <c r="O415" s="14">
        <v>113.568</v>
      </c>
      <c r="P415" s="14">
        <f t="shared" si="2"/>
        <v>1022.112</v>
      </c>
      <c r="Q415" s="14">
        <v>113.48</v>
      </c>
    </row>
    <row r="416">
      <c r="A416" s="12">
        <v>43170.0</v>
      </c>
      <c r="B416" s="12"/>
      <c r="C416" s="12" t="s">
        <v>2399</v>
      </c>
      <c r="D416" s="6">
        <v>43292.0</v>
      </c>
      <c r="E416" s="15" t="str">
        <f t="shared" si="1"/>
        <v>Jul</v>
      </c>
      <c r="F416" s="13" t="s">
        <v>41</v>
      </c>
      <c r="G416" s="13" t="s">
        <v>2609</v>
      </c>
      <c r="H416" s="13" t="s">
        <v>2610</v>
      </c>
      <c r="I416" s="13" t="s">
        <v>34</v>
      </c>
      <c r="J416" s="13">
        <v>9.0</v>
      </c>
      <c r="K416" s="13" t="s">
        <v>62</v>
      </c>
      <c r="L416" s="13" t="s">
        <v>63</v>
      </c>
      <c r="M416" s="13" t="s">
        <v>37</v>
      </c>
      <c r="N416" s="13" t="s">
        <v>38</v>
      </c>
      <c r="O416" s="14">
        <v>139.86</v>
      </c>
      <c r="P416" s="14">
        <f t="shared" si="2"/>
        <v>1258.74</v>
      </c>
      <c r="Q416" s="14">
        <v>138.94</v>
      </c>
    </row>
    <row r="417">
      <c r="A417" s="12">
        <v>43170.0</v>
      </c>
      <c r="B417" s="12"/>
      <c r="C417" s="12" t="s">
        <v>2399</v>
      </c>
      <c r="D417" s="6">
        <v>43292.0</v>
      </c>
      <c r="E417" s="15" t="str">
        <f t="shared" si="1"/>
        <v>Jul</v>
      </c>
      <c r="F417" s="13" t="s">
        <v>41</v>
      </c>
      <c r="G417" s="13" t="s">
        <v>2609</v>
      </c>
      <c r="H417" s="13" t="s">
        <v>2610</v>
      </c>
      <c r="I417" s="13" t="s">
        <v>34</v>
      </c>
      <c r="J417" s="13">
        <v>9.0</v>
      </c>
      <c r="K417" s="13" t="s">
        <v>62</v>
      </c>
      <c r="L417" s="13" t="s">
        <v>63</v>
      </c>
      <c r="M417" s="13" t="s">
        <v>37</v>
      </c>
      <c r="N417" s="13" t="s">
        <v>27</v>
      </c>
      <c r="O417" s="14">
        <v>307.136</v>
      </c>
      <c r="P417" s="14">
        <f t="shared" si="2"/>
        <v>2764.224</v>
      </c>
      <c r="Q417" s="14">
        <v>306.85</v>
      </c>
    </row>
    <row r="418">
      <c r="A418" s="12">
        <v>43275.0</v>
      </c>
      <c r="B418" s="12"/>
      <c r="C418" s="12" t="s">
        <v>2374</v>
      </c>
      <c r="D418" s="1" t="s">
        <v>805</v>
      </c>
      <c r="E418" s="15" t="str">
        <f t="shared" si="1"/>
        <v>Jun</v>
      </c>
      <c r="F418" s="13" t="s">
        <v>41</v>
      </c>
      <c r="G418" s="13" t="s">
        <v>2611</v>
      </c>
      <c r="H418" s="13" t="s">
        <v>2612</v>
      </c>
      <c r="I418" s="13" t="s">
        <v>23</v>
      </c>
      <c r="J418" s="13">
        <v>9.0</v>
      </c>
      <c r="K418" s="13" t="s">
        <v>808</v>
      </c>
      <c r="L418" s="13" t="s">
        <v>52</v>
      </c>
      <c r="M418" s="13" t="s">
        <v>37</v>
      </c>
      <c r="N418" s="13" t="s">
        <v>38</v>
      </c>
      <c r="O418" s="14">
        <v>95.92</v>
      </c>
      <c r="P418" s="14">
        <f t="shared" si="2"/>
        <v>863.28</v>
      </c>
      <c r="Q418" s="14">
        <v>95.2</v>
      </c>
    </row>
    <row r="419">
      <c r="A419" s="12">
        <v>42839.0</v>
      </c>
      <c r="B419" s="12"/>
      <c r="C419" s="12" t="s">
        <v>2332</v>
      </c>
      <c r="D419" s="1" t="s">
        <v>810</v>
      </c>
      <c r="E419" s="15" t="str">
        <f t="shared" si="1"/>
        <v>Apr</v>
      </c>
      <c r="F419" s="13" t="s">
        <v>41</v>
      </c>
      <c r="G419" s="13" t="s">
        <v>2440</v>
      </c>
      <c r="H419" s="13" t="s">
        <v>2613</v>
      </c>
      <c r="I419" s="13" t="s">
        <v>23</v>
      </c>
      <c r="J419" s="13">
        <v>9.0</v>
      </c>
      <c r="K419" s="13" t="s">
        <v>35</v>
      </c>
      <c r="L419" s="13" t="s">
        <v>52</v>
      </c>
      <c r="M419" s="13" t="s">
        <v>37</v>
      </c>
      <c r="N419" s="13" t="s">
        <v>27</v>
      </c>
      <c r="O419" s="14">
        <v>383.8</v>
      </c>
      <c r="P419" s="14">
        <f t="shared" si="2"/>
        <v>3454.2</v>
      </c>
      <c r="Q419" s="14">
        <v>383.39</v>
      </c>
    </row>
    <row r="420">
      <c r="A420" s="12">
        <v>43262.0</v>
      </c>
      <c r="B420" s="12"/>
      <c r="C420" s="12" t="s">
        <v>2374</v>
      </c>
      <c r="D420" s="5">
        <v>43384.0</v>
      </c>
      <c r="E420" s="15" t="str">
        <f t="shared" si="1"/>
        <v>Oct</v>
      </c>
      <c r="F420" s="13" t="s">
        <v>41</v>
      </c>
      <c r="G420" s="13" t="s">
        <v>2508</v>
      </c>
      <c r="H420" s="13" t="s">
        <v>2394</v>
      </c>
      <c r="I420" s="13" t="s">
        <v>34</v>
      </c>
      <c r="J420" s="13">
        <v>4.0</v>
      </c>
      <c r="K420" s="13" t="s">
        <v>814</v>
      </c>
      <c r="L420" s="13" t="s">
        <v>25</v>
      </c>
      <c r="M420" s="13" t="s">
        <v>26</v>
      </c>
      <c r="N420" s="13" t="s">
        <v>38</v>
      </c>
      <c r="O420" s="14">
        <v>5.78</v>
      </c>
      <c r="P420" s="14">
        <f t="shared" si="2"/>
        <v>23.12</v>
      </c>
      <c r="Q420" s="14">
        <v>5.46</v>
      </c>
    </row>
    <row r="421">
      <c r="A421" s="12">
        <v>43193.0</v>
      </c>
      <c r="B421" s="12"/>
      <c r="C421" s="12" t="s">
        <v>2332</v>
      </c>
      <c r="D421" s="6">
        <v>43346.0</v>
      </c>
      <c r="E421" s="15" t="str">
        <f t="shared" si="1"/>
        <v>Sep</v>
      </c>
      <c r="F421" s="13" t="s">
        <v>41</v>
      </c>
      <c r="G421" s="13" t="s">
        <v>2552</v>
      </c>
      <c r="H421" s="13" t="s">
        <v>2553</v>
      </c>
      <c r="I421" s="13" t="s">
        <v>34</v>
      </c>
      <c r="J421" s="13">
        <v>9.0</v>
      </c>
      <c r="K421" s="13" t="s">
        <v>35</v>
      </c>
      <c r="L421" s="13" t="s">
        <v>52</v>
      </c>
      <c r="M421" s="13" t="s">
        <v>37</v>
      </c>
      <c r="N421" s="13" t="s">
        <v>38</v>
      </c>
      <c r="O421" s="14">
        <v>9.32</v>
      </c>
      <c r="P421" s="14">
        <f t="shared" si="2"/>
        <v>83.88</v>
      </c>
      <c r="Q421" s="14">
        <v>8.95</v>
      </c>
    </row>
    <row r="422">
      <c r="A422" s="12">
        <v>43193.0</v>
      </c>
      <c r="B422" s="12"/>
      <c r="C422" s="12" t="s">
        <v>2332</v>
      </c>
      <c r="D422" s="6">
        <v>43346.0</v>
      </c>
      <c r="E422" s="15" t="str">
        <f t="shared" si="1"/>
        <v>Sep</v>
      </c>
      <c r="F422" s="13" t="s">
        <v>41</v>
      </c>
      <c r="G422" s="13" t="s">
        <v>2552</v>
      </c>
      <c r="H422" s="13" t="s">
        <v>2553</v>
      </c>
      <c r="I422" s="13" t="s">
        <v>34</v>
      </c>
      <c r="J422" s="13">
        <v>9.0</v>
      </c>
      <c r="K422" s="13" t="s">
        <v>35</v>
      </c>
      <c r="L422" s="13" t="s">
        <v>52</v>
      </c>
      <c r="M422" s="13" t="s">
        <v>37</v>
      </c>
      <c r="N422" s="13" t="s">
        <v>38</v>
      </c>
      <c r="O422" s="14">
        <v>15.25</v>
      </c>
      <c r="P422" s="14">
        <f t="shared" si="2"/>
        <v>137.25</v>
      </c>
      <c r="Q422" s="14">
        <v>15.23</v>
      </c>
    </row>
    <row r="423">
      <c r="A423" s="12">
        <v>42177.0</v>
      </c>
      <c r="B423" s="12"/>
      <c r="C423" s="12" t="s">
        <v>2374</v>
      </c>
      <c r="D423" s="1" t="s">
        <v>817</v>
      </c>
      <c r="E423" s="15" t="str">
        <f t="shared" si="1"/>
        <v>Jun</v>
      </c>
      <c r="F423" s="13" t="s">
        <v>121</v>
      </c>
      <c r="G423" s="13" t="s">
        <v>2392</v>
      </c>
      <c r="H423" s="13" t="s">
        <v>2393</v>
      </c>
      <c r="I423" s="13" t="s">
        <v>23</v>
      </c>
      <c r="J423" s="13">
        <v>8.0</v>
      </c>
      <c r="K423" s="13" t="s">
        <v>818</v>
      </c>
      <c r="L423" s="13" t="s">
        <v>279</v>
      </c>
      <c r="M423" s="13" t="s">
        <v>37</v>
      </c>
      <c r="N423" s="13" t="s">
        <v>51</v>
      </c>
      <c r="O423" s="14">
        <v>196.752</v>
      </c>
      <c r="P423" s="14">
        <f t="shared" si="2"/>
        <v>1574.016</v>
      </c>
      <c r="Q423" s="14">
        <v>196.71</v>
      </c>
    </row>
    <row r="424">
      <c r="A424" s="12">
        <v>43392.0</v>
      </c>
      <c r="B424" s="12"/>
      <c r="C424" s="12" t="s">
        <v>2358</v>
      </c>
      <c r="D424" s="1" t="s">
        <v>116</v>
      </c>
      <c r="E424" s="15" t="str">
        <f t="shared" si="1"/>
        <v>Oct</v>
      </c>
      <c r="F424" s="13" t="s">
        <v>41</v>
      </c>
      <c r="G424" s="13" t="s">
        <v>2507</v>
      </c>
      <c r="H424" s="13" t="s">
        <v>2466</v>
      </c>
      <c r="I424" s="13" t="s">
        <v>34</v>
      </c>
      <c r="J424" s="13">
        <v>1.0</v>
      </c>
      <c r="K424" s="13" t="s">
        <v>822</v>
      </c>
      <c r="L424" s="13" t="s">
        <v>694</v>
      </c>
      <c r="M424" s="13" t="s">
        <v>100</v>
      </c>
      <c r="N424" s="13" t="s">
        <v>27</v>
      </c>
      <c r="O424" s="14">
        <v>56.56</v>
      </c>
      <c r="P424" s="14">
        <f t="shared" si="2"/>
        <v>56.56</v>
      </c>
      <c r="Q424" s="14">
        <v>56.43</v>
      </c>
    </row>
    <row r="425">
      <c r="A425" s="12">
        <v>43392.0</v>
      </c>
      <c r="B425" s="12"/>
      <c r="C425" s="12" t="s">
        <v>2358</v>
      </c>
      <c r="D425" s="1" t="s">
        <v>116</v>
      </c>
      <c r="E425" s="15" t="str">
        <f t="shared" si="1"/>
        <v>Oct</v>
      </c>
      <c r="F425" s="13" t="s">
        <v>41</v>
      </c>
      <c r="G425" s="13" t="s">
        <v>2507</v>
      </c>
      <c r="H425" s="13" t="s">
        <v>2466</v>
      </c>
      <c r="I425" s="13" t="s">
        <v>34</v>
      </c>
      <c r="J425" s="13">
        <v>1.0</v>
      </c>
      <c r="K425" s="13" t="s">
        <v>822</v>
      </c>
      <c r="L425" s="13" t="s">
        <v>694</v>
      </c>
      <c r="M425" s="13" t="s">
        <v>100</v>
      </c>
      <c r="N425" s="13" t="s">
        <v>38</v>
      </c>
      <c r="O425" s="14">
        <v>32.7</v>
      </c>
      <c r="P425" s="14">
        <f t="shared" si="2"/>
        <v>32.7</v>
      </c>
      <c r="Q425" s="14">
        <v>31.8</v>
      </c>
    </row>
    <row r="426">
      <c r="A426" s="12">
        <v>43333.0</v>
      </c>
      <c r="B426" s="12"/>
      <c r="C426" s="12" t="s">
        <v>2322</v>
      </c>
      <c r="D426" s="1" t="s">
        <v>824</v>
      </c>
      <c r="E426" s="15" t="str">
        <f t="shared" si="1"/>
        <v>Aug</v>
      </c>
      <c r="F426" s="13" t="s">
        <v>20</v>
      </c>
      <c r="G426" s="13" t="s">
        <v>2614</v>
      </c>
      <c r="H426" s="13" t="s">
        <v>2615</v>
      </c>
      <c r="I426" s="13" t="s">
        <v>23</v>
      </c>
      <c r="J426" s="13">
        <v>3.0</v>
      </c>
      <c r="K426" s="13" t="s">
        <v>205</v>
      </c>
      <c r="L426" s="13" t="s">
        <v>827</v>
      </c>
      <c r="M426" s="13" t="s">
        <v>26</v>
      </c>
      <c r="N426" s="13" t="s">
        <v>27</v>
      </c>
      <c r="O426" s="14">
        <v>866.4</v>
      </c>
      <c r="P426" s="14">
        <f t="shared" si="2"/>
        <v>2599.2</v>
      </c>
      <c r="Q426" s="14">
        <v>865.96</v>
      </c>
    </row>
    <row r="427">
      <c r="A427" s="12">
        <v>43427.0</v>
      </c>
      <c r="B427" s="12"/>
      <c r="C427" s="12" t="s">
        <v>2326</v>
      </c>
      <c r="D427" s="1" t="s">
        <v>829</v>
      </c>
      <c r="E427" s="15" t="str">
        <f t="shared" si="1"/>
        <v>Nov</v>
      </c>
      <c r="F427" s="13" t="s">
        <v>20</v>
      </c>
      <c r="G427" s="13" t="s">
        <v>2379</v>
      </c>
      <c r="H427" s="13" t="s">
        <v>2380</v>
      </c>
      <c r="I427" s="13" t="s">
        <v>34</v>
      </c>
      <c r="J427" s="13">
        <v>4.0</v>
      </c>
      <c r="K427" s="13" t="s">
        <v>830</v>
      </c>
      <c r="L427" s="13" t="s">
        <v>157</v>
      </c>
      <c r="M427" s="13" t="s">
        <v>71</v>
      </c>
      <c r="N427" s="13" t="s">
        <v>27</v>
      </c>
      <c r="O427" s="14">
        <v>28.4</v>
      </c>
      <c r="P427" s="14">
        <f t="shared" si="2"/>
        <v>113.6</v>
      </c>
      <c r="Q427" s="14">
        <v>27.46</v>
      </c>
    </row>
    <row r="428">
      <c r="A428" s="12">
        <v>43427.0</v>
      </c>
      <c r="B428" s="12"/>
      <c r="C428" s="12" t="s">
        <v>2326</v>
      </c>
      <c r="D428" s="1" t="s">
        <v>829</v>
      </c>
      <c r="E428" s="15" t="str">
        <f t="shared" si="1"/>
        <v>Nov</v>
      </c>
      <c r="F428" s="13" t="s">
        <v>20</v>
      </c>
      <c r="G428" s="13" t="s">
        <v>2379</v>
      </c>
      <c r="H428" s="13" t="s">
        <v>2380</v>
      </c>
      <c r="I428" s="13" t="s">
        <v>34</v>
      </c>
      <c r="J428" s="13">
        <v>4.0</v>
      </c>
      <c r="K428" s="13" t="s">
        <v>830</v>
      </c>
      <c r="L428" s="13" t="s">
        <v>157</v>
      </c>
      <c r="M428" s="13" t="s">
        <v>71</v>
      </c>
      <c r="N428" s="13" t="s">
        <v>38</v>
      </c>
      <c r="O428" s="14">
        <v>287.92</v>
      </c>
      <c r="P428" s="14">
        <f t="shared" si="2"/>
        <v>1151.68</v>
      </c>
      <c r="Q428" s="14">
        <v>287.29</v>
      </c>
    </row>
    <row r="429">
      <c r="A429" s="12">
        <v>42347.0</v>
      </c>
      <c r="B429" s="12"/>
      <c r="C429" s="12" t="s">
        <v>2325</v>
      </c>
      <c r="D429" s="1" t="s">
        <v>832</v>
      </c>
      <c r="E429" s="15" t="str">
        <f t="shared" si="1"/>
        <v>Sep</v>
      </c>
      <c r="F429" s="13" t="s">
        <v>121</v>
      </c>
      <c r="G429" s="13" t="s">
        <v>2477</v>
      </c>
      <c r="H429" s="13" t="s">
        <v>2389</v>
      </c>
      <c r="I429" s="13" t="s">
        <v>68</v>
      </c>
      <c r="J429" s="13">
        <v>1.0</v>
      </c>
      <c r="K429" s="13" t="s">
        <v>835</v>
      </c>
      <c r="L429" s="13" t="s">
        <v>175</v>
      </c>
      <c r="M429" s="13" t="s">
        <v>100</v>
      </c>
      <c r="N429" s="13" t="s">
        <v>51</v>
      </c>
      <c r="O429" s="14">
        <v>69.99</v>
      </c>
      <c r="P429" s="14">
        <f t="shared" si="2"/>
        <v>69.99</v>
      </c>
      <c r="Q429" s="14">
        <v>69.33</v>
      </c>
    </row>
    <row r="430">
      <c r="A430" s="12">
        <v>43110.0</v>
      </c>
      <c r="B430" s="12"/>
      <c r="C430" s="12" t="s">
        <v>2353</v>
      </c>
      <c r="D430" s="6">
        <v>43322.0</v>
      </c>
      <c r="E430" s="15" t="str">
        <f t="shared" si="1"/>
        <v>Aug</v>
      </c>
      <c r="F430" s="13" t="s">
        <v>41</v>
      </c>
      <c r="G430" s="13" t="s">
        <v>2346</v>
      </c>
      <c r="H430" s="13" t="s">
        <v>2616</v>
      </c>
      <c r="I430" s="13" t="s">
        <v>34</v>
      </c>
      <c r="J430" s="13">
        <v>7.0</v>
      </c>
      <c r="K430" s="13" t="s">
        <v>404</v>
      </c>
      <c r="L430" s="13" t="s">
        <v>70</v>
      </c>
      <c r="M430" s="13" t="s">
        <v>71</v>
      </c>
      <c r="N430" s="13" t="s">
        <v>38</v>
      </c>
      <c r="O430" s="14">
        <v>6.672</v>
      </c>
      <c r="P430" s="14">
        <f t="shared" si="2"/>
        <v>46.704</v>
      </c>
      <c r="Q430" s="14">
        <v>5.83</v>
      </c>
    </row>
    <row r="431">
      <c r="A431" s="12">
        <v>42840.0</v>
      </c>
      <c r="B431" s="12"/>
      <c r="C431" s="12" t="s">
        <v>2332</v>
      </c>
      <c r="D431" s="1" t="s">
        <v>840</v>
      </c>
      <c r="E431" s="15" t="str">
        <f t="shared" si="1"/>
        <v>Apr</v>
      </c>
      <c r="F431" s="13" t="s">
        <v>41</v>
      </c>
      <c r="G431" s="13" t="s">
        <v>2617</v>
      </c>
      <c r="H431" s="13" t="s">
        <v>2618</v>
      </c>
      <c r="I431" s="13" t="s">
        <v>68</v>
      </c>
      <c r="J431" s="13">
        <v>2.0</v>
      </c>
      <c r="K431" s="13" t="s">
        <v>843</v>
      </c>
      <c r="L431" s="13" t="s">
        <v>58</v>
      </c>
      <c r="M431" s="13" t="s">
        <v>26</v>
      </c>
      <c r="N431" s="13" t="s">
        <v>38</v>
      </c>
      <c r="O431" s="14">
        <v>189.588</v>
      </c>
      <c r="P431" s="14">
        <f t="shared" si="2"/>
        <v>379.176</v>
      </c>
      <c r="Q431" s="14">
        <v>189.27</v>
      </c>
    </row>
    <row r="432">
      <c r="A432" s="12">
        <v>42840.0</v>
      </c>
      <c r="B432" s="12"/>
      <c r="C432" s="12" t="s">
        <v>2332</v>
      </c>
      <c r="D432" s="1" t="s">
        <v>840</v>
      </c>
      <c r="E432" s="15" t="str">
        <f t="shared" si="1"/>
        <v>Apr</v>
      </c>
      <c r="F432" s="13" t="s">
        <v>41</v>
      </c>
      <c r="G432" s="13" t="s">
        <v>2617</v>
      </c>
      <c r="H432" s="13" t="s">
        <v>2618</v>
      </c>
      <c r="I432" s="13" t="s">
        <v>68</v>
      </c>
      <c r="J432" s="13">
        <v>2.0</v>
      </c>
      <c r="K432" s="13" t="s">
        <v>843</v>
      </c>
      <c r="L432" s="13" t="s">
        <v>58</v>
      </c>
      <c r="M432" s="13" t="s">
        <v>26</v>
      </c>
      <c r="N432" s="13" t="s">
        <v>51</v>
      </c>
      <c r="O432" s="14">
        <v>408.744</v>
      </c>
      <c r="P432" s="14">
        <f t="shared" si="2"/>
        <v>817.488</v>
      </c>
      <c r="Q432" s="14">
        <v>408.29</v>
      </c>
    </row>
    <row r="433">
      <c r="A433" s="12">
        <v>42840.0</v>
      </c>
      <c r="B433" s="12"/>
      <c r="C433" s="12" t="s">
        <v>2332</v>
      </c>
      <c r="D433" s="1" t="s">
        <v>840</v>
      </c>
      <c r="E433" s="15" t="str">
        <f t="shared" si="1"/>
        <v>Apr</v>
      </c>
      <c r="F433" s="13" t="s">
        <v>41</v>
      </c>
      <c r="G433" s="13" t="s">
        <v>2617</v>
      </c>
      <c r="H433" s="13" t="s">
        <v>2618</v>
      </c>
      <c r="I433" s="13" t="s">
        <v>68</v>
      </c>
      <c r="J433" s="13">
        <v>2.0</v>
      </c>
      <c r="K433" s="13" t="s">
        <v>843</v>
      </c>
      <c r="L433" s="13" t="s">
        <v>58</v>
      </c>
      <c r="M433" s="13" t="s">
        <v>26</v>
      </c>
      <c r="N433" s="13" t="s">
        <v>51</v>
      </c>
      <c r="O433" s="14">
        <v>291.96</v>
      </c>
      <c r="P433" s="14">
        <f t="shared" si="2"/>
        <v>583.92</v>
      </c>
      <c r="Q433" s="14">
        <v>291.27</v>
      </c>
    </row>
    <row r="434">
      <c r="A434" s="12">
        <v>42840.0</v>
      </c>
      <c r="B434" s="12"/>
      <c r="C434" s="12" t="s">
        <v>2332</v>
      </c>
      <c r="D434" s="1" t="s">
        <v>840</v>
      </c>
      <c r="E434" s="15" t="str">
        <f t="shared" si="1"/>
        <v>Apr</v>
      </c>
      <c r="F434" s="13" t="s">
        <v>41</v>
      </c>
      <c r="G434" s="13" t="s">
        <v>2617</v>
      </c>
      <c r="H434" s="13" t="s">
        <v>2618</v>
      </c>
      <c r="I434" s="13" t="s">
        <v>68</v>
      </c>
      <c r="J434" s="13">
        <v>2.0</v>
      </c>
      <c r="K434" s="13" t="s">
        <v>843</v>
      </c>
      <c r="L434" s="13" t="s">
        <v>58</v>
      </c>
      <c r="M434" s="13" t="s">
        <v>26</v>
      </c>
      <c r="N434" s="13" t="s">
        <v>38</v>
      </c>
      <c r="O434" s="14">
        <v>4.768</v>
      </c>
      <c r="P434" s="14">
        <f t="shared" si="2"/>
        <v>9.536</v>
      </c>
      <c r="Q434" s="14">
        <v>4.48</v>
      </c>
    </row>
    <row r="435">
      <c r="A435" s="12">
        <v>42892.0</v>
      </c>
      <c r="B435" s="12"/>
      <c r="C435" s="12" t="s">
        <v>2374</v>
      </c>
      <c r="D435" s="6">
        <v>42922.0</v>
      </c>
      <c r="E435" s="15" t="str">
        <f t="shared" si="1"/>
        <v>Jul</v>
      </c>
      <c r="F435" s="13" t="s">
        <v>121</v>
      </c>
      <c r="G435" s="13" t="s">
        <v>2432</v>
      </c>
      <c r="H435" s="13" t="s">
        <v>2464</v>
      </c>
      <c r="I435" s="13" t="s">
        <v>23</v>
      </c>
      <c r="J435" s="13">
        <v>1.0</v>
      </c>
      <c r="K435" s="13" t="s">
        <v>693</v>
      </c>
      <c r="L435" s="13" t="s">
        <v>694</v>
      </c>
      <c r="M435" s="13" t="s">
        <v>100</v>
      </c>
      <c r="N435" s="13" t="s">
        <v>38</v>
      </c>
      <c r="O435" s="14">
        <v>714.3</v>
      </c>
      <c r="P435" s="14">
        <f t="shared" si="2"/>
        <v>714.3</v>
      </c>
      <c r="Q435" s="14">
        <v>713.4</v>
      </c>
    </row>
    <row r="436">
      <c r="A436" s="12">
        <v>42357.0</v>
      </c>
      <c r="B436" s="12"/>
      <c r="C436" s="12" t="s">
        <v>2325</v>
      </c>
      <c r="D436" s="1" t="s">
        <v>846</v>
      </c>
      <c r="E436" s="15" t="str">
        <f t="shared" si="1"/>
        <v>Dec</v>
      </c>
      <c r="F436" s="13" t="s">
        <v>41</v>
      </c>
      <c r="G436" s="13" t="s">
        <v>2592</v>
      </c>
      <c r="H436" s="13" t="s">
        <v>2575</v>
      </c>
      <c r="I436" s="13" t="s">
        <v>23</v>
      </c>
      <c r="J436" s="13">
        <v>3.0</v>
      </c>
      <c r="K436" s="13" t="s">
        <v>849</v>
      </c>
      <c r="L436" s="13" t="s">
        <v>145</v>
      </c>
      <c r="M436" s="13" t="s">
        <v>26</v>
      </c>
      <c r="N436" s="13" t="s">
        <v>38</v>
      </c>
      <c r="O436" s="14">
        <v>4.812</v>
      </c>
      <c r="P436" s="14">
        <f t="shared" si="2"/>
        <v>14.436</v>
      </c>
      <c r="Q436" s="14">
        <v>3.97</v>
      </c>
    </row>
    <row r="437">
      <c r="A437" s="12">
        <v>42357.0</v>
      </c>
      <c r="B437" s="12"/>
      <c r="C437" s="12" t="s">
        <v>2325</v>
      </c>
      <c r="D437" s="1" t="s">
        <v>846</v>
      </c>
      <c r="E437" s="15" t="str">
        <f t="shared" si="1"/>
        <v>Dec</v>
      </c>
      <c r="F437" s="13" t="s">
        <v>41</v>
      </c>
      <c r="G437" s="13" t="s">
        <v>2592</v>
      </c>
      <c r="H437" s="13" t="s">
        <v>2575</v>
      </c>
      <c r="I437" s="13" t="s">
        <v>23</v>
      </c>
      <c r="J437" s="13">
        <v>3.0</v>
      </c>
      <c r="K437" s="13" t="s">
        <v>849</v>
      </c>
      <c r="L437" s="13" t="s">
        <v>145</v>
      </c>
      <c r="M437" s="13" t="s">
        <v>26</v>
      </c>
      <c r="N437" s="13" t="s">
        <v>51</v>
      </c>
      <c r="O437" s="14">
        <v>247.8</v>
      </c>
      <c r="P437" s="14">
        <f t="shared" si="2"/>
        <v>743.4</v>
      </c>
      <c r="Q437" s="14">
        <v>247.72</v>
      </c>
    </row>
    <row r="438">
      <c r="A438" s="12">
        <v>43075.0</v>
      </c>
      <c r="B438" s="12"/>
      <c r="C438" s="12" t="s">
        <v>2325</v>
      </c>
      <c r="D438" s="1" t="s">
        <v>851</v>
      </c>
      <c r="E438" s="15" t="str">
        <f t="shared" si="1"/>
        <v>Jun</v>
      </c>
      <c r="F438" s="13" t="s">
        <v>20</v>
      </c>
      <c r="G438" s="13" t="s">
        <v>2619</v>
      </c>
      <c r="H438" s="13" t="s">
        <v>2620</v>
      </c>
      <c r="I438" s="13" t="s">
        <v>68</v>
      </c>
      <c r="J438" s="13">
        <v>6.0</v>
      </c>
      <c r="K438" s="13" t="s">
        <v>188</v>
      </c>
      <c r="L438" s="13" t="s">
        <v>135</v>
      </c>
      <c r="M438" s="13" t="s">
        <v>71</v>
      </c>
      <c r="N438" s="13" t="s">
        <v>51</v>
      </c>
      <c r="O438" s="14">
        <v>1007.979</v>
      </c>
      <c r="P438" s="14">
        <f t="shared" si="2"/>
        <v>6047.874</v>
      </c>
      <c r="Q438" s="14">
        <v>1007.35</v>
      </c>
    </row>
    <row r="439">
      <c r="A439" s="12">
        <v>43075.0</v>
      </c>
      <c r="B439" s="12"/>
      <c r="C439" s="12" t="s">
        <v>2325</v>
      </c>
      <c r="D439" s="1" t="s">
        <v>851</v>
      </c>
      <c r="E439" s="15" t="str">
        <f t="shared" si="1"/>
        <v>Jun</v>
      </c>
      <c r="F439" s="13" t="s">
        <v>20</v>
      </c>
      <c r="G439" s="13" t="s">
        <v>2619</v>
      </c>
      <c r="H439" s="13" t="s">
        <v>2620</v>
      </c>
      <c r="I439" s="13" t="s">
        <v>68</v>
      </c>
      <c r="J439" s="13">
        <v>6.0</v>
      </c>
      <c r="K439" s="13" t="s">
        <v>188</v>
      </c>
      <c r="L439" s="13" t="s">
        <v>135</v>
      </c>
      <c r="M439" s="13" t="s">
        <v>71</v>
      </c>
      <c r="N439" s="13" t="s">
        <v>38</v>
      </c>
      <c r="O439" s="14">
        <v>313.488</v>
      </c>
      <c r="P439" s="14">
        <f t="shared" si="2"/>
        <v>1880.928</v>
      </c>
      <c r="Q439" s="14">
        <v>313.04</v>
      </c>
    </row>
    <row r="440">
      <c r="A440" s="12">
        <v>43358.0</v>
      </c>
      <c r="B440" s="12"/>
      <c r="C440" s="12" t="s">
        <v>2329</v>
      </c>
      <c r="D440" s="1" t="s">
        <v>855</v>
      </c>
      <c r="E440" s="15" t="str">
        <f t="shared" si="1"/>
        <v>Sep</v>
      </c>
      <c r="F440" s="13" t="s">
        <v>41</v>
      </c>
      <c r="G440" s="13" t="s">
        <v>2621</v>
      </c>
      <c r="H440" s="13" t="s">
        <v>2622</v>
      </c>
      <c r="I440" s="13" t="s">
        <v>34</v>
      </c>
      <c r="J440" s="13">
        <v>7.0</v>
      </c>
      <c r="K440" s="13" t="s">
        <v>129</v>
      </c>
      <c r="L440" s="13" t="s">
        <v>70</v>
      </c>
      <c r="M440" s="13" t="s">
        <v>71</v>
      </c>
      <c r="N440" s="13" t="s">
        <v>38</v>
      </c>
      <c r="O440" s="14">
        <v>31.872</v>
      </c>
      <c r="P440" s="14">
        <f t="shared" si="2"/>
        <v>223.104</v>
      </c>
      <c r="Q440" s="14">
        <v>31.68</v>
      </c>
    </row>
    <row r="441">
      <c r="A441" s="12">
        <v>43120.0</v>
      </c>
      <c r="B441" s="12"/>
      <c r="C441" s="12" t="s">
        <v>2353</v>
      </c>
      <c r="D441" s="1" t="s">
        <v>859</v>
      </c>
      <c r="E441" s="15" t="str">
        <f t="shared" si="1"/>
        <v>Jan</v>
      </c>
      <c r="F441" s="13" t="s">
        <v>20</v>
      </c>
      <c r="G441" s="13" t="s">
        <v>2425</v>
      </c>
      <c r="H441" s="13" t="s">
        <v>2426</v>
      </c>
      <c r="I441" s="13" t="s">
        <v>34</v>
      </c>
      <c r="J441" s="13">
        <v>1.0</v>
      </c>
      <c r="K441" s="13" t="s">
        <v>174</v>
      </c>
      <c r="L441" s="13" t="s">
        <v>175</v>
      </c>
      <c r="M441" s="13" t="s">
        <v>100</v>
      </c>
      <c r="N441" s="13" t="s">
        <v>27</v>
      </c>
      <c r="O441" s="14">
        <v>207.846</v>
      </c>
      <c r="P441" s="14">
        <f t="shared" si="2"/>
        <v>207.846</v>
      </c>
      <c r="Q441" s="14">
        <v>207.58</v>
      </c>
    </row>
    <row r="442">
      <c r="A442" s="12">
        <v>42864.0</v>
      </c>
      <c r="B442" s="12"/>
      <c r="C442" s="12" t="s">
        <v>2335</v>
      </c>
      <c r="D442" s="6">
        <v>42925.0</v>
      </c>
      <c r="E442" s="15" t="str">
        <f t="shared" si="1"/>
        <v>Jul</v>
      </c>
      <c r="F442" s="13" t="s">
        <v>20</v>
      </c>
      <c r="G442" s="13" t="s">
        <v>2340</v>
      </c>
      <c r="H442" s="13" t="s">
        <v>2341</v>
      </c>
      <c r="I442" s="13" t="s">
        <v>23</v>
      </c>
      <c r="J442" s="13">
        <v>4.0</v>
      </c>
      <c r="K442" s="13" t="s">
        <v>513</v>
      </c>
      <c r="L442" s="13" t="s">
        <v>157</v>
      </c>
      <c r="M442" s="13" t="s">
        <v>71</v>
      </c>
      <c r="N442" s="13" t="s">
        <v>27</v>
      </c>
      <c r="O442" s="14">
        <v>12.22</v>
      </c>
      <c r="P442" s="14">
        <f t="shared" si="2"/>
        <v>48.88</v>
      </c>
      <c r="Q442" s="14">
        <v>11.56</v>
      </c>
    </row>
    <row r="443">
      <c r="A443" s="12">
        <v>42864.0</v>
      </c>
      <c r="B443" s="12"/>
      <c r="C443" s="12" t="s">
        <v>2335</v>
      </c>
      <c r="D443" s="6">
        <v>42925.0</v>
      </c>
      <c r="E443" s="15" t="str">
        <f t="shared" si="1"/>
        <v>Jul</v>
      </c>
      <c r="F443" s="13" t="s">
        <v>20</v>
      </c>
      <c r="G443" s="13" t="s">
        <v>2340</v>
      </c>
      <c r="H443" s="13" t="s">
        <v>2341</v>
      </c>
      <c r="I443" s="13" t="s">
        <v>23</v>
      </c>
      <c r="J443" s="13">
        <v>4.0</v>
      </c>
      <c r="K443" s="13" t="s">
        <v>513</v>
      </c>
      <c r="L443" s="13" t="s">
        <v>157</v>
      </c>
      <c r="M443" s="13" t="s">
        <v>71</v>
      </c>
      <c r="N443" s="13" t="s">
        <v>38</v>
      </c>
      <c r="O443" s="14">
        <v>194.94</v>
      </c>
      <c r="P443" s="14">
        <f t="shared" si="2"/>
        <v>779.76</v>
      </c>
      <c r="Q443" s="14">
        <v>194.44</v>
      </c>
    </row>
    <row r="444">
      <c r="A444" s="12">
        <v>42864.0</v>
      </c>
      <c r="B444" s="12"/>
      <c r="C444" s="12" t="s">
        <v>2335</v>
      </c>
      <c r="D444" s="6">
        <v>42925.0</v>
      </c>
      <c r="E444" s="15" t="str">
        <f t="shared" si="1"/>
        <v>Jul</v>
      </c>
      <c r="F444" s="13" t="s">
        <v>20</v>
      </c>
      <c r="G444" s="13" t="s">
        <v>2340</v>
      </c>
      <c r="H444" s="13" t="s">
        <v>2341</v>
      </c>
      <c r="I444" s="13" t="s">
        <v>23</v>
      </c>
      <c r="J444" s="13">
        <v>4.0</v>
      </c>
      <c r="K444" s="13" t="s">
        <v>513</v>
      </c>
      <c r="L444" s="13" t="s">
        <v>157</v>
      </c>
      <c r="M444" s="13" t="s">
        <v>71</v>
      </c>
      <c r="N444" s="13" t="s">
        <v>38</v>
      </c>
      <c r="O444" s="14">
        <v>70.95</v>
      </c>
      <c r="P444" s="14">
        <f t="shared" si="2"/>
        <v>283.8</v>
      </c>
      <c r="Q444" s="14">
        <v>70.42</v>
      </c>
    </row>
    <row r="445">
      <c r="A445" s="12">
        <v>42864.0</v>
      </c>
      <c r="B445" s="12"/>
      <c r="C445" s="12" t="s">
        <v>2335</v>
      </c>
      <c r="D445" s="6">
        <v>42925.0</v>
      </c>
      <c r="E445" s="15" t="str">
        <f t="shared" si="1"/>
        <v>Jul</v>
      </c>
      <c r="F445" s="13" t="s">
        <v>20</v>
      </c>
      <c r="G445" s="13" t="s">
        <v>2340</v>
      </c>
      <c r="H445" s="13" t="s">
        <v>2341</v>
      </c>
      <c r="I445" s="13" t="s">
        <v>23</v>
      </c>
      <c r="J445" s="13">
        <v>4.0</v>
      </c>
      <c r="K445" s="13" t="s">
        <v>513</v>
      </c>
      <c r="L445" s="13" t="s">
        <v>157</v>
      </c>
      <c r="M445" s="13" t="s">
        <v>71</v>
      </c>
      <c r="N445" s="13" t="s">
        <v>38</v>
      </c>
      <c r="O445" s="14">
        <v>91.36</v>
      </c>
      <c r="P445" s="14">
        <f t="shared" si="2"/>
        <v>365.44</v>
      </c>
      <c r="Q445" s="14">
        <v>90.47</v>
      </c>
    </row>
    <row r="446">
      <c r="A446" s="12">
        <v>42864.0</v>
      </c>
      <c r="B446" s="12"/>
      <c r="C446" s="12" t="s">
        <v>2335</v>
      </c>
      <c r="D446" s="6">
        <v>42925.0</v>
      </c>
      <c r="E446" s="15" t="str">
        <f t="shared" si="1"/>
        <v>Jul</v>
      </c>
      <c r="F446" s="13" t="s">
        <v>20</v>
      </c>
      <c r="G446" s="13" t="s">
        <v>2340</v>
      </c>
      <c r="H446" s="13" t="s">
        <v>2341</v>
      </c>
      <c r="I446" s="13" t="s">
        <v>23</v>
      </c>
      <c r="J446" s="13">
        <v>4.0</v>
      </c>
      <c r="K446" s="13" t="s">
        <v>513</v>
      </c>
      <c r="L446" s="13" t="s">
        <v>157</v>
      </c>
      <c r="M446" s="13" t="s">
        <v>71</v>
      </c>
      <c r="N446" s="13" t="s">
        <v>27</v>
      </c>
      <c r="O446" s="14">
        <v>242.94</v>
      </c>
      <c r="P446" s="14">
        <f t="shared" si="2"/>
        <v>971.76</v>
      </c>
      <c r="Q446" s="14">
        <v>242.17</v>
      </c>
    </row>
    <row r="447">
      <c r="A447" s="12">
        <v>42864.0</v>
      </c>
      <c r="B447" s="12"/>
      <c r="C447" s="12" t="s">
        <v>2335</v>
      </c>
      <c r="D447" s="6">
        <v>42925.0</v>
      </c>
      <c r="E447" s="15" t="str">
        <f t="shared" si="1"/>
        <v>Jul</v>
      </c>
      <c r="F447" s="13" t="s">
        <v>20</v>
      </c>
      <c r="G447" s="13" t="s">
        <v>2340</v>
      </c>
      <c r="H447" s="13" t="s">
        <v>2341</v>
      </c>
      <c r="I447" s="13" t="s">
        <v>23</v>
      </c>
      <c r="J447" s="13">
        <v>4.0</v>
      </c>
      <c r="K447" s="13" t="s">
        <v>513</v>
      </c>
      <c r="L447" s="13" t="s">
        <v>157</v>
      </c>
      <c r="M447" s="13" t="s">
        <v>71</v>
      </c>
      <c r="N447" s="13" t="s">
        <v>38</v>
      </c>
      <c r="O447" s="14">
        <v>22.05</v>
      </c>
      <c r="P447" s="14">
        <f t="shared" si="2"/>
        <v>88.2</v>
      </c>
      <c r="Q447" s="14">
        <v>21.14</v>
      </c>
    </row>
    <row r="448">
      <c r="A448" s="12">
        <v>43179.0</v>
      </c>
      <c r="B448" s="12"/>
      <c r="C448" s="12" t="s">
        <v>2399</v>
      </c>
      <c r="D448" s="1" t="s">
        <v>862</v>
      </c>
      <c r="E448" s="15" t="str">
        <f t="shared" si="1"/>
        <v>Mar</v>
      </c>
      <c r="F448" s="13" t="s">
        <v>20</v>
      </c>
      <c r="G448" s="13" t="s">
        <v>180</v>
      </c>
      <c r="H448" s="13" t="s">
        <v>2623</v>
      </c>
      <c r="I448" s="13" t="s">
        <v>23</v>
      </c>
      <c r="J448" s="13">
        <v>4.0</v>
      </c>
      <c r="K448" s="13" t="s">
        <v>303</v>
      </c>
      <c r="L448" s="13" t="s">
        <v>169</v>
      </c>
      <c r="M448" s="13" t="s">
        <v>71</v>
      </c>
      <c r="N448" s="13" t="s">
        <v>27</v>
      </c>
      <c r="O448" s="14">
        <v>2.91</v>
      </c>
      <c r="P448" s="14">
        <f t="shared" si="2"/>
        <v>11.64</v>
      </c>
      <c r="Q448" s="14">
        <v>2.17</v>
      </c>
    </row>
    <row r="449">
      <c r="A449" s="12">
        <v>42739.0</v>
      </c>
      <c r="B449" s="12"/>
      <c r="C449" s="12" t="s">
        <v>2353</v>
      </c>
      <c r="D449" s="6">
        <v>42798.0</v>
      </c>
      <c r="E449" s="15" t="str">
        <f t="shared" si="1"/>
        <v>Mar</v>
      </c>
      <c r="F449" s="13" t="s">
        <v>20</v>
      </c>
      <c r="G449" s="13" t="s">
        <v>2624</v>
      </c>
      <c r="H449" s="13" t="s">
        <v>2625</v>
      </c>
      <c r="I449" s="13" t="s">
        <v>23</v>
      </c>
      <c r="J449" s="13">
        <v>1.0</v>
      </c>
      <c r="K449" s="13" t="s">
        <v>868</v>
      </c>
      <c r="L449" s="13" t="s">
        <v>175</v>
      </c>
      <c r="M449" s="13" t="s">
        <v>100</v>
      </c>
      <c r="N449" s="13" t="s">
        <v>38</v>
      </c>
      <c r="O449" s="14">
        <v>59.52</v>
      </c>
      <c r="P449" s="14">
        <f t="shared" si="2"/>
        <v>59.52</v>
      </c>
      <c r="Q449" s="14">
        <v>58.78</v>
      </c>
    </row>
    <row r="450">
      <c r="A450" s="12">
        <v>42739.0</v>
      </c>
      <c r="B450" s="12"/>
      <c r="C450" s="12" t="s">
        <v>2353</v>
      </c>
      <c r="D450" s="6">
        <v>42798.0</v>
      </c>
      <c r="E450" s="15" t="str">
        <f t="shared" si="1"/>
        <v>Mar</v>
      </c>
      <c r="F450" s="13" t="s">
        <v>20</v>
      </c>
      <c r="G450" s="13" t="s">
        <v>2624</v>
      </c>
      <c r="H450" s="13" t="s">
        <v>2625</v>
      </c>
      <c r="I450" s="13" t="s">
        <v>23</v>
      </c>
      <c r="J450" s="13">
        <v>1.0</v>
      </c>
      <c r="K450" s="13" t="s">
        <v>868</v>
      </c>
      <c r="L450" s="13" t="s">
        <v>175</v>
      </c>
      <c r="M450" s="13" t="s">
        <v>100</v>
      </c>
      <c r="N450" s="13" t="s">
        <v>38</v>
      </c>
      <c r="O450" s="14">
        <v>161.94</v>
      </c>
      <c r="P450" s="14">
        <f t="shared" si="2"/>
        <v>161.94</v>
      </c>
      <c r="Q450" s="14">
        <v>161.59</v>
      </c>
    </row>
    <row r="451">
      <c r="A451" s="12">
        <v>42739.0</v>
      </c>
      <c r="B451" s="12"/>
      <c r="C451" s="12" t="s">
        <v>2353</v>
      </c>
      <c r="D451" s="6">
        <v>42798.0</v>
      </c>
      <c r="E451" s="15" t="str">
        <f t="shared" si="1"/>
        <v>Mar</v>
      </c>
      <c r="F451" s="13" t="s">
        <v>20</v>
      </c>
      <c r="G451" s="13" t="s">
        <v>2624</v>
      </c>
      <c r="H451" s="13" t="s">
        <v>2625</v>
      </c>
      <c r="I451" s="13" t="s">
        <v>23</v>
      </c>
      <c r="J451" s="13">
        <v>1.0</v>
      </c>
      <c r="K451" s="13" t="s">
        <v>868</v>
      </c>
      <c r="L451" s="13" t="s">
        <v>175</v>
      </c>
      <c r="M451" s="13" t="s">
        <v>100</v>
      </c>
      <c r="N451" s="13" t="s">
        <v>38</v>
      </c>
      <c r="O451" s="14">
        <v>263.88</v>
      </c>
      <c r="P451" s="14">
        <f t="shared" si="2"/>
        <v>263.88</v>
      </c>
      <c r="Q451" s="14">
        <v>263.38</v>
      </c>
    </row>
    <row r="452">
      <c r="A452" s="12">
        <v>42739.0</v>
      </c>
      <c r="B452" s="12"/>
      <c r="C452" s="12" t="s">
        <v>2353</v>
      </c>
      <c r="D452" s="6">
        <v>42798.0</v>
      </c>
      <c r="E452" s="15" t="str">
        <f t="shared" si="1"/>
        <v>Mar</v>
      </c>
      <c r="F452" s="13" t="s">
        <v>20</v>
      </c>
      <c r="G452" s="13" t="s">
        <v>2624</v>
      </c>
      <c r="H452" s="13" t="s">
        <v>2625</v>
      </c>
      <c r="I452" s="13" t="s">
        <v>23</v>
      </c>
      <c r="J452" s="13">
        <v>1.0</v>
      </c>
      <c r="K452" s="13" t="s">
        <v>868</v>
      </c>
      <c r="L452" s="13" t="s">
        <v>175</v>
      </c>
      <c r="M452" s="13" t="s">
        <v>100</v>
      </c>
      <c r="N452" s="13" t="s">
        <v>38</v>
      </c>
      <c r="O452" s="14">
        <v>30.48</v>
      </c>
      <c r="P452" s="14">
        <f t="shared" si="2"/>
        <v>30.48</v>
      </c>
      <c r="Q452" s="14">
        <v>30.24</v>
      </c>
    </row>
    <row r="453">
      <c r="A453" s="12">
        <v>42739.0</v>
      </c>
      <c r="B453" s="12"/>
      <c r="C453" s="12" t="s">
        <v>2353</v>
      </c>
      <c r="D453" s="6">
        <v>42798.0</v>
      </c>
      <c r="E453" s="15" t="str">
        <f t="shared" si="1"/>
        <v>Mar</v>
      </c>
      <c r="F453" s="13" t="s">
        <v>20</v>
      </c>
      <c r="G453" s="13" t="s">
        <v>2624</v>
      </c>
      <c r="H453" s="13" t="s">
        <v>2625</v>
      </c>
      <c r="I453" s="13" t="s">
        <v>23</v>
      </c>
      <c r="J453" s="13">
        <v>1.0</v>
      </c>
      <c r="K453" s="13" t="s">
        <v>868</v>
      </c>
      <c r="L453" s="13" t="s">
        <v>175</v>
      </c>
      <c r="M453" s="13" t="s">
        <v>100</v>
      </c>
      <c r="N453" s="13" t="s">
        <v>38</v>
      </c>
      <c r="O453" s="14">
        <v>9.84</v>
      </c>
      <c r="P453" s="14">
        <f t="shared" si="2"/>
        <v>9.84</v>
      </c>
      <c r="Q453" s="14">
        <v>9.02</v>
      </c>
    </row>
    <row r="454">
      <c r="A454" s="12">
        <v>42739.0</v>
      </c>
      <c r="B454" s="12"/>
      <c r="C454" s="12" t="s">
        <v>2353</v>
      </c>
      <c r="D454" s="6">
        <v>42798.0</v>
      </c>
      <c r="E454" s="15" t="str">
        <f t="shared" si="1"/>
        <v>Mar</v>
      </c>
      <c r="F454" s="13" t="s">
        <v>20</v>
      </c>
      <c r="G454" s="13" t="s">
        <v>2624</v>
      </c>
      <c r="H454" s="13" t="s">
        <v>2625</v>
      </c>
      <c r="I454" s="13" t="s">
        <v>23</v>
      </c>
      <c r="J454" s="13">
        <v>1.0</v>
      </c>
      <c r="K454" s="13" t="s">
        <v>868</v>
      </c>
      <c r="L454" s="13" t="s">
        <v>175</v>
      </c>
      <c r="M454" s="13" t="s">
        <v>100</v>
      </c>
      <c r="N454" s="13" t="s">
        <v>51</v>
      </c>
      <c r="O454" s="14">
        <v>35.12</v>
      </c>
      <c r="P454" s="14">
        <f t="shared" si="2"/>
        <v>35.12</v>
      </c>
      <c r="Q454" s="14">
        <v>34.27</v>
      </c>
    </row>
    <row r="455">
      <c r="A455" s="12">
        <v>43393.0</v>
      </c>
      <c r="B455" s="12"/>
      <c r="C455" s="12" t="s">
        <v>2358</v>
      </c>
      <c r="D455" s="1" t="s">
        <v>870</v>
      </c>
      <c r="E455" s="15" t="str">
        <f t="shared" si="1"/>
        <v>Oct</v>
      </c>
      <c r="F455" s="13" t="s">
        <v>41</v>
      </c>
      <c r="G455" s="13" t="s">
        <v>2626</v>
      </c>
      <c r="H455" s="13" t="s">
        <v>2476</v>
      </c>
      <c r="I455" s="13" t="s">
        <v>34</v>
      </c>
      <c r="J455" s="13">
        <v>4.0</v>
      </c>
      <c r="K455" s="13" t="s">
        <v>471</v>
      </c>
      <c r="L455" s="13" t="s">
        <v>304</v>
      </c>
      <c r="M455" s="13" t="s">
        <v>100</v>
      </c>
      <c r="N455" s="13" t="s">
        <v>27</v>
      </c>
      <c r="O455" s="14">
        <v>284.364</v>
      </c>
      <c r="P455" s="14">
        <f t="shared" si="2"/>
        <v>1137.456</v>
      </c>
      <c r="Q455" s="14">
        <v>283.97</v>
      </c>
    </row>
    <row r="456">
      <c r="A456" s="12">
        <v>43393.0</v>
      </c>
      <c r="B456" s="12"/>
      <c r="C456" s="12" t="s">
        <v>2358</v>
      </c>
      <c r="D456" s="1" t="s">
        <v>870</v>
      </c>
      <c r="E456" s="15" t="str">
        <f t="shared" si="1"/>
        <v>Oct</v>
      </c>
      <c r="F456" s="13" t="s">
        <v>41</v>
      </c>
      <c r="G456" s="13" t="s">
        <v>2626</v>
      </c>
      <c r="H456" s="13" t="s">
        <v>2476</v>
      </c>
      <c r="I456" s="13" t="s">
        <v>34</v>
      </c>
      <c r="J456" s="13">
        <v>4.0</v>
      </c>
      <c r="K456" s="13" t="s">
        <v>471</v>
      </c>
      <c r="L456" s="13" t="s">
        <v>304</v>
      </c>
      <c r="M456" s="13" t="s">
        <v>100</v>
      </c>
      <c r="N456" s="13" t="s">
        <v>38</v>
      </c>
      <c r="O456" s="14">
        <v>665.408</v>
      </c>
      <c r="P456" s="14">
        <f t="shared" si="2"/>
        <v>2661.632</v>
      </c>
      <c r="Q456" s="14">
        <v>664.6</v>
      </c>
    </row>
    <row r="457">
      <c r="A457" s="12">
        <v>43082.0</v>
      </c>
      <c r="B457" s="12"/>
      <c r="C457" s="12" t="s">
        <v>2325</v>
      </c>
      <c r="D457" s="1" t="s">
        <v>171</v>
      </c>
      <c r="E457" s="15" t="str">
        <f t="shared" si="1"/>
        <v>Dec</v>
      </c>
      <c r="F457" s="13" t="s">
        <v>41</v>
      </c>
      <c r="G457" s="13" t="s">
        <v>2346</v>
      </c>
      <c r="H457" s="13" t="s">
        <v>2616</v>
      </c>
      <c r="I457" s="13" t="s">
        <v>34</v>
      </c>
      <c r="J457" s="13">
        <v>7.0</v>
      </c>
      <c r="K457" s="13" t="s">
        <v>874</v>
      </c>
      <c r="L457" s="13" t="s">
        <v>385</v>
      </c>
      <c r="M457" s="13" t="s">
        <v>71</v>
      </c>
      <c r="N457" s="13" t="s">
        <v>51</v>
      </c>
      <c r="O457" s="14">
        <v>63.88</v>
      </c>
      <c r="P457" s="14">
        <f t="shared" si="2"/>
        <v>447.16</v>
      </c>
      <c r="Q457" s="14">
        <v>63.05</v>
      </c>
    </row>
    <row r="458">
      <c r="A458" s="12">
        <v>42340.0</v>
      </c>
      <c r="B458" s="12"/>
      <c r="C458" s="12" t="s">
        <v>2325</v>
      </c>
      <c r="D458" s="1" t="s">
        <v>876</v>
      </c>
      <c r="E458" s="15" t="str">
        <f t="shared" si="1"/>
        <v>Feb</v>
      </c>
      <c r="F458" s="13" t="s">
        <v>41</v>
      </c>
      <c r="G458" s="13" t="s">
        <v>2627</v>
      </c>
      <c r="H458" s="13" t="s">
        <v>2628</v>
      </c>
      <c r="I458" s="13" t="s">
        <v>23</v>
      </c>
      <c r="J458" s="13">
        <v>9.0</v>
      </c>
      <c r="K458" s="13" t="s">
        <v>57</v>
      </c>
      <c r="L458" s="13" t="s">
        <v>52</v>
      </c>
      <c r="M458" s="13" t="s">
        <v>37</v>
      </c>
      <c r="N458" s="13" t="s">
        <v>27</v>
      </c>
      <c r="O458" s="14">
        <v>129.568</v>
      </c>
      <c r="P458" s="14">
        <f t="shared" si="2"/>
        <v>1166.112</v>
      </c>
      <c r="Q458" s="14">
        <v>129.15</v>
      </c>
    </row>
    <row r="459">
      <c r="A459" s="12">
        <v>43004.0</v>
      </c>
      <c r="B459" s="12"/>
      <c r="C459" s="12" t="s">
        <v>2329</v>
      </c>
      <c r="D459" s="6">
        <v>42745.0</v>
      </c>
      <c r="E459" s="15" t="str">
        <f t="shared" si="1"/>
        <v>Jan</v>
      </c>
      <c r="F459" s="13" t="s">
        <v>41</v>
      </c>
      <c r="G459" s="13" t="s">
        <v>2614</v>
      </c>
      <c r="H459" s="13" t="s">
        <v>2615</v>
      </c>
      <c r="I459" s="13" t="s">
        <v>23</v>
      </c>
      <c r="J459" s="13">
        <v>6.0</v>
      </c>
      <c r="K459" s="13" t="s">
        <v>219</v>
      </c>
      <c r="L459" s="13" t="s">
        <v>135</v>
      </c>
      <c r="M459" s="13" t="s">
        <v>71</v>
      </c>
      <c r="N459" s="13" t="s">
        <v>27</v>
      </c>
      <c r="O459" s="14">
        <v>747.558</v>
      </c>
      <c r="P459" s="14">
        <f t="shared" si="2"/>
        <v>4485.348</v>
      </c>
      <c r="Q459" s="14">
        <v>746.84</v>
      </c>
    </row>
    <row r="460">
      <c r="A460" s="12">
        <v>43004.0</v>
      </c>
      <c r="B460" s="12"/>
      <c r="C460" s="12" t="s">
        <v>2329</v>
      </c>
      <c r="D460" s="6">
        <v>42745.0</v>
      </c>
      <c r="E460" s="15" t="str">
        <f t="shared" si="1"/>
        <v>Jan</v>
      </c>
      <c r="F460" s="13" t="s">
        <v>41</v>
      </c>
      <c r="G460" s="13" t="s">
        <v>2614</v>
      </c>
      <c r="H460" s="13" t="s">
        <v>2615</v>
      </c>
      <c r="I460" s="13" t="s">
        <v>23</v>
      </c>
      <c r="J460" s="13">
        <v>6.0</v>
      </c>
      <c r="K460" s="13" t="s">
        <v>219</v>
      </c>
      <c r="L460" s="13" t="s">
        <v>135</v>
      </c>
      <c r="M460" s="13" t="s">
        <v>71</v>
      </c>
      <c r="N460" s="13" t="s">
        <v>38</v>
      </c>
      <c r="O460" s="14">
        <v>8.928</v>
      </c>
      <c r="P460" s="14">
        <f t="shared" si="2"/>
        <v>53.568</v>
      </c>
      <c r="Q460" s="14">
        <v>8.28</v>
      </c>
    </row>
    <row r="461">
      <c r="A461" s="12">
        <v>42719.0</v>
      </c>
      <c r="B461" s="12"/>
      <c r="C461" s="12" t="s">
        <v>2325</v>
      </c>
      <c r="D461" s="1" t="s">
        <v>881</v>
      </c>
      <c r="E461" s="15" t="str">
        <f t="shared" si="1"/>
        <v>Dec</v>
      </c>
      <c r="F461" s="13" t="s">
        <v>41</v>
      </c>
      <c r="G461" s="13" t="s">
        <v>2505</v>
      </c>
      <c r="H461" s="13" t="s">
        <v>2506</v>
      </c>
      <c r="I461" s="13" t="s">
        <v>23</v>
      </c>
      <c r="J461" s="13">
        <v>9.0</v>
      </c>
      <c r="K461" s="13" t="s">
        <v>62</v>
      </c>
      <c r="L461" s="13" t="s">
        <v>63</v>
      </c>
      <c r="M461" s="13" t="s">
        <v>37</v>
      </c>
      <c r="N461" s="13" t="s">
        <v>38</v>
      </c>
      <c r="O461" s="14">
        <v>103.92</v>
      </c>
      <c r="P461" s="14">
        <f t="shared" si="2"/>
        <v>935.28</v>
      </c>
      <c r="Q461" s="14">
        <v>103.73</v>
      </c>
    </row>
    <row r="462">
      <c r="A462" s="12">
        <v>42719.0</v>
      </c>
      <c r="B462" s="12"/>
      <c r="C462" s="12" t="s">
        <v>2325</v>
      </c>
      <c r="D462" s="1" t="s">
        <v>881</v>
      </c>
      <c r="E462" s="15" t="str">
        <f t="shared" si="1"/>
        <v>Dec</v>
      </c>
      <c r="F462" s="13" t="s">
        <v>41</v>
      </c>
      <c r="G462" s="13" t="s">
        <v>2505</v>
      </c>
      <c r="H462" s="13" t="s">
        <v>2506</v>
      </c>
      <c r="I462" s="13" t="s">
        <v>23</v>
      </c>
      <c r="J462" s="13">
        <v>9.0</v>
      </c>
      <c r="K462" s="13" t="s">
        <v>62</v>
      </c>
      <c r="L462" s="13" t="s">
        <v>63</v>
      </c>
      <c r="M462" s="13" t="s">
        <v>37</v>
      </c>
      <c r="N462" s="13" t="s">
        <v>51</v>
      </c>
      <c r="O462" s="14">
        <v>899.91</v>
      </c>
      <c r="P462" s="14">
        <f t="shared" si="2"/>
        <v>8099.19</v>
      </c>
      <c r="Q462" s="14">
        <v>899.67</v>
      </c>
    </row>
    <row r="463">
      <c r="A463" s="12">
        <v>42719.0</v>
      </c>
      <c r="B463" s="12"/>
      <c r="C463" s="12" t="s">
        <v>2325</v>
      </c>
      <c r="D463" s="1" t="s">
        <v>881</v>
      </c>
      <c r="E463" s="15" t="str">
        <f t="shared" si="1"/>
        <v>Dec</v>
      </c>
      <c r="F463" s="13" t="s">
        <v>41</v>
      </c>
      <c r="G463" s="13" t="s">
        <v>2505</v>
      </c>
      <c r="H463" s="13" t="s">
        <v>2506</v>
      </c>
      <c r="I463" s="13" t="s">
        <v>23</v>
      </c>
      <c r="J463" s="13">
        <v>9.0</v>
      </c>
      <c r="K463" s="13" t="s">
        <v>62</v>
      </c>
      <c r="L463" s="13" t="s">
        <v>63</v>
      </c>
      <c r="M463" s="13" t="s">
        <v>37</v>
      </c>
      <c r="N463" s="13" t="s">
        <v>38</v>
      </c>
      <c r="O463" s="14">
        <v>51.312</v>
      </c>
      <c r="P463" s="14">
        <f t="shared" si="2"/>
        <v>461.808</v>
      </c>
      <c r="Q463" s="14">
        <v>50.41</v>
      </c>
    </row>
    <row r="464">
      <c r="A464" s="12">
        <v>42847.0</v>
      </c>
      <c r="B464" s="12"/>
      <c r="C464" s="12" t="s">
        <v>2332</v>
      </c>
      <c r="D464" s="1" t="s">
        <v>668</v>
      </c>
      <c r="E464" s="15" t="str">
        <f t="shared" si="1"/>
        <v>Apr</v>
      </c>
      <c r="F464" s="13" t="s">
        <v>41</v>
      </c>
      <c r="G464" s="13" t="s">
        <v>2629</v>
      </c>
      <c r="H464" s="13" t="s">
        <v>2630</v>
      </c>
      <c r="I464" s="13" t="s">
        <v>68</v>
      </c>
      <c r="J464" s="13">
        <v>8.0</v>
      </c>
      <c r="K464" s="13" t="s">
        <v>328</v>
      </c>
      <c r="L464" s="13" t="s">
        <v>193</v>
      </c>
      <c r="M464" s="13" t="s">
        <v>37</v>
      </c>
      <c r="N464" s="13" t="s">
        <v>27</v>
      </c>
      <c r="O464" s="14">
        <v>23.56</v>
      </c>
      <c r="P464" s="14">
        <f t="shared" si="2"/>
        <v>188.48</v>
      </c>
      <c r="Q464" s="14">
        <v>23.16</v>
      </c>
    </row>
    <row r="465">
      <c r="A465" s="12">
        <v>42847.0</v>
      </c>
      <c r="B465" s="12"/>
      <c r="C465" s="12" t="s">
        <v>2332</v>
      </c>
      <c r="D465" s="1" t="s">
        <v>668</v>
      </c>
      <c r="E465" s="15" t="str">
        <f t="shared" si="1"/>
        <v>Apr</v>
      </c>
      <c r="F465" s="13" t="s">
        <v>41</v>
      </c>
      <c r="G465" s="13" t="s">
        <v>2629</v>
      </c>
      <c r="H465" s="13" t="s">
        <v>2630</v>
      </c>
      <c r="I465" s="13" t="s">
        <v>68</v>
      </c>
      <c r="J465" s="13">
        <v>8.0</v>
      </c>
      <c r="K465" s="13" t="s">
        <v>328</v>
      </c>
      <c r="L465" s="13" t="s">
        <v>193</v>
      </c>
      <c r="M465" s="13" t="s">
        <v>37</v>
      </c>
      <c r="N465" s="13" t="s">
        <v>27</v>
      </c>
      <c r="O465" s="14">
        <v>1272.63</v>
      </c>
      <c r="P465" s="14">
        <f t="shared" si="2"/>
        <v>10181.04</v>
      </c>
      <c r="Q465" s="14">
        <v>1272.51</v>
      </c>
    </row>
    <row r="466">
      <c r="A466" s="12">
        <v>42847.0</v>
      </c>
      <c r="B466" s="12"/>
      <c r="C466" s="12" t="s">
        <v>2332</v>
      </c>
      <c r="D466" s="1" t="s">
        <v>668</v>
      </c>
      <c r="E466" s="15" t="str">
        <f t="shared" si="1"/>
        <v>Apr</v>
      </c>
      <c r="F466" s="13" t="s">
        <v>41</v>
      </c>
      <c r="G466" s="13" t="s">
        <v>2629</v>
      </c>
      <c r="H466" s="13" t="s">
        <v>2630</v>
      </c>
      <c r="I466" s="13" t="s">
        <v>68</v>
      </c>
      <c r="J466" s="13">
        <v>8.0</v>
      </c>
      <c r="K466" s="13" t="s">
        <v>328</v>
      </c>
      <c r="L466" s="13" t="s">
        <v>193</v>
      </c>
      <c r="M466" s="13" t="s">
        <v>37</v>
      </c>
      <c r="N466" s="13" t="s">
        <v>38</v>
      </c>
      <c r="O466" s="14">
        <v>28.485</v>
      </c>
      <c r="P466" s="14">
        <f t="shared" si="2"/>
        <v>227.88</v>
      </c>
      <c r="Q466" s="14">
        <v>28.44</v>
      </c>
    </row>
    <row r="467">
      <c r="A467" s="12">
        <v>42847.0</v>
      </c>
      <c r="B467" s="12"/>
      <c r="C467" s="12" t="s">
        <v>2332</v>
      </c>
      <c r="D467" s="1" t="s">
        <v>668</v>
      </c>
      <c r="E467" s="15" t="str">
        <f t="shared" si="1"/>
        <v>Apr</v>
      </c>
      <c r="F467" s="13" t="s">
        <v>41</v>
      </c>
      <c r="G467" s="13" t="s">
        <v>2629</v>
      </c>
      <c r="H467" s="13" t="s">
        <v>2630</v>
      </c>
      <c r="I467" s="13" t="s">
        <v>68</v>
      </c>
      <c r="J467" s="13">
        <v>8.0</v>
      </c>
      <c r="K467" s="13" t="s">
        <v>328</v>
      </c>
      <c r="L467" s="13" t="s">
        <v>193</v>
      </c>
      <c r="M467" s="13" t="s">
        <v>37</v>
      </c>
      <c r="N467" s="13" t="s">
        <v>38</v>
      </c>
      <c r="O467" s="14">
        <v>185.376</v>
      </c>
      <c r="P467" s="14">
        <f t="shared" si="2"/>
        <v>1483.008</v>
      </c>
      <c r="Q467" s="14">
        <v>184.43</v>
      </c>
    </row>
    <row r="468">
      <c r="A468" s="12">
        <v>42847.0</v>
      </c>
      <c r="B468" s="12"/>
      <c r="C468" s="12" t="s">
        <v>2332</v>
      </c>
      <c r="D468" s="1" t="s">
        <v>668</v>
      </c>
      <c r="E468" s="15" t="str">
        <f t="shared" si="1"/>
        <v>Apr</v>
      </c>
      <c r="F468" s="13" t="s">
        <v>41</v>
      </c>
      <c r="G468" s="13" t="s">
        <v>2629</v>
      </c>
      <c r="H468" s="13" t="s">
        <v>2630</v>
      </c>
      <c r="I468" s="13" t="s">
        <v>68</v>
      </c>
      <c r="J468" s="13">
        <v>8.0</v>
      </c>
      <c r="K468" s="13" t="s">
        <v>328</v>
      </c>
      <c r="L468" s="13" t="s">
        <v>193</v>
      </c>
      <c r="M468" s="13" t="s">
        <v>37</v>
      </c>
      <c r="N468" s="13" t="s">
        <v>38</v>
      </c>
      <c r="O468" s="14">
        <v>78.272</v>
      </c>
      <c r="P468" s="14">
        <f t="shared" si="2"/>
        <v>626.176</v>
      </c>
      <c r="Q468" s="14">
        <v>77.64</v>
      </c>
    </row>
    <row r="469">
      <c r="A469" s="12">
        <v>42386.0</v>
      </c>
      <c r="B469" s="12"/>
      <c r="C469" s="12" t="s">
        <v>2353</v>
      </c>
      <c r="D469" s="1" t="s">
        <v>886</v>
      </c>
      <c r="E469" s="15" t="str">
        <f t="shared" si="1"/>
        <v>Jan</v>
      </c>
      <c r="F469" s="13" t="s">
        <v>41</v>
      </c>
      <c r="G469" s="13" t="s">
        <v>2511</v>
      </c>
      <c r="H469" s="13" t="s">
        <v>2631</v>
      </c>
      <c r="I469" s="13" t="s">
        <v>68</v>
      </c>
      <c r="J469" s="13">
        <v>6.0</v>
      </c>
      <c r="K469" s="13" t="s">
        <v>889</v>
      </c>
      <c r="L469" s="13" t="s">
        <v>135</v>
      </c>
      <c r="M469" s="13" t="s">
        <v>71</v>
      </c>
      <c r="N469" s="13" t="s">
        <v>27</v>
      </c>
      <c r="O469" s="14">
        <v>254.744</v>
      </c>
      <c r="P469" s="14">
        <f t="shared" si="2"/>
        <v>1528.464</v>
      </c>
      <c r="Q469" s="14">
        <v>254.06</v>
      </c>
    </row>
    <row r="470">
      <c r="A470" s="12">
        <v>43190.0</v>
      </c>
      <c r="B470" s="12"/>
      <c r="C470" s="12" t="s">
        <v>2399</v>
      </c>
      <c r="D470" s="6">
        <v>43194.0</v>
      </c>
      <c r="E470" s="15" t="str">
        <f t="shared" si="1"/>
        <v>Apr</v>
      </c>
      <c r="F470" s="13" t="s">
        <v>41</v>
      </c>
      <c r="G470" s="13" t="s">
        <v>2478</v>
      </c>
      <c r="H470" s="13" t="s">
        <v>2370</v>
      </c>
      <c r="I470" s="13" t="s">
        <v>34</v>
      </c>
      <c r="J470" s="13">
        <v>7.0</v>
      </c>
      <c r="K470" s="13" t="s">
        <v>891</v>
      </c>
      <c r="L470" s="13" t="s">
        <v>70</v>
      </c>
      <c r="M470" s="13" t="s">
        <v>71</v>
      </c>
      <c r="N470" s="13" t="s">
        <v>27</v>
      </c>
      <c r="O470" s="14">
        <v>205.3328</v>
      </c>
      <c r="P470" s="14">
        <f t="shared" si="2"/>
        <v>1437.3296</v>
      </c>
      <c r="Q470" s="14">
        <v>205.18</v>
      </c>
    </row>
    <row r="471">
      <c r="A471" s="12">
        <v>43085.0</v>
      </c>
      <c r="B471" s="12"/>
      <c r="C471" s="12" t="s">
        <v>2325</v>
      </c>
      <c r="D471" s="1" t="s">
        <v>600</v>
      </c>
      <c r="E471" s="15" t="str">
        <f t="shared" si="1"/>
        <v>Dec</v>
      </c>
      <c r="F471" s="13" t="s">
        <v>20</v>
      </c>
      <c r="G471" s="13" t="s">
        <v>2523</v>
      </c>
      <c r="H471" s="13" t="s">
        <v>2524</v>
      </c>
      <c r="I471" s="13" t="s">
        <v>23</v>
      </c>
      <c r="J471" s="13">
        <v>6.0</v>
      </c>
      <c r="K471" s="13" t="s">
        <v>188</v>
      </c>
      <c r="L471" s="13" t="s">
        <v>135</v>
      </c>
      <c r="M471" s="13" t="s">
        <v>71</v>
      </c>
      <c r="N471" s="13" t="s">
        <v>38</v>
      </c>
      <c r="O471" s="14">
        <v>4.788</v>
      </c>
      <c r="P471" s="14">
        <f t="shared" si="2"/>
        <v>28.728</v>
      </c>
      <c r="Q471" s="14">
        <v>4.67</v>
      </c>
    </row>
    <row r="472">
      <c r="A472" s="12">
        <v>42724.0</v>
      </c>
      <c r="B472" s="12"/>
      <c r="C472" s="12" t="s">
        <v>2325</v>
      </c>
      <c r="D472" s="1" t="s">
        <v>684</v>
      </c>
      <c r="E472" s="15" t="str">
        <f t="shared" si="1"/>
        <v>Dec</v>
      </c>
      <c r="F472" s="13" t="s">
        <v>41</v>
      </c>
      <c r="G472" s="13" t="s">
        <v>2632</v>
      </c>
      <c r="H472" s="13" t="s">
        <v>2633</v>
      </c>
      <c r="I472" s="13" t="s">
        <v>34</v>
      </c>
      <c r="J472" s="13">
        <v>1.0</v>
      </c>
      <c r="K472" s="13" t="s">
        <v>896</v>
      </c>
      <c r="L472" s="13" t="s">
        <v>175</v>
      </c>
      <c r="M472" s="13" t="s">
        <v>100</v>
      </c>
      <c r="N472" s="13" t="s">
        <v>38</v>
      </c>
      <c r="O472" s="14">
        <v>55.48</v>
      </c>
      <c r="P472" s="14">
        <f t="shared" si="2"/>
        <v>55.48</v>
      </c>
      <c r="Q472" s="14">
        <v>55.37</v>
      </c>
    </row>
    <row r="473">
      <c r="A473" s="12">
        <v>42258.0</v>
      </c>
      <c r="B473" s="12"/>
      <c r="C473" s="12" t="s">
        <v>2329</v>
      </c>
      <c r="D473" s="5">
        <v>42319.0</v>
      </c>
      <c r="E473" s="15" t="str">
        <f t="shared" si="1"/>
        <v>Nov</v>
      </c>
      <c r="F473" s="13" t="s">
        <v>20</v>
      </c>
      <c r="G473" s="13" t="s">
        <v>2570</v>
      </c>
      <c r="H473" s="13" t="s">
        <v>2634</v>
      </c>
      <c r="I473" s="13" t="s">
        <v>23</v>
      </c>
      <c r="J473" s="13">
        <v>9.0</v>
      </c>
      <c r="K473" s="13" t="s">
        <v>87</v>
      </c>
      <c r="L473" s="13" t="s">
        <v>52</v>
      </c>
      <c r="M473" s="13" t="s">
        <v>37</v>
      </c>
      <c r="N473" s="13" t="s">
        <v>38</v>
      </c>
      <c r="O473" s="14">
        <v>340.92</v>
      </c>
      <c r="P473" s="14">
        <f t="shared" si="2"/>
        <v>3068.28</v>
      </c>
      <c r="Q473" s="14">
        <v>340.43</v>
      </c>
    </row>
    <row r="474">
      <c r="A474" s="12">
        <v>42258.0</v>
      </c>
      <c r="B474" s="12"/>
      <c r="C474" s="12" t="s">
        <v>2329</v>
      </c>
      <c r="D474" s="5">
        <v>42319.0</v>
      </c>
      <c r="E474" s="15" t="str">
        <f t="shared" si="1"/>
        <v>Nov</v>
      </c>
      <c r="F474" s="13" t="s">
        <v>20</v>
      </c>
      <c r="G474" s="13" t="s">
        <v>2570</v>
      </c>
      <c r="H474" s="13" t="s">
        <v>2634</v>
      </c>
      <c r="I474" s="13" t="s">
        <v>23</v>
      </c>
      <c r="J474" s="13">
        <v>9.0</v>
      </c>
      <c r="K474" s="13" t="s">
        <v>87</v>
      </c>
      <c r="L474" s="13" t="s">
        <v>52</v>
      </c>
      <c r="M474" s="13" t="s">
        <v>37</v>
      </c>
      <c r="N474" s="13" t="s">
        <v>27</v>
      </c>
      <c r="O474" s="14">
        <v>222.666</v>
      </c>
      <c r="P474" s="14">
        <f t="shared" si="2"/>
        <v>2003.994</v>
      </c>
      <c r="Q474" s="14">
        <v>221.73</v>
      </c>
    </row>
    <row r="475">
      <c r="A475" s="12">
        <v>42258.0</v>
      </c>
      <c r="B475" s="12"/>
      <c r="C475" s="12" t="s">
        <v>2329</v>
      </c>
      <c r="D475" s="5">
        <v>42319.0</v>
      </c>
      <c r="E475" s="15" t="str">
        <f t="shared" si="1"/>
        <v>Nov</v>
      </c>
      <c r="F475" s="13" t="s">
        <v>20</v>
      </c>
      <c r="G475" s="13" t="s">
        <v>2570</v>
      </c>
      <c r="H475" s="13" t="s">
        <v>2634</v>
      </c>
      <c r="I475" s="13" t="s">
        <v>23</v>
      </c>
      <c r="J475" s="13">
        <v>9.0</v>
      </c>
      <c r="K475" s="13" t="s">
        <v>87</v>
      </c>
      <c r="L475" s="13" t="s">
        <v>52</v>
      </c>
      <c r="M475" s="13" t="s">
        <v>37</v>
      </c>
      <c r="N475" s="13" t="s">
        <v>51</v>
      </c>
      <c r="O475" s="14">
        <v>703.968</v>
      </c>
      <c r="P475" s="14">
        <f t="shared" si="2"/>
        <v>6335.712</v>
      </c>
      <c r="Q475" s="14">
        <v>703.77</v>
      </c>
    </row>
    <row r="476">
      <c r="A476" s="12">
        <v>42258.0</v>
      </c>
      <c r="B476" s="12"/>
      <c r="C476" s="12" t="s">
        <v>2329</v>
      </c>
      <c r="D476" s="5">
        <v>42319.0</v>
      </c>
      <c r="E476" s="15" t="str">
        <f t="shared" si="1"/>
        <v>Nov</v>
      </c>
      <c r="F476" s="13" t="s">
        <v>20</v>
      </c>
      <c r="G476" s="13" t="s">
        <v>2570</v>
      </c>
      <c r="H476" s="13" t="s">
        <v>2634</v>
      </c>
      <c r="I476" s="13" t="s">
        <v>23</v>
      </c>
      <c r="J476" s="13">
        <v>9.0</v>
      </c>
      <c r="K476" s="13" t="s">
        <v>87</v>
      </c>
      <c r="L476" s="13" t="s">
        <v>52</v>
      </c>
      <c r="M476" s="13" t="s">
        <v>37</v>
      </c>
      <c r="N476" s="13" t="s">
        <v>38</v>
      </c>
      <c r="O476" s="14">
        <v>92.52</v>
      </c>
      <c r="P476" s="14">
        <f t="shared" si="2"/>
        <v>832.68</v>
      </c>
      <c r="Q476" s="14">
        <v>91.76</v>
      </c>
    </row>
    <row r="477">
      <c r="A477" s="12">
        <v>42258.0</v>
      </c>
      <c r="B477" s="12"/>
      <c r="C477" s="12" t="s">
        <v>2329</v>
      </c>
      <c r="D477" s="5">
        <v>42319.0</v>
      </c>
      <c r="E477" s="15" t="str">
        <f t="shared" si="1"/>
        <v>Nov</v>
      </c>
      <c r="F477" s="13" t="s">
        <v>20</v>
      </c>
      <c r="G477" s="13" t="s">
        <v>2570</v>
      </c>
      <c r="H477" s="13" t="s">
        <v>2634</v>
      </c>
      <c r="I477" s="13" t="s">
        <v>23</v>
      </c>
      <c r="J477" s="13">
        <v>9.0</v>
      </c>
      <c r="K477" s="13" t="s">
        <v>87</v>
      </c>
      <c r="L477" s="13" t="s">
        <v>52</v>
      </c>
      <c r="M477" s="13" t="s">
        <v>37</v>
      </c>
      <c r="N477" s="13" t="s">
        <v>38</v>
      </c>
      <c r="O477" s="14">
        <v>62.65</v>
      </c>
      <c r="P477" s="14">
        <f t="shared" si="2"/>
        <v>563.85</v>
      </c>
      <c r="Q477" s="14">
        <v>61.71</v>
      </c>
    </row>
    <row r="478">
      <c r="A478" s="12">
        <v>42258.0</v>
      </c>
      <c r="B478" s="12"/>
      <c r="C478" s="12" t="s">
        <v>2329</v>
      </c>
      <c r="D478" s="5">
        <v>42319.0</v>
      </c>
      <c r="E478" s="15" t="str">
        <f t="shared" si="1"/>
        <v>Nov</v>
      </c>
      <c r="F478" s="13" t="s">
        <v>20</v>
      </c>
      <c r="G478" s="13" t="s">
        <v>2570</v>
      </c>
      <c r="H478" s="13" t="s">
        <v>2634</v>
      </c>
      <c r="I478" s="13" t="s">
        <v>23</v>
      </c>
      <c r="J478" s="13">
        <v>9.0</v>
      </c>
      <c r="K478" s="13" t="s">
        <v>87</v>
      </c>
      <c r="L478" s="13" t="s">
        <v>52</v>
      </c>
      <c r="M478" s="13" t="s">
        <v>37</v>
      </c>
      <c r="N478" s="13" t="s">
        <v>38</v>
      </c>
      <c r="O478" s="14">
        <v>94.85</v>
      </c>
      <c r="P478" s="14">
        <f t="shared" si="2"/>
        <v>853.65</v>
      </c>
      <c r="Q478" s="14">
        <v>94.19</v>
      </c>
    </row>
    <row r="479">
      <c r="A479" s="12">
        <v>43076.0</v>
      </c>
      <c r="B479" s="12"/>
      <c r="C479" s="12" t="s">
        <v>2325</v>
      </c>
      <c r="D479" s="1" t="s">
        <v>901</v>
      </c>
      <c r="E479" s="15" t="str">
        <f t="shared" si="1"/>
        <v>Jul</v>
      </c>
      <c r="F479" s="13" t="s">
        <v>41</v>
      </c>
      <c r="G479" s="13" t="s">
        <v>2533</v>
      </c>
      <c r="H479" s="13" t="s">
        <v>2534</v>
      </c>
      <c r="I479" s="13" t="s">
        <v>34</v>
      </c>
      <c r="J479" s="13">
        <v>9.0</v>
      </c>
      <c r="K479" s="13" t="s">
        <v>35</v>
      </c>
      <c r="L479" s="13" t="s">
        <v>52</v>
      </c>
      <c r="M479" s="13" t="s">
        <v>37</v>
      </c>
      <c r="N479" s="13" t="s">
        <v>51</v>
      </c>
      <c r="O479" s="14">
        <v>95.76</v>
      </c>
      <c r="P479" s="14">
        <f t="shared" si="2"/>
        <v>861.84</v>
      </c>
      <c r="Q479" s="14">
        <v>95.18</v>
      </c>
    </row>
    <row r="480">
      <c r="A480" s="12">
        <v>43035.0</v>
      </c>
      <c r="B480" s="12"/>
      <c r="C480" s="12" t="s">
        <v>2358</v>
      </c>
      <c r="D480" s="6">
        <v>42777.0</v>
      </c>
      <c r="E480" s="15" t="str">
        <f t="shared" si="1"/>
        <v>Feb</v>
      </c>
      <c r="F480" s="13" t="s">
        <v>41</v>
      </c>
      <c r="G480" s="13" t="s">
        <v>2570</v>
      </c>
      <c r="H480" s="13" t="s">
        <v>2457</v>
      </c>
      <c r="I480" s="13" t="s">
        <v>23</v>
      </c>
      <c r="J480" s="13">
        <v>1.0</v>
      </c>
      <c r="K480" s="13" t="s">
        <v>180</v>
      </c>
      <c r="L480" s="13" t="s">
        <v>175</v>
      </c>
      <c r="M480" s="13" t="s">
        <v>100</v>
      </c>
      <c r="N480" s="13" t="s">
        <v>27</v>
      </c>
      <c r="O480" s="14">
        <v>40.2</v>
      </c>
      <c r="P480" s="14">
        <f t="shared" si="2"/>
        <v>40.2</v>
      </c>
      <c r="Q480" s="14">
        <v>39.61</v>
      </c>
    </row>
    <row r="481">
      <c r="A481" s="12">
        <v>42912.0</v>
      </c>
      <c r="B481" s="12"/>
      <c r="C481" s="12" t="s">
        <v>2374</v>
      </c>
      <c r="D481" s="6">
        <v>42773.0</v>
      </c>
      <c r="E481" s="15" t="str">
        <f t="shared" si="1"/>
        <v>Feb</v>
      </c>
      <c r="F481" s="13" t="s">
        <v>41</v>
      </c>
      <c r="G481" s="13" t="s">
        <v>2560</v>
      </c>
      <c r="H481" s="13" t="s">
        <v>2635</v>
      </c>
      <c r="I481" s="13" t="s">
        <v>34</v>
      </c>
      <c r="J481" s="13">
        <v>1.0</v>
      </c>
      <c r="K481" s="13" t="s">
        <v>174</v>
      </c>
      <c r="L481" s="13" t="s">
        <v>175</v>
      </c>
      <c r="M481" s="13" t="s">
        <v>100</v>
      </c>
      <c r="N481" s="13" t="s">
        <v>38</v>
      </c>
      <c r="O481" s="14">
        <v>14.7</v>
      </c>
      <c r="P481" s="14">
        <f t="shared" si="2"/>
        <v>14.7</v>
      </c>
      <c r="Q481" s="14">
        <v>13.71</v>
      </c>
    </row>
    <row r="482">
      <c r="A482" s="12">
        <v>42912.0</v>
      </c>
      <c r="B482" s="12"/>
      <c r="C482" s="12" t="s">
        <v>2374</v>
      </c>
      <c r="D482" s="6">
        <v>42773.0</v>
      </c>
      <c r="E482" s="15" t="str">
        <f t="shared" si="1"/>
        <v>Feb</v>
      </c>
      <c r="F482" s="13" t="s">
        <v>41</v>
      </c>
      <c r="G482" s="13" t="s">
        <v>2560</v>
      </c>
      <c r="H482" s="13" t="s">
        <v>2635</v>
      </c>
      <c r="I482" s="13" t="s">
        <v>34</v>
      </c>
      <c r="J482" s="13">
        <v>1.0</v>
      </c>
      <c r="K482" s="13" t="s">
        <v>174</v>
      </c>
      <c r="L482" s="13" t="s">
        <v>175</v>
      </c>
      <c r="M482" s="13" t="s">
        <v>100</v>
      </c>
      <c r="N482" s="13" t="s">
        <v>38</v>
      </c>
      <c r="O482" s="14">
        <v>704.25</v>
      </c>
      <c r="P482" s="14">
        <f t="shared" si="2"/>
        <v>704.25</v>
      </c>
      <c r="Q482" s="14">
        <v>703.79</v>
      </c>
    </row>
    <row r="483">
      <c r="A483" s="12">
        <v>42165.0</v>
      </c>
      <c r="B483" s="12"/>
      <c r="C483" s="12" t="s">
        <v>2374</v>
      </c>
      <c r="D483" s="5">
        <v>42287.0</v>
      </c>
      <c r="E483" s="15" t="str">
        <f t="shared" si="1"/>
        <v>Oct</v>
      </c>
      <c r="F483" s="13" t="s">
        <v>41</v>
      </c>
      <c r="G483" s="13" t="s">
        <v>2636</v>
      </c>
      <c r="H483" s="13" t="s">
        <v>2599</v>
      </c>
      <c r="I483" s="13" t="s">
        <v>23</v>
      </c>
      <c r="J483" s="13">
        <v>9.0</v>
      </c>
      <c r="K483" s="13" t="s">
        <v>542</v>
      </c>
      <c r="L483" s="13" t="s">
        <v>52</v>
      </c>
      <c r="M483" s="13" t="s">
        <v>37</v>
      </c>
      <c r="N483" s="13" t="s">
        <v>51</v>
      </c>
      <c r="O483" s="14">
        <v>9.09</v>
      </c>
      <c r="P483" s="14">
        <f t="shared" si="2"/>
        <v>81.81</v>
      </c>
      <c r="Q483" s="14">
        <v>8.9</v>
      </c>
    </row>
    <row r="484">
      <c r="A484" s="12">
        <v>42207.0</v>
      </c>
      <c r="B484" s="12"/>
      <c r="C484" s="12" t="s">
        <v>2348</v>
      </c>
      <c r="D484" s="1" t="s">
        <v>726</v>
      </c>
      <c r="E484" s="15" t="str">
        <f t="shared" si="1"/>
        <v>Jul</v>
      </c>
      <c r="F484" s="13" t="s">
        <v>41</v>
      </c>
      <c r="G484" s="13" t="s">
        <v>2369</v>
      </c>
      <c r="H484" s="13" t="s">
        <v>2637</v>
      </c>
      <c r="I484" s="13" t="s">
        <v>23</v>
      </c>
      <c r="J484" s="13">
        <v>1.0</v>
      </c>
      <c r="K484" s="13" t="s">
        <v>174</v>
      </c>
      <c r="L484" s="13" t="s">
        <v>175</v>
      </c>
      <c r="M484" s="13" t="s">
        <v>100</v>
      </c>
      <c r="N484" s="13" t="s">
        <v>38</v>
      </c>
      <c r="O484" s="14">
        <v>5.96</v>
      </c>
      <c r="P484" s="14">
        <f t="shared" si="2"/>
        <v>5.96</v>
      </c>
      <c r="Q484" s="14">
        <v>4.97</v>
      </c>
    </row>
    <row r="485">
      <c r="A485" s="12">
        <v>42207.0</v>
      </c>
      <c r="B485" s="12"/>
      <c r="C485" s="12" t="s">
        <v>2348</v>
      </c>
      <c r="D485" s="1" t="s">
        <v>726</v>
      </c>
      <c r="E485" s="15" t="str">
        <f t="shared" si="1"/>
        <v>Jul</v>
      </c>
      <c r="F485" s="13" t="s">
        <v>41</v>
      </c>
      <c r="G485" s="13" t="s">
        <v>2369</v>
      </c>
      <c r="H485" s="13" t="s">
        <v>2637</v>
      </c>
      <c r="I485" s="13" t="s">
        <v>23</v>
      </c>
      <c r="J485" s="13">
        <v>1.0</v>
      </c>
      <c r="K485" s="13" t="s">
        <v>174</v>
      </c>
      <c r="L485" s="13" t="s">
        <v>175</v>
      </c>
      <c r="M485" s="13" t="s">
        <v>100</v>
      </c>
      <c r="N485" s="13" t="s">
        <v>51</v>
      </c>
      <c r="O485" s="14">
        <v>159.98</v>
      </c>
      <c r="P485" s="14">
        <f t="shared" si="2"/>
        <v>159.98</v>
      </c>
      <c r="Q485" s="14">
        <v>159.24</v>
      </c>
    </row>
    <row r="486">
      <c r="A486" s="12">
        <v>43379.0</v>
      </c>
      <c r="B486" s="12"/>
      <c r="C486" s="12" t="s">
        <v>2358</v>
      </c>
      <c r="D486" s="1" t="s">
        <v>915</v>
      </c>
      <c r="E486" s="15" t="str">
        <f t="shared" si="1"/>
        <v>Jun</v>
      </c>
      <c r="F486" s="13" t="s">
        <v>121</v>
      </c>
      <c r="G486" s="13" t="s">
        <v>2638</v>
      </c>
      <c r="H486" s="13" t="s">
        <v>2639</v>
      </c>
      <c r="I486" s="13" t="s">
        <v>68</v>
      </c>
      <c r="J486" s="13">
        <v>9.0</v>
      </c>
      <c r="K486" s="13" t="s">
        <v>35</v>
      </c>
      <c r="L486" s="13" t="s">
        <v>52</v>
      </c>
      <c r="M486" s="13" t="s">
        <v>37</v>
      </c>
      <c r="N486" s="13" t="s">
        <v>38</v>
      </c>
      <c r="O486" s="14">
        <v>29.6</v>
      </c>
      <c r="P486" s="14">
        <f t="shared" si="2"/>
        <v>266.4</v>
      </c>
      <c r="Q486" s="14">
        <v>29.14</v>
      </c>
    </row>
    <row r="487">
      <c r="A487" s="12">
        <v>43379.0</v>
      </c>
      <c r="B487" s="12"/>
      <c r="C487" s="12" t="s">
        <v>2358</v>
      </c>
      <c r="D487" s="1" t="s">
        <v>915</v>
      </c>
      <c r="E487" s="15" t="str">
        <f t="shared" si="1"/>
        <v>Jun</v>
      </c>
      <c r="F487" s="13" t="s">
        <v>121</v>
      </c>
      <c r="G487" s="13" t="s">
        <v>2638</v>
      </c>
      <c r="H487" s="13" t="s">
        <v>2639</v>
      </c>
      <c r="I487" s="13" t="s">
        <v>68</v>
      </c>
      <c r="J487" s="13">
        <v>9.0</v>
      </c>
      <c r="K487" s="13" t="s">
        <v>35</v>
      </c>
      <c r="L487" s="13" t="s">
        <v>52</v>
      </c>
      <c r="M487" s="13" t="s">
        <v>37</v>
      </c>
      <c r="N487" s="13" t="s">
        <v>27</v>
      </c>
      <c r="O487" s="14">
        <v>514.165</v>
      </c>
      <c r="P487" s="14">
        <f t="shared" si="2"/>
        <v>4627.485</v>
      </c>
      <c r="Q487" s="14">
        <v>513.37</v>
      </c>
    </row>
    <row r="488">
      <c r="A488" s="12">
        <v>43379.0</v>
      </c>
      <c r="B488" s="12"/>
      <c r="C488" s="12" t="s">
        <v>2358</v>
      </c>
      <c r="D488" s="1" t="s">
        <v>915</v>
      </c>
      <c r="E488" s="15" t="str">
        <f t="shared" si="1"/>
        <v>Jun</v>
      </c>
      <c r="F488" s="13" t="s">
        <v>121</v>
      </c>
      <c r="G488" s="13" t="s">
        <v>2638</v>
      </c>
      <c r="H488" s="13" t="s">
        <v>2639</v>
      </c>
      <c r="I488" s="13" t="s">
        <v>68</v>
      </c>
      <c r="J488" s="13">
        <v>9.0</v>
      </c>
      <c r="K488" s="13" t="s">
        <v>35</v>
      </c>
      <c r="L488" s="13" t="s">
        <v>52</v>
      </c>
      <c r="M488" s="13" t="s">
        <v>37</v>
      </c>
      <c r="N488" s="13" t="s">
        <v>51</v>
      </c>
      <c r="O488" s="14">
        <v>279.96</v>
      </c>
      <c r="P488" s="14">
        <f t="shared" si="2"/>
        <v>2519.64</v>
      </c>
      <c r="Q488" s="14">
        <v>279.24</v>
      </c>
    </row>
    <row r="489">
      <c r="A489" s="12">
        <v>42306.0</v>
      </c>
      <c r="B489" s="12"/>
      <c r="C489" s="12" t="s">
        <v>2358</v>
      </c>
      <c r="D489" s="1" t="s">
        <v>919</v>
      </c>
      <c r="E489" s="15" t="str">
        <f t="shared" si="1"/>
        <v>Oct</v>
      </c>
      <c r="F489" s="13" t="s">
        <v>121</v>
      </c>
      <c r="G489" s="13" t="s">
        <v>922</v>
      </c>
      <c r="H489" s="13" t="s">
        <v>923</v>
      </c>
      <c r="I489" s="13" t="s">
        <v>23</v>
      </c>
      <c r="J489" s="13">
        <v>6.0</v>
      </c>
      <c r="K489" s="13" t="s">
        <v>188</v>
      </c>
      <c r="L489" s="13" t="s">
        <v>135</v>
      </c>
      <c r="M489" s="13" t="s">
        <v>71</v>
      </c>
      <c r="N489" s="13" t="s">
        <v>51</v>
      </c>
      <c r="O489" s="14">
        <v>2735.952</v>
      </c>
      <c r="P489" s="14">
        <f t="shared" si="2"/>
        <v>16415.712</v>
      </c>
      <c r="Q489" s="14">
        <v>2735.58</v>
      </c>
    </row>
    <row r="490">
      <c r="A490" s="12">
        <v>42253.0</v>
      </c>
      <c r="B490" s="12"/>
      <c r="C490" s="12" t="s">
        <v>2329</v>
      </c>
      <c r="D490" s="1" t="s">
        <v>925</v>
      </c>
      <c r="E490" s="15" t="str">
        <f t="shared" si="1"/>
        <v>Jun</v>
      </c>
      <c r="F490" s="13" t="s">
        <v>20</v>
      </c>
      <c r="G490" s="13" t="s">
        <v>2640</v>
      </c>
      <c r="H490" s="13" t="s">
        <v>2641</v>
      </c>
      <c r="I490" s="13" t="s">
        <v>68</v>
      </c>
      <c r="J490" s="13">
        <v>7.0</v>
      </c>
      <c r="K490" s="13" t="s">
        <v>928</v>
      </c>
      <c r="L490" s="13" t="s">
        <v>70</v>
      </c>
      <c r="M490" s="13" t="s">
        <v>71</v>
      </c>
      <c r="N490" s="13" t="s">
        <v>51</v>
      </c>
      <c r="O490" s="14">
        <v>7.992</v>
      </c>
      <c r="P490" s="14">
        <f t="shared" si="2"/>
        <v>55.944</v>
      </c>
      <c r="Q490" s="14">
        <v>7.29</v>
      </c>
    </row>
    <row r="491">
      <c r="A491" s="12">
        <v>42253.0</v>
      </c>
      <c r="B491" s="12"/>
      <c r="C491" s="12" t="s">
        <v>2329</v>
      </c>
      <c r="D491" s="1" t="s">
        <v>925</v>
      </c>
      <c r="E491" s="15" t="str">
        <f t="shared" si="1"/>
        <v>Jun</v>
      </c>
      <c r="F491" s="13" t="s">
        <v>20</v>
      </c>
      <c r="G491" s="13" t="s">
        <v>2640</v>
      </c>
      <c r="H491" s="13" t="s">
        <v>2641</v>
      </c>
      <c r="I491" s="13" t="s">
        <v>68</v>
      </c>
      <c r="J491" s="13">
        <v>7.0</v>
      </c>
      <c r="K491" s="13" t="s">
        <v>928</v>
      </c>
      <c r="L491" s="13" t="s">
        <v>70</v>
      </c>
      <c r="M491" s="13" t="s">
        <v>71</v>
      </c>
      <c r="N491" s="13" t="s">
        <v>51</v>
      </c>
      <c r="O491" s="14">
        <v>63.984</v>
      </c>
      <c r="P491" s="14">
        <f t="shared" si="2"/>
        <v>447.888</v>
      </c>
      <c r="Q491" s="14">
        <v>63.56</v>
      </c>
    </row>
    <row r="492">
      <c r="A492" s="12">
        <v>42253.0</v>
      </c>
      <c r="B492" s="12"/>
      <c r="C492" s="12" t="s">
        <v>2329</v>
      </c>
      <c r="D492" s="1" t="s">
        <v>925</v>
      </c>
      <c r="E492" s="15" t="str">
        <f t="shared" si="1"/>
        <v>Jun</v>
      </c>
      <c r="F492" s="13" t="s">
        <v>20</v>
      </c>
      <c r="G492" s="13" t="s">
        <v>2640</v>
      </c>
      <c r="H492" s="13" t="s">
        <v>2641</v>
      </c>
      <c r="I492" s="13" t="s">
        <v>68</v>
      </c>
      <c r="J492" s="13">
        <v>7.0</v>
      </c>
      <c r="K492" s="13" t="s">
        <v>928</v>
      </c>
      <c r="L492" s="13" t="s">
        <v>70</v>
      </c>
      <c r="M492" s="13" t="s">
        <v>71</v>
      </c>
      <c r="N492" s="13" t="s">
        <v>38</v>
      </c>
      <c r="O492" s="14">
        <v>70.368</v>
      </c>
      <c r="P492" s="14">
        <f t="shared" si="2"/>
        <v>492.576</v>
      </c>
      <c r="Q492" s="14">
        <v>69.68</v>
      </c>
    </row>
    <row r="493">
      <c r="A493" s="12">
        <v>42261.0</v>
      </c>
      <c r="B493" s="12"/>
      <c r="C493" s="12" t="s">
        <v>2329</v>
      </c>
      <c r="D493" s="1" t="s">
        <v>409</v>
      </c>
      <c r="E493" s="15" t="str">
        <f t="shared" si="1"/>
        <v>Sep</v>
      </c>
      <c r="F493" s="13" t="s">
        <v>41</v>
      </c>
      <c r="G493" s="13" t="s">
        <v>2642</v>
      </c>
      <c r="H493" s="13" t="s">
        <v>2471</v>
      </c>
      <c r="I493" s="13" t="s">
        <v>23</v>
      </c>
      <c r="J493" s="13">
        <v>1.0</v>
      </c>
      <c r="K493" s="13" t="s">
        <v>240</v>
      </c>
      <c r="L493" s="13" t="s">
        <v>175</v>
      </c>
      <c r="M493" s="13" t="s">
        <v>100</v>
      </c>
      <c r="N493" s="13" t="s">
        <v>38</v>
      </c>
      <c r="O493" s="14">
        <v>449.15</v>
      </c>
      <c r="P493" s="14">
        <f t="shared" si="2"/>
        <v>449.15</v>
      </c>
      <c r="Q493" s="14">
        <v>448.88</v>
      </c>
    </row>
    <row r="494">
      <c r="A494" s="12">
        <v>42261.0</v>
      </c>
      <c r="B494" s="12"/>
      <c r="C494" s="12" t="s">
        <v>2329</v>
      </c>
      <c r="D494" s="1" t="s">
        <v>409</v>
      </c>
      <c r="E494" s="15" t="str">
        <f t="shared" si="1"/>
        <v>Sep</v>
      </c>
      <c r="F494" s="13" t="s">
        <v>41</v>
      </c>
      <c r="G494" s="13" t="s">
        <v>2642</v>
      </c>
      <c r="H494" s="13" t="s">
        <v>2471</v>
      </c>
      <c r="I494" s="13" t="s">
        <v>23</v>
      </c>
      <c r="J494" s="13">
        <v>1.0</v>
      </c>
      <c r="K494" s="13" t="s">
        <v>240</v>
      </c>
      <c r="L494" s="13" t="s">
        <v>175</v>
      </c>
      <c r="M494" s="13" t="s">
        <v>100</v>
      </c>
      <c r="N494" s="13" t="s">
        <v>38</v>
      </c>
      <c r="O494" s="14">
        <v>11.07</v>
      </c>
      <c r="P494" s="14">
        <f t="shared" si="2"/>
        <v>11.07</v>
      </c>
      <c r="Q494" s="14">
        <v>10.58</v>
      </c>
    </row>
    <row r="495">
      <c r="A495" s="12">
        <v>42983.0</v>
      </c>
      <c r="B495" s="12"/>
      <c r="C495" s="12" t="s">
        <v>2329</v>
      </c>
      <c r="D495" s="1" t="s">
        <v>933</v>
      </c>
      <c r="E495" s="15" t="str">
        <f t="shared" si="1"/>
        <v>May</v>
      </c>
      <c r="F495" s="13" t="s">
        <v>41</v>
      </c>
      <c r="G495" s="13" t="s">
        <v>2643</v>
      </c>
      <c r="H495" s="13" t="s">
        <v>2644</v>
      </c>
      <c r="I495" s="13" t="s">
        <v>23</v>
      </c>
      <c r="J495" s="13">
        <v>9.0</v>
      </c>
      <c r="K495" s="13" t="s">
        <v>62</v>
      </c>
      <c r="L495" s="13" t="s">
        <v>63</v>
      </c>
      <c r="M495" s="13" t="s">
        <v>37</v>
      </c>
      <c r="N495" s="13" t="s">
        <v>51</v>
      </c>
      <c r="O495" s="14">
        <v>93.98</v>
      </c>
      <c r="P495" s="14">
        <f t="shared" si="2"/>
        <v>845.82</v>
      </c>
      <c r="Q495" s="14">
        <v>93.2</v>
      </c>
    </row>
    <row r="496">
      <c r="A496" s="12">
        <v>42812.0</v>
      </c>
      <c r="B496" s="12"/>
      <c r="C496" s="12" t="s">
        <v>2399</v>
      </c>
      <c r="D496" s="1" t="s">
        <v>937</v>
      </c>
      <c r="E496" s="15" t="str">
        <f t="shared" si="1"/>
        <v>Mar</v>
      </c>
      <c r="F496" s="13" t="s">
        <v>20</v>
      </c>
      <c r="G496" s="13" t="s">
        <v>2645</v>
      </c>
      <c r="H496" s="13" t="s">
        <v>2646</v>
      </c>
      <c r="I496" s="13" t="s">
        <v>23</v>
      </c>
      <c r="J496" s="13">
        <v>3.0</v>
      </c>
      <c r="K496" s="13" t="s">
        <v>209</v>
      </c>
      <c r="L496" s="13" t="s">
        <v>210</v>
      </c>
      <c r="M496" s="13" t="s">
        <v>26</v>
      </c>
      <c r="N496" s="13" t="s">
        <v>27</v>
      </c>
      <c r="O496" s="14">
        <v>189.882</v>
      </c>
      <c r="P496" s="14">
        <f t="shared" si="2"/>
        <v>569.646</v>
      </c>
      <c r="Q496" s="14">
        <v>189.64</v>
      </c>
    </row>
    <row r="497">
      <c r="A497" s="12">
        <v>42731.0</v>
      </c>
      <c r="B497" s="12"/>
      <c r="C497" s="12" t="s">
        <v>2325</v>
      </c>
      <c r="D497" s="1" t="s">
        <v>126</v>
      </c>
      <c r="E497" s="15" t="str">
        <f t="shared" si="1"/>
        <v>Dec</v>
      </c>
      <c r="F497" s="13" t="s">
        <v>41</v>
      </c>
      <c r="G497" s="13" t="s">
        <v>2647</v>
      </c>
      <c r="H497" s="13" t="s">
        <v>2648</v>
      </c>
      <c r="I497" s="13" t="s">
        <v>23</v>
      </c>
      <c r="J497" s="13">
        <v>7.0</v>
      </c>
      <c r="K497" s="13" t="s">
        <v>943</v>
      </c>
      <c r="L497" s="13" t="s">
        <v>944</v>
      </c>
      <c r="M497" s="13" t="s">
        <v>26</v>
      </c>
      <c r="N497" s="13" t="s">
        <v>38</v>
      </c>
      <c r="O497" s="14">
        <v>105.42</v>
      </c>
      <c r="P497" s="14">
        <f t="shared" si="2"/>
        <v>737.94</v>
      </c>
      <c r="Q497" s="14">
        <v>105.38</v>
      </c>
    </row>
    <row r="498">
      <c r="A498" s="12">
        <v>42941.0</v>
      </c>
      <c r="B498" s="12"/>
      <c r="C498" s="12" t="s">
        <v>2348</v>
      </c>
      <c r="D498" s="1" t="s">
        <v>946</v>
      </c>
      <c r="E498" s="15" t="str">
        <f t="shared" si="1"/>
        <v>Jul</v>
      </c>
      <c r="F498" s="13" t="s">
        <v>41</v>
      </c>
      <c r="G498" s="13" t="s">
        <v>2627</v>
      </c>
      <c r="H498" s="13" t="s">
        <v>2628</v>
      </c>
      <c r="I498" s="13" t="s">
        <v>23</v>
      </c>
      <c r="J498" s="13">
        <v>9.0</v>
      </c>
      <c r="K498" s="13" t="s">
        <v>947</v>
      </c>
      <c r="L498" s="13" t="s">
        <v>52</v>
      </c>
      <c r="M498" s="13" t="s">
        <v>37</v>
      </c>
      <c r="N498" s="13" t="s">
        <v>38</v>
      </c>
      <c r="O498" s="14">
        <v>119.616</v>
      </c>
      <c r="P498" s="14">
        <f t="shared" si="2"/>
        <v>1076.544</v>
      </c>
      <c r="Q498" s="14">
        <v>119.1</v>
      </c>
    </row>
    <row r="499">
      <c r="A499" s="12">
        <v>42941.0</v>
      </c>
      <c r="B499" s="12"/>
      <c r="C499" s="12" t="s">
        <v>2348</v>
      </c>
      <c r="D499" s="1" t="s">
        <v>946</v>
      </c>
      <c r="E499" s="15" t="str">
        <f t="shared" si="1"/>
        <v>Jul</v>
      </c>
      <c r="F499" s="13" t="s">
        <v>41</v>
      </c>
      <c r="G499" s="13" t="s">
        <v>2627</v>
      </c>
      <c r="H499" s="13" t="s">
        <v>2628</v>
      </c>
      <c r="I499" s="13" t="s">
        <v>23</v>
      </c>
      <c r="J499" s="13">
        <v>9.0</v>
      </c>
      <c r="K499" s="13" t="s">
        <v>947</v>
      </c>
      <c r="L499" s="13" t="s">
        <v>52</v>
      </c>
      <c r="M499" s="13" t="s">
        <v>37</v>
      </c>
      <c r="N499" s="13" t="s">
        <v>27</v>
      </c>
      <c r="O499" s="14">
        <v>255.76</v>
      </c>
      <c r="P499" s="14">
        <f t="shared" si="2"/>
        <v>2301.84</v>
      </c>
      <c r="Q499" s="14">
        <v>254.81</v>
      </c>
    </row>
    <row r="500">
      <c r="A500" s="12">
        <v>42941.0</v>
      </c>
      <c r="B500" s="12"/>
      <c r="C500" s="12" t="s">
        <v>2348</v>
      </c>
      <c r="D500" s="1" t="s">
        <v>946</v>
      </c>
      <c r="E500" s="15" t="str">
        <f t="shared" si="1"/>
        <v>Jul</v>
      </c>
      <c r="F500" s="13" t="s">
        <v>41</v>
      </c>
      <c r="G500" s="13" t="s">
        <v>2627</v>
      </c>
      <c r="H500" s="13" t="s">
        <v>2628</v>
      </c>
      <c r="I500" s="13" t="s">
        <v>23</v>
      </c>
      <c r="J500" s="13">
        <v>9.0</v>
      </c>
      <c r="K500" s="13" t="s">
        <v>947</v>
      </c>
      <c r="L500" s="13" t="s">
        <v>52</v>
      </c>
      <c r="M500" s="13" t="s">
        <v>37</v>
      </c>
      <c r="N500" s="13" t="s">
        <v>27</v>
      </c>
      <c r="O500" s="14">
        <v>241.568</v>
      </c>
      <c r="P500" s="14">
        <f t="shared" si="2"/>
        <v>2174.112</v>
      </c>
      <c r="Q500" s="14">
        <v>240.79</v>
      </c>
    </row>
    <row r="501">
      <c r="A501" s="12">
        <v>42941.0</v>
      </c>
      <c r="B501" s="12"/>
      <c r="C501" s="12" t="s">
        <v>2348</v>
      </c>
      <c r="D501" s="1" t="s">
        <v>946</v>
      </c>
      <c r="E501" s="15" t="str">
        <f t="shared" si="1"/>
        <v>Jul</v>
      </c>
      <c r="F501" s="13" t="s">
        <v>41</v>
      </c>
      <c r="G501" s="13" t="s">
        <v>2627</v>
      </c>
      <c r="H501" s="13" t="s">
        <v>2628</v>
      </c>
      <c r="I501" s="13" t="s">
        <v>23</v>
      </c>
      <c r="J501" s="13">
        <v>9.0</v>
      </c>
      <c r="K501" s="13" t="s">
        <v>947</v>
      </c>
      <c r="L501" s="13" t="s">
        <v>52</v>
      </c>
      <c r="M501" s="13" t="s">
        <v>37</v>
      </c>
      <c r="N501" s="13" t="s">
        <v>27</v>
      </c>
      <c r="O501" s="14">
        <v>69.3</v>
      </c>
      <c r="P501" s="14">
        <f t="shared" si="2"/>
        <v>623.7</v>
      </c>
      <c r="Q501" s="14">
        <v>68.37</v>
      </c>
    </row>
    <row r="502">
      <c r="A502" s="12">
        <v>42885.0</v>
      </c>
      <c r="B502" s="12"/>
      <c r="C502" s="12" t="s">
        <v>2335</v>
      </c>
      <c r="D502" s="6">
        <v>42831.0</v>
      </c>
      <c r="E502" s="15" t="str">
        <f t="shared" si="1"/>
        <v>Apr</v>
      </c>
      <c r="F502" s="13" t="s">
        <v>41</v>
      </c>
      <c r="G502" s="13" t="s">
        <v>2647</v>
      </c>
      <c r="H502" s="13" t="s">
        <v>2649</v>
      </c>
      <c r="I502" s="13" t="s">
        <v>34</v>
      </c>
      <c r="J502" s="13">
        <v>8.0</v>
      </c>
      <c r="K502" s="13" t="s">
        <v>951</v>
      </c>
      <c r="L502" s="13" t="s">
        <v>279</v>
      </c>
      <c r="M502" s="13" t="s">
        <v>37</v>
      </c>
      <c r="N502" s="13" t="s">
        <v>38</v>
      </c>
      <c r="O502" s="14">
        <v>22.62</v>
      </c>
      <c r="P502" s="14">
        <f t="shared" si="2"/>
        <v>180.96</v>
      </c>
      <c r="Q502" s="14">
        <v>22.21</v>
      </c>
    </row>
    <row r="503">
      <c r="A503" s="12">
        <v>42885.0</v>
      </c>
      <c r="B503" s="12"/>
      <c r="C503" s="12" t="s">
        <v>2335</v>
      </c>
      <c r="D503" s="6">
        <v>42831.0</v>
      </c>
      <c r="E503" s="15" t="str">
        <f t="shared" si="1"/>
        <v>Apr</v>
      </c>
      <c r="F503" s="13" t="s">
        <v>41</v>
      </c>
      <c r="G503" s="13" t="s">
        <v>2647</v>
      </c>
      <c r="H503" s="13" t="s">
        <v>2649</v>
      </c>
      <c r="I503" s="13" t="s">
        <v>34</v>
      </c>
      <c r="J503" s="13">
        <v>8.0</v>
      </c>
      <c r="K503" s="13" t="s">
        <v>951</v>
      </c>
      <c r="L503" s="13" t="s">
        <v>279</v>
      </c>
      <c r="M503" s="13" t="s">
        <v>37</v>
      </c>
      <c r="N503" s="13" t="s">
        <v>38</v>
      </c>
      <c r="O503" s="14">
        <v>14.952</v>
      </c>
      <c r="P503" s="14">
        <f t="shared" si="2"/>
        <v>119.616</v>
      </c>
      <c r="Q503" s="14">
        <v>14.93</v>
      </c>
    </row>
    <row r="504">
      <c r="A504" s="12">
        <v>42885.0</v>
      </c>
      <c r="B504" s="12"/>
      <c r="C504" s="12" t="s">
        <v>2335</v>
      </c>
      <c r="D504" s="6">
        <v>42831.0</v>
      </c>
      <c r="E504" s="15" t="str">
        <f t="shared" si="1"/>
        <v>Apr</v>
      </c>
      <c r="F504" s="13" t="s">
        <v>41</v>
      </c>
      <c r="G504" s="13" t="s">
        <v>2647</v>
      </c>
      <c r="H504" s="13" t="s">
        <v>2649</v>
      </c>
      <c r="I504" s="13" t="s">
        <v>34</v>
      </c>
      <c r="J504" s="13">
        <v>8.0</v>
      </c>
      <c r="K504" s="13" t="s">
        <v>951</v>
      </c>
      <c r="L504" s="13" t="s">
        <v>279</v>
      </c>
      <c r="M504" s="13" t="s">
        <v>37</v>
      </c>
      <c r="N504" s="13" t="s">
        <v>27</v>
      </c>
      <c r="O504" s="14">
        <v>801.568</v>
      </c>
      <c r="P504" s="14">
        <f t="shared" si="2"/>
        <v>6412.544</v>
      </c>
      <c r="Q504" s="14">
        <v>801.23</v>
      </c>
    </row>
    <row r="505">
      <c r="A505" s="12">
        <v>42885.0</v>
      </c>
      <c r="B505" s="12"/>
      <c r="C505" s="12" t="s">
        <v>2335</v>
      </c>
      <c r="D505" s="6">
        <v>42831.0</v>
      </c>
      <c r="E505" s="15" t="str">
        <f t="shared" si="1"/>
        <v>Apr</v>
      </c>
      <c r="F505" s="13" t="s">
        <v>41</v>
      </c>
      <c r="G505" s="13" t="s">
        <v>2647</v>
      </c>
      <c r="H505" s="13" t="s">
        <v>2649</v>
      </c>
      <c r="I505" s="13" t="s">
        <v>34</v>
      </c>
      <c r="J505" s="13">
        <v>8.0</v>
      </c>
      <c r="K505" s="13" t="s">
        <v>951</v>
      </c>
      <c r="L505" s="13" t="s">
        <v>279</v>
      </c>
      <c r="M505" s="13" t="s">
        <v>37</v>
      </c>
      <c r="N505" s="13" t="s">
        <v>38</v>
      </c>
      <c r="O505" s="14">
        <v>2.376</v>
      </c>
      <c r="P505" s="14">
        <f t="shared" si="2"/>
        <v>19.008</v>
      </c>
      <c r="Q505" s="14">
        <v>1.55</v>
      </c>
    </row>
    <row r="506">
      <c r="A506" s="12">
        <v>42885.0</v>
      </c>
      <c r="B506" s="12"/>
      <c r="C506" s="12" t="s">
        <v>2335</v>
      </c>
      <c r="D506" s="6">
        <v>42831.0</v>
      </c>
      <c r="E506" s="15" t="str">
        <f t="shared" si="1"/>
        <v>Apr</v>
      </c>
      <c r="F506" s="13" t="s">
        <v>41</v>
      </c>
      <c r="G506" s="13" t="s">
        <v>2647</v>
      </c>
      <c r="H506" s="13" t="s">
        <v>2649</v>
      </c>
      <c r="I506" s="13" t="s">
        <v>34</v>
      </c>
      <c r="J506" s="13">
        <v>8.0</v>
      </c>
      <c r="K506" s="13" t="s">
        <v>951</v>
      </c>
      <c r="L506" s="13" t="s">
        <v>279</v>
      </c>
      <c r="M506" s="13" t="s">
        <v>37</v>
      </c>
      <c r="N506" s="13" t="s">
        <v>38</v>
      </c>
      <c r="O506" s="14">
        <v>32.792</v>
      </c>
      <c r="P506" s="14">
        <f t="shared" si="2"/>
        <v>262.336</v>
      </c>
      <c r="Q506" s="14">
        <v>32.25</v>
      </c>
    </row>
    <row r="507">
      <c r="A507" s="12">
        <v>43445.0</v>
      </c>
      <c r="B507" s="12"/>
      <c r="C507" s="12" t="s">
        <v>2325</v>
      </c>
      <c r="D507" s="1" t="s">
        <v>953</v>
      </c>
      <c r="E507" s="15" t="str">
        <f t="shared" si="1"/>
        <v>Nov</v>
      </c>
      <c r="F507" s="13" t="s">
        <v>20</v>
      </c>
      <c r="G507" s="13" t="s">
        <v>2626</v>
      </c>
      <c r="H507" s="13" t="s">
        <v>2476</v>
      </c>
      <c r="I507" s="13" t="s">
        <v>34</v>
      </c>
      <c r="J507" s="13">
        <v>1.0</v>
      </c>
      <c r="K507" s="13" t="s">
        <v>174</v>
      </c>
      <c r="L507" s="13" t="s">
        <v>175</v>
      </c>
      <c r="M507" s="13" t="s">
        <v>100</v>
      </c>
      <c r="N507" s="13" t="s">
        <v>38</v>
      </c>
      <c r="O507" s="14">
        <v>15.92</v>
      </c>
      <c r="P507" s="14">
        <f t="shared" si="2"/>
        <v>15.92</v>
      </c>
      <c r="Q507" s="14">
        <v>15.15</v>
      </c>
    </row>
    <row r="508">
      <c r="A508" s="12">
        <v>42445.0</v>
      </c>
      <c r="B508" s="12"/>
      <c r="C508" s="12" t="s">
        <v>2399</v>
      </c>
      <c r="D508" s="1" t="s">
        <v>955</v>
      </c>
      <c r="E508" s="15" t="str">
        <f t="shared" si="1"/>
        <v>Mar</v>
      </c>
      <c r="F508" s="13" t="s">
        <v>41</v>
      </c>
      <c r="G508" s="13" t="s">
        <v>2402</v>
      </c>
      <c r="H508" s="13" t="s">
        <v>2650</v>
      </c>
      <c r="I508" s="13" t="s">
        <v>23</v>
      </c>
      <c r="J508" s="13">
        <v>3.0</v>
      </c>
      <c r="K508" s="13" t="s">
        <v>958</v>
      </c>
      <c r="L508" s="13" t="s">
        <v>707</v>
      </c>
      <c r="M508" s="13" t="s">
        <v>26</v>
      </c>
      <c r="N508" s="13" t="s">
        <v>38</v>
      </c>
      <c r="O508" s="14">
        <v>2.74</v>
      </c>
      <c r="P508" s="14">
        <f t="shared" si="2"/>
        <v>8.22</v>
      </c>
      <c r="Q508" s="14">
        <v>1.79</v>
      </c>
    </row>
    <row r="509">
      <c r="A509" s="12">
        <v>42445.0</v>
      </c>
      <c r="B509" s="12"/>
      <c r="C509" s="12" t="s">
        <v>2399</v>
      </c>
      <c r="D509" s="1" t="s">
        <v>955</v>
      </c>
      <c r="E509" s="15" t="str">
        <f t="shared" si="1"/>
        <v>Mar</v>
      </c>
      <c r="F509" s="13" t="s">
        <v>41</v>
      </c>
      <c r="G509" s="13" t="s">
        <v>2402</v>
      </c>
      <c r="H509" s="13" t="s">
        <v>2650</v>
      </c>
      <c r="I509" s="13" t="s">
        <v>23</v>
      </c>
      <c r="J509" s="13">
        <v>3.0</v>
      </c>
      <c r="K509" s="13" t="s">
        <v>958</v>
      </c>
      <c r="L509" s="13" t="s">
        <v>707</v>
      </c>
      <c r="M509" s="13" t="s">
        <v>26</v>
      </c>
      <c r="N509" s="13" t="s">
        <v>38</v>
      </c>
      <c r="O509" s="14">
        <v>8.34</v>
      </c>
      <c r="P509" s="14">
        <f t="shared" si="2"/>
        <v>25.02</v>
      </c>
      <c r="Q509" s="14">
        <v>8.07</v>
      </c>
    </row>
    <row r="510">
      <c r="A510" s="12">
        <v>42445.0</v>
      </c>
      <c r="B510" s="12"/>
      <c r="C510" s="12" t="s">
        <v>2399</v>
      </c>
      <c r="D510" s="1" t="s">
        <v>955</v>
      </c>
      <c r="E510" s="15" t="str">
        <f t="shared" si="1"/>
        <v>Mar</v>
      </c>
      <c r="F510" s="13" t="s">
        <v>41</v>
      </c>
      <c r="G510" s="13" t="s">
        <v>2402</v>
      </c>
      <c r="H510" s="13" t="s">
        <v>2650</v>
      </c>
      <c r="I510" s="13" t="s">
        <v>23</v>
      </c>
      <c r="J510" s="13">
        <v>3.0</v>
      </c>
      <c r="K510" s="13" t="s">
        <v>958</v>
      </c>
      <c r="L510" s="13" t="s">
        <v>707</v>
      </c>
      <c r="M510" s="13" t="s">
        <v>26</v>
      </c>
      <c r="N510" s="13" t="s">
        <v>38</v>
      </c>
      <c r="O510" s="14">
        <v>46.74</v>
      </c>
      <c r="P510" s="14">
        <f t="shared" si="2"/>
        <v>140.22</v>
      </c>
      <c r="Q510" s="14">
        <v>45.81</v>
      </c>
    </row>
    <row r="511">
      <c r="A511" s="12">
        <v>42445.0</v>
      </c>
      <c r="B511" s="12"/>
      <c r="C511" s="12" t="s">
        <v>2399</v>
      </c>
      <c r="D511" s="1" t="s">
        <v>955</v>
      </c>
      <c r="E511" s="15" t="str">
        <f t="shared" si="1"/>
        <v>Mar</v>
      </c>
      <c r="F511" s="13" t="s">
        <v>41</v>
      </c>
      <c r="G511" s="13" t="s">
        <v>2402</v>
      </c>
      <c r="H511" s="13" t="s">
        <v>2650</v>
      </c>
      <c r="I511" s="13" t="s">
        <v>23</v>
      </c>
      <c r="J511" s="13">
        <v>3.0</v>
      </c>
      <c r="K511" s="13" t="s">
        <v>958</v>
      </c>
      <c r="L511" s="13" t="s">
        <v>707</v>
      </c>
      <c r="M511" s="13" t="s">
        <v>26</v>
      </c>
      <c r="N511" s="13" t="s">
        <v>38</v>
      </c>
      <c r="O511" s="14">
        <v>6354.95</v>
      </c>
      <c r="P511" s="14">
        <f t="shared" si="2"/>
        <v>19064.85</v>
      </c>
      <c r="Q511" s="14">
        <v>6353.97</v>
      </c>
    </row>
    <row r="512">
      <c r="A512" s="12">
        <v>43430.0</v>
      </c>
      <c r="B512" s="12"/>
      <c r="C512" s="12" t="s">
        <v>2326</v>
      </c>
      <c r="D512" s="1" t="s">
        <v>960</v>
      </c>
      <c r="E512" s="15" t="str">
        <f t="shared" si="1"/>
        <v>Nov</v>
      </c>
      <c r="F512" s="13" t="s">
        <v>121</v>
      </c>
      <c r="G512" s="13" t="s">
        <v>2651</v>
      </c>
      <c r="H512" s="13" t="s">
        <v>2370</v>
      </c>
      <c r="I512" s="13" t="s">
        <v>23</v>
      </c>
      <c r="J512" s="13">
        <v>6.0</v>
      </c>
      <c r="K512" s="13" t="s">
        <v>963</v>
      </c>
      <c r="L512" s="13" t="s">
        <v>351</v>
      </c>
      <c r="M512" s="13" t="s">
        <v>71</v>
      </c>
      <c r="N512" s="13" t="s">
        <v>27</v>
      </c>
      <c r="O512" s="14">
        <v>126.3</v>
      </c>
      <c r="P512" s="14">
        <f t="shared" si="2"/>
        <v>757.8</v>
      </c>
      <c r="Q512" s="14">
        <v>125.39</v>
      </c>
    </row>
    <row r="513">
      <c r="A513" s="12">
        <v>43430.0</v>
      </c>
      <c r="B513" s="12"/>
      <c r="C513" s="12" t="s">
        <v>2326</v>
      </c>
      <c r="D513" s="1" t="s">
        <v>960</v>
      </c>
      <c r="E513" s="15" t="str">
        <f t="shared" si="1"/>
        <v>Nov</v>
      </c>
      <c r="F513" s="13" t="s">
        <v>121</v>
      </c>
      <c r="G513" s="13" t="s">
        <v>2651</v>
      </c>
      <c r="H513" s="13" t="s">
        <v>2370</v>
      </c>
      <c r="I513" s="13" t="s">
        <v>23</v>
      </c>
      <c r="J513" s="13">
        <v>6.0</v>
      </c>
      <c r="K513" s="13" t="s">
        <v>963</v>
      </c>
      <c r="L513" s="13" t="s">
        <v>351</v>
      </c>
      <c r="M513" s="13" t="s">
        <v>71</v>
      </c>
      <c r="N513" s="13" t="s">
        <v>51</v>
      </c>
      <c r="O513" s="14">
        <v>38.04</v>
      </c>
      <c r="P513" s="14">
        <f t="shared" si="2"/>
        <v>228.24</v>
      </c>
      <c r="Q513" s="14">
        <v>37.09</v>
      </c>
    </row>
    <row r="514">
      <c r="A514" s="12">
        <v>43028.0</v>
      </c>
      <c r="B514" s="12"/>
      <c r="C514" s="12" t="s">
        <v>2358</v>
      </c>
      <c r="D514" s="1" t="s">
        <v>965</v>
      </c>
      <c r="E514" s="15" t="str">
        <f t="shared" si="1"/>
        <v>Oct</v>
      </c>
      <c r="F514" s="13" t="s">
        <v>121</v>
      </c>
      <c r="G514" s="13" t="s">
        <v>2604</v>
      </c>
      <c r="H514" s="13" t="s">
        <v>2605</v>
      </c>
      <c r="I514" s="13" t="s">
        <v>23</v>
      </c>
      <c r="J514" s="13">
        <v>4.0</v>
      </c>
      <c r="K514" s="13" t="s">
        <v>360</v>
      </c>
      <c r="L514" s="13" t="s">
        <v>304</v>
      </c>
      <c r="M514" s="13" t="s">
        <v>100</v>
      </c>
      <c r="N514" s="13" t="s">
        <v>38</v>
      </c>
      <c r="O514" s="14">
        <v>7.152</v>
      </c>
      <c r="P514" s="14">
        <f t="shared" si="2"/>
        <v>28.608</v>
      </c>
      <c r="Q514" s="14">
        <v>7.15</v>
      </c>
    </row>
    <row r="515">
      <c r="A515" s="12">
        <v>43455.0</v>
      </c>
      <c r="B515" s="12"/>
      <c r="C515" s="12" t="s">
        <v>2325</v>
      </c>
      <c r="D515" s="1" t="s">
        <v>967</v>
      </c>
      <c r="E515" s="15" t="str">
        <f t="shared" si="1"/>
        <v>Dec</v>
      </c>
      <c r="F515" s="13" t="s">
        <v>41</v>
      </c>
      <c r="G515" s="13" t="s">
        <v>2652</v>
      </c>
      <c r="H515" s="13" t="s">
        <v>2364</v>
      </c>
      <c r="I515" s="13" t="s">
        <v>23</v>
      </c>
      <c r="J515" s="13">
        <v>9.0</v>
      </c>
      <c r="K515" s="13" t="s">
        <v>35</v>
      </c>
      <c r="L515" s="13" t="s">
        <v>52</v>
      </c>
      <c r="M515" s="13" t="s">
        <v>37</v>
      </c>
      <c r="N515" s="13" t="s">
        <v>38</v>
      </c>
      <c r="O515" s="14">
        <v>6.63</v>
      </c>
      <c r="P515" s="14">
        <f t="shared" si="2"/>
        <v>59.67</v>
      </c>
      <c r="Q515" s="14">
        <v>6.52</v>
      </c>
    </row>
    <row r="516">
      <c r="A516" s="12">
        <v>43455.0</v>
      </c>
      <c r="B516" s="12"/>
      <c r="C516" s="12" t="s">
        <v>2325</v>
      </c>
      <c r="D516" s="1" t="s">
        <v>967</v>
      </c>
      <c r="E516" s="15" t="str">
        <f t="shared" si="1"/>
        <v>Dec</v>
      </c>
      <c r="F516" s="13" t="s">
        <v>41</v>
      </c>
      <c r="G516" s="13" t="s">
        <v>2652</v>
      </c>
      <c r="H516" s="13" t="s">
        <v>2364</v>
      </c>
      <c r="I516" s="13" t="s">
        <v>23</v>
      </c>
      <c r="J516" s="13">
        <v>9.0</v>
      </c>
      <c r="K516" s="13" t="s">
        <v>35</v>
      </c>
      <c r="L516" s="13" t="s">
        <v>52</v>
      </c>
      <c r="M516" s="13" t="s">
        <v>37</v>
      </c>
      <c r="N516" s="13" t="s">
        <v>38</v>
      </c>
      <c r="O516" s="14">
        <v>5.88</v>
      </c>
      <c r="P516" s="14">
        <f t="shared" si="2"/>
        <v>52.92</v>
      </c>
      <c r="Q516" s="14">
        <v>5.42</v>
      </c>
    </row>
    <row r="517">
      <c r="A517" s="12">
        <v>43122.0</v>
      </c>
      <c r="B517" s="12"/>
      <c r="C517" s="12" t="s">
        <v>2353</v>
      </c>
      <c r="D517" s="1" t="s">
        <v>971</v>
      </c>
      <c r="E517" s="15" t="str">
        <f t="shared" si="1"/>
        <v>Jan</v>
      </c>
      <c r="F517" s="13" t="s">
        <v>41</v>
      </c>
      <c r="G517" s="13" t="s">
        <v>2438</v>
      </c>
      <c r="H517" s="13" t="s">
        <v>2439</v>
      </c>
      <c r="I517" s="13" t="s">
        <v>68</v>
      </c>
      <c r="J517" s="13">
        <v>5.0</v>
      </c>
      <c r="K517" s="13" t="s">
        <v>972</v>
      </c>
      <c r="L517" s="13" t="s">
        <v>973</v>
      </c>
      <c r="M517" s="13" t="s">
        <v>37</v>
      </c>
      <c r="N517" s="13" t="s">
        <v>51</v>
      </c>
      <c r="O517" s="14">
        <v>2999.95</v>
      </c>
      <c r="P517" s="14">
        <f t="shared" si="2"/>
        <v>14999.75</v>
      </c>
      <c r="Q517" s="14">
        <v>2998.96</v>
      </c>
    </row>
    <row r="518">
      <c r="A518" s="12">
        <v>43122.0</v>
      </c>
      <c r="B518" s="12"/>
      <c r="C518" s="12" t="s">
        <v>2353</v>
      </c>
      <c r="D518" s="1" t="s">
        <v>971</v>
      </c>
      <c r="E518" s="15" t="str">
        <f t="shared" si="1"/>
        <v>Jan</v>
      </c>
      <c r="F518" s="13" t="s">
        <v>41</v>
      </c>
      <c r="G518" s="13" t="s">
        <v>2438</v>
      </c>
      <c r="H518" s="13" t="s">
        <v>2439</v>
      </c>
      <c r="I518" s="13" t="s">
        <v>68</v>
      </c>
      <c r="J518" s="13">
        <v>5.0</v>
      </c>
      <c r="K518" s="13" t="s">
        <v>972</v>
      </c>
      <c r="L518" s="13" t="s">
        <v>973</v>
      </c>
      <c r="M518" s="13" t="s">
        <v>37</v>
      </c>
      <c r="N518" s="13" t="s">
        <v>38</v>
      </c>
      <c r="O518" s="14">
        <v>51.45</v>
      </c>
      <c r="P518" s="14">
        <f t="shared" si="2"/>
        <v>257.25</v>
      </c>
      <c r="Q518" s="14">
        <v>50.93</v>
      </c>
    </row>
    <row r="519">
      <c r="A519" s="12">
        <v>43122.0</v>
      </c>
      <c r="B519" s="12"/>
      <c r="C519" s="12" t="s">
        <v>2353</v>
      </c>
      <c r="D519" s="1" t="s">
        <v>971</v>
      </c>
      <c r="E519" s="15" t="str">
        <f t="shared" si="1"/>
        <v>Jan</v>
      </c>
      <c r="F519" s="13" t="s">
        <v>41</v>
      </c>
      <c r="G519" s="13" t="s">
        <v>2438</v>
      </c>
      <c r="H519" s="13" t="s">
        <v>2439</v>
      </c>
      <c r="I519" s="13" t="s">
        <v>68</v>
      </c>
      <c r="J519" s="13">
        <v>5.0</v>
      </c>
      <c r="K519" s="13" t="s">
        <v>972</v>
      </c>
      <c r="L519" s="13" t="s">
        <v>973</v>
      </c>
      <c r="M519" s="13" t="s">
        <v>37</v>
      </c>
      <c r="N519" s="13" t="s">
        <v>38</v>
      </c>
      <c r="O519" s="14">
        <v>11.96</v>
      </c>
      <c r="P519" s="14">
        <f t="shared" si="2"/>
        <v>59.8</v>
      </c>
      <c r="Q519" s="14">
        <v>11.16</v>
      </c>
    </row>
    <row r="520">
      <c r="A520" s="12">
        <v>43122.0</v>
      </c>
      <c r="B520" s="12"/>
      <c r="C520" s="12" t="s">
        <v>2353</v>
      </c>
      <c r="D520" s="1" t="s">
        <v>971</v>
      </c>
      <c r="E520" s="15" t="str">
        <f t="shared" si="1"/>
        <v>Jan</v>
      </c>
      <c r="F520" s="13" t="s">
        <v>41</v>
      </c>
      <c r="G520" s="13" t="s">
        <v>2438</v>
      </c>
      <c r="H520" s="13" t="s">
        <v>2439</v>
      </c>
      <c r="I520" s="13" t="s">
        <v>68</v>
      </c>
      <c r="J520" s="13">
        <v>5.0</v>
      </c>
      <c r="K520" s="13" t="s">
        <v>972</v>
      </c>
      <c r="L520" s="13" t="s">
        <v>973</v>
      </c>
      <c r="M520" s="13" t="s">
        <v>37</v>
      </c>
      <c r="N520" s="13" t="s">
        <v>38</v>
      </c>
      <c r="O520" s="14">
        <v>1126.02</v>
      </c>
      <c r="P520" s="14">
        <f t="shared" si="2"/>
        <v>5630.1</v>
      </c>
      <c r="Q520" s="14">
        <v>1125.59</v>
      </c>
    </row>
    <row r="521">
      <c r="A521" s="12">
        <v>42451.0</v>
      </c>
      <c r="B521" s="12"/>
      <c r="C521" s="12" t="s">
        <v>2399</v>
      </c>
      <c r="D521" s="1" t="s">
        <v>975</v>
      </c>
      <c r="E521" s="15" t="str">
        <f t="shared" si="1"/>
        <v>Mar</v>
      </c>
      <c r="F521" s="13" t="s">
        <v>41</v>
      </c>
      <c r="G521" s="13" t="s">
        <v>2589</v>
      </c>
      <c r="H521" s="13" t="s">
        <v>2653</v>
      </c>
      <c r="I521" s="13" t="s">
        <v>23</v>
      </c>
      <c r="J521" s="13">
        <v>7.0</v>
      </c>
      <c r="K521" s="13" t="s">
        <v>129</v>
      </c>
      <c r="L521" s="13" t="s">
        <v>70</v>
      </c>
      <c r="M521" s="13" t="s">
        <v>71</v>
      </c>
      <c r="N521" s="13" t="s">
        <v>51</v>
      </c>
      <c r="O521" s="14">
        <v>18.392</v>
      </c>
      <c r="P521" s="14">
        <f t="shared" si="2"/>
        <v>128.744</v>
      </c>
      <c r="Q521" s="14">
        <v>18.12</v>
      </c>
    </row>
    <row r="522">
      <c r="A522" s="12">
        <v>42451.0</v>
      </c>
      <c r="B522" s="12"/>
      <c r="C522" s="12" t="s">
        <v>2399</v>
      </c>
      <c r="D522" s="1" t="s">
        <v>975</v>
      </c>
      <c r="E522" s="15" t="str">
        <f t="shared" si="1"/>
        <v>Mar</v>
      </c>
      <c r="F522" s="13" t="s">
        <v>41</v>
      </c>
      <c r="G522" s="13" t="s">
        <v>2589</v>
      </c>
      <c r="H522" s="13" t="s">
        <v>2653</v>
      </c>
      <c r="I522" s="13" t="s">
        <v>23</v>
      </c>
      <c r="J522" s="13">
        <v>7.0</v>
      </c>
      <c r="K522" s="13" t="s">
        <v>129</v>
      </c>
      <c r="L522" s="13" t="s">
        <v>70</v>
      </c>
      <c r="M522" s="13" t="s">
        <v>71</v>
      </c>
      <c r="N522" s="13" t="s">
        <v>38</v>
      </c>
      <c r="O522" s="14">
        <v>129.568</v>
      </c>
      <c r="P522" s="14">
        <f t="shared" si="2"/>
        <v>906.976</v>
      </c>
      <c r="Q522" s="14">
        <v>129.1</v>
      </c>
    </row>
    <row r="523">
      <c r="A523" s="12">
        <v>42451.0</v>
      </c>
      <c r="B523" s="12"/>
      <c r="C523" s="12" t="s">
        <v>2399</v>
      </c>
      <c r="D523" s="1" t="s">
        <v>975</v>
      </c>
      <c r="E523" s="15" t="str">
        <f t="shared" si="1"/>
        <v>Mar</v>
      </c>
      <c r="F523" s="13" t="s">
        <v>41</v>
      </c>
      <c r="G523" s="13" t="s">
        <v>2589</v>
      </c>
      <c r="H523" s="13" t="s">
        <v>2653</v>
      </c>
      <c r="I523" s="13" t="s">
        <v>23</v>
      </c>
      <c r="J523" s="13">
        <v>7.0</v>
      </c>
      <c r="K523" s="13" t="s">
        <v>129</v>
      </c>
      <c r="L523" s="13" t="s">
        <v>70</v>
      </c>
      <c r="M523" s="13" t="s">
        <v>71</v>
      </c>
      <c r="N523" s="13" t="s">
        <v>38</v>
      </c>
      <c r="O523" s="14">
        <v>14.112</v>
      </c>
      <c r="P523" s="14">
        <f t="shared" si="2"/>
        <v>98.784</v>
      </c>
      <c r="Q523" s="14">
        <v>13.35</v>
      </c>
    </row>
    <row r="524">
      <c r="A524" s="12">
        <v>43123.0</v>
      </c>
      <c r="B524" s="12"/>
      <c r="C524" s="12" t="s">
        <v>2353</v>
      </c>
      <c r="D524" s="1" t="s">
        <v>979</v>
      </c>
      <c r="E524" s="15" t="str">
        <f t="shared" si="1"/>
        <v>Jan</v>
      </c>
      <c r="F524" s="13" t="s">
        <v>121</v>
      </c>
      <c r="G524" s="13" t="s">
        <v>2359</v>
      </c>
      <c r="H524" s="13" t="s">
        <v>2654</v>
      </c>
      <c r="I524" s="13" t="s">
        <v>34</v>
      </c>
      <c r="J524" s="13">
        <v>4.0</v>
      </c>
      <c r="K524" s="13" t="s">
        <v>513</v>
      </c>
      <c r="L524" s="13" t="s">
        <v>157</v>
      </c>
      <c r="M524" s="13" t="s">
        <v>71</v>
      </c>
      <c r="N524" s="13" t="s">
        <v>27</v>
      </c>
      <c r="O524" s="14">
        <v>210.98</v>
      </c>
      <c r="P524" s="14">
        <f t="shared" si="2"/>
        <v>843.92</v>
      </c>
      <c r="Q524" s="14">
        <v>210.23</v>
      </c>
    </row>
    <row r="525">
      <c r="A525" s="12">
        <v>42876.0</v>
      </c>
      <c r="B525" s="12"/>
      <c r="C525" s="12" t="s">
        <v>2335</v>
      </c>
      <c r="D525" s="1" t="s">
        <v>983</v>
      </c>
      <c r="E525" s="15" t="str">
        <f t="shared" si="1"/>
        <v>May</v>
      </c>
      <c r="F525" s="13" t="s">
        <v>121</v>
      </c>
      <c r="G525" s="13" t="s">
        <v>2499</v>
      </c>
      <c r="H525" s="13" t="s">
        <v>2516</v>
      </c>
      <c r="I525" s="13" t="s">
        <v>23</v>
      </c>
      <c r="J525" s="13">
        <v>9.0</v>
      </c>
      <c r="K525" s="13" t="s">
        <v>35</v>
      </c>
      <c r="L525" s="13" t="s">
        <v>52</v>
      </c>
      <c r="M525" s="13" t="s">
        <v>37</v>
      </c>
      <c r="N525" s="13" t="s">
        <v>51</v>
      </c>
      <c r="O525" s="14">
        <v>55.176</v>
      </c>
      <c r="P525" s="14">
        <f t="shared" si="2"/>
        <v>496.584</v>
      </c>
      <c r="Q525" s="14">
        <v>54.96</v>
      </c>
    </row>
    <row r="526">
      <c r="A526" s="12">
        <v>42876.0</v>
      </c>
      <c r="B526" s="12"/>
      <c r="C526" s="12" t="s">
        <v>2335</v>
      </c>
      <c r="D526" s="1" t="s">
        <v>983</v>
      </c>
      <c r="E526" s="15" t="str">
        <f t="shared" si="1"/>
        <v>May</v>
      </c>
      <c r="F526" s="13" t="s">
        <v>121</v>
      </c>
      <c r="G526" s="13" t="s">
        <v>2499</v>
      </c>
      <c r="H526" s="13" t="s">
        <v>2516</v>
      </c>
      <c r="I526" s="13" t="s">
        <v>23</v>
      </c>
      <c r="J526" s="13">
        <v>9.0</v>
      </c>
      <c r="K526" s="13" t="s">
        <v>35</v>
      </c>
      <c r="L526" s="13" t="s">
        <v>52</v>
      </c>
      <c r="M526" s="13" t="s">
        <v>37</v>
      </c>
      <c r="N526" s="13" t="s">
        <v>51</v>
      </c>
      <c r="O526" s="14">
        <v>66.26</v>
      </c>
      <c r="P526" s="14">
        <f t="shared" si="2"/>
        <v>596.34</v>
      </c>
      <c r="Q526" s="14">
        <v>66.07</v>
      </c>
    </row>
    <row r="527">
      <c r="A527" s="12">
        <v>42730.0</v>
      </c>
      <c r="B527" s="12"/>
      <c r="C527" s="12" t="s">
        <v>2325</v>
      </c>
      <c r="D527" s="6">
        <v>42767.0</v>
      </c>
      <c r="E527" s="15" t="str">
        <f t="shared" si="1"/>
        <v>Feb</v>
      </c>
      <c r="F527" s="13" t="s">
        <v>41</v>
      </c>
      <c r="G527" s="13" t="s">
        <v>2655</v>
      </c>
      <c r="H527" s="13" t="s">
        <v>2567</v>
      </c>
      <c r="I527" s="13" t="s">
        <v>23</v>
      </c>
      <c r="J527" s="13">
        <v>1.0</v>
      </c>
      <c r="K527" s="13" t="s">
        <v>822</v>
      </c>
      <c r="L527" s="13" t="s">
        <v>694</v>
      </c>
      <c r="M527" s="13" t="s">
        <v>100</v>
      </c>
      <c r="N527" s="13" t="s">
        <v>38</v>
      </c>
      <c r="O527" s="14">
        <v>22.2</v>
      </c>
      <c r="P527" s="14">
        <f t="shared" si="2"/>
        <v>22.2</v>
      </c>
      <c r="Q527" s="14">
        <v>22.09</v>
      </c>
    </row>
    <row r="528">
      <c r="A528" s="12">
        <v>43394.0</v>
      </c>
      <c r="B528" s="12"/>
      <c r="C528" s="12" t="s">
        <v>2358</v>
      </c>
      <c r="D528" s="1" t="s">
        <v>988</v>
      </c>
      <c r="E528" s="15" t="str">
        <f t="shared" si="1"/>
        <v>Oct</v>
      </c>
      <c r="F528" s="13" t="s">
        <v>41</v>
      </c>
      <c r="G528" s="13" t="s">
        <v>2656</v>
      </c>
      <c r="H528" s="13" t="s">
        <v>2657</v>
      </c>
      <c r="I528" s="13" t="s">
        <v>68</v>
      </c>
      <c r="J528" s="13">
        <v>3.0</v>
      </c>
      <c r="K528" s="13" t="s">
        <v>991</v>
      </c>
      <c r="L528" s="13" t="s">
        <v>145</v>
      </c>
      <c r="M528" s="13" t="s">
        <v>26</v>
      </c>
      <c r="N528" s="13" t="s">
        <v>27</v>
      </c>
      <c r="O528" s="14">
        <v>683.952</v>
      </c>
      <c r="P528" s="14">
        <f t="shared" si="2"/>
        <v>2051.856</v>
      </c>
      <c r="Q528" s="14">
        <v>683.38</v>
      </c>
    </row>
    <row r="529">
      <c r="A529" s="12">
        <v>43394.0</v>
      </c>
      <c r="B529" s="12"/>
      <c r="C529" s="12" t="s">
        <v>2358</v>
      </c>
      <c r="D529" s="1" t="s">
        <v>988</v>
      </c>
      <c r="E529" s="15" t="str">
        <f t="shared" si="1"/>
        <v>Oct</v>
      </c>
      <c r="F529" s="13" t="s">
        <v>41</v>
      </c>
      <c r="G529" s="13" t="s">
        <v>2656</v>
      </c>
      <c r="H529" s="13" t="s">
        <v>2657</v>
      </c>
      <c r="I529" s="13" t="s">
        <v>68</v>
      </c>
      <c r="J529" s="13">
        <v>3.0</v>
      </c>
      <c r="K529" s="13" t="s">
        <v>991</v>
      </c>
      <c r="L529" s="13" t="s">
        <v>145</v>
      </c>
      <c r="M529" s="13" t="s">
        <v>26</v>
      </c>
      <c r="N529" s="13" t="s">
        <v>27</v>
      </c>
      <c r="O529" s="14">
        <v>45.696</v>
      </c>
      <c r="P529" s="14">
        <f t="shared" si="2"/>
        <v>137.088</v>
      </c>
      <c r="Q529" s="14">
        <v>44.75</v>
      </c>
    </row>
    <row r="530">
      <c r="A530" s="12">
        <v>42438.0</v>
      </c>
      <c r="B530" s="12"/>
      <c r="C530" s="12" t="s">
        <v>2399</v>
      </c>
      <c r="D530" s="6">
        <v>42560.0</v>
      </c>
      <c r="E530" s="15" t="str">
        <f t="shared" si="1"/>
        <v>Jul</v>
      </c>
      <c r="F530" s="13" t="s">
        <v>41</v>
      </c>
      <c r="G530" s="13" t="s">
        <v>2592</v>
      </c>
      <c r="H530" s="13" t="s">
        <v>2658</v>
      </c>
      <c r="I530" s="13" t="s">
        <v>23</v>
      </c>
      <c r="J530" s="13">
        <v>1.0</v>
      </c>
      <c r="K530" s="13" t="s">
        <v>98</v>
      </c>
      <c r="L530" s="13" t="s">
        <v>99</v>
      </c>
      <c r="M530" s="13" t="s">
        <v>100</v>
      </c>
      <c r="N530" s="13" t="s">
        <v>38</v>
      </c>
      <c r="O530" s="14">
        <v>36.336</v>
      </c>
      <c r="P530" s="14">
        <f t="shared" si="2"/>
        <v>36.336</v>
      </c>
      <c r="Q530" s="14">
        <v>35.79</v>
      </c>
    </row>
    <row r="531">
      <c r="A531" s="12">
        <v>42438.0</v>
      </c>
      <c r="B531" s="12"/>
      <c r="C531" s="12" t="s">
        <v>2399</v>
      </c>
      <c r="D531" s="6">
        <v>42560.0</v>
      </c>
      <c r="E531" s="15" t="str">
        <f t="shared" si="1"/>
        <v>Jul</v>
      </c>
      <c r="F531" s="13" t="s">
        <v>41</v>
      </c>
      <c r="G531" s="13" t="s">
        <v>2592</v>
      </c>
      <c r="H531" s="13" t="s">
        <v>2658</v>
      </c>
      <c r="I531" s="13" t="s">
        <v>23</v>
      </c>
      <c r="J531" s="13">
        <v>1.0</v>
      </c>
      <c r="K531" s="13" t="s">
        <v>98</v>
      </c>
      <c r="L531" s="13" t="s">
        <v>99</v>
      </c>
      <c r="M531" s="13" t="s">
        <v>100</v>
      </c>
      <c r="N531" s="13" t="s">
        <v>38</v>
      </c>
      <c r="O531" s="14">
        <v>666.248</v>
      </c>
      <c r="P531" s="14">
        <f t="shared" si="2"/>
        <v>666.248</v>
      </c>
      <c r="Q531" s="14">
        <v>665.42</v>
      </c>
    </row>
    <row r="532">
      <c r="A532" s="12">
        <v>42438.0</v>
      </c>
      <c r="B532" s="12"/>
      <c r="C532" s="12" t="s">
        <v>2399</v>
      </c>
      <c r="D532" s="6">
        <v>42560.0</v>
      </c>
      <c r="E532" s="15" t="str">
        <f t="shared" si="1"/>
        <v>Jul</v>
      </c>
      <c r="F532" s="13" t="s">
        <v>41</v>
      </c>
      <c r="G532" s="13" t="s">
        <v>2592</v>
      </c>
      <c r="H532" s="13" t="s">
        <v>2658</v>
      </c>
      <c r="I532" s="13" t="s">
        <v>23</v>
      </c>
      <c r="J532" s="13">
        <v>1.0</v>
      </c>
      <c r="K532" s="13" t="s">
        <v>98</v>
      </c>
      <c r="L532" s="13" t="s">
        <v>99</v>
      </c>
      <c r="M532" s="13" t="s">
        <v>100</v>
      </c>
      <c r="N532" s="13" t="s">
        <v>38</v>
      </c>
      <c r="O532" s="14">
        <v>52.512</v>
      </c>
      <c r="P532" s="14">
        <f t="shared" si="2"/>
        <v>52.512</v>
      </c>
      <c r="Q532" s="14">
        <v>51.96</v>
      </c>
    </row>
    <row r="533">
      <c r="A533" s="12">
        <v>42562.0</v>
      </c>
      <c r="B533" s="12"/>
      <c r="C533" s="12" t="s">
        <v>2348</v>
      </c>
      <c r="D533" s="6">
        <v>42624.0</v>
      </c>
      <c r="E533" s="15" t="str">
        <f t="shared" si="1"/>
        <v>Sep</v>
      </c>
      <c r="F533" s="13" t="s">
        <v>20</v>
      </c>
      <c r="G533" s="13" t="s">
        <v>2388</v>
      </c>
      <c r="H533" s="13" t="s">
        <v>2659</v>
      </c>
      <c r="I533" s="13" t="s">
        <v>34</v>
      </c>
      <c r="J533" s="13">
        <v>9.0</v>
      </c>
      <c r="K533" s="13" t="s">
        <v>35</v>
      </c>
      <c r="L533" s="13" t="s">
        <v>52</v>
      </c>
      <c r="M533" s="13" t="s">
        <v>37</v>
      </c>
      <c r="N533" s="13" t="s">
        <v>27</v>
      </c>
      <c r="O533" s="14">
        <v>190.72</v>
      </c>
      <c r="P533" s="14">
        <f t="shared" si="2"/>
        <v>1716.48</v>
      </c>
      <c r="Q533" s="14">
        <v>190.15</v>
      </c>
    </row>
    <row r="534">
      <c r="A534" s="12">
        <v>43290.0</v>
      </c>
      <c r="B534" s="12"/>
      <c r="C534" s="12" t="s">
        <v>2348</v>
      </c>
      <c r="D534" s="6">
        <v>43413.0</v>
      </c>
      <c r="E534" s="15" t="str">
        <f t="shared" si="1"/>
        <v>Nov</v>
      </c>
      <c r="F534" s="13" t="s">
        <v>41</v>
      </c>
      <c r="G534" s="13" t="s">
        <v>2660</v>
      </c>
      <c r="H534" s="13" t="s">
        <v>2422</v>
      </c>
      <c r="I534" s="13" t="s">
        <v>23</v>
      </c>
      <c r="J534" s="13">
        <v>9.0</v>
      </c>
      <c r="K534" s="13" t="s">
        <v>35</v>
      </c>
      <c r="L534" s="13" t="s">
        <v>52</v>
      </c>
      <c r="M534" s="13" t="s">
        <v>37</v>
      </c>
      <c r="N534" s="13" t="s">
        <v>27</v>
      </c>
      <c r="O534" s="14">
        <v>47.94</v>
      </c>
      <c r="P534" s="14">
        <f t="shared" si="2"/>
        <v>431.46</v>
      </c>
      <c r="Q534" s="14">
        <v>47.47</v>
      </c>
    </row>
    <row r="535">
      <c r="A535" s="12">
        <v>42884.0</v>
      </c>
      <c r="B535" s="12"/>
      <c r="C535" s="12" t="s">
        <v>2335</v>
      </c>
      <c r="D535" s="6">
        <v>42741.0</v>
      </c>
      <c r="E535" s="15" t="str">
        <f t="shared" si="1"/>
        <v>Jan</v>
      </c>
      <c r="F535" s="13" t="s">
        <v>20</v>
      </c>
      <c r="G535" s="13" t="s">
        <v>2661</v>
      </c>
      <c r="H535" s="13" t="s">
        <v>2561</v>
      </c>
      <c r="I535" s="13" t="s">
        <v>23</v>
      </c>
      <c r="J535" s="13">
        <v>3.0</v>
      </c>
      <c r="K535" s="13" t="s">
        <v>1004</v>
      </c>
      <c r="L535" s="13" t="s">
        <v>220</v>
      </c>
      <c r="M535" s="13" t="s">
        <v>26</v>
      </c>
      <c r="N535" s="13" t="s">
        <v>51</v>
      </c>
      <c r="O535" s="14">
        <v>979.95</v>
      </c>
      <c r="P535" s="14">
        <f t="shared" si="2"/>
        <v>2939.85</v>
      </c>
      <c r="Q535" s="14">
        <v>979.35</v>
      </c>
    </row>
    <row r="536">
      <c r="A536" s="12">
        <v>42884.0</v>
      </c>
      <c r="B536" s="12"/>
      <c r="C536" s="12" t="s">
        <v>2335</v>
      </c>
      <c r="D536" s="6">
        <v>42741.0</v>
      </c>
      <c r="E536" s="15" t="str">
        <f t="shared" si="1"/>
        <v>Jan</v>
      </c>
      <c r="F536" s="13" t="s">
        <v>20</v>
      </c>
      <c r="G536" s="13" t="s">
        <v>2661</v>
      </c>
      <c r="H536" s="13" t="s">
        <v>2561</v>
      </c>
      <c r="I536" s="13" t="s">
        <v>23</v>
      </c>
      <c r="J536" s="13">
        <v>3.0</v>
      </c>
      <c r="K536" s="13" t="s">
        <v>1004</v>
      </c>
      <c r="L536" s="13" t="s">
        <v>220</v>
      </c>
      <c r="M536" s="13" t="s">
        <v>26</v>
      </c>
      <c r="N536" s="13" t="s">
        <v>38</v>
      </c>
      <c r="O536" s="14">
        <v>22.75</v>
      </c>
      <c r="P536" s="14">
        <f t="shared" si="2"/>
        <v>68.25</v>
      </c>
      <c r="Q536" s="14">
        <v>22.51</v>
      </c>
    </row>
    <row r="537">
      <c r="A537" s="12">
        <v>43015.0</v>
      </c>
      <c r="B537" s="12"/>
      <c r="C537" s="12" t="s">
        <v>2358</v>
      </c>
      <c r="D537" s="1" t="s">
        <v>1006</v>
      </c>
      <c r="E537" s="15" t="str">
        <f t="shared" si="1"/>
        <v>Jul</v>
      </c>
      <c r="F537" s="13" t="s">
        <v>41</v>
      </c>
      <c r="G537" s="13" t="s">
        <v>2334</v>
      </c>
      <c r="H537" s="13" t="s">
        <v>2662</v>
      </c>
      <c r="I537" s="13" t="s">
        <v>23</v>
      </c>
      <c r="J537" s="13">
        <v>8.0</v>
      </c>
      <c r="K537" s="13" t="s">
        <v>1009</v>
      </c>
      <c r="L537" s="13" t="s">
        <v>193</v>
      </c>
      <c r="M537" s="13" t="s">
        <v>37</v>
      </c>
      <c r="N537" s="13" t="s">
        <v>38</v>
      </c>
      <c r="O537" s="14">
        <v>16.768</v>
      </c>
      <c r="P537" s="14">
        <f t="shared" si="2"/>
        <v>134.144</v>
      </c>
      <c r="Q537" s="14">
        <v>16.1</v>
      </c>
    </row>
    <row r="538">
      <c r="A538" s="12">
        <v>43168.0</v>
      </c>
      <c r="B538" s="12"/>
      <c r="C538" s="12" t="s">
        <v>2399</v>
      </c>
      <c r="D538" s="6">
        <v>43321.0</v>
      </c>
      <c r="E538" s="15" t="str">
        <f t="shared" si="1"/>
        <v>Aug</v>
      </c>
      <c r="F538" s="13" t="s">
        <v>20</v>
      </c>
      <c r="G538" s="13" t="s">
        <v>2351</v>
      </c>
      <c r="H538" s="13" t="s">
        <v>2663</v>
      </c>
      <c r="I538" s="13" t="s">
        <v>23</v>
      </c>
      <c r="J538" s="13">
        <v>6.0</v>
      </c>
      <c r="K538" s="13" t="s">
        <v>188</v>
      </c>
      <c r="L538" s="13" t="s">
        <v>135</v>
      </c>
      <c r="M538" s="13" t="s">
        <v>71</v>
      </c>
      <c r="N538" s="13" t="s">
        <v>38</v>
      </c>
      <c r="O538" s="14">
        <v>42.616</v>
      </c>
      <c r="P538" s="14">
        <f t="shared" si="2"/>
        <v>255.696</v>
      </c>
      <c r="Q538" s="14">
        <v>41.78</v>
      </c>
    </row>
    <row r="539">
      <c r="A539" s="12">
        <v>42441.0</v>
      </c>
      <c r="B539" s="12"/>
      <c r="C539" s="12" t="s">
        <v>2399</v>
      </c>
      <c r="D539" s="6">
        <v>42594.0</v>
      </c>
      <c r="E539" s="15" t="str">
        <f t="shared" si="1"/>
        <v>Aug</v>
      </c>
      <c r="F539" s="13" t="s">
        <v>41</v>
      </c>
      <c r="G539" s="13" t="s">
        <v>2487</v>
      </c>
      <c r="H539" s="13" t="s">
        <v>2488</v>
      </c>
      <c r="I539" s="13" t="s">
        <v>68</v>
      </c>
      <c r="J539" s="13">
        <v>1.0</v>
      </c>
      <c r="K539" s="13" t="s">
        <v>174</v>
      </c>
      <c r="L539" s="13" t="s">
        <v>175</v>
      </c>
      <c r="M539" s="13" t="s">
        <v>100</v>
      </c>
      <c r="N539" s="13" t="s">
        <v>38</v>
      </c>
      <c r="O539" s="14">
        <v>10.752</v>
      </c>
      <c r="P539" s="14">
        <f t="shared" si="2"/>
        <v>10.752</v>
      </c>
      <c r="Q539" s="14">
        <v>10.57</v>
      </c>
    </row>
    <row r="540">
      <c r="A540" s="12">
        <v>42563.0</v>
      </c>
      <c r="B540" s="12"/>
      <c r="C540" s="12" t="s">
        <v>2348</v>
      </c>
      <c r="D540" s="5">
        <v>42686.0</v>
      </c>
      <c r="E540" s="15" t="str">
        <f t="shared" si="1"/>
        <v>Nov</v>
      </c>
      <c r="F540" s="13" t="s">
        <v>41</v>
      </c>
      <c r="G540" s="13" t="s">
        <v>2377</v>
      </c>
      <c r="H540" s="13" t="s">
        <v>2664</v>
      </c>
      <c r="I540" s="13" t="s">
        <v>23</v>
      </c>
      <c r="J540" s="13">
        <v>4.0</v>
      </c>
      <c r="K540" s="13" t="s">
        <v>24</v>
      </c>
      <c r="L540" s="13" t="s">
        <v>25</v>
      </c>
      <c r="M540" s="13" t="s">
        <v>26</v>
      </c>
      <c r="N540" s="13" t="s">
        <v>38</v>
      </c>
      <c r="O540" s="14">
        <v>152.94</v>
      </c>
      <c r="P540" s="14">
        <f t="shared" si="2"/>
        <v>611.76</v>
      </c>
      <c r="Q540" s="14">
        <v>152.58</v>
      </c>
    </row>
    <row r="541">
      <c r="A541" s="12">
        <v>42563.0</v>
      </c>
      <c r="B541" s="12"/>
      <c r="C541" s="12" t="s">
        <v>2348</v>
      </c>
      <c r="D541" s="5">
        <v>42686.0</v>
      </c>
      <c r="E541" s="15" t="str">
        <f t="shared" si="1"/>
        <v>Nov</v>
      </c>
      <c r="F541" s="13" t="s">
        <v>41</v>
      </c>
      <c r="G541" s="13" t="s">
        <v>2377</v>
      </c>
      <c r="H541" s="13" t="s">
        <v>2664</v>
      </c>
      <c r="I541" s="13" t="s">
        <v>23</v>
      </c>
      <c r="J541" s="13">
        <v>4.0</v>
      </c>
      <c r="K541" s="13" t="s">
        <v>24</v>
      </c>
      <c r="L541" s="13" t="s">
        <v>25</v>
      </c>
      <c r="M541" s="13" t="s">
        <v>26</v>
      </c>
      <c r="N541" s="13" t="s">
        <v>27</v>
      </c>
      <c r="O541" s="14">
        <v>283.92</v>
      </c>
      <c r="P541" s="14">
        <f t="shared" si="2"/>
        <v>1135.68</v>
      </c>
      <c r="Q541" s="14">
        <v>282.95</v>
      </c>
    </row>
    <row r="542">
      <c r="A542" s="12">
        <v>42006.0</v>
      </c>
      <c r="B542" s="12"/>
      <c r="C542" s="12" t="s">
        <v>2353</v>
      </c>
      <c r="D542" s="6">
        <v>42065.0</v>
      </c>
      <c r="E542" s="15" t="str">
        <f t="shared" si="1"/>
        <v>Mar</v>
      </c>
      <c r="F542" s="13" t="s">
        <v>121</v>
      </c>
      <c r="G542" s="13" t="s">
        <v>2652</v>
      </c>
      <c r="H542" s="13" t="s">
        <v>2665</v>
      </c>
      <c r="I542" s="13" t="s">
        <v>23</v>
      </c>
      <c r="J542" s="13">
        <v>5.0</v>
      </c>
      <c r="K542" s="13" t="s">
        <v>1020</v>
      </c>
      <c r="L542" s="13" t="s">
        <v>77</v>
      </c>
      <c r="M542" s="13" t="s">
        <v>71</v>
      </c>
      <c r="N542" s="13" t="s">
        <v>51</v>
      </c>
      <c r="O542" s="14">
        <v>468.9</v>
      </c>
      <c r="P542" s="14">
        <f t="shared" si="2"/>
        <v>2344.5</v>
      </c>
      <c r="Q542" s="14">
        <v>467.96</v>
      </c>
    </row>
    <row r="543">
      <c r="A543" s="12">
        <v>42930.0</v>
      </c>
      <c r="B543" s="12"/>
      <c r="C543" s="12" t="s">
        <v>2348</v>
      </c>
      <c r="D543" s="1" t="s">
        <v>1022</v>
      </c>
      <c r="E543" s="15" t="str">
        <f t="shared" si="1"/>
        <v>Jul</v>
      </c>
      <c r="F543" s="13" t="s">
        <v>121</v>
      </c>
      <c r="G543" s="13" t="s">
        <v>2369</v>
      </c>
      <c r="H543" s="13" t="s">
        <v>2370</v>
      </c>
      <c r="I543" s="13" t="s">
        <v>34</v>
      </c>
      <c r="J543" s="13">
        <v>8.0</v>
      </c>
      <c r="K543" s="13" t="s">
        <v>729</v>
      </c>
      <c r="L543" s="13" t="s">
        <v>193</v>
      </c>
      <c r="M543" s="13" t="s">
        <v>37</v>
      </c>
      <c r="N543" s="13" t="s">
        <v>51</v>
      </c>
      <c r="O543" s="14">
        <v>380.864</v>
      </c>
      <c r="P543" s="14">
        <f t="shared" si="2"/>
        <v>3046.912</v>
      </c>
      <c r="Q543" s="14">
        <v>380.6</v>
      </c>
    </row>
    <row r="544">
      <c r="A544" s="12">
        <v>42722.0</v>
      </c>
      <c r="B544" s="12"/>
      <c r="C544" s="12" t="s">
        <v>2325</v>
      </c>
      <c r="D544" s="1" t="s">
        <v>1024</v>
      </c>
      <c r="E544" s="15" t="str">
        <f t="shared" si="1"/>
        <v>Dec</v>
      </c>
      <c r="F544" s="13" t="s">
        <v>41</v>
      </c>
      <c r="G544" s="13" t="s">
        <v>2666</v>
      </c>
      <c r="H544" s="13" t="s">
        <v>2667</v>
      </c>
      <c r="I544" s="13" t="s">
        <v>23</v>
      </c>
      <c r="J544" s="13">
        <v>4.0</v>
      </c>
      <c r="K544" s="13" t="s">
        <v>197</v>
      </c>
      <c r="L544" s="13" t="s">
        <v>304</v>
      </c>
      <c r="M544" s="13" t="s">
        <v>100</v>
      </c>
      <c r="N544" s="13" t="s">
        <v>38</v>
      </c>
      <c r="O544" s="14">
        <v>646.776</v>
      </c>
      <c r="P544" s="14">
        <f t="shared" si="2"/>
        <v>2587.104</v>
      </c>
      <c r="Q544" s="14">
        <v>646.66</v>
      </c>
    </row>
    <row r="545">
      <c r="A545" s="12">
        <v>42313.0</v>
      </c>
      <c r="B545" s="12"/>
      <c r="C545" s="12" t="s">
        <v>2326</v>
      </c>
      <c r="D545" s="1" t="s">
        <v>1028</v>
      </c>
      <c r="E545" s="15" t="str">
        <f t="shared" si="1"/>
        <v>May</v>
      </c>
      <c r="F545" s="13" t="s">
        <v>41</v>
      </c>
      <c r="G545" s="13" t="s">
        <v>1839</v>
      </c>
      <c r="H545" s="13" t="s">
        <v>2404</v>
      </c>
      <c r="I545" s="13" t="s">
        <v>23</v>
      </c>
      <c r="J545" s="13">
        <v>7.0</v>
      </c>
      <c r="K545" s="13" t="s">
        <v>69</v>
      </c>
      <c r="L545" s="13" t="s">
        <v>70</v>
      </c>
      <c r="M545" s="13" t="s">
        <v>71</v>
      </c>
      <c r="N545" s="13" t="s">
        <v>51</v>
      </c>
      <c r="O545" s="14">
        <v>58.112</v>
      </c>
      <c r="P545" s="14">
        <f t="shared" si="2"/>
        <v>406.784</v>
      </c>
      <c r="Q545" s="14">
        <v>57.94</v>
      </c>
    </row>
    <row r="546">
      <c r="A546" s="12">
        <v>42313.0</v>
      </c>
      <c r="B546" s="12"/>
      <c r="C546" s="12" t="s">
        <v>2326</v>
      </c>
      <c r="D546" s="1" t="s">
        <v>1028</v>
      </c>
      <c r="E546" s="15" t="str">
        <f t="shared" si="1"/>
        <v>May</v>
      </c>
      <c r="F546" s="13" t="s">
        <v>41</v>
      </c>
      <c r="G546" s="13" t="s">
        <v>1839</v>
      </c>
      <c r="H546" s="13" t="s">
        <v>2404</v>
      </c>
      <c r="I546" s="13" t="s">
        <v>23</v>
      </c>
      <c r="J546" s="13">
        <v>7.0</v>
      </c>
      <c r="K546" s="13" t="s">
        <v>69</v>
      </c>
      <c r="L546" s="13" t="s">
        <v>70</v>
      </c>
      <c r="M546" s="13" t="s">
        <v>71</v>
      </c>
      <c r="N546" s="13" t="s">
        <v>51</v>
      </c>
      <c r="O546" s="14">
        <v>100.792</v>
      </c>
      <c r="P546" s="14">
        <f t="shared" si="2"/>
        <v>705.544</v>
      </c>
      <c r="Q546" s="14">
        <v>100.58</v>
      </c>
    </row>
    <row r="547">
      <c r="A547" s="12">
        <v>42313.0</v>
      </c>
      <c r="B547" s="12"/>
      <c r="C547" s="12" t="s">
        <v>2326</v>
      </c>
      <c r="D547" s="1" t="s">
        <v>1028</v>
      </c>
      <c r="E547" s="15" t="str">
        <f t="shared" si="1"/>
        <v>May</v>
      </c>
      <c r="F547" s="13" t="s">
        <v>41</v>
      </c>
      <c r="G547" s="13" t="s">
        <v>1839</v>
      </c>
      <c r="H547" s="13" t="s">
        <v>2404</v>
      </c>
      <c r="I547" s="13" t="s">
        <v>23</v>
      </c>
      <c r="J547" s="13">
        <v>7.0</v>
      </c>
      <c r="K547" s="13" t="s">
        <v>69</v>
      </c>
      <c r="L547" s="13" t="s">
        <v>70</v>
      </c>
      <c r="M547" s="13" t="s">
        <v>71</v>
      </c>
      <c r="N547" s="13" t="s">
        <v>27</v>
      </c>
      <c r="O547" s="14">
        <v>66.112</v>
      </c>
      <c r="P547" s="14">
        <f t="shared" si="2"/>
        <v>462.784</v>
      </c>
      <c r="Q547" s="14">
        <v>65.65</v>
      </c>
    </row>
    <row r="548">
      <c r="A548" s="12">
        <v>43423.0</v>
      </c>
      <c r="B548" s="12"/>
      <c r="C548" s="12" t="s">
        <v>2326</v>
      </c>
      <c r="D548" s="1" t="s">
        <v>1030</v>
      </c>
      <c r="E548" s="15" t="str">
        <f t="shared" si="1"/>
        <v>Nov</v>
      </c>
      <c r="F548" s="13" t="s">
        <v>121</v>
      </c>
      <c r="G548" s="13" t="s">
        <v>2668</v>
      </c>
      <c r="H548" s="13" t="s">
        <v>2669</v>
      </c>
      <c r="I548" s="13" t="s">
        <v>68</v>
      </c>
      <c r="J548" s="13">
        <v>1.0</v>
      </c>
      <c r="K548" s="13" t="s">
        <v>174</v>
      </c>
      <c r="L548" s="13" t="s">
        <v>175</v>
      </c>
      <c r="M548" s="13" t="s">
        <v>100</v>
      </c>
      <c r="N548" s="13" t="s">
        <v>38</v>
      </c>
      <c r="O548" s="14">
        <v>41.28</v>
      </c>
      <c r="P548" s="14">
        <f t="shared" si="2"/>
        <v>41.28</v>
      </c>
      <c r="Q548" s="14">
        <v>40.59</v>
      </c>
    </row>
    <row r="549">
      <c r="A549" s="12">
        <v>43423.0</v>
      </c>
      <c r="B549" s="12"/>
      <c r="C549" s="12" t="s">
        <v>2326</v>
      </c>
      <c r="D549" s="1" t="s">
        <v>1030</v>
      </c>
      <c r="E549" s="15" t="str">
        <f t="shared" si="1"/>
        <v>Nov</v>
      </c>
      <c r="F549" s="13" t="s">
        <v>121</v>
      </c>
      <c r="G549" s="13" t="s">
        <v>2668</v>
      </c>
      <c r="H549" s="13" t="s">
        <v>2669</v>
      </c>
      <c r="I549" s="13" t="s">
        <v>68</v>
      </c>
      <c r="J549" s="13">
        <v>1.0</v>
      </c>
      <c r="K549" s="13" t="s">
        <v>174</v>
      </c>
      <c r="L549" s="13" t="s">
        <v>175</v>
      </c>
      <c r="M549" s="13" t="s">
        <v>100</v>
      </c>
      <c r="N549" s="13" t="s">
        <v>38</v>
      </c>
      <c r="O549" s="14">
        <v>13.36</v>
      </c>
      <c r="P549" s="14">
        <f t="shared" si="2"/>
        <v>13.36</v>
      </c>
      <c r="Q549" s="14">
        <v>12.82</v>
      </c>
    </row>
    <row r="550">
      <c r="A550" s="12">
        <v>42689.0</v>
      </c>
      <c r="B550" s="12"/>
      <c r="C550" s="12" t="s">
        <v>2326</v>
      </c>
      <c r="D550" s="1" t="s">
        <v>275</v>
      </c>
      <c r="E550" s="15" t="str">
        <f t="shared" si="1"/>
        <v>Nov</v>
      </c>
      <c r="F550" s="13" t="s">
        <v>20</v>
      </c>
      <c r="G550" s="13" t="s">
        <v>2589</v>
      </c>
      <c r="H550" s="13" t="s">
        <v>2590</v>
      </c>
      <c r="I550" s="13" t="s">
        <v>34</v>
      </c>
      <c r="J550" s="13">
        <v>6.0</v>
      </c>
      <c r="K550" s="13" t="s">
        <v>188</v>
      </c>
      <c r="L550" s="13" t="s">
        <v>135</v>
      </c>
      <c r="M550" s="13" t="s">
        <v>71</v>
      </c>
      <c r="N550" s="13" t="s">
        <v>38</v>
      </c>
      <c r="O550" s="14">
        <v>250.272</v>
      </c>
      <c r="P550" s="14">
        <f t="shared" si="2"/>
        <v>1501.632</v>
      </c>
      <c r="Q550" s="14">
        <v>249.83</v>
      </c>
    </row>
    <row r="551">
      <c r="A551" s="12">
        <v>42689.0</v>
      </c>
      <c r="B551" s="12"/>
      <c r="C551" s="12" t="s">
        <v>2326</v>
      </c>
      <c r="D551" s="1" t="s">
        <v>275</v>
      </c>
      <c r="E551" s="15" t="str">
        <f t="shared" si="1"/>
        <v>Nov</v>
      </c>
      <c r="F551" s="13" t="s">
        <v>20</v>
      </c>
      <c r="G551" s="13" t="s">
        <v>2589</v>
      </c>
      <c r="H551" s="13" t="s">
        <v>2590</v>
      </c>
      <c r="I551" s="13" t="s">
        <v>34</v>
      </c>
      <c r="J551" s="13">
        <v>6.0</v>
      </c>
      <c r="K551" s="13" t="s">
        <v>188</v>
      </c>
      <c r="L551" s="13" t="s">
        <v>135</v>
      </c>
      <c r="M551" s="13" t="s">
        <v>71</v>
      </c>
      <c r="N551" s="13" t="s">
        <v>38</v>
      </c>
      <c r="O551" s="14">
        <v>11.364</v>
      </c>
      <c r="P551" s="14">
        <f t="shared" si="2"/>
        <v>68.184</v>
      </c>
      <c r="Q551" s="14">
        <v>10.83</v>
      </c>
    </row>
    <row r="552">
      <c r="A552" s="12">
        <v>42689.0</v>
      </c>
      <c r="B552" s="12"/>
      <c r="C552" s="12" t="s">
        <v>2326</v>
      </c>
      <c r="D552" s="1" t="s">
        <v>275</v>
      </c>
      <c r="E552" s="15" t="str">
        <f t="shared" si="1"/>
        <v>Nov</v>
      </c>
      <c r="F552" s="13" t="s">
        <v>20</v>
      </c>
      <c r="G552" s="13" t="s">
        <v>2589</v>
      </c>
      <c r="H552" s="13" t="s">
        <v>2590</v>
      </c>
      <c r="I552" s="13" t="s">
        <v>34</v>
      </c>
      <c r="J552" s="13">
        <v>6.0</v>
      </c>
      <c r="K552" s="13" t="s">
        <v>188</v>
      </c>
      <c r="L552" s="13" t="s">
        <v>135</v>
      </c>
      <c r="M552" s="13" t="s">
        <v>71</v>
      </c>
      <c r="N552" s="13" t="s">
        <v>38</v>
      </c>
      <c r="O552" s="14">
        <v>8.72</v>
      </c>
      <c r="P552" s="14">
        <f t="shared" si="2"/>
        <v>52.32</v>
      </c>
      <c r="Q552" s="14">
        <v>7.76</v>
      </c>
    </row>
    <row r="553">
      <c r="A553" s="12">
        <v>42840.0</v>
      </c>
      <c r="B553" s="12"/>
      <c r="C553" s="12" t="s">
        <v>2332</v>
      </c>
      <c r="D553" s="1" t="s">
        <v>1035</v>
      </c>
      <c r="E553" s="15" t="str">
        <f t="shared" si="1"/>
        <v>Apr</v>
      </c>
      <c r="F553" s="13" t="s">
        <v>20</v>
      </c>
      <c r="G553" s="13" t="s">
        <v>2670</v>
      </c>
      <c r="H553" s="13" t="s">
        <v>2345</v>
      </c>
      <c r="I553" s="13" t="s">
        <v>23</v>
      </c>
      <c r="J553" s="13">
        <v>9.0</v>
      </c>
      <c r="K553" s="13" t="s">
        <v>87</v>
      </c>
      <c r="L553" s="13" t="s">
        <v>52</v>
      </c>
      <c r="M553" s="13" t="s">
        <v>37</v>
      </c>
      <c r="N553" s="13" t="s">
        <v>27</v>
      </c>
      <c r="O553" s="14">
        <v>1121.568</v>
      </c>
      <c r="P553" s="14">
        <f t="shared" si="2"/>
        <v>10094.112</v>
      </c>
      <c r="Q553" s="14">
        <v>1120.83</v>
      </c>
    </row>
    <row r="554">
      <c r="A554" s="12">
        <v>43413.0</v>
      </c>
      <c r="B554" s="12"/>
      <c r="C554" s="12" t="s">
        <v>2326</v>
      </c>
      <c r="D554" s="6">
        <v>43443.0</v>
      </c>
      <c r="E554" s="15" t="str">
        <f t="shared" si="1"/>
        <v>Dec</v>
      </c>
      <c r="F554" s="13" t="s">
        <v>121</v>
      </c>
      <c r="G554" s="13" t="s">
        <v>2429</v>
      </c>
      <c r="H554" s="13" t="s">
        <v>2430</v>
      </c>
      <c r="I554" s="13" t="s">
        <v>23</v>
      </c>
      <c r="J554" s="13">
        <v>3.0</v>
      </c>
      <c r="K554" s="13" t="s">
        <v>849</v>
      </c>
      <c r="L554" s="13" t="s">
        <v>145</v>
      </c>
      <c r="M554" s="13" t="s">
        <v>26</v>
      </c>
      <c r="N554" s="13" t="s">
        <v>27</v>
      </c>
      <c r="O554" s="14">
        <v>34.504</v>
      </c>
      <c r="P554" s="14">
        <f t="shared" si="2"/>
        <v>103.512</v>
      </c>
      <c r="Q554" s="14">
        <v>33.8</v>
      </c>
    </row>
    <row r="555">
      <c r="A555" s="12">
        <v>43428.0</v>
      </c>
      <c r="B555" s="12"/>
      <c r="C555" s="12" t="s">
        <v>2326</v>
      </c>
      <c r="D555" s="1" t="s">
        <v>281</v>
      </c>
      <c r="E555" s="15" t="str">
        <f t="shared" si="1"/>
        <v>Nov</v>
      </c>
      <c r="F555" s="13" t="s">
        <v>41</v>
      </c>
      <c r="G555" s="13" t="s">
        <v>2434</v>
      </c>
      <c r="H555" s="13" t="s">
        <v>2639</v>
      </c>
      <c r="I555" s="13" t="s">
        <v>23</v>
      </c>
      <c r="J555" s="13">
        <v>7.0</v>
      </c>
      <c r="K555" s="13" t="s">
        <v>129</v>
      </c>
      <c r="L555" s="13" t="s">
        <v>70</v>
      </c>
      <c r="M555" s="13" t="s">
        <v>71</v>
      </c>
      <c r="N555" s="13" t="s">
        <v>38</v>
      </c>
      <c r="O555" s="14">
        <v>10.824</v>
      </c>
      <c r="P555" s="14">
        <f t="shared" si="2"/>
        <v>75.768</v>
      </c>
      <c r="Q555" s="14">
        <v>10.04</v>
      </c>
    </row>
    <row r="556">
      <c r="A556" s="12">
        <v>43280.0</v>
      </c>
      <c r="B556" s="12"/>
      <c r="C556" s="12" t="s">
        <v>2374</v>
      </c>
      <c r="D556" s="6">
        <v>43166.0</v>
      </c>
      <c r="E556" s="15" t="str">
        <f t="shared" si="1"/>
        <v>Mar</v>
      </c>
      <c r="F556" s="13" t="s">
        <v>20</v>
      </c>
      <c r="G556" s="13" t="s">
        <v>2589</v>
      </c>
      <c r="H556" s="13" t="s">
        <v>2590</v>
      </c>
      <c r="I556" s="13" t="s">
        <v>34</v>
      </c>
      <c r="J556" s="13">
        <v>9.0</v>
      </c>
      <c r="K556" s="13" t="s">
        <v>1043</v>
      </c>
      <c r="L556" s="13" t="s">
        <v>52</v>
      </c>
      <c r="M556" s="13" t="s">
        <v>37</v>
      </c>
      <c r="N556" s="13" t="s">
        <v>38</v>
      </c>
      <c r="O556" s="14">
        <v>1295.78</v>
      </c>
      <c r="P556" s="14">
        <f t="shared" si="2"/>
        <v>11662.02</v>
      </c>
      <c r="Q556" s="14">
        <v>1295.24</v>
      </c>
    </row>
    <row r="557">
      <c r="A557" s="12">
        <v>42066.0</v>
      </c>
      <c r="B557" s="12"/>
      <c r="C557" s="12" t="s">
        <v>2399</v>
      </c>
      <c r="D557" s="6">
        <v>42188.0</v>
      </c>
      <c r="E557" s="15" t="str">
        <f t="shared" si="1"/>
        <v>Jul</v>
      </c>
      <c r="F557" s="13" t="s">
        <v>20</v>
      </c>
      <c r="G557" s="13" t="s">
        <v>2671</v>
      </c>
      <c r="H557" s="13" t="s">
        <v>2672</v>
      </c>
      <c r="I557" s="13" t="s">
        <v>23</v>
      </c>
      <c r="J557" s="13">
        <v>2.0</v>
      </c>
      <c r="K557" s="13" t="s">
        <v>315</v>
      </c>
      <c r="L557" s="13" t="s">
        <v>58</v>
      </c>
      <c r="M557" s="13" t="s">
        <v>26</v>
      </c>
      <c r="N557" s="13" t="s">
        <v>38</v>
      </c>
      <c r="O557" s="14">
        <v>19.456</v>
      </c>
      <c r="P557" s="14">
        <f t="shared" si="2"/>
        <v>38.912</v>
      </c>
      <c r="Q557" s="14">
        <v>18.87</v>
      </c>
    </row>
    <row r="558">
      <c r="A558" s="12">
        <v>43014.0</v>
      </c>
      <c r="B558" s="12"/>
      <c r="C558" s="12" t="s">
        <v>2358</v>
      </c>
      <c r="D558" s="1" t="s">
        <v>216</v>
      </c>
      <c r="E558" s="15" t="str">
        <f t="shared" si="1"/>
        <v>Jun</v>
      </c>
      <c r="F558" s="13" t="s">
        <v>41</v>
      </c>
      <c r="G558" s="13" t="s">
        <v>2673</v>
      </c>
      <c r="H558" s="13" t="s">
        <v>2674</v>
      </c>
      <c r="I558" s="13" t="s">
        <v>23</v>
      </c>
      <c r="J558" s="13">
        <v>9.0</v>
      </c>
      <c r="K558" s="13" t="s">
        <v>35</v>
      </c>
      <c r="L558" s="13" t="s">
        <v>52</v>
      </c>
      <c r="M558" s="13" t="s">
        <v>37</v>
      </c>
      <c r="N558" s="13" t="s">
        <v>38</v>
      </c>
      <c r="O558" s="14">
        <v>20.7</v>
      </c>
      <c r="P558" s="14">
        <f t="shared" si="2"/>
        <v>186.3</v>
      </c>
      <c r="Q558" s="14">
        <v>20.46</v>
      </c>
    </row>
    <row r="559">
      <c r="A559" s="12">
        <v>43014.0</v>
      </c>
      <c r="B559" s="12"/>
      <c r="C559" s="12" t="s">
        <v>2358</v>
      </c>
      <c r="D559" s="1" t="s">
        <v>216</v>
      </c>
      <c r="E559" s="15" t="str">
        <f t="shared" si="1"/>
        <v>Jun</v>
      </c>
      <c r="F559" s="13" t="s">
        <v>41</v>
      </c>
      <c r="G559" s="13" t="s">
        <v>2673</v>
      </c>
      <c r="H559" s="13" t="s">
        <v>2674</v>
      </c>
      <c r="I559" s="13" t="s">
        <v>23</v>
      </c>
      <c r="J559" s="13">
        <v>9.0</v>
      </c>
      <c r="K559" s="13" t="s">
        <v>35</v>
      </c>
      <c r="L559" s="13" t="s">
        <v>52</v>
      </c>
      <c r="M559" s="13" t="s">
        <v>37</v>
      </c>
      <c r="N559" s="13" t="s">
        <v>27</v>
      </c>
      <c r="O559" s="14">
        <v>1335.68</v>
      </c>
      <c r="P559" s="14">
        <f t="shared" si="2"/>
        <v>12021.12</v>
      </c>
      <c r="Q559" s="14">
        <v>1335.12</v>
      </c>
    </row>
    <row r="560">
      <c r="A560" s="12">
        <v>43014.0</v>
      </c>
      <c r="B560" s="12"/>
      <c r="C560" s="12" t="s">
        <v>2358</v>
      </c>
      <c r="D560" s="1" t="s">
        <v>216</v>
      </c>
      <c r="E560" s="15" t="str">
        <f t="shared" si="1"/>
        <v>Jun</v>
      </c>
      <c r="F560" s="13" t="s">
        <v>41</v>
      </c>
      <c r="G560" s="13" t="s">
        <v>2673</v>
      </c>
      <c r="H560" s="13" t="s">
        <v>2674</v>
      </c>
      <c r="I560" s="13" t="s">
        <v>23</v>
      </c>
      <c r="J560" s="13">
        <v>9.0</v>
      </c>
      <c r="K560" s="13" t="s">
        <v>35</v>
      </c>
      <c r="L560" s="13" t="s">
        <v>52</v>
      </c>
      <c r="M560" s="13" t="s">
        <v>37</v>
      </c>
      <c r="N560" s="13" t="s">
        <v>38</v>
      </c>
      <c r="O560" s="14">
        <v>32.4</v>
      </c>
      <c r="P560" s="14">
        <f t="shared" si="2"/>
        <v>291.6</v>
      </c>
      <c r="Q560" s="14">
        <v>31.82</v>
      </c>
    </row>
    <row r="561">
      <c r="A561" s="12">
        <v>43424.0</v>
      </c>
      <c r="B561" s="12"/>
      <c r="C561" s="12" t="s">
        <v>2326</v>
      </c>
      <c r="D561" s="1" t="s">
        <v>1030</v>
      </c>
      <c r="E561" s="15" t="str">
        <f t="shared" si="1"/>
        <v>Nov</v>
      </c>
      <c r="F561" s="13" t="s">
        <v>20</v>
      </c>
      <c r="G561" s="13" t="s">
        <v>2666</v>
      </c>
      <c r="H561" s="13" t="s">
        <v>2675</v>
      </c>
      <c r="I561" s="13" t="s">
        <v>23</v>
      </c>
      <c r="J561" s="13">
        <v>9.0</v>
      </c>
      <c r="K561" s="13" t="s">
        <v>87</v>
      </c>
      <c r="L561" s="13" t="s">
        <v>52</v>
      </c>
      <c r="M561" s="13" t="s">
        <v>37</v>
      </c>
      <c r="N561" s="13" t="s">
        <v>27</v>
      </c>
      <c r="O561" s="14">
        <v>42.6</v>
      </c>
      <c r="P561" s="14">
        <f t="shared" si="2"/>
        <v>383.4</v>
      </c>
      <c r="Q561" s="14">
        <v>41.71</v>
      </c>
    </row>
    <row r="562">
      <c r="A562" s="12">
        <v>43424.0</v>
      </c>
      <c r="B562" s="12"/>
      <c r="C562" s="12" t="s">
        <v>2326</v>
      </c>
      <c r="D562" s="1" t="s">
        <v>1030</v>
      </c>
      <c r="E562" s="15" t="str">
        <f t="shared" si="1"/>
        <v>Nov</v>
      </c>
      <c r="F562" s="13" t="s">
        <v>20</v>
      </c>
      <c r="G562" s="13" t="s">
        <v>2666</v>
      </c>
      <c r="H562" s="13" t="s">
        <v>2675</v>
      </c>
      <c r="I562" s="13" t="s">
        <v>23</v>
      </c>
      <c r="J562" s="13">
        <v>9.0</v>
      </c>
      <c r="K562" s="13" t="s">
        <v>87</v>
      </c>
      <c r="L562" s="13" t="s">
        <v>52</v>
      </c>
      <c r="M562" s="13" t="s">
        <v>37</v>
      </c>
      <c r="N562" s="13" t="s">
        <v>38</v>
      </c>
      <c r="O562" s="14">
        <v>84.056</v>
      </c>
      <c r="P562" s="14">
        <f t="shared" si="2"/>
        <v>756.504</v>
      </c>
      <c r="Q562" s="14">
        <v>83.54</v>
      </c>
    </row>
    <row r="563">
      <c r="A563" s="12">
        <v>42261.0</v>
      </c>
      <c r="B563" s="12"/>
      <c r="C563" s="12" t="s">
        <v>2329</v>
      </c>
      <c r="D563" s="1" t="s">
        <v>1054</v>
      </c>
      <c r="E563" s="15" t="str">
        <f t="shared" si="1"/>
        <v>Sep</v>
      </c>
      <c r="F563" s="13" t="s">
        <v>20</v>
      </c>
      <c r="G563" s="13" t="s">
        <v>2425</v>
      </c>
      <c r="H563" s="13" t="s">
        <v>2676</v>
      </c>
      <c r="I563" s="13" t="s">
        <v>23</v>
      </c>
      <c r="J563" s="13">
        <v>3.0</v>
      </c>
      <c r="K563" s="13" t="s">
        <v>522</v>
      </c>
      <c r="L563" s="13" t="s">
        <v>145</v>
      </c>
      <c r="M563" s="13" t="s">
        <v>26</v>
      </c>
      <c r="N563" s="13" t="s">
        <v>38</v>
      </c>
      <c r="O563" s="14">
        <v>13.0</v>
      </c>
      <c r="P563" s="14">
        <f t="shared" si="2"/>
        <v>39</v>
      </c>
      <c r="Q563" s="14">
        <v>12.2</v>
      </c>
    </row>
    <row r="564">
      <c r="A564" s="12">
        <v>42261.0</v>
      </c>
      <c r="B564" s="12"/>
      <c r="C564" s="12" t="s">
        <v>2329</v>
      </c>
      <c r="D564" s="1" t="s">
        <v>1054</v>
      </c>
      <c r="E564" s="15" t="str">
        <f t="shared" si="1"/>
        <v>Sep</v>
      </c>
      <c r="F564" s="13" t="s">
        <v>20</v>
      </c>
      <c r="G564" s="13" t="s">
        <v>2425</v>
      </c>
      <c r="H564" s="13" t="s">
        <v>2676</v>
      </c>
      <c r="I564" s="13" t="s">
        <v>23</v>
      </c>
      <c r="J564" s="13">
        <v>3.0</v>
      </c>
      <c r="K564" s="13" t="s">
        <v>522</v>
      </c>
      <c r="L564" s="13" t="s">
        <v>145</v>
      </c>
      <c r="M564" s="13" t="s">
        <v>26</v>
      </c>
      <c r="N564" s="13" t="s">
        <v>27</v>
      </c>
      <c r="O564" s="14">
        <v>13.128</v>
      </c>
      <c r="P564" s="14">
        <f t="shared" si="2"/>
        <v>39.384</v>
      </c>
      <c r="Q564" s="14">
        <v>13.05</v>
      </c>
    </row>
    <row r="565">
      <c r="A565" s="12">
        <v>42563.0</v>
      </c>
      <c r="B565" s="12"/>
      <c r="C565" s="12" t="s">
        <v>2348</v>
      </c>
      <c r="D565" s="6">
        <v>42625.0</v>
      </c>
      <c r="E565" s="15" t="str">
        <f t="shared" si="1"/>
        <v>Sep</v>
      </c>
      <c r="F565" s="13" t="s">
        <v>121</v>
      </c>
      <c r="G565" s="13" t="s">
        <v>2570</v>
      </c>
      <c r="H565" s="13" t="s">
        <v>2677</v>
      </c>
      <c r="I565" s="13" t="s">
        <v>23</v>
      </c>
      <c r="J565" s="13">
        <v>9.0</v>
      </c>
      <c r="K565" s="13" t="s">
        <v>62</v>
      </c>
      <c r="L565" s="13" t="s">
        <v>63</v>
      </c>
      <c r="M565" s="13" t="s">
        <v>37</v>
      </c>
      <c r="N565" s="13" t="s">
        <v>38</v>
      </c>
      <c r="O565" s="14">
        <v>3.96</v>
      </c>
      <c r="P565" s="14">
        <f t="shared" si="2"/>
        <v>35.64</v>
      </c>
      <c r="Q565" s="14">
        <v>3.3</v>
      </c>
    </row>
    <row r="566">
      <c r="A566" s="12">
        <v>42563.0</v>
      </c>
      <c r="B566" s="12"/>
      <c r="C566" s="12" t="s">
        <v>2348</v>
      </c>
      <c r="D566" s="6">
        <v>42625.0</v>
      </c>
      <c r="E566" s="15" t="str">
        <f t="shared" si="1"/>
        <v>Sep</v>
      </c>
      <c r="F566" s="13" t="s">
        <v>121</v>
      </c>
      <c r="G566" s="13" t="s">
        <v>2570</v>
      </c>
      <c r="H566" s="13" t="s">
        <v>2677</v>
      </c>
      <c r="I566" s="13" t="s">
        <v>23</v>
      </c>
      <c r="J566" s="13">
        <v>9.0</v>
      </c>
      <c r="K566" s="13" t="s">
        <v>62</v>
      </c>
      <c r="L566" s="13" t="s">
        <v>63</v>
      </c>
      <c r="M566" s="13" t="s">
        <v>37</v>
      </c>
      <c r="N566" s="13" t="s">
        <v>38</v>
      </c>
      <c r="O566" s="14">
        <v>2.61</v>
      </c>
      <c r="P566" s="14">
        <f t="shared" si="2"/>
        <v>23.49</v>
      </c>
      <c r="Q566" s="14">
        <v>2.36</v>
      </c>
    </row>
    <row r="567">
      <c r="A567" s="12">
        <v>43293.0</v>
      </c>
      <c r="B567" s="12"/>
      <c r="C567" s="12" t="s">
        <v>2348</v>
      </c>
      <c r="D567" s="5">
        <v>43385.0</v>
      </c>
      <c r="E567" s="15" t="str">
        <f t="shared" si="1"/>
        <v>Oct</v>
      </c>
      <c r="F567" s="13" t="s">
        <v>121</v>
      </c>
      <c r="G567" s="13" t="s">
        <v>2483</v>
      </c>
      <c r="H567" s="13" t="s">
        <v>2599</v>
      </c>
      <c r="I567" s="13" t="s">
        <v>23</v>
      </c>
      <c r="J567" s="13">
        <v>9.0</v>
      </c>
      <c r="K567" s="13" t="s">
        <v>35</v>
      </c>
      <c r="L567" s="13" t="s">
        <v>52</v>
      </c>
      <c r="M567" s="13" t="s">
        <v>37</v>
      </c>
      <c r="N567" s="13" t="s">
        <v>51</v>
      </c>
      <c r="O567" s="14">
        <v>374.376</v>
      </c>
      <c r="P567" s="14">
        <f t="shared" si="2"/>
        <v>3369.384</v>
      </c>
      <c r="Q567" s="14">
        <v>373.52</v>
      </c>
    </row>
    <row r="568">
      <c r="A568" s="12">
        <v>43110.0</v>
      </c>
      <c r="B568" s="12"/>
      <c r="C568" s="12" t="s">
        <v>2353</v>
      </c>
      <c r="D568" s="6">
        <v>43322.0</v>
      </c>
      <c r="E568" s="15" t="str">
        <f t="shared" si="1"/>
        <v>Aug</v>
      </c>
      <c r="F568" s="13" t="s">
        <v>41</v>
      </c>
      <c r="G568" s="13" t="s">
        <v>2678</v>
      </c>
      <c r="H568" s="13" t="s">
        <v>2679</v>
      </c>
      <c r="I568" s="13" t="s">
        <v>34</v>
      </c>
      <c r="J568" s="13">
        <v>9.0</v>
      </c>
      <c r="K568" s="13" t="s">
        <v>62</v>
      </c>
      <c r="L568" s="13" t="s">
        <v>63</v>
      </c>
      <c r="M568" s="13" t="s">
        <v>37</v>
      </c>
      <c r="N568" s="13" t="s">
        <v>38</v>
      </c>
      <c r="O568" s="14">
        <v>91.84</v>
      </c>
      <c r="P568" s="14">
        <f t="shared" si="2"/>
        <v>826.56</v>
      </c>
      <c r="Q568" s="14">
        <v>91.28</v>
      </c>
    </row>
    <row r="569">
      <c r="A569" s="12">
        <v>43110.0</v>
      </c>
      <c r="B569" s="12"/>
      <c r="C569" s="12" t="s">
        <v>2353</v>
      </c>
      <c r="D569" s="6">
        <v>43322.0</v>
      </c>
      <c r="E569" s="15" t="str">
        <f t="shared" si="1"/>
        <v>Aug</v>
      </c>
      <c r="F569" s="13" t="s">
        <v>41</v>
      </c>
      <c r="G569" s="13" t="s">
        <v>2678</v>
      </c>
      <c r="H569" s="13" t="s">
        <v>2679</v>
      </c>
      <c r="I569" s="13" t="s">
        <v>34</v>
      </c>
      <c r="J569" s="13">
        <v>9.0</v>
      </c>
      <c r="K569" s="13" t="s">
        <v>62</v>
      </c>
      <c r="L569" s="13" t="s">
        <v>63</v>
      </c>
      <c r="M569" s="13" t="s">
        <v>37</v>
      </c>
      <c r="N569" s="13" t="s">
        <v>38</v>
      </c>
      <c r="O569" s="14">
        <v>81.088</v>
      </c>
      <c r="P569" s="14">
        <f t="shared" si="2"/>
        <v>729.792</v>
      </c>
      <c r="Q569" s="14">
        <v>80.34</v>
      </c>
    </row>
    <row r="570">
      <c r="A570" s="12">
        <v>43110.0</v>
      </c>
      <c r="B570" s="12"/>
      <c r="C570" s="12" t="s">
        <v>2353</v>
      </c>
      <c r="D570" s="6">
        <v>43322.0</v>
      </c>
      <c r="E570" s="15" t="str">
        <f t="shared" si="1"/>
        <v>Aug</v>
      </c>
      <c r="F570" s="13" t="s">
        <v>41</v>
      </c>
      <c r="G570" s="13" t="s">
        <v>2678</v>
      </c>
      <c r="H570" s="13" t="s">
        <v>2679</v>
      </c>
      <c r="I570" s="13" t="s">
        <v>34</v>
      </c>
      <c r="J570" s="13">
        <v>9.0</v>
      </c>
      <c r="K570" s="13" t="s">
        <v>62</v>
      </c>
      <c r="L570" s="13" t="s">
        <v>63</v>
      </c>
      <c r="M570" s="13" t="s">
        <v>37</v>
      </c>
      <c r="N570" s="13" t="s">
        <v>38</v>
      </c>
      <c r="O570" s="14">
        <v>19.44</v>
      </c>
      <c r="P570" s="14">
        <f t="shared" si="2"/>
        <v>174.96</v>
      </c>
      <c r="Q570" s="14">
        <v>19.24</v>
      </c>
    </row>
    <row r="571">
      <c r="A571" s="12">
        <v>43110.0</v>
      </c>
      <c r="B571" s="12"/>
      <c r="C571" s="12" t="s">
        <v>2353</v>
      </c>
      <c r="D571" s="6">
        <v>43322.0</v>
      </c>
      <c r="E571" s="15" t="str">
        <f t="shared" si="1"/>
        <v>Aug</v>
      </c>
      <c r="F571" s="13" t="s">
        <v>41</v>
      </c>
      <c r="G571" s="13" t="s">
        <v>2678</v>
      </c>
      <c r="H571" s="13" t="s">
        <v>2679</v>
      </c>
      <c r="I571" s="13" t="s">
        <v>34</v>
      </c>
      <c r="J571" s="13">
        <v>9.0</v>
      </c>
      <c r="K571" s="13" t="s">
        <v>62</v>
      </c>
      <c r="L571" s="13" t="s">
        <v>63</v>
      </c>
      <c r="M571" s="13" t="s">
        <v>37</v>
      </c>
      <c r="N571" s="13" t="s">
        <v>27</v>
      </c>
      <c r="O571" s="14">
        <v>451.152</v>
      </c>
      <c r="P571" s="14">
        <f t="shared" si="2"/>
        <v>4060.368</v>
      </c>
      <c r="Q571" s="14">
        <v>450.79</v>
      </c>
    </row>
    <row r="572">
      <c r="A572" s="12">
        <v>43462.0</v>
      </c>
      <c r="B572" s="12"/>
      <c r="C572" s="12" t="s">
        <v>2325</v>
      </c>
      <c r="D572" s="6">
        <v>43556.0</v>
      </c>
      <c r="E572" s="15" t="str">
        <f t="shared" si="1"/>
        <v>Apr</v>
      </c>
      <c r="F572" s="13" t="s">
        <v>41</v>
      </c>
      <c r="G572" s="13" t="s">
        <v>2475</v>
      </c>
      <c r="H572" s="13" t="s">
        <v>2680</v>
      </c>
      <c r="I572" s="13" t="s">
        <v>23</v>
      </c>
      <c r="J572" s="13">
        <v>1.0</v>
      </c>
      <c r="K572" s="13" t="s">
        <v>174</v>
      </c>
      <c r="L572" s="13" t="s">
        <v>175</v>
      </c>
      <c r="M572" s="13" t="s">
        <v>100</v>
      </c>
      <c r="N572" s="13" t="s">
        <v>38</v>
      </c>
      <c r="O572" s="14">
        <v>72.45</v>
      </c>
      <c r="P572" s="14">
        <f t="shared" si="2"/>
        <v>72.45</v>
      </c>
      <c r="Q572" s="14">
        <v>71.96</v>
      </c>
    </row>
    <row r="573">
      <c r="A573" s="12">
        <v>43462.0</v>
      </c>
      <c r="B573" s="12"/>
      <c r="C573" s="12" t="s">
        <v>2325</v>
      </c>
      <c r="D573" s="6">
        <v>43556.0</v>
      </c>
      <c r="E573" s="15" t="str">
        <f t="shared" si="1"/>
        <v>Apr</v>
      </c>
      <c r="F573" s="13" t="s">
        <v>41</v>
      </c>
      <c r="G573" s="13" t="s">
        <v>2475</v>
      </c>
      <c r="H573" s="13" t="s">
        <v>2680</v>
      </c>
      <c r="I573" s="13" t="s">
        <v>23</v>
      </c>
      <c r="J573" s="13">
        <v>1.0</v>
      </c>
      <c r="K573" s="13" t="s">
        <v>174</v>
      </c>
      <c r="L573" s="13" t="s">
        <v>175</v>
      </c>
      <c r="M573" s="13" t="s">
        <v>100</v>
      </c>
      <c r="N573" s="13" t="s">
        <v>38</v>
      </c>
      <c r="O573" s="14">
        <v>13.96</v>
      </c>
      <c r="P573" s="14">
        <f t="shared" si="2"/>
        <v>13.96</v>
      </c>
      <c r="Q573" s="14">
        <v>13.67</v>
      </c>
    </row>
    <row r="574">
      <c r="A574" s="12">
        <v>43462.0</v>
      </c>
      <c r="B574" s="12"/>
      <c r="C574" s="12" t="s">
        <v>2325</v>
      </c>
      <c r="D574" s="6">
        <v>43556.0</v>
      </c>
      <c r="E574" s="15" t="str">
        <f t="shared" si="1"/>
        <v>Apr</v>
      </c>
      <c r="F574" s="13" t="s">
        <v>41</v>
      </c>
      <c r="G574" s="13" t="s">
        <v>2475</v>
      </c>
      <c r="H574" s="13" t="s">
        <v>2680</v>
      </c>
      <c r="I574" s="13" t="s">
        <v>23</v>
      </c>
      <c r="J574" s="13">
        <v>1.0</v>
      </c>
      <c r="K574" s="13" t="s">
        <v>174</v>
      </c>
      <c r="L574" s="13" t="s">
        <v>175</v>
      </c>
      <c r="M574" s="13" t="s">
        <v>100</v>
      </c>
      <c r="N574" s="13" t="s">
        <v>38</v>
      </c>
      <c r="O574" s="14">
        <v>33.264</v>
      </c>
      <c r="P574" s="14">
        <f t="shared" si="2"/>
        <v>33.264</v>
      </c>
      <c r="Q574" s="14">
        <v>32.56</v>
      </c>
    </row>
    <row r="575">
      <c r="A575" s="12">
        <v>43462.0</v>
      </c>
      <c r="B575" s="12"/>
      <c r="C575" s="12" t="s">
        <v>2325</v>
      </c>
      <c r="D575" s="6">
        <v>43556.0</v>
      </c>
      <c r="E575" s="15" t="str">
        <f t="shared" si="1"/>
        <v>Apr</v>
      </c>
      <c r="F575" s="13" t="s">
        <v>41</v>
      </c>
      <c r="G575" s="13" t="s">
        <v>2475</v>
      </c>
      <c r="H575" s="13" t="s">
        <v>2680</v>
      </c>
      <c r="I575" s="13" t="s">
        <v>23</v>
      </c>
      <c r="J575" s="13">
        <v>1.0</v>
      </c>
      <c r="K575" s="13" t="s">
        <v>174</v>
      </c>
      <c r="L575" s="13" t="s">
        <v>175</v>
      </c>
      <c r="M575" s="13" t="s">
        <v>100</v>
      </c>
      <c r="N575" s="13" t="s">
        <v>51</v>
      </c>
      <c r="O575" s="14">
        <v>14.85</v>
      </c>
      <c r="P575" s="14">
        <f t="shared" si="2"/>
        <v>14.85</v>
      </c>
      <c r="Q575" s="14">
        <v>14.03</v>
      </c>
    </row>
    <row r="576">
      <c r="A576" s="12">
        <v>42805.0</v>
      </c>
      <c r="B576" s="12"/>
      <c r="C576" s="12" t="s">
        <v>2399</v>
      </c>
      <c r="D576" s="6">
        <v>42927.0</v>
      </c>
      <c r="E576" s="15" t="str">
        <f t="shared" si="1"/>
        <v>Jul</v>
      </c>
      <c r="F576" s="13" t="s">
        <v>41</v>
      </c>
      <c r="G576" s="13" t="s">
        <v>2681</v>
      </c>
      <c r="H576" s="13" t="s">
        <v>2605</v>
      </c>
      <c r="I576" s="13" t="s">
        <v>23</v>
      </c>
      <c r="J576" s="13">
        <v>9.0</v>
      </c>
      <c r="K576" s="13" t="s">
        <v>1072</v>
      </c>
      <c r="L576" s="13" t="s">
        <v>63</v>
      </c>
      <c r="M576" s="13" t="s">
        <v>37</v>
      </c>
      <c r="N576" s="13" t="s">
        <v>38</v>
      </c>
      <c r="O576" s="14">
        <v>8.82</v>
      </c>
      <c r="P576" s="14">
        <f t="shared" si="2"/>
        <v>79.38</v>
      </c>
      <c r="Q576" s="14">
        <v>7.93</v>
      </c>
    </row>
    <row r="577">
      <c r="A577" s="12">
        <v>42631.0</v>
      </c>
      <c r="B577" s="12"/>
      <c r="C577" s="12" t="s">
        <v>2329</v>
      </c>
      <c r="D577" s="1" t="s">
        <v>1074</v>
      </c>
      <c r="E577" s="15" t="str">
        <f t="shared" si="1"/>
        <v>Sep</v>
      </c>
      <c r="F577" s="13" t="s">
        <v>20</v>
      </c>
      <c r="G577" s="13" t="s">
        <v>2682</v>
      </c>
      <c r="H577" s="13" t="s">
        <v>2683</v>
      </c>
      <c r="I577" s="13" t="s">
        <v>23</v>
      </c>
      <c r="J577" s="13">
        <v>9.0</v>
      </c>
      <c r="K577" s="13" t="s">
        <v>654</v>
      </c>
      <c r="L577" s="13" t="s">
        <v>52</v>
      </c>
      <c r="M577" s="13" t="s">
        <v>37</v>
      </c>
      <c r="N577" s="13" t="s">
        <v>38</v>
      </c>
      <c r="O577" s="14">
        <v>160.72</v>
      </c>
      <c r="P577" s="14">
        <f t="shared" si="2"/>
        <v>1446.48</v>
      </c>
      <c r="Q577" s="14">
        <v>160.1</v>
      </c>
    </row>
    <row r="578">
      <c r="A578" s="12">
        <v>42631.0</v>
      </c>
      <c r="B578" s="12"/>
      <c r="C578" s="12" t="s">
        <v>2329</v>
      </c>
      <c r="D578" s="1" t="s">
        <v>1074</v>
      </c>
      <c r="E578" s="15" t="str">
        <f t="shared" si="1"/>
        <v>Sep</v>
      </c>
      <c r="F578" s="13" t="s">
        <v>20</v>
      </c>
      <c r="G578" s="13" t="s">
        <v>2682</v>
      </c>
      <c r="H578" s="13" t="s">
        <v>2683</v>
      </c>
      <c r="I578" s="13" t="s">
        <v>23</v>
      </c>
      <c r="J578" s="13">
        <v>9.0</v>
      </c>
      <c r="K578" s="13" t="s">
        <v>654</v>
      </c>
      <c r="L578" s="13" t="s">
        <v>52</v>
      </c>
      <c r="M578" s="13" t="s">
        <v>37</v>
      </c>
      <c r="N578" s="13" t="s">
        <v>38</v>
      </c>
      <c r="O578" s="14">
        <v>19.92</v>
      </c>
      <c r="P578" s="14">
        <f t="shared" si="2"/>
        <v>179.28</v>
      </c>
      <c r="Q578" s="14">
        <v>19.4</v>
      </c>
    </row>
    <row r="579">
      <c r="A579" s="12">
        <v>42631.0</v>
      </c>
      <c r="B579" s="12"/>
      <c r="C579" s="12" t="s">
        <v>2329</v>
      </c>
      <c r="D579" s="1" t="s">
        <v>1074</v>
      </c>
      <c r="E579" s="15" t="str">
        <f t="shared" si="1"/>
        <v>Sep</v>
      </c>
      <c r="F579" s="13" t="s">
        <v>20</v>
      </c>
      <c r="G579" s="13" t="s">
        <v>2682</v>
      </c>
      <c r="H579" s="13" t="s">
        <v>2683</v>
      </c>
      <c r="I579" s="13" t="s">
        <v>23</v>
      </c>
      <c r="J579" s="13">
        <v>9.0</v>
      </c>
      <c r="K579" s="13" t="s">
        <v>654</v>
      </c>
      <c r="L579" s="13" t="s">
        <v>52</v>
      </c>
      <c r="M579" s="13" t="s">
        <v>37</v>
      </c>
      <c r="N579" s="13" t="s">
        <v>38</v>
      </c>
      <c r="O579" s="14">
        <v>7.3</v>
      </c>
      <c r="P579" s="14">
        <f t="shared" si="2"/>
        <v>65.7</v>
      </c>
      <c r="Q579" s="14">
        <v>6.4</v>
      </c>
    </row>
    <row r="580">
      <c r="A580" s="12">
        <v>43301.0</v>
      </c>
      <c r="B580" s="12"/>
      <c r="C580" s="12" t="s">
        <v>2348</v>
      </c>
      <c r="D580" s="1" t="s">
        <v>1078</v>
      </c>
      <c r="E580" s="15" t="str">
        <f t="shared" si="1"/>
        <v>Jul</v>
      </c>
      <c r="F580" s="13" t="s">
        <v>41</v>
      </c>
      <c r="G580" s="13" t="s">
        <v>2684</v>
      </c>
      <c r="H580" s="13" t="s">
        <v>2685</v>
      </c>
      <c r="I580" s="13" t="s">
        <v>23</v>
      </c>
      <c r="J580" s="13">
        <v>6.0</v>
      </c>
      <c r="K580" s="13" t="s">
        <v>188</v>
      </c>
      <c r="L580" s="13" t="s">
        <v>135</v>
      </c>
      <c r="M580" s="13" t="s">
        <v>71</v>
      </c>
      <c r="N580" s="13" t="s">
        <v>38</v>
      </c>
      <c r="O580" s="14">
        <v>69.712</v>
      </c>
      <c r="P580" s="14">
        <f t="shared" si="2"/>
        <v>418.272</v>
      </c>
      <c r="Q580" s="14">
        <v>69.08</v>
      </c>
    </row>
    <row r="581">
      <c r="A581" s="12">
        <v>43301.0</v>
      </c>
      <c r="B581" s="12"/>
      <c r="C581" s="12" t="s">
        <v>2348</v>
      </c>
      <c r="D581" s="1" t="s">
        <v>1078</v>
      </c>
      <c r="E581" s="15" t="str">
        <f t="shared" si="1"/>
        <v>Jul</v>
      </c>
      <c r="F581" s="13" t="s">
        <v>41</v>
      </c>
      <c r="G581" s="13" t="s">
        <v>2684</v>
      </c>
      <c r="H581" s="13" t="s">
        <v>2685</v>
      </c>
      <c r="I581" s="13" t="s">
        <v>23</v>
      </c>
      <c r="J581" s="13">
        <v>6.0</v>
      </c>
      <c r="K581" s="13" t="s">
        <v>188</v>
      </c>
      <c r="L581" s="13" t="s">
        <v>135</v>
      </c>
      <c r="M581" s="13" t="s">
        <v>71</v>
      </c>
      <c r="N581" s="13" t="s">
        <v>27</v>
      </c>
      <c r="O581" s="14">
        <v>8.792</v>
      </c>
      <c r="P581" s="14">
        <f t="shared" si="2"/>
        <v>52.752</v>
      </c>
      <c r="Q581" s="14">
        <v>8.04</v>
      </c>
    </row>
    <row r="582">
      <c r="A582" s="12">
        <v>42652.0</v>
      </c>
      <c r="B582" s="12"/>
      <c r="C582" s="12" t="s">
        <v>2358</v>
      </c>
      <c r="D582" s="1" t="s">
        <v>1082</v>
      </c>
      <c r="E582" s="15" t="str">
        <f t="shared" si="1"/>
        <v>Sep</v>
      </c>
      <c r="F582" s="13" t="s">
        <v>41</v>
      </c>
      <c r="G582" s="13" t="s">
        <v>2686</v>
      </c>
      <c r="H582" s="13" t="s">
        <v>2687</v>
      </c>
      <c r="I582" s="13" t="s">
        <v>23</v>
      </c>
      <c r="J582" s="13">
        <v>9.0</v>
      </c>
      <c r="K582" s="13" t="s">
        <v>35</v>
      </c>
      <c r="L582" s="13" t="s">
        <v>52</v>
      </c>
      <c r="M582" s="13" t="s">
        <v>37</v>
      </c>
      <c r="N582" s="13" t="s">
        <v>38</v>
      </c>
      <c r="O582" s="14">
        <v>51.52</v>
      </c>
      <c r="P582" s="14">
        <f t="shared" si="2"/>
        <v>463.68</v>
      </c>
      <c r="Q582" s="14">
        <v>50.87</v>
      </c>
    </row>
    <row r="583">
      <c r="A583" s="12">
        <v>43112.0</v>
      </c>
      <c r="B583" s="12"/>
      <c r="C583" s="12" t="s">
        <v>2353</v>
      </c>
      <c r="D583" s="6">
        <v>43232.0</v>
      </c>
      <c r="E583" s="15" t="str">
        <f t="shared" si="1"/>
        <v>May</v>
      </c>
      <c r="F583" s="13" t="s">
        <v>41</v>
      </c>
      <c r="G583" s="13" t="s">
        <v>2515</v>
      </c>
      <c r="H583" s="13" t="s">
        <v>2593</v>
      </c>
      <c r="I583" s="13" t="s">
        <v>23</v>
      </c>
      <c r="J583" s="13">
        <v>8.0</v>
      </c>
      <c r="K583" s="13" t="s">
        <v>475</v>
      </c>
      <c r="L583" s="13" t="s">
        <v>279</v>
      </c>
      <c r="M583" s="13" t="s">
        <v>37</v>
      </c>
      <c r="N583" s="13" t="s">
        <v>51</v>
      </c>
      <c r="O583" s="14">
        <v>470.376</v>
      </c>
      <c r="P583" s="14">
        <f t="shared" si="2"/>
        <v>3763.008</v>
      </c>
      <c r="Q583" s="14">
        <v>469.87</v>
      </c>
    </row>
    <row r="584">
      <c r="A584" s="12">
        <v>43112.0</v>
      </c>
      <c r="B584" s="12"/>
      <c r="C584" s="12" t="s">
        <v>2353</v>
      </c>
      <c r="D584" s="6">
        <v>43232.0</v>
      </c>
      <c r="E584" s="15" t="str">
        <f t="shared" si="1"/>
        <v>May</v>
      </c>
      <c r="F584" s="13" t="s">
        <v>41</v>
      </c>
      <c r="G584" s="13" t="s">
        <v>2515</v>
      </c>
      <c r="H584" s="13" t="s">
        <v>2593</v>
      </c>
      <c r="I584" s="13" t="s">
        <v>23</v>
      </c>
      <c r="J584" s="13">
        <v>8.0</v>
      </c>
      <c r="K584" s="13" t="s">
        <v>475</v>
      </c>
      <c r="L584" s="13" t="s">
        <v>279</v>
      </c>
      <c r="M584" s="13" t="s">
        <v>37</v>
      </c>
      <c r="N584" s="13" t="s">
        <v>51</v>
      </c>
      <c r="O584" s="14">
        <v>105.584</v>
      </c>
      <c r="P584" s="14">
        <f t="shared" si="2"/>
        <v>844.672</v>
      </c>
      <c r="Q584" s="14">
        <v>104.8</v>
      </c>
    </row>
    <row r="585">
      <c r="A585" s="12">
        <v>43112.0</v>
      </c>
      <c r="B585" s="12"/>
      <c r="C585" s="12" t="s">
        <v>2353</v>
      </c>
      <c r="D585" s="6">
        <v>43232.0</v>
      </c>
      <c r="E585" s="15" t="str">
        <f t="shared" si="1"/>
        <v>May</v>
      </c>
      <c r="F585" s="13" t="s">
        <v>41</v>
      </c>
      <c r="G585" s="13" t="s">
        <v>2515</v>
      </c>
      <c r="H585" s="13" t="s">
        <v>2593</v>
      </c>
      <c r="I585" s="13" t="s">
        <v>23</v>
      </c>
      <c r="J585" s="13">
        <v>8.0</v>
      </c>
      <c r="K585" s="13" t="s">
        <v>475</v>
      </c>
      <c r="L585" s="13" t="s">
        <v>279</v>
      </c>
      <c r="M585" s="13" t="s">
        <v>37</v>
      </c>
      <c r="N585" s="13" t="s">
        <v>38</v>
      </c>
      <c r="O585" s="14">
        <v>31.152</v>
      </c>
      <c r="P585" s="14">
        <f t="shared" si="2"/>
        <v>249.216</v>
      </c>
      <c r="Q585" s="14">
        <v>30.52</v>
      </c>
    </row>
    <row r="586">
      <c r="A586" s="12">
        <v>43112.0</v>
      </c>
      <c r="B586" s="12"/>
      <c r="C586" s="12" t="s">
        <v>2353</v>
      </c>
      <c r="D586" s="6">
        <v>43232.0</v>
      </c>
      <c r="E586" s="15" t="str">
        <f t="shared" si="1"/>
        <v>May</v>
      </c>
      <c r="F586" s="13" t="s">
        <v>41</v>
      </c>
      <c r="G586" s="13" t="s">
        <v>2515</v>
      </c>
      <c r="H586" s="13" t="s">
        <v>2593</v>
      </c>
      <c r="I586" s="13" t="s">
        <v>23</v>
      </c>
      <c r="J586" s="13">
        <v>8.0</v>
      </c>
      <c r="K586" s="13" t="s">
        <v>475</v>
      </c>
      <c r="L586" s="13" t="s">
        <v>279</v>
      </c>
      <c r="M586" s="13" t="s">
        <v>37</v>
      </c>
      <c r="N586" s="13" t="s">
        <v>38</v>
      </c>
      <c r="O586" s="14">
        <v>6.783</v>
      </c>
      <c r="P586" s="14">
        <f t="shared" si="2"/>
        <v>54.264</v>
      </c>
      <c r="Q586" s="14">
        <v>6.77</v>
      </c>
    </row>
    <row r="587">
      <c r="A587" s="12">
        <v>43112.0</v>
      </c>
      <c r="B587" s="12"/>
      <c r="C587" s="12" t="s">
        <v>2353</v>
      </c>
      <c r="D587" s="6">
        <v>43232.0</v>
      </c>
      <c r="E587" s="15" t="str">
        <f t="shared" si="1"/>
        <v>May</v>
      </c>
      <c r="F587" s="13" t="s">
        <v>41</v>
      </c>
      <c r="G587" s="13" t="s">
        <v>2515</v>
      </c>
      <c r="H587" s="13" t="s">
        <v>2593</v>
      </c>
      <c r="I587" s="13" t="s">
        <v>23</v>
      </c>
      <c r="J587" s="13">
        <v>8.0</v>
      </c>
      <c r="K587" s="13" t="s">
        <v>475</v>
      </c>
      <c r="L587" s="13" t="s">
        <v>279</v>
      </c>
      <c r="M587" s="13" t="s">
        <v>37</v>
      </c>
      <c r="N587" s="13" t="s">
        <v>51</v>
      </c>
      <c r="O587" s="14">
        <v>406.368</v>
      </c>
      <c r="P587" s="14">
        <f t="shared" si="2"/>
        <v>3250.944</v>
      </c>
      <c r="Q587" s="14">
        <v>406.22</v>
      </c>
    </row>
    <row r="588">
      <c r="A588" s="12">
        <v>42436.0</v>
      </c>
      <c r="B588" s="12"/>
      <c r="C588" s="12" t="s">
        <v>2399</v>
      </c>
      <c r="D588" s="6">
        <v>42620.0</v>
      </c>
      <c r="E588" s="15" t="str">
        <f t="shared" si="1"/>
        <v>Sep</v>
      </c>
      <c r="F588" s="13" t="s">
        <v>41</v>
      </c>
      <c r="G588" s="13" t="s">
        <v>2498</v>
      </c>
      <c r="H588" s="13" t="s">
        <v>2688</v>
      </c>
      <c r="I588" s="13" t="s">
        <v>23</v>
      </c>
      <c r="J588" s="13">
        <v>4.0</v>
      </c>
      <c r="K588" s="13" t="s">
        <v>814</v>
      </c>
      <c r="L588" s="13" t="s">
        <v>25</v>
      </c>
      <c r="M588" s="13" t="s">
        <v>26</v>
      </c>
      <c r="N588" s="13" t="s">
        <v>27</v>
      </c>
      <c r="O588" s="14">
        <v>70.98</v>
      </c>
      <c r="P588" s="14">
        <f t="shared" si="2"/>
        <v>283.92</v>
      </c>
      <c r="Q588" s="14">
        <v>70.65</v>
      </c>
    </row>
    <row r="589">
      <c r="A589" s="12">
        <v>42436.0</v>
      </c>
      <c r="B589" s="12"/>
      <c r="C589" s="12" t="s">
        <v>2399</v>
      </c>
      <c r="D589" s="6">
        <v>42620.0</v>
      </c>
      <c r="E589" s="15" t="str">
        <f t="shared" si="1"/>
        <v>Sep</v>
      </c>
      <c r="F589" s="13" t="s">
        <v>41</v>
      </c>
      <c r="G589" s="13" t="s">
        <v>2498</v>
      </c>
      <c r="H589" s="13" t="s">
        <v>2688</v>
      </c>
      <c r="I589" s="13" t="s">
        <v>23</v>
      </c>
      <c r="J589" s="13">
        <v>4.0</v>
      </c>
      <c r="K589" s="13" t="s">
        <v>814</v>
      </c>
      <c r="L589" s="13" t="s">
        <v>25</v>
      </c>
      <c r="M589" s="13" t="s">
        <v>26</v>
      </c>
      <c r="N589" s="13" t="s">
        <v>38</v>
      </c>
      <c r="O589" s="14">
        <v>294.93</v>
      </c>
      <c r="P589" s="14">
        <f t="shared" si="2"/>
        <v>1179.72</v>
      </c>
      <c r="Q589" s="14">
        <v>294.81</v>
      </c>
    </row>
    <row r="590">
      <c r="A590" s="12">
        <v>42814.0</v>
      </c>
      <c r="B590" s="12"/>
      <c r="C590" s="12" t="s">
        <v>2399</v>
      </c>
      <c r="D590" s="1" t="s">
        <v>1092</v>
      </c>
      <c r="E590" s="15" t="str">
        <f t="shared" si="1"/>
        <v>Mar</v>
      </c>
      <c r="F590" s="13" t="s">
        <v>41</v>
      </c>
      <c r="G590" s="13" t="s">
        <v>2344</v>
      </c>
      <c r="H590" s="13" t="s">
        <v>2689</v>
      </c>
      <c r="I590" s="13" t="s">
        <v>23</v>
      </c>
      <c r="J590" s="13">
        <v>9.0</v>
      </c>
      <c r="K590" s="13" t="s">
        <v>1095</v>
      </c>
      <c r="L590" s="13" t="s">
        <v>256</v>
      </c>
      <c r="M590" s="13" t="s">
        <v>37</v>
      </c>
      <c r="N590" s="13" t="s">
        <v>51</v>
      </c>
      <c r="O590" s="14">
        <v>84.784</v>
      </c>
      <c r="P590" s="14">
        <f t="shared" si="2"/>
        <v>763.056</v>
      </c>
      <c r="Q590" s="14">
        <v>84.02</v>
      </c>
    </row>
    <row r="591">
      <c r="A591" s="12">
        <v>42814.0</v>
      </c>
      <c r="B591" s="12"/>
      <c r="C591" s="12" t="s">
        <v>2399</v>
      </c>
      <c r="D591" s="1" t="s">
        <v>1092</v>
      </c>
      <c r="E591" s="15" t="str">
        <f t="shared" si="1"/>
        <v>Mar</v>
      </c>
      <c r="F591" s="13" t="s">
        <v>41</v>
      </c>
      <c r="G591" s="13" t="s">
        <v>2344</v>
      </c>
      <c r="H591" s="13" t="s">
        <v>2689</v>
      </c>
      <c r="I591" s="13" t="s">
        <v>23</v>
      </c>
      <c r="J591" s="13">
        <v>9.0</v>
      </c>
      <c r="K591" s="13" t="s">
        <v>1095</v>
      </c>
      <c r="L591" s="13" t="s">
        <v>256</v>
      </c>
      <c r="M591" s="13" t="s">
        <v>37</v>
      </c>
      <c r="N591" s="13" t="s">
        <v>38</v>
      </c>
      <c r="O591" s="14">
        <v>20.736</v>
      </c>
      <c r="P591" s="14">
        <f t="shared" si="2"/>
        <v>186.624</v>
      </c>
      <c r="Q591" s="14">
        <v>19.74</v>
      </c>
    </row>
    <row r="592">
      <c r="A592" s="12">
        <v>42814.0</v>
      </c>
      <c r="B592" s="12"/>
      <c r="C592" s="12" t="s">
        <v>2399</v>
      </c>
      <c r="D592" s="1" t="s">
        <v>1092</v>
      </c>
      <c r="E592" s="15" t="str">
        <f t="shared" si="1"/>
        <v>Mar</v>
      </c>
      <c r="F592" s="13" t="s">
        <v>41</v>
      </c>
      <c r="G592" s="13" t="s">
        <v>2344</v>
      </c>
      <c r="H592" s="13" t="s">
        <v>2689</v>
      </c>
      <c r="I592" s="13" t="s">
        <v>23</v>
      </c>
      <c r="J592" s="13">
        <v>9.0</v>
      </c>
      <c r="K592" s="13" t="s">
        <v>1095</v>
      </c>
      <c r="L592" s="13" t="s">
        <v>256</v>
      </c>
      <c r="M592" s="13" t="s">
        <v>37</v>
      </c>
      <c r="N592" s="13" t="s">
        <v>38</v>
      </c>
      <c r="O592" s="14">
        <v>16.821</v>
      </c>
      <c r="P592" s="14">
        <f t="shared" si="2"/>
        <v>151.389</v>
      </c>
      <c r="Q592" s="14">
        <v>16.29</v>
      </c>
    </row>
    <row r="593">
      <c r="A593" s="12">
        <v>42814.0</v>
      </c>
      <c r="B593" s="12"/>
      <c r="C593" s="12" t="s">
        <v>2399</v>
      </c>
      <c r="D593" s="1" t="s">
        <v>1092</v>
      </c>
      <c r="E593" s="15" t="str">
        <f t="shared" si="1"/>
        <v>Mar</v>
      </c>
      <c r="F593" s="13" t="s">
        <v>41</v>
      </c>
      <c r="G593" s="13" t="s">
        <v>2344</v>
      </c>
      <c r="H593" s="13" t="s">
        <v>2689</v>
      </c>
      <c r="I593" s="13" t="s">
        <v>23</v>
      </c>
      <c r="J593" s="13">
        <v>9.0</v>
      </c>
      <c r="K593" s="13" t="s">
        <v>1095</v>
      </c>
      <c r="L593" s="13" t="s">
        <v>256</v>
      </c>
      <c r="M593" s="13" t="s">
        <v>37</v>
      </c>
      <c r="N593" s="13" t="s">
        <v>38</v>
      </c>
      <c r="O593" s="14">
        <v>10.368</v>
      </c>
      <c r="P593" s="14">
        <f t="shared" si="2"/>
        <v>93.312</v>
      </c>
      <c r="Q593" s="14">
        <v>10.1</v>
      </c>
    </row>
    <row r="594">
      <c r="A594" s="12">
        <v>42248.0</v>
      </c>
      <c r="B594" s="12"/>
      <c r="C594" s="12" t="s">
        <v>2329</v>
      </c>
      <c r="D594" s="1" t="s">
        <v>1097</v>
      </c>
      <c r="E594" s="15" t="str">
        <f t="shared" si="1"/>
        <v>Jan</v>
      </c>
      <c r="F594" s="13" t="s">
        <v>41</v>
      </c>
      <c r="G594" s="13" t="s">
        <v>2690</v>
      </c>
      <c r="H594" s="13" t="s">
        <v>2691</v>
      </c>
      <c r="I594" s="13" t="s">
        <v>23</v>
      </c>
      <c r="J594" s="13">
        <v>7.0</v>
      </c>
      <c r="K594" s="13" t="s">
        <v>1100</v>
      </c>
      <c r="L594" s="13" t="s">
        <v>70</v>
      </c>
      <c r="M594" s="13" t="s">
        <v>71</v>
      </c>
      <c r="N594" s="13" t="s">
        <v>38</v>
      </c>
      <c r="O594" s="14">
        <v>9.344</v>
      </c>
      <c r="P594" s="14">
        <f t="shared" si="2"/>
        <v>65.408</v>
      </c>
      <c r="Q594" s="14">
        <v>8.59</v>
      </c>
    </row>
    <row r="595">
      <c r="A595" s="12">
        <v>42248.0</v>
      </c>
      <c r="B595" s="12"/>
      <c r="C595" s="12" t="s">
        <v>2329</v>
      </c>
      <c r="D595" s="1" t="s">
        <v>1097</v>
      </c>
      <c r="E595" s="15" t="str">
        <f t="shared" si="1"/>
        <v>Jan</v>
      </c>
      <c r="F595" s="13" t="s">
        <v>41</v>
      </c>
      <c r="G595" s="13" t="s">
        <v>2690</v>
      </c>
      <c r="H595" s="13" t="s">
        <v>2691</v>
      </c>
      <c r="I595" s="13" t="s">
        <v>23</v>
      </c>
      <c r="J595" s="13">
        <v>7.0</v>
      </c>
      <c r="K595" s="13" t="s">
        <v>1100</v>
      </c>
      <c r="L595" s="13" t="s">
        <v>70</v>
      </c>
      <c r="M595" s="13" t="s">
        <v>71</v>
      </c>
      <c r="N595" s="13" t="s">
        <v>51</v>
      </c>
      <c r="O595" s="14">
        <v>31.2</v>
      </c>
      <c r="P595" s="14">
        <f t="shared" si="2"/>
        <v>218.4</v>
      </c>
      <c r="Q595" s="14">
        <v>30.73</v>
      </c>
    </row>
    <row r="596">
      <c r="A596" s="12">
        <v>42224.0</v>
      </c>
      <c r="B596" s="12"/>
      <c r="C596" s="12" t="s">
        <v>2322</v>
      </c>
      <c r="D596" s="1" t="s">
        <v>1102</v>
      </c>
      <c r="E596" s="15" t="str">
        <f t="shared" si="1"/>
        <v>Aug</v>
      </c>
      <c r="F596" s="13" t="s">
        <v>41</v>
      </c>
      <c r="G596" s="13" t="s">
        <v>2375</v>
      </c>
      <c r="H596" s="13" t="s">
        <v>2692</v>
      </c>
      <c r="I596" s="13" t="s">
        <v>23</v>
      </c>
      <c r="J596" s="13">
        <v>9.0</v>
      </c>
      <c r="K596" s="13" t="s">
        <v>542</v>
      </c>
      <c r="L596" s="13" t="s">
        <v>52</v>
      </c>
      <c r="M596" s="13" t="s">
        <v>37</v>
      </c>
      <c r="N596" s="13" t="s">
        <v>38</v>
      </c>
      <c r="O596" s="14">
        <v>76.12</v>
      </c>
      <c r="P596" s="14">
        <f t="shared" si="2"/>
        <v>685.08</v>
      </c>
      <c r="Q596" s="14">
        <v>75.46</v>
      </c>
    </row>
    <row r="597">
      <c r="A597" s="12">
        <v>42224.0</v>
      </c>
      <c r="B597" s="12"/>
      <c r="C597" s="12" t="s">
        <v>2322</v>
      </c>
      <c r="D597" s="1" t="s">
        <v>1102</v>
      </c>
      <c r="E597" s="15" t="str">
        <f t="shared" si="1"/>
        <v>Aug</v>
      </c>
      <c r="F597" s="13" t="s">
        <v>41</v>
      </c>
      <c r="G597" s="13" t="s">
        <v>2375</v>
      </c>
      <c r="H597" s="13" t="s">
        <v>2692</v>
      </c>
      <c r="I597" s="13" t="s">
        <v>23</v>
      </c>
      <c r="J597" s="13">
        <v>9.0</v>
      </c>
      <c r="K597" s="13" t="s">
        <v>542</v>
      </c>
      <c r="L597" s="13" t="s">
        <v>52</v>
      </c>
      <c r="M597" s="13" t="s">
        <v>37</v>
      </c>
      <c r="N597" s="13" t="s">
        <v>51</v>
      </c>
      <c r="O597" s="14">
        <v>1199.976</v>
      </c>
      <c r="P597" s="14">
        <f t="shared" si="2"/>
        <v>10799.784</v>
      </c>
      <c r="Q597" s="14">
        <v>1199.23</v>
      </c>
    </row>
    <row r="598">
      <c r="A598" s="12">
        <v>42224.0</v>
      </c>
      <c r="B598" s="12"/>
      <c r="C598" s="12" t="s">
        <v>2322</v>
      </c>
      <c r="D598" s="1" t="s">
        <v>1102</v>
      </c>
      <c r="E598" s="15" t="str">
        <f t="shared" si="1"/>
        <v>Aug</v>
      </c>
      <c r="F598" s="13" t="s">
        <v>41</v>
      </c>
      <c r="G598" s="13" t="s">
        <v>2375</v>
      </c>
      <c r="H598" s="13" t="s">
        <v>2692</v>
      </c>
      <c r="I598" s="13" t="s">
        <v>23</v>
      </c>
      <c r="J598" s="13">
        <v>9.0</v>
      </c>
      <c r="K598" s="13" t="s">
        <v>542</v>
      </c>
      <c r="L598" s="13" t="s">
        <v>52</v>
      </c>
      <c r="M598" s="13" t="s">
        <v>37</v>
      </c>
      <c r="N598" s="13" t="s">
        <v>51</v>
      </c>
      <c r="O598" s="14">
        <v>445.96</v>
      </c>
      <c r="P598" s="14">
        <f t="shared" si="2"/>
        <v>4013.64</v>
      </c>
      <c r="Q598" s="14">
        <v>445.38</v>
      </c>
    </row>
    <row r="599">
      <c r="A599" s="12">
        <v>42224.0</v>
      </c>
      <c r="B599" s="12"/>
      <c r="C599" s="12" t="s">
        <v>2322</v>
      </c>
      <c r="D599" s="1" t="s">
        <v>1102</v>
      </c>
      <c r="E599" s="15" t="str">
        <f t="shared" si="1"/>
        <v>Aug</v>
      </c>
      <c r="F599" s="13" t="s">
        <v>41</v>
      </c>
      <c r="G599" s="13" t="s">
        <v>2375</v>
      </c>
      <c r="H599" s="13" t="s">
        <v>2692</v>
      </c>
      <c r="I599" s="13" t="s">
        <v>23</v>
      </c>
      <c r="J599" s="13">
        <v>9.0</v>
      </c>
      <c r="K599" s="13" t="s">
        <v>542</v>
      </c>
      <c r="L599" s="13" t="s">
        <v>52</v>
      </c>
      <c r="M599" s="13" t="s">
        <v>37</v>
      </c>
      <c r="N599" s="13" t="s">
        <v>27</v>
      </c>
      <c r="O599" s="14">
        <v>327.76</v>
      </c>
      <c r="P599" s="14">
        <f t="shared" si="2"/>
        <v>2949.84</v>
      </c>
      <c r="Q599" s="14">
        <v>327.51</v>
      </c>
    </row>
    <row r="600">
      <c r="A600" s="12">
        <v>42930.0</v>
      </c>
      <c r="B600" s="12"/>
      <c r="C600" s="12" t="s">
        <v>2348</v>
      </c>
      <c r="D600" s="1" t="s">
        <v>1006</v>
      </c>
      <c r="E600" s="15" t="str">
        <f t="shared" si="1"/>
        <v>Jul</v>
      </c>
      <c r="F600" s="13" t="s">
        <v>121</v>
      </c>
      <c r="G600" s="13" t="s">
        <v>2693</v>
      </c>
      <c r="H600" s="13" t="s">
        <v>2694</v>
      </c>
      <c r="I600" s="13" t="s">
        <v>23</v>
      </c>
      <c r="J600" s="13">
        <v>1.0</v>
      </c>
      <c r="K600" s="13" t="s">
        <v>98</v>
      </c>
      <c r="L600" s="13" t="s">
        <v>99</v>
      </c>
      <c r="M600" s="13" t="s">
        <v>100</v>
      </c>
      <c r="N600" s="13" t="s">
        <v>38</v>
      </c>
      <c r="O600" s="14">
        <v>11.632</v>
      </c>
      <c r="P600" s="14">
        <f t="shared" si="2"/>
        <v>11.632</v>
      </c>
      <c r="Q600" s="14">
        <v>11.38</v>
      </c>
    </row>
    <row r="601">
      <c r="A601" s="12">
        <v>42932.0</v>
      </c>
      <c r="B601" s="12"/>
      <c r="C601" s="12" t="s">
        <v>2348</v>
      </c>
      <c r="D601" s="1" t="s">
        <v>1109</v>
      </c>
      <c r="E601" s="15" t="str">
        <f t="shared" si="1"/>
        <v>Jul</v>
      </c>
      <c r="F601" s="13" t="s">
        <v>41</v>
      </c>
      <c r="G601" s="13" t="s">
        <v>2695</v>
      </c>
      <c r="H601" s="13" t="s">
        <v>2696</v>
      </c>
      <c r="I601" s="13" t="s">
        <v>23</v>
      </c>
      <c r="J601" s="13">
        <v>1.0</v>
      </c>
      <c r="K601" s="13" t="s">
        <v>98</v>
      </c>
      <c r="L601" s="13" t="s">
        <v>99</v>
      </c>
      <c r="M601" s="13" t="s">
        <v>100</v>
      </c>
      <c r="N601" s="13" t="s">
        <v>51</v>
      </c>
      <c r="O601" s="14">
        <v>143.982</v>
      </c>
      <c r="P601" s="14">
        <f t="shared" si="2"/>
        <v>143.982</v>
      </c>
      <c r="Q601" s="14">
        <v>143.98</v>
      </c>
    </row>
    <row r="602">
      <c r="A602" s="12">
        <v>42932.0</v>
      </c>
      <c r="B602" s="12"/>
      <c r="C602" s="12" t="s">
        <v>2348</v>
      </c>
      <c r="D602" s="1" t="s">
        <v>1109</v>
      </c>
      <c r="E602" s="15" t="str">
        <f t="shared" si="1"/>
        <v>Jul</v>
      </c>
      <c r="F602" s="13" t="s">
        <v>41</v>
      </c>
      <c r="G602" s="13" t="s">
        <v>2695</v>
      </c>
      <c r="H602" s="13" t="s">
        <v>2696</v>
      </c>
      <c r="I602" s="13" t="s">
        <v>23</v>
      </c>
      <c r="J602" s="13">
        <v>1.0</v>
      </c>
      <c r="K602" s="13" t="s">
        <v>98</v>
      </c>
      <c r="L602" s="13" t="s">
        <v>99</v>
      </c>
      <c r="M602" s="13" t="s">
        <v>100</v>
      </c>
      <c r="N602" s="13" t="s">
        <v>51</v>
      </c>
      <c r="O602" s="14">
        <v>494.376</v>
      </c>
      <c r="P602" s="14">
        <f t="shared" si="2"/>
        <v>494.376</v>
      </c>
      <c r="Q602" s="14">
        <v>493.7</v>
      </c>
    </row>
    <row r="603">
      <c r="A603" s="12">
        <v>42932.0</v>
      </c>
      <c r="B603" s="12"/>
      <c r="C603" s="12" t="s">
        <v>2348</v>
      </c>
      <c r="D603" s="1" t="s">
        <v>1109</v>
      </c>
      <c r="E603" s="15" t="str">
        <f t="shared" si="1"/>
        <v>Jul</v>
      </c>
      <c r="F603" s="13" t="s">
        <v>41</v>
      </c>
      <c r="G603" s="13" t="s">
        <v>2695</v>
      </c>
      <c r="H603" s="13" t="s">
        <v>2696</v>
      </c>
      <c r="I603" s="13" t="s">
        <v>23</v>
      </c>
      <c r="J603" s="13">
        <v>1.0</v>
      </c>
      <c r="K603" s="13" t="s">
        <v>98</v>
      </c>
      <c r="L603" s="13" t="s">
        <v>99</v>
      </c>
      <c r="M603" s="13" t="s">
        <v>100</v>
      </c>
      <c r="N603" s="13" t="s">
        <v>38</v>
      </c>
      <c r="O603" s="14">
        <v>5.84</v>
      </c>
      <c r="P603" s="14">
        <f t="shared" si="2"/>
        <v>5.84</v>
      </c>
      <c r="Q603" s="14">
        <v>4.88</v>
      </c>
    </row>
    <row r="604">
      <c r="A604" s="12">
        <v>42078.0</v>
      </c>
      <c r="B604" s="12"/>
      <c r="C604" s="12" t="s">
        <v>2399</v>
      </c>
      <c r="D604" s="1" t="s">
        <v>1113</v>
      </c>
      <c r="E604" s="15" t="str">
        <f t="shared" si="1"/>
        <v>Mar</v>
      </c>
      <c r="F604" s="13" t="s">
        <v>41</v>
      </c>
      <c r="G604" s="13" t="s">
        <v>2438</v>
      </c>
      <c r="H604" s="13" t="s">
        <v>2697</v>
      </c>
      <c r="I604" s="13" t="s">
        <v>23</v>
      </c>
      <c r="J604" s="13">
        <v>3.0</v>
      </c>
      <c r="K604" s="13" t="s">
        <v>522</v>
      </c>
      <c r="L604" s="13" t="s">
        <v>145</v>
      </c>
      <c r="M604" s="13" t="s">
        <v>26</v>
      </c>
      <c r="N604" s="13" t="s">
        <v>38</v>
      </c>
      <c r="O604" s="14">
        <v>142.776</v>
      </c>
      <c r="P604" s="14">
        <f t="shared" si="2"/>
        <v>428.328</v>
      </c>
      <c r="Q604" s="14">
        <v>142.64</v>
      </c>
    </row>
    <row r="605">
      <c r="A605" s="12">
        <v>42078.0</v>
      </c>
      <c r="B605" s="12"/>
      <c r="C605" s="12" t="s">
        <v>2399</v>
      </c>
      <c r="D605" s="1" t="s">
        <v>1113</v>
      </c>
      <c r="E605" s="15" t="str">
        <f t="shared" si="1"/>
        <v>Mar</v>
      </c>
      <c r="F605" s="13" t="s">
        <v>41</v>
      </c>
      <c r="G605" s="13" t="s">
        <v>2438</v>
      </c>
      <c r="H605" s="13" t="s">
        <v>2697</v>
      </c>
      <c r="I605" s="13" t="s">
        <v>23</v>
      </c>
      <c r="J605" s="13">
        <v>3.0</v>
      </c>
      <c r="K605" s="13" t="s">
        <v>522</v>
      </c>
      <c r="L605" s="13" t="s">
        <v>145</v>
      </c>
      <c r="M605" s="13" t="s">
        <v>26</v>
      </c>
      <c r="N605" s="13" t="s">
        <v>27</v>
      </c>
      <c r="O605" s="14">
        <v>45.696</v>
      </c>
      <c r="P605" s="14">
        <f t="shared" si="2"/>
        <v>137.088</v>
      </c>
      <c r="Q605" s="14">
        <v>45.65</v>
      </c>
    </row>
    <row r="606">
      <c r="A606" s="12">
        <v>42078.0</v>
      </c>
      <c r="B606" s="12"/>
      <c r="C606" s="12" t="s">
        <v>2399</v>
      </c>
      <c r="D606" s="1" t="s">
        <v>1113</v>
      </c>
      <c r="E606" s="15" t="str">
        <f t="shared" si="1"/>
        <v>Mar</v>
      </c>
      <c r="F606" s="13" t="s">
        <v>41</v>
      </c>
      <c r="G606" s="13" t="s">
        <v>2438</v>
      </c>
      <c r="H606" s="13" t="s">
        <v>2697</v>
      </c>
      <c r="I606" s="13" t="s">
        <v>23</v>
      </c>
      <c r="J606" s="13">
        <v>3.0</v>
      </c>
      <c r="K606" s="13" t="s">
        <v>522</v>
      </c>
      <c r="L606" s="13" t="s">
        <v>145</v>
      </c>
      <c r="M606" s="13" t="s">
        <v>26</v>
      </c>
      <c r="N606" s="13" t="s">
        <v>38</v>
      </c>
      <c r="O606" s="14">
        <v>7.218</v>
      </c>
      <c r="P606" s="14">
        <f t="shared" si="2"/>
        <v>21.654</v>
      </c>
      <c r="Q606" s="14">
        <v>6.25</v>
      </c>
    </row>
    <row r="607">
      <c r="A607" s="12">
        <v>42078.0</v>
      </c>
      <c r="B607" s="12"/>
      <c r="C607" s="12" t="s">
        <v>2399</v>
      </c>
      <c r="D607" s="1" t="s">
        <v>1113</v>
      </c>
      <c r="E607" s="15" t="str">
        <f t="shared" si="1"/>
        <v>Mar</v>
      </c>
      <c r="F607" s="13" t="s">
        <v>41</v>
      </c>
      <c r="G607" s="13" t="s">
        <v>2438</v>
      </c>
      <c r="H607" s="13" t="s">
        <v>2697</v>
      </c>
      <c r="I607" s="13" t="s">
        <v>23</v>
      </c>
      <c r="J607" s="13">
        <v>3.0</v>
      </c>
      <c r="K607" s="13" t="s">
        <v>522</v>
      </c>
      <c r="L607" s="13" t="s">
        <v>145</v>
      </c>
      <c r="M607" s="13" t="s">
        <v>26</v>
      </c>
      <c r="N607" s="13" t="s">
        <v>38</v>
      </c>
      <c r="O607" s="14">
        <v>43.188</v>
      </c>
      <c r="P607" s="14">
        <f t="shared" si="2"/>
        <v>129.564</v>
      </c>
      <c r="Q607" s="14">
        <v>42.61</v>
      </c>
    </row>
    <row r="608">
      <c r="A608" s="12">
        <v>42078.0</v>
      </c>
      <c r="B608" s="12"/>
      <c r="C608" s="12" t="s">
        <v>2399</v>
      </c>
      <c r="D608" s="1" t="s">
        <v>1113</v>
      </c>
      <c r="E608" s="15" t="str">
        <f t="shared" si="1"/>
        <v>Mar</v>
      </c>
      <c r="F608" s="13" t="s">
        <v>41</v>
      </c>
      <c r="G608" s="13" t="s">
        <v>2438</v>
      </c>
      <c r="H608" s="13" t="s">
        <v>2697</v>
      </c>
      <c r="I608" s="13" t="s">
        <v>23</v>
      </c>
      <c r="J608" s="13">
        <v>3.0</v>
      </c>
      <c r="K608" s="13" t="s">
        <v>522</v>
      </c>
      <c r="L608" s="13" t="s">
        <v>145</v>
      </c>
      <c r="M608" s="13" t="s">
        <v>26</v>
      </c>
      <c r="N608" s="13" t="s">
        <v>38</v>
      </c>
      <c r="O608" s="14">
        <v>131.904</v>
      </c>
      <c r="P608" s="14">
        <f t="shared" si="2"/>
        <v>395.712</v>
      </c>
      <c r="Q608" s="14">
        <v>131.07</v>
      </c>
    </row>
    <row r="609">
      <c r="A609" s="12">
        <v>42147.0</v>
      </c>
      <c r="B609" s="12"/>
      <c r="C609" s="12" t="s">
        <v>2335</v>
      </c>
      <c r="D609" s="1" t="s">
        <v>1117</v>
      </c>
      <c r="E609" s="15" t="str">
        <f t="shared" si="1"/>
        <v>May</v>
      </c>
      <c r="F609" s="13" t="s">
        <v>41</v>
      </c>
      <c r="G609" s="13" t="s">
        <v>2333</v>
      </c>
      <c r="H609" s="13" t="s">
        <v>2698</v>
      </c>
      <c r="I609" s="13" t="s">
        <v>23</v>
      </c>
      <c r="J609" s="13">
        <v>1.0</v>
      </c>
      <c r="K609" s="13" t="s">
        <v>98</v>
      </c>
      <c r="L609" s="13" t="s">
        <v>99</v>
      </c>
      <c r="M609" s="13" t="s">
        <v>100</v>
      </c>
      <c r="N609" s="13" t="s">
        <v>38</v>
      </c>
      <c r="O609" s="14">
        <v>3.282</v>
      </c>
      <c r="P609" s="14">
        <f t="shared" si="2"/>
        <v>3.282</v>
      </c>
      <c r="Q609" s="14">
        <v>2.64</v>
      </c>
    </row>
    <row r="610">
      <c r="A610" s="12">
        <v>42147.0</v>
      </c>
      <c r="B610" s="12"/>
      <c r="C610" s="12" t="s">
        <v>2335</v>
      </c>
      <c r="D610" s="1" t="s">
        <v>1117</v>
      </c>
      <c r="E610" s="15" t="str">
        <f t="shared" si="1"/>
        <v>May</v>
      </c>
      <c r="F610" s="13" t="s">
        <v>41</v>
      </c>
      <c r="G610" s="13" t="s">
        <v>2333</v>
      </c>
      <c r="H610" s="13" t="s">
        <v>2698</v>
      </c>
      <c r="I610" s="13" t="s">
        <v>23</v>
      </c>
      <c r="J610" s="13">
        <v>1.0</v>
      </c>
      <c r="K610" s="13" t="s">
        <v>98</v>
      </c>
      <c r="L610" s="13" t="s">
        <v>99</v>
      </c>
      <c r="M610" s="13" t="s">
        <v>100</v>
      </c>
      <c r="N610" s="13" t="s">
        <v>38</v>
      </c>
      <c r="O610" s="14">
        <v>21.168</v>
      </c>
      <c r="P610" s="14">
        <f t="shared" si="2"/>
        <v>21.168</v>
      </c>
      <c r="Q610" s="14">
        <v>20.68</v>
      </c>
    </row>
    <row r="611">
      <c r="A611" s="12">
        <v>42147.0</v>
      </c>
      <c r="B611" s="12"/>
      <c r="C611" s="12" t="s">
        <v>2335</v>
      </c>
      <c r="D611" s="1" t="s">
        <v>1117</v>
      </c>
      <c r="E611" s="15" t="str">
        <f t="shared" si="1"/>
        <v>May</v>
      </c>
      <c r="F611" s="13" t="s">
        <v>41</v>
      </c>
      <c r="G611" s="13" t="s">
        <v>2333</v>
      </c>
      <c r="H611" s="13" t="s">
        <v>2698</v>
      </c>
      <c r="I611" s="13" t="s">
        <v>23</v>
      </c>
      <c r="J611" s="13">
        <v>1.0</v>
      </c>
      <c r="K611" s="13" t="s">
        <v>98</v>
      </c>
      <c r="L611" s="13" t="s">
        <v>99</v>
      </c>
      <c r="M611" s="13" t="s">
        <v>100</v>
      </c>
      <c r="N611" s="13" t="s">
        <v>51</v>
      </c>
      <c r="O611" s="14">
        <v>55.188</v>
      </c>
      <c r="P611" s="14">
        <f t="shared" si="2"/>
        <v>55.188</v>
      </c>
      <c r="Q611" s="14">
        <v>54.68</v>
      </c>
    </row>
    <row r="612">
      <c r="A612" s="12">
        <v>42853.0</v>
      </c>
      <c r="B612" s="12"/>
      <c r="C612" s="12" t="s">
        <v>2332</v>
      </c>
      <c r="D612" s="6">
        <v>42740.0</v>
      </c>
      <c r="E612" s="15" t="str">
        <f t="shared" si="1"/>
        <v>Jan</v>
      </c>
      <c r="F612" s="13" t="s">
        <v>121</v>
      </c>
      <c r="G612" s="13" t="s">
        <v>2699</v>
      </c>
      <c r="H612" s="13" t="s">
        <v>2700</v>
      </c>
      <c r="I612" s="13" t="s">
        <v>34</v>
      </c>
      <c r="J612" s="13">
        <v>7.0</v>
      </c>
      <c r="K612" s="13" t="s">
        <v>480</v>
      </c>
      <c r="L612" s="13" t="s">
        <v>70</v>
      </c>
      <c r="M612" s="13" t="s">
        <v>71</v>
      </c>
      <c r="N612" s="13" t="s">
        <v>51</v>
      </c>
      <c r="O612" s="14">
        <v>369.576</v>
      </c>
      <c r="P612" s="14">
        <f t="shared" si="2"/>
        <v>2587.032</v>
      </c>
      <c r="Q612" s="14">
        <v>369.43</v>
      </c>
    </row>
    <row r="613">
      <c r="A613" s="12">
        <v>42853.0</v>
      </c>
      <c r="B613" s="12"/>
      <c r="C613" s="12" t="s">
        <v>2332</v>
      </c>
      <c r="D613" s="6">
        <v>42740.0</v>
      </c>
      <c r="E613" s="15" t="str">
        <f t="shared" si="1"/>
        <v>Jan</v>
      </c>
      <c r="F613" s="13" t="s">
        <v>121</v>
      </c>
      <c r="G613" s="13" t="s">
        <v>2699</v>
      </c>
      <c r="H613" s="13" t="s">
        <v>2700</v>
      </c>
      <c r="I613" s="13" t="s">
        <v>34</v>
      </c>
      <c r="J613" s="13">
        <v>7.0</v>
      </c>
      <c r="K613" s="13" t="s">
        <v>480</v>
      </c>
      <c r="L613" s="13" t="s">
        <v>70</v>
      </c>
      <c r="M613" s="13" t="s">
        <v>71</v>
      </c>
      <c r="N613" s="13" t="s">
        <v>38</v>
      </c>
      <c r="O613" s="14">
        <v>15.712</v>
      </c>
      <c r="P613" s="14">
        <f t="shared" si="2"/>
        <v>109.984</v>
      </c>
      <c r="Q613" s="14">
        <v>15.41</v>
      </c>
    </row>
    <row r="614">
      <c r="A614" s="12">
        <v>43048.0</v>
      </c>
      <c r="B614" s="12"/>
      <c r="C614" s="12" t="s">
        <v>2326</v>
      </c>
      <c r="D614" s="1" t="s">
        <v>1124</v>
      </c>
      <c r="E614" s="15" t="str">
        <f t="shared" si="1"/>
        <v>Sep</v>
      </c>
      <c r="F614" s="13" t="s">
        <v>20</v>
      </c>
      <c r="G614" s="13" t="s">
        <v>2701</v>
      </c>
      <c r="H614" s="13" t="s">
        <v>2702</v>
      </c>
      <c r="I614" s="13" t="s">
        <v>34</v>
      </c>
      <c r="J614" s="13">
        <v>1.0</v>
      </c>
      <c r="K614" s="13" t="s">
        <v>98</v>
      </c>
      <c r="L614" s="13" t="s">
        <v>99</v>
      </c>
      <c r="M614" s="13" t="s">
        <v>100</v>
      </c>
      <c r="N614" s="13" t="s">
        <v>38</v>
      </c>
      <c r="O614" s="14">
        <v>8.448</v>
      </c>
      <c r="P614" s="14">
        <f t="shared" si="2"/>
        <v>8.448</v>
      </c>
      <c r="Q614" s="14">
        <v>7.49</v>
      </c>
    </row>
    <row r="615">
      <c r="A615" s="12">
        <v>43048.0</v>
      </c>
      <c r="B615" s="12"/>
      <c r="C615" s="12" t="s">
        <v>2326</v>
      </c>
      <c r="D615" s="1" t="s">
        <v>1124</v>
      </c>
      <c r="E615" s="15" t="str">
        <f t="shared" si="1"/>
        <v>Sep</v>
      </c>
      <c r="F615" s="13" t="s">
        <v>20</v>
      </c>
      <c r="G615" s="13" t="s">
        <v>2701</v>
      </c>
      <c r="H615" s="13" t="s">
        <v>2702</v>
      </c>
      <c r="I615" s="13" t="s">
        <v>34</v>
      </c>
      <c r="J615" s="13">
        <v>1.0</v>
      </c>
      <c r="K615" s="13" t="s">
        <v>98</v>
      </c>
      <c r="L615" s="13" t="s">
        <v>99</v>
      </c>
      <c r="M615" s="13" t="s">
        <v>100</v>
      </c>
      <c r="N615" s="13" t="s">
        <v>51</v>
      </c>
      <c r="O615" s="14">
        <v>728.946</v>
      </c>
      <c r="P615" s="14">
        <f t="shared" si="2"/>
        <v>728.946</v>
      </c>
      <c r="Q615" s="14">
        <v>727.99</v>
      </c>
    </row>
    <row r="616">
      <c r="A616" s="12">
        <v>43418.0</v>
      </c>
      <c r="B616" s="12"/>
      <c r="C616" s="12" t="s">
        <v>2326</v>
      </c>
      <c r="D616" s="1" t="s">
        <v>1128</v>
      </c>
      <c r="E616" s="15" t="str">
        <f t="shared" si="1"/>
        <v>Nov</v>
      </c>
      <c r="F616" s="13" t="s">
        <v>20</v>
      </c>
      <c r="G616" s="13" t="s">
        <v>2703</v>
      </c>
      <c r="H616" s="13" t="s">
        <v>2704</v>
      </c>
      <c r="I616" s="13" t="s">
        <v>23</v>
      </c>
      <c r="J616" s="13">
        <v>4.0</v>
      </c>
      <c r="K616" s="13" t="s">
        <v>1131</v>
      </c>
      <c r="L616" s="13" t="s">
        <v>304</v>
      </c>
      <c r="M616" s="13" t="s">
        <v>100</v>
      </c>
      <c r="N616" s="13" t="s">
        <v>51</v>
      </c>
      <c r="O616" s="14">
        <v>119.94</v>
      </c>
      <c r="P616" s="14">
        <f t="shared" si="2"/>
        <v>479.76</v>
      </c>
      <c r="Q616" s="14">
        <v>119.72</v>
      </c>
    </row>
    <row r="617">
      <c r="A617" s="12">
        <v>43418.0</v>
      </c>
      <c r="B617" s="12"/>
      <c r="C617" s="12" t="s">
        <v>2326</v>
      </c>
      <c r="D617" s="1" t="s">
        <v>1128</v>
      </c>
      <c r="E617" s="15" t="str">
        <f t="shared" si="1"/>
        <v>Nov</v>
      </c>
      <c r="F617" s="13" t="s">
        <v>20</v>
      </c>
      <c r="G617" s="13" t="s">
        <v>2703</v>
      </c>
      <c r="H617" s="13" t="s">
        <v>2704</v>
      </c>
      <c r="I617" s="13" t="s">
        <v>23</v>
      </c>
      <c r="J617" s="13">
        <v>4.0</v>
      </c>
      <c r="K617" s="13" t="s">
        <v>1131</v>
      </c>
      <c r="L617" s="13" t="s">
        <v>304</v>
      </c>
      <c r="M617" s="13" t="s">
        <v>100</v>
      </c>
      <c r="N617" s="13" t="s">
        <v>38</v>
      </c>
      <c r="O617" s="14">
        <v>3.648</v>
      </c>
      <c r="P617" s="14">
        <f t="shared" si="2"/>
        <v>14.592</v>
      </c>
      <c r="Q617" s="14">
        <v>2.81</v>
      </c>
    </row>
    <row r="618">
      <c r="A618" s="12">
        <v>43330.0</v>
      </c>
      <c r="B618" s="12"/>
      <c r="C618" s="12" t="s">
        <v>2322</v>
      </c>
      <c r="D618" s="1" t="s">
        <v>824</v>
      </c>
      <c r="E618" s="15" t="str">
        <f t="shared" si="1"/>
        <v>Aug</v>
      </c>
      <c r="F618" s="13" t="s">
        <v>20</v>
      </c>
      <c r="G618" s="13" t="s">
        <v>2705</v>
      </c>
      <c r="H618" s="13" t="s">
        <v>2706</v>
      </c>
      <c r="I618" s="13" t="s">
        <v>34</v>
      </c>
      <c r="J618" s="13">
        <v>1.0</v>
      </c>
      <c r="K618" s="13" t="s">
        <v>174</v>
      </c>
      <c r="L618" s="13" t="s">
        <v>175</v>
      </c>
      <c r="M618" s="13" t="s">
        <v>100</v>
      </c>
      <c r="N618" s="13" t="s">
        <v>27</v>
      </c>
      <c r="O618" s="14">
        <v>40.48</v>
      </c>
      <c r="P618" s="14">
        <f t="shared" si="2"/>
        <v>40.48</v>
      </c>
      <c r="Q618" s="14">
        <v>40.35</v>
      </c>
    </row>
    <row r="619">
      <c r="A619" s="12">
        <v>43330.0</v>
      </c>
      <c r="B619" s="12"/>
      <c r="C619" s="12" t="s">
        <v>2322</v>
      </c>
      <c r="D619" s="1" t="s">
        <v>824</v>
      </c>
      <c r="E619" s="15" t="str">
        <f t="shared" si="1"/>
        <v>Aug</v>
      </c>
      <c r="F619" s="13" t="s">
        <v>20</v>
      </c>
      <c r="G619" s="13" t="s">
        <v>2705</v>
      </c>
      <c r="H619" s="13" t="s">
        <v>2706</v>
      </c>
      <c r="I619" s="13" t="s">
        <v>34</v>
      </c>
      <c r="J619" s="13">
        <v>1.0</v>
      </c>
      <c r="K619" s="13" t="s">
        <v>174</v>
      </c>
      <c r="L619" s="13" t="s">
        <v>175</v>
      </c>
      <c r="M619" s="13" t="s">
        <v>100</v>
      </c>
      <c r="N619" s="13" t="s">
        <v>27</v>
      </c>
      <c r="O619" s="14">
        <v>9.94</v>
      </c>
      <c r="P619" s="14">
        <f t="shared" si="2"/>
        <v>9.94</v>
      </c>
      <c r="Q619" s="14">
        <v>9.42</v>
      </c>
    </row>
    <row r="620">
      <c r="A620" s="12">
        <v>43330.0</v>
      </c>
      <c r="B620" s="12"/>
      <c r="C620" s="12" t="s">
        <v>2322</v>
      </c>
      <c r="D620" s="1" t="s">
        <v>824</v>
      </c>
      <c r="E620" s="15" t="str">
        <f t="shared" si="1"/>
        <v>Aug</v>
      </c>
      <c r="F620" s="13" t="s">
        <v>20</v>
      </c>
      <c r="G620" s="13" t="s">
        <v>2705</v>
      </c>
      <c r="H620" s="13" t="s">
        <v>2706</v>
      </c>
      <c r="I620" s="13" t="s">
        <v>34</v>
      </c>
      <c r="J620" s="13">
        <v>1.0</v>
      </c>
      <c r="K620" s="13" t="s">
        <v>174</v>
      </c>
      <c r="L620" s="13" t="s">
        <v>175</v>
      </c>
      <c r="M620" s="13" t="s">
        <v>100</v>
      </c>
      <c r="N620" s="13" t="s">
        <v>38</v>
      </c>
      <c r="O620" s="14">
        <v>107.424</v>
      </c>
      <c r="P620" s="14">
        <f t="shared" si="2"/>
        <v>107.424</v>
      </c>
      <c r="Q620" s="14">
        <v>107.26</v>
      </c>
    </row>
    <row r="621">
      <c r="A621" s="12">
        <v>43330.0</v>
      </c>
      <c r="B621" s="12"/>
      <c r="C621" s="12" t="s">
        <v>2322</v>
      </c>
      <c r="D621" s="1" t="s">
        <v>824</v>
      </c>
      <c r="E621" s="15" t="str">
        <f t="shared" si="1"/>
        <v>Aug</v>
      </c>
      <c r="F621" s="13" t="s">
        <v>20</v>
      </c>
      <c r="G621" s="13" t="s">
        <v>2705</v>
      </c>
      <c r="H621" s="13" t="s">
        <v>2706</v>
      </c>
      <c r="I621" s="13" t="s">
        <v>34</v>
      </c>
      <c r="J621" s="13">
        <v>1.0</v>
      </c>
      <c r="K621" s="13" t="s">
        <v>174</v>
      </c>
      <c r="L621" s="13" t="s">
        <v>175</v>
      </c>
      <c r="M621" s="13" t="s">
        <v>100</v>
      </c>
      <c r="N621" s="13" t="s">
        <v>51</v>
      </c>
      <c r="O621" s="14">
        <v>37.91</v>
      </c>
      <c r="P621" s="14">
        <f t="shared" si="2"/>
        <v>37.91</v>
      </c>
      <c r="Q621" s="14">
        <v>37.76</v>
      </c>
    </row>
    <row r="622">
      <c r="A622" s="12">
        <v>43330.0</v>
      </c>
      <c r="B622" s="12"/>
      <c r="C622" s="12" t="s">
        <v>2322</v>
      </c>
      <c r="D622" s="1" t="s">
        <v>824</v>
      </c>
      <c r="E622" s="15" t="str">
        <f t="shared" si="1"/>
        <v>Aug</v>
      </c>
      <c r="F622" s="13" t="s">
        <v>20</v>
      </c>
      <c r="G622" s="13" t="s">
        <v>2705</v>
      </c>
      <c r="H622" s="13" t="s">
        <v>2706</v>
      </c>
      <c r="I622" s="13" t="s">
        <v>34</v>
      </c>
      <c r="J622" s="13">
        <v>1.0</v>
      </c>
      <c r="K622" s="13" t="s">
        <v>174</v>
      </c>
      <c r="L622" s="13" t="s">
        <v>175</v>
      </c>
      <c r="M622" s="13" t="s">
        <v>100</v>
      </c>
      <c r="N622" s="13" t="s">
        <v>27</v>
      </c>
      <c r="O622" s="14">
        <v>88.02</v>
      </c>
      <c r="P622" s="14">
        <f t="shared" si="2"/>
        <v>88.02</v>
      </c>
      <c r="Q622" s="14">
        <v>87.89</v>
      </c>
    </row>
    <row r="623">
      <c r="A623" s="12">
        <v>42364.0</v>
      </c>
      <c r="B623" s="12"/>
      <c r="C623" s="12" t="s">
        <v>2325</v>
      </c>
      <c r="D623" s="1" t="s">
        <v>1136</v>
      </c>
      <c r="E623" s="15" t="str">
        <f t="shared" si="1"/>
        <v>Dec</v>
      </c>
      <c r="F623" s="13" t="s">
        <v>41</v>
      </c>
      <c r="G623" s="13" t="s">
        <v>2707</v>
      </c>
      <c r="H623" s="13" t="s">
        <v>2708</v>
      </c>
      <c r="I623" s="13" t="s">
        <v>23</v>
      </c>
      <c r="J623" s="13">
        <v>6.0</v>
      </c>
      <c r="K623" s="13" t="s">
        <v>188</v>
      </c>
      <c r="L623" s="13" t="s">
        <v>135</v>
      </c>
      <c r="M623" s="13" t="s">
        <v>71</v>
      </c>
      <c r="N623" s="13" t="s">
        <v>38</v>
      </c>
      <c r="O623" s="14">
        <v>8.69</v>
      </c>
      <c r="P623" s="14">
        <f t="shared" si="2"/>
        <v>52.14</v>
      </c>
      <c r="Q623" s="14">
        <v>8.16</v>
      </c>
    </row>
    <row r="624">
      <c r="A624" s="12">
        <v>42703.0</v>
      </c>
      <c r="B624" s="12"/>
      <c r="C624" s="12" t="s">
        <v>2326</v>
      </c>
      <c r="D624" s="6">
        <v>42441.0</v>
      </c>
      <c r="E624" s="15" t="str">
        <f t="shared" si="1"/>
        <v>Mar</v>
      </c>
      <c r="F624" s="13" t="s">
        <v>41</v>
      </c>
      <c r="G624" s="13" t="s">
        <v>2709</v>
      </c>
      <c r="H624" s="13" t="s">
        <v>2710</v>
      </c>
      <c r="I624" s="13" t="s">
        <v>34</v>
      </c>
      <c r="J624" s="13">
        <v>4.0</v>
      </c>
      <c r="K624" s="13" t="s">
        <v>1142</v>
      </c>
      <c r="L624" s="13" t="s">
        <v>157</v>
      </c>
      <c r="M624" s="13" t="s">
        <v>71</v>
      </c>
      <c r="N624" s="13" t="s">
        <v>27</v>
      </c>
      <c r="O624" s="14">
        <v>301.96</v>
      </c>
      <c r="P624" s="14">
        <f t="shared" si="2"/>
        <v>1207.84</v>
      </c>
      <c r="Q624" s="14">
        <v>301.62</v>
      </c>
    </row>
    <row r="625">
      <c r="A625" s="12">
        <v>42703.0</v>
      </c>
      <c r="B625" s="12"/>
      <c r="C625" s="12" t="s">
        <v>2326</v>
      </c>
      <c r="D625" s="6">
        <v>42441.0</v>
      </c>
      <c r="E625" s="15" t="str">
        <f t="shared" si="1"/>
        <v>Mar</v>
      </c>
      <c r="F625" s="13" t="s">
        <v>41</v>
      </c>
      <c r="G625" s="13" t="s">
        <v>2709</v>
      </c>
      <c r="H625" s="13" t="s">
        <v>2710</v>
      </c>
      <c r="I625" s="13" t="s">
        <v>34</v>
      </c>
      <c r="J625" s="13">
        <v>4.0</v>
      </c>
      <c r="K625" s="13" t="s">
        <v>1142</v>
      </c>
      <c r="L625" s="13" t="s">
        <v>157</v>
      </c>
      <c r="M625" s="13" t="s">
        <v>71</v>
      </c>
      <c r="N625" s="13" t="s">
        <v>38</v>
      </c>
      <c r="O625" s="14">
        <v>555.21</v>
      </c>
      <c r="P625" s="14">
        <f t="shared" si="2"/>
        <v>2220.84</v>
      </c>
      <c r="Q625" s="14">
        <v>554.84</v>
      </c>
    </row>
    <row r="626">
      <c r="A626" s="12">
        <v>42703.0</v>
      </c>
      <c r="B626" s="12"/>
      <c r="C626" s="12" t="s">
        <v>2326</v>
      </c>
      <c r="D626" s="6">
        <v>42441.0</v>
      </c>
      <c r="E626" s="15" t="str">
        <f t="shared" si="1"/>
        <v>Mar</v>
      </c>
      <c r="F626" s="13" t="s">
        <v>41</v>
      </c>
      <c r="G626" s="13" t="s">
        <v>2709</v>
      </c>
      <c r="H626" s="13" t="s">
        <v>2710</v>
      </c>
      <c r="I626" s="13" t="s">
        <v>34</v>
      </c>
      <c r="J626" s="13">
        <v>4.0</v>
      </c>
      <c r="K626" s="13" t="s">
        <v>1142</v>
      </c>
      <c r="L626" s="13" t="s">
        <v>157</v>
      </c>
      <c r="M626" s="13" t="s">
        <v>71</v>
      </c>
      <c r="N626" s="13" t="s">
        <v>38</v>
      </c>
      <c r="O626" s="14">
        <v>523.48</v>
      </c>
      <c r="P626" s="14">
        <f t="shared" si="2"/>
        <v>2093.92</v>
      </c>
      <c r="Q626" s="14">
        <v>522.95</v>
      </c>
    </row>
    <row r="627">
      <c r="A627" s="12">
        <v>42703.0</v>
      </c>
      <c r="B627" s="12"/>
      <c r="C627" s="12" t="s">
        <v>2326</v>
      </c>
      <c r="D627" s="6">
        <v>42441.0</v>
      </c>
      <c r="E627" s="15" t="str">
        <f t="shared" si="1"/>
        <v>Mar</v>
      </c>
      <c r="F627" s="13" t="s">
        <v>41</v>
      </c>
      <c r="G627" s="13" t="s">
        <v>2709</v>
      </c>
      <c r="H627" s="13" t="s">
        <v>2710</v>
      </c>
      <c r="I627" s="13" t="s">
        <v>34</v>
      </c>
      <c r="J627" s="13">
        <v>4.0</v>
      </c>
      <c r="K627" s="13" t="s">
        <v>1142</v>
      </c>
      <c r="L627" s="13" t="s">
        <v>157</v>
      </c>
      <c r="M627" s="13" t="s">
        <v>71</v>
      </c>
      <c r="N627" s="13" t="s">
        <v>38</v>
      </c>
      <c r="O627" s="14">
        <v>161.82</v>
      </c>
      <c r="P627" s="14">
        <f t="shared" si="2"/>
        <v>647.28</v>
      </c>
      <c r="Q627" s="14">
        <v>161.05</v>
      </c>
    </row>
    <row r="628">
      <c r="A628" s="12">
        <v>43358.0</v>
      </c>
      <c r="B628" s="12"/>
      <c r="C628" s="12" t="s">
        <v>2329</v>
      </c>
      <c r="D628" s="1" t="s">
        <v>855</v>
      </c>
      <c r="E628" s="15" t="str">
        <f t="shared" si="1"/>
        <v>Sep</v>
      </c>
      <c r="F628" s="13" t="s">
        <v>41</v>
      </c>
      <c r="G628" s="13" t="s">
        <v>2711</v>
      </c>
      <c r="H628" s="13" t="s">
        <v>2712</v>
      </c>
      <c r="I628" s="13" t="s">
        <v>68</v>
      </c>
      <c r="J628" s="13">
        <v>1.0</v>
      </c>
      <c r="K628" s="13" t="s">
        <v>174</v>
      </c>
      <c r="L628" s="13" t="s">
        <v>175</v>
      </c>
      <c r="M628" s="13" t="s">
        <v>100</v>
      </c>
      <c r="N628" s="13" t="s">
        <v>27</v>
      </c>
      <c r="O628" s="14">
        <v>35.56</v>
      </c>
      <c r="P628" s="14">
        <f t="shared" si="2"/>
        <v>35.56</v>
      </c>
      <c r="Q628" s="14">
        <v>35.04</v>
      </c>
    </row>
    <row r="629">
      <c r="A629" s="12">
        <v>43239.0</v>
      </c>
      <c r="B629" s="12"/>
      <c r="C629" s="12" t="s">
        <v>2335</v>
      </c>
      <c r="D629" s="1" t="s">
        <v>1147</v>
      </c>
      <c r="E629" s="15" t="str">
        <f t="shared" si="1"/>
        <v>May</v>
      </c>
      <c r="F629" s="13" t="s">
        <v>41</v>
      </c>
      <c r="G629" s="13" t="s">
        <v>2713</v>
      </c>
      <c r="H629" s="13" t="s">
        <v>2714</v>
      </c>
      <c r="I629" s="13" t="s">
        <v>23</v>
      </c>
      <c r="J629" s="13">
        <v>9.0</v>
      </c>
      <c r="K629" s="13" t="s">
        <v>62</v>
      </c>
      <c r="L629" s="13" t="s">
        <v>63</v>
      </c>
      <c r="M629" s="13" t="s">
        <v>37</v>
      </c>
      <c r="N629" s="13" t="s">
        <v>38</v>
      </c>
      <c r="O629" s="14">
        <v>97.16</v>
      </c>
      <c r="P629" s="14">
        <f t="shared" si="2"/>
        <v>874.44</v>
      </c>
      <c r="Q629" s="14">
        <v>97.09</v>
      </c>
    </row>
    <row r="630">
      <c r="A630" s="12">
        <v>43451.0</v>
      </c>
      <c r="B630" s="12"/>
      <c r="C630" s="12" t="s">
        <v>2325</v>
      </c>
      <c r="D630" s="1" t="s">
        <v>477</v>
      </c>
      <c r="E630" s="15" t="str">
        <f t="shared" si="1"/>
        <v>Dec</v>
      </c>
      <c r="F630" s="13" t="s">
        <v>41</v>
      </c>
      <c r="G630" s="13" t="s">
        <v>2499</v>
      </c>
      <c r="H630" s="13" t="s">
        <v>2500</v>
      </c>
      <c r="I630" s="13" t="s">
        <v>23</v>
      </c>
      <c r="J630" s="13">
        <v>9.0</v>
      </c>
      <c r="K630" s="13" t="s">
        <v>87</v>
      </c>
      <c r="L630" s="13" t="s">
        <v>52</v>
      </c>
      <c r="M630" s="13" t="s">
        <v>37</v>
      </c>
      <c r="N630" s="13" t="s">
        <v>38</v>
      </c>
      <c r="O630" s="14">
        <v>15.24</v>
      </c>
      <c r="P630" s="14">
        <f t="shared" si="2"/>
        <v>137.16</v>
      </c>
      <c r="Q630" s="14">
        <v>14.45</v>
      </c>
    </row>
    <row r="631">
      <c r="A631" s="12">
        <v>43451.0</v>
      </c>
      <c r="B631" s="12"/>
      <c r="C631" s="12" t="s">
        <v>2325</v>
      </c>
      <c r="D631" s="1" t="s">
        <v>477</v>
      </c>
      <c r="E631" s="15" t="str">
        <f t="shared" si="1"/>
        <v>Dec</v>
      </c>
      <c r="F631" s="13" t="s">
        <v>41</v>
      </c>
      <c r="G631" s="13" t="s">
        <v>2499</v>
      </c>
      <c r="H631" s="13" t="s">
        <v>2500</v>
      </c>
      <c r="I631" s="13" t="s">
        <v>23</v>
      </c>
      <c r="J631" s="13">
        <v>9.0</v>
      </c>
      <c r="K631" s="13" t="s">
        <v>87</v>
      </c>
      <c r="L631" s="13" t="s">
        <v>52</v>
      </c>
      <c r="M631" s="13" t="s">
        <v>37</v>
      </c>
      <c r="N631" s="13" t="s">
        <v>38</v>
      </c>
      <c r="O631" s="14">
        <v>13.23</v>
      </c>
      <c r="P631" s="14">
        <f t="shared" si="2"/>
        <v>119.07</v>
      </c>
      <c r="Q631" s="14">
        <v>12.83</v>
      </c>
    </row>
    <row r="632">
      <c r="A632" s="12">
        <v>43051.0</v>
      </c>
      <c r="B632" s="12"/>
      <c r="C632" s="12" t="s">
        <v>2326</v>
      </c>
      <c r="D632" s="1" t="s">
        <v>89</v>
      </c>
      <c r="E632" s="15" t="str">
        <f t="shared" si="1"/>
        <v>Dec</v>
      </c>
      <c r="F632" s="13" t="s">
        <v>20</v>
      </c>
      <c r="G632" s="13" t="s">
        <v>2494</v>
      </c>
      <c r="H632" s="13" t="s">
        <v>2715</v>
      </c>
      <c r="I632" s="13" t="s">
        <v>23</v>
      </c>
      <c r="J632" s="13">
        <v>8.0</v>
      </c>
      <c r="K632" s="13" t="s">
        <v>278</v>
      </c>
      <c r="L632" s="13" t="s">
        <v>279</v>
      </c>
      <c r="M632" s="13" t="s">
        <v>37</v>
      </c>
      <c r="N632" s="13" t="s">
        <v>38</v>
      </c>
      <c r="O632" s="14">
        <v>243.384</v>
      </c>
      <c r="P632" s="14">
        <f t="shared" si="2"/>
        <v>1947.072</v>
      </c>
      <c r="Q632" s="14">
        <v>242.8</v>
      </c>
    </row>
    <row r="633">
      <c r="A633" s="12">
        <v>43051.0</v>
      </c>
      <c r="B633" s="12"/>
      <c r="C633" s="12" t="s">
        <v>2326</v>
      </c>
      <c r="D633" s="1" t="s">
        <v>89</v>
      </c>
      <c r="E633" s="15" t="str">
        <f t="shared" si="1"/>
        <v>Dec</v>
      </c>
      <c r="F633" s="13" t="s">
        <v>20</v>
      </c>
      <c r="G633" s="13" t="s">
        <v>2494</v>
      </c>
      <c r="H633" s="13" t="s">
        <v>2715</v>
      </c>
      <c r="I633" s="13" t="s">
        <v>23</v>
      </c>
      <c r="J633" s="13">
        <v>8.0</v>
      </c>
      <c r="K633" s="13" t="s">
        <v>278</v>
      </c>
      <c r="L633" s="13" t="s">
        <v>279</v>
      </c>
      <c r="M633" s="13" t="s">
        <v>37</v>
      </c>
      <c r="N633" s="13" t="s">
        <v>51</v>
      </c>
      <c r="O633" s="14">
        <v>119.8</v>
      </c>
      <c r="P633" s="14">
        <f t="shared" si="2"/>
        <v>958.4</v>
      </c>
      <c r="Q633" s="14">
        <v>119.49</v>
      </c>
    </row>
    <row r="634">
      <c r="A634" s="12">
        <v>43051.0</v>
      </c>
      <c r="B634" s="12"/>
      <c r="C634" s="12" t="s">
        <v>2326</v>
      </c>
      <c r="D634" s="1" t="s">
        <v>89</v>
      </c>
      <c r="E634" s="15" t="str">
        <f t="shared" si="1"/>
        <v>Dec</v>
      </c>
      <c r="F634" s="13" t="s">
        <v>20</v>
      </c>
      <c r="G634" s="13" t="s">
        <v>2494</v>
      </c>
      <c r="H634" s="13" t="s">
        <v>2715</v>
      </c>
      <c r="I634" s="13" t="s">
        <v>23</v>
      </c>
      <c r="J634" s="13">
        <v>8.0</v>
      </c>
      <c r="K634" s="13" t="s">
        <v>278</v>
      </c>
      <c r="L634" s="13" t="s">
        <v>279</v>
      </c>
      <c r="M634" s="13" t="s">
        <v>37</v>
      </c>
      <c r="N634" s="13" t="s">
        <v>51</v>
      </c>
      <c r="O634" s="14">
        <v>300.768</v>
      </c>
      <c r="P634" s="14">
        <f t="shared" si="2"/>
        <v>2406.144</v>
      </c>
      <c r="Q634" s="14">
        <v>300.09</v>
      </c>
    </row>
    <row r="635">
      <c r="A635" s="12">
        <v>43367.0</v>
      </c>
      <c r="B635" s="12"/>
      <c r="C635" s="12" t="s">
        <v>2329</v>
      </c>
      <c r="D635" s="1" t="s">
        <v>1155</v>
      </c>
      <c r="E635" s="15" t="str">
        <f t="shared" si="1"/>
        <v>Sep</v>
      </c>
      <c r="F635" s="13" t="s">
        <v>20</v>
      </c>
      <c r="G635" s="13" t="s">
        <v>2655</v>
      </c>
      <c r="H635" s="13" t="s">
        <v>2567</v>
      </c>
      <c r="I635" s="13" t="s">
        <v>23</v>
      </c>
      <c r="J635" s="13">
        <v>3.0</v>
      </c>
      <c r="K635" s="13" t="s">
        <v>791</v>
      </c>
      <c r="L635" s="13" t="s">
        <v>145</v>
      </c>
      <c r="M635" s="13" t="s">
        <v>26</v>
      </c>
      <c r="N635" s="13" t="s">
        <v>51</v>
      </c>
      <c r="O635" s="14">
        <v>17.88</v>
      </c>
      <c r="P635" s="14">
        <f t="shared" si="2"/>
        <v>53.64</v>
      </c>
      <c r="Q635" s="14">
        <v>16.89</v>
      </c>
    </row>
    <row r="636">
      <c r="A636" s="12">
        <v>43367.0</v>
      </c>
      <c r="B636" s="12"/>
      <c r="C636" s="12" t="s">
        <v>2329</v>
      </c>
      <c r="D636" s="1" t="s">
        <v>1155</v>
      </c>
      <c r="E636" s="15" t="str">
        <f t="shared" si="1"/>
        <v>Sep</v>
      </c>
      <c r="F636" s="13" t="s">
        <v>20</v>
      </c>
      <c r="G636" s="13" t="s">
        <v>2655</v>
      </c>
      <c r="H636" s="13" t="s">
        <v>2567</v>
      </c>
      <c r="I636" s="13" t="s">
        <v>23</v>
      </c>
      <c r="J636" s="13">
        <v>3.0</v>
      </c>
      <c r="K636" s="13" t="s">
        <v>791</v>
      </c>
      <c r="L636" s="13" t="s">
        <v>145</v>
      </c>
      <c r="M636" s="13" t="s">
        <v>26</v>
      </c>
      <c r="N636" s="13" t="s">
        <v>38</v>
      </c>
      <c r="O636" s="14">
        <v>235.944</v>
      </c>
      <c r="P636" s="14">
        <f t="shared" si="2"/>
        <v>707.832</v>
      </c>
      <c r="Q636" s="14">
        <v>235.05</v>
      </c>
    </row>
    <row r="637">
      <c r="A637" s="12">
        <v>42470.0</v>
      </c>
      <c r="B637" s="12"/>
      <c r="C637" s="12" t="s">
        <v>2332</v>
      </c>
      <c r="D637" s="6">
        <v>42623.0</v>
      </c>
      <c r="E637" s="15" t="str">
        <f t="shared" si="1"/>
        <v>Sep</v>
      </c>
      <c r="F637" s="13" t="s">
        <v>20</v>
      </c>
      <c r="G637" s="13" t="s">
        <v>2587</v>
      </c>
      <c r="H637" s="13" t="s">
        <v>2716</v>
      </c>
      <c r="I637" s="13" t="s">
        <v>34</v>
      </c>
      <c r="J637" s="13">
        <v>3.0</v>
      </c>
      <c r="K637" s="13" t="s">
        <v>1159</v>
      </c>
      <c r="L637" s="13" t="s">
        <v>707</v>
      </c>
      <c r="M637" s="13" t="s">
        <v>26</v>
      </c>
      <c r="N637" s="13" t="s">
        <v>27</v>
      </c>
      <c r="O637" s="14">
        <v>392.94</v>
      </c>
      <c r="P637" s="14">
        <f t="shared" si="2"/>
        <v>1178.82</v>
      </c>
      <c r="Q637" s="14">
        <v>392.3</v>
      </c>
    </row>
    <row r="638">
      <c r="A638" s="12">
        <v>42962.0</v>
      </c>
      <c r="B638" s="12"/>
      <c r="C638" s="12" t="s">
        <v>2322</v>
      </c>
      <c r="D638" s="1" t="s">
        <v>1161</v>
      </c>
      <c r="E638" s="15" t="str">
        <f t="shared" si="1"/>
        <v>Aug</v>
      </c>
      <c r="F638" s="13" t="s">
        <v>41</v>
      </c>
      <c r="G638" s="13" t="s">
        <v>2470</v>
      </c>
      <c r="H638" s="13" t="s">
        <v>2717</v>
      </c>
      <c r="I638" s="13" t="s">
        <v>23</v>
      </c>
      <c r="J638" s="13">
        <v>8.0</v>
      </c>
      <c r="K638" s="13" t="s">
        <v>278</v>
      </c>
      <c r="L638" s="13" t="s">
        <v>279</v>
      </c>
      <c r="M638" s="13" t="s">
        <v>37</v>
      </c>
      <c r="N638" s="13" t="s">
        <v>38</v>
      </c>
      <c r="O638" s="14">
        <v>18.882</v>
      </c>
      <c r="P638" s="14">
        <f t="shared" si="2"/>
        <v>151.056</v>
      </c>
      <c r="Q638" s="14">
        <v>18.82</v>
      </c>
    </row>
    <row r="639">
      <c r="A639" s="12">
        <v>42962.0</v>
      </c>
      <c r="B639" s="12"/>
      <c r="C639" s="12" t="s">
        <v>2322</v>
      </c>
      <c r="D639" s="1" t="s">
        <v>1161</v>
      </c>
      <c r="E639" s="15" t="str">
        <f t="shared" si="1"/>
        <v>Aug</v>
      </c>
      <c r="F639" s="13" t="s">
        <v>41</v>
      </c>
      <c r="G639" s="13" t="s">
        <v>2470</v>
      </c>
      <c r="H639" s="13" t="s">
        <v>2717</v>
      </c>
      <c r="I639" s="13" t="s">
        <v>23</v>
      </c>
      <c r="J639" s="13">
        <v>8.0</v>
      </c>
      <c r="K639" s="13" t="s">
        <v>278</v>
      </c>
      <c r="L639" s="13" t="s">
        <v>279</v>
      </c>
      <c r="M639" s="13" t="s">
        <v>37</v>
      </c>
      <c r="N639" s="13" t="s">
        <v>38</v>
      </c>
      <c r="O639" s="14">
        <v>122.328</v>
      </c>
      <c r="P639" s="14">
        <f t="shared" si="2"/>
        <v>978.624</v>
      </c>
      <c r="Q639" s="14">
        <v>121.96</v>
      </c>
    </row>
    <row r="640">
      <c r="A640" s="12">
        <v>42875.0</v>
      </c>
      <c r="B640" s="12"/>
      <c r="C640" s="12" t="s">
        <v>2335</v>
      </c>
      <c r="D640" s="1" t="s">
        <v>1165</v>
      </c>
      <c r="E640" s="15" t="str">
        <f t="shared" si="1"/>
        <v>May</v>
      </c>
      <c r="F640" s="13" t="s">
        <v>41</v>
      </c>
      <c r="G640" s="13" t="s">
        <v>2419</v>
      </c>
      <c r="H640" s="13" t="s">
        <v>2420</v>
      </c>
      <c r="I640" s="13" t="s">
        <v>68</v>
      </c>
      <c r="J640" s="13">
        <v>9.0</v>
      </c>
      <c r="K640" s="13" t="s">
        <v>1166</v>
      </c>
      <c r="L640" s="13" t="s">
        <v>52</v>
      </c>
      <c r="M640" s="13" t="s">
        <v>37</v>
      </c>
      <c r="N640" s="13" t="s">
        <v>27</v>
      </c>
      <c r="O640" s="14">
        <v>1049.2</v>
      </c>
      <c r="P640" s="14">
        <f t="shared" si="2"/>
        <v>9442.8</v>
      </c>
      <c r="Q640" s="14">
        <v>1048.97</v>
      </c>
    </row>
    <row r="641">
      <c r="A641" s="12">
        <v>42875.0</v>
      </c>
      <c r="B641" s="12"/>
      <c r="C641" s="12" t="s">
        <v>2335</v>
      </c>
      <c r="D641" s="1" t="s">
        <v>1165</v>
      </c>
      <c r="E641" s="15" t="str">
        <f t="shared" si="1"/>
        <v>May</v>
      </c>
      <c r="F641" s="13" t="s">
        <v>41</v>
      </c>
      <c r="G641" s="13" t="s">
        <v>2419</v>
      </c>
      <c r="H641" s="13" t="s">
        <v>2420</v>
      </c>
      <c r="I641" s="13" t="s">
        <v>68</v>
      </c>
      <c r="J641" s="13">
        <v>9.0</v>
      </c>
      <c r="K641" s="13" t="s">
        <v>1166</v>
      </c>
      <c r="L641" s="13" t="s">
        <v>52</v>
      </c>
      <c r="M641" s="13" t="s">
        <v>37</v>
      </c>
      <c r="N641" s="13" t="s">
        <v>38</v>
      </c>
      <c r="O641" s="14">
        <v>15.424</v>
      </c>
      <c r="P641" s="14">
        <f t="shared" si="2"/>
        <v>138.816</v>
      </c>
      <c r="Q641" s="14">
        <v>14.88</v>
      </c>
    </row>
    <row r="642">
      <c r="A642" s="12">
        <v>43087.0</v>
      </c>
      <c r="B642" s="12"/>
      <c r="C642" s="12" t="s">
        <v>2325</v>
      </c>
      <c r="D642" s="1" t="s">
        <v>1168</v>
      </c>
      <c r="E642" s="15" t="str">
        <f t="shared" si="1"/>
        <v>Dec</v>
      </c>
      <c r="F642" s="13" t="s">
        <v>41</v>
      </c>
      <c r="G642" s="13" t="s">
        <v>2456</v>
      </c>
      <c r="H642" s="13" t="s">
        <v>2718</v>
      </c>
      <c r="I642" s="13" t="s">
        <v>34</v>
      </c>
      <c r="J642" s="13">
        <v>5.0</v>
      </c>
      <c r="K642" s="13" t="s">
        <v>251</v>
      </c>
      <c r="L642" s="13" t="s">
        <v>151</v>
      </c>
      <c r="M642" s="13" t="s">
        <v>71</v>
      </c>
      <c r="N642" s="13" t="s">
        <v>27</v>
      </c>
      <c r="O642" s="14">
        <v>18.84</v>
      </c>
      <c r="P642" s="14">
        <f t="shared" si="2"/>
        <v>94.2</v>
      </c>
      <c r="Q642" s="14">
        <v>18.04</v>
      </c>
    </row>
    <row r="643">
      <c r="A643" s="12">
        <v>43311.0</v>
      </c>
      <c r="B643" s="12"/>
      <c r="C643" s="12" t="s">
        <v>2348</v>
      </c>
      <c r="D643" s="6">
        <v>43167.0</v>
      </c>
      <c r="E643" s="15" t="str">
        <f t="shared" si="1"/>
        <v>Mar</v>
      </c>
      <c r="F643" s="13" t="s">
        <v>20</v>
      </c>
      <c r="G643" s="13" t="s">
        <v>2560</v>
      </c>
      <c r="H643" s="13" t="s">
        <v>2719</v>
      </c>
      <c r="I643" s="13" t="s">
        <v>23</v>
      </c>
      <c r="J643" s="13">
        <v>9.0</v>
      </c>
      <c r="K643" s="13" t="s">
        <v>1174</v>
      </c>
      <c r="L643" s="13" t="s">
        <v>52</v>
      </c>
      <c r="M643" s="13" t="s">
        <v>37</v>
      </c>
      <c r="N643" s="13" t="s">
        <v>38</v>
      </c>
      <c r="O643" s="14">
        <v>330.4</v>
      </c>
      <c r="P643" s="14">
        <f t="shared" si="2"/>
        <v>2973.6</v>
      </c>
      <c r="Q643" s="14">
        <v>330.19</v>
      </c>
    </row>
    <row r="644">
      <c r="A644" s="12">
        <v>43311.0</v>
      </c>
      <c r="B644" s="12"/>
      <c r="C644" s="12" t="s">
        <v>2348</v>
      </c>
      <c r="D644" s="6">
        <v>43167.0</v>
      </c>
      <c r="E644" s="15" t="str">
        <f t="shared" si="1"/>
        <v>Mar</v>
      </c>
      <c r="F644" s="13" t="s">
        <v>20</v>
      </c>
      <c r="G644" s="13" t="s">
        <v>2560</v>
      </c>
      <c r="H644" s="13" t="s">
        <v>2719</v>
      </c>
      <c r="I644" s="13" t="s">
        <v>23</v>
      </c>
      <c r="J644" s="13">
        <v>9.0</v>
      </c>
      <c r="K644" s="13" t="s">
        <v>1174</v>
      </c>
      <c r="L644" s="13" t="s">
        <v>52</v>
      </c>
      <c r="M644" s="13" t="s">
        <v>37</v>
      </c>
      <c r="N644" s="13" t="s">
        <v>38</v>
      </c>
      <c r="O644" s="14">
        <v>26.25</v>
      </c>
      <c r="P644" s="14">
        <f t="shared" si="2"/>
        <v>236.25</v>
      </c>
      <c r="Q644" s="14">
        <v>25.55</v>
      </c>
    </row>
    <row r="645">
      <c r="A645" s="12">
        <v>43379.0</v>
      </c>
      <c r="B645" s="12"/>
      <c r="C645" s="12" t="s">
        <v>2358</v>
      </c>
      <c r="D645" s="1" t="s">
        <v>1176</v>
      </c>
      <c r="E645" s="15" t="str">
        <f t="shared" si="1"/>
        <v>Jun</v>
      </c>
      <c r="F645" s="13" t="s">
        <v>41</v>
      </c>
      <c r="G645" s="13" t="s">
        <v>2327</v>
      </c>
      <c r="H645" s="13" t="s">
        <v>2720</v>
      </c>
      <c r="I645" s="13" t="s">
        <v>23</v>
      </c>
      <c r="J645" s="13">
        <v>4.0</v>
      </c>
      <c r="K645" s="13" t="s">
        <v>1179</v>
      </c>
      <c r="L645" s="13" t="s">
        <v>157</v>
      </c>
      <c r="M645" s="13" t="s">
        <v>71</v>
      </c>
      <c r="N645" s="13" t="s">
        <v>51</v>
      </c>
      <c r="O645" s="14">
        <v>132.52</v>
      </c>
      <c r="P645" s="14">
        <f t="shared" si="2"/>
        <v>530.08</v>
      </c>
      <c r="Q645" s="14">
        <v>132.09</v>
      </c>
    </row>
    <row r="646">
      <c r="A646" s="12">
        <v>43302.0</v>
      </c>
      <c r="B646" s="12"/>
      <c r="C646" s="12" t="s">
        <v>2348</v>
      </c>
      <c r="D646" s="1" t="s">
        <v>1181</v>
      </c>
      <c r="E646" s="15" t="str">
        <f t="shared" si="1"/>
        <v>Jul</v>
      </c>
      <c r="F646" s="13" t="s">
        <v>41</v>
      </c>
      <c r="G646" s="13" t="s">
        <v>2458</v>
      </c>
      <c r="H646" s="13" t="s">
        <v>2459</v>
      </c>
      <c r="I646" s="13" t="s">
        <v>68</v>
      </c>
      <c r="J646" s="13">
        <v>7.0</v>
      </c>
      <c r="K646" s="13" t="s">
        <v>1182</v>
      </c>
      <c r="L646" s="13" t="s">
        <v>462</v>
      </c>
      <c r="M646" s="13" t="s">
        <v>100</v>
      </c>
      <c r="N646" s="13" t="s">
        <v>38</v>
      </c>
      <c r="O646" s="14">
        <v>6.48</v>
      </c>
      <c r="P646" s="14">
        <f t="shared" si="2"/>
        <v>45.36</v>
      </c>
      <c r="Q646" s="14">
        <v>5.96</v>
      </c>
    </row>
    <row r="647">
      <c r="A647" s="12">
        <v>43464.0</v>
      </c>
      <c r="B647" s="12"/>
      <c r="C647" s="12" t="s">
        <v>2325</v>
      </c>
      <c r="D647" s="6">
        <v>43586.0</v>
      </c>
      <c r="E647" s="15" t="str">
        <f t="shared" si="1"/>
        <v>May</v>
      </c>
      <c r="F647" s="13" t="s">
        <v>41</v>
      </c>
      <c r="G647" s="13" t="s">
        <v>2721</v>
      </c>
      <c r="H647" s="13" t="s">
        <v>2722</v>
      </c>
      <c r="I647" s="13" t="s">
        <v>68</v>
      </c>
      <c r="J647" s="13">
        <v>4.0</v>
      </c>
      <c r="K647" s="13" t="s">
        <v>303</v>
      </c>
      <c r="L647" s="13" t="s">
        <v>169</v>
      </c>
      <c r="M647" s="13" t="s">
        <v>71</v>
      </c>
      <c r="N647" s="13" t="s">
        <v>38</v>
      </c>
      <c r="O647" s="14">
        <v>209.3</v>
      </c>
      <c r="P647" s="14">
        <f t="shared" si="2"/>
        <v>837.2</v>
      </c>
      <c r="Q647" s="14">
        <v>209.04</v>
      </c>
    </row>
    <row r="648">
      <c r="A648" s="12">
        <v>42739.0</v>
      </c>
      <c r="B648" s="12"/>
      <c r="C648" s="12" t="s">
        <v>2353</v>
      </c>
      <c r="D648" s="6">
        <v>42951.0</v>
      </c>
      <c r="E648" s="15" t="str">
        <f t="shared" si="1"/>
        <v>Aug</v>
      </c>
      <c r="F648" s="13" t="s">
        <v>41</v>
      </c>
      <c r="G648" s="13" t="s">
        <v>2535</v>
      </c>
      <c r="H648" s="13" t="s">
        <v>2357</v>
      </c>
      <c r="I648" s="13" t="s">
        <v>34</v>
      </c>
      <c r="J648" s="13">
        <v>8.0</v>
      </c>
      <c r="K648" s="13" t="s">
        <v>1187</v>
      </c>
      <c r="L648" s="13" t="s">
        <v>193</v>
      </c>
      <c r="M648" s="13" t="s">
        <v>37</v>
      </c>
      <c r="N648" s="13" t="s">
        <v>38</v>
      </c>
      <c r="O648" s="14">
        <v>31.56</v>
      </c>
      <c r="P648" s="14">
        <f t="shared" si="2"/>
        <v>252.48</v>
      </c>
      <c r="Q648" s="14">
        <v>31.05</v>
      </c>
    </row>
    <row r="649">
      <c r="A649" s="12">
        <v>42739.0</v>
      </c>
      <c r="B649" s="12"/>
      <c r="C649" s="12" t="s">
        <v>2353</v>
      </c>
      <c r="D649" s="6">
        <v>42951.0</v>
      </c>
      <c r="E649" s="15" t="str">
        <f t="shared" si="1"/>
        <v>Aug</v>
      </c>
      <c r="F649" s="13" t="s">
        <v>41</v>
      </c>
      <c r="G649" s="13" t="s">
        <v>2535</v>
      </c>
      <c r="H649" s="13" t="s">
        <v>2357</v>
      </c>
      <c r="I649" s="13" t="s">
        <v>34</v>
      </c>
      <c r="J649" s="13">
        <v>8.0</v>
      </c>
      <c r="K649" s="13" t="s">
        <v>1187</v>
      </c>
      <c r="L649" s="13" t="s">
        <v>193</v>
      </c>
      <c r="M649" s="13" t="s">
        <v>37</v>
      </c>
      <c r="N649" s="13" t="s">
        <v>38</v>
      </c>
      <c r="O649" s="14">
        <v>30.144</v>
      </c>
      <c r="P649" s="14">
        <f t="shared" si="2"/>
        <v>241.152</v>
      </c>
      <c r="Q649" s="14">
        <v>30.06</v>
      </c>
    </row>
    <row r="650">
      <c r="A650" s="12">
        <v>43051.0</v>
      </c>
      <c r="B650" s="12"/>
      <c r="C650" s="12" t="s">
        <v>2326</v>
      </c>
      <c r="D650" s="1" t="s">
        <v>1189</v>
      </c>
      <c r="E650" s="15" t="str">
        <f t="shared" si="1"/>
        <v>Dec</v>
      </c>
      <c r="F650" s="13" t="s">
        <v>20</v>
      </c>
      <c r="G650" s="13" t="s">
        <v>2723</v>
      </c>
      <c r="H650" s="13" t="s">
        <v>2724</v>
      </c>
      <c r="I650" s="13" t="s">
        <v>34</v>
      </c>
      <c r="J650" s="13">
        <v>9.0</v>
      </c>
      <c r="K650" s="13" t="s">
        <v>1192</v>
      </c>
      <c r="L650" s="13" t="s">
        <v>63</v>
      </c>
      <c r="M650" s="13" t="s">
        <v>37</v>
      </c>
      <c r="N650" s="13" t="s">
        <v>27</v>
      </c>
      <c r="O650" s="14">
        <v>14.8</v>
      </c>
      <c r="P650" s="14">
        <f t="shared" si="2"/>
        <v>133.2</v>
      </c>
      <c r="Q650" s="14">
        <v>14.73</v>
      </c>
    </row>
    <row r="651">
      <c r="A651" s="12">
        <v>43051.0</v>
      </c>
      <c r="B651" s="12"/>
      <c r="C651" s="12" t="s">
        <v>2326</v>
      </c>
      <c r="D651" s="1" t="s">
        <v>1189</v>
      </c>
      <c r="E651" s="15" t="str">
        <f t="shared" si="1"/>
        <v>Dec</v>
      </c>
      <c r="F651" s="13" t="s">
        <v>20</v>
      </c>
      <c r="G651" s="13" t="s">
        <v>2723</v>
      </c>
      <c r="H651" s="13" t="s">
        <v>2724</v>
      </c>
      <c r="I651" s="13" t="s">
        <v>34</v>
      </c>
      <c r="J651" s="13">
        <v>9.0</v>
      </c>
      <c r="K651" s="13" t="s">
        <v>1192</v>
      </c>
      <c r="L651" s="13" t="s">
        <v>63</v>
      </c>
      <c r="M651" s="13" t="s">
        <v>37</v>
      </c>
      <c r="N651" s="13" t="s">
        <v>51</v>
      </c>
      <c r="O651" s="14">
        <v>302.376</v>
      </c>
      <c r="P651" s="14">
        <f t="shared" si="2"/>
        <v>2721.384</v>
      </c>
      <c r="Q651" s="14">
        <v>301.45</v>
      </c>
    </row>
    <row r="652">
      <c r="A652" s="12">
        <v>43051.0</v>
      </c>
      <c r="B652" s="12"/>
      <c r="C652" s="12" t="s">
        <v>2326</v>
      </c>
      <c r="D652" s="1" t="s">
        <v>1189</v>
      </c>
      <c r="E652" s="15" t="str">
        <f t="shared" si="1"/>
        <v>Dec</v>
      </c>
      <c r="F652" s="13" t="s">
        <v>20</v>
      </c>
      <c r="G652" s="13" t="s">
        <v>2723</v>
      </c>
      <c r="H652" s="13" t="s">
        <v>2724</v>
      </c>
      <c r="I652" s="13" t="s">
        <v>34</v>
      </c>
      <c r="J652" s="13">
        <v>9.0</v>
      </c>
      <c r="K652" s="13" t="s">
        <v>1192</v>
      </c>
      <c r="L652" s="13" t="s">
        <v>63</v>
      </c>
      <c r="M652" s="13" t="s">
        <v>37</v>
      </c>
      <c r="N652" s="13" t="s">
        <v>51</v>
      </c>
      <c r="O652" s="14">
        <v>316.0</v>
      </c>
      <c r="P652" s="14">
        <f t="shared" si="2"/>
        <v>2844</v>
      </c>
      <c r="Q652" s="14">
        <v>315.0</v>
      </c>
    </row>
    <row r="653">
      <c r="A653" s="12">
        <v>43031.0</v>
      </c>
      <c r="B653" s="12"/>
      <c r="C653" s="12" t="s">
        <v>2358</v>
      </c>
      <c r="D653" s="1" t="s">
        <v>741</v>
      </c>
      <c r="E653" s="15" t="str">
        <f t="shared" si="1"/>
        <v>Oct</v>
      </c>
      <c r="F653" s="13" t="s">
        <v>41</v>
      </c>
      <c r="G653" s="13" t="s">
        <v>2436</v>
      </c>
      <c r="H653" s="13" t="s">
        <v>2725</v>
      </c>
      <c r="I653" s="13" t="s">
        <v>68</v>
      </c>
      <c r="J653" s="13">
        <v>1.0</v>
      </c>
      <c r="K653" s="13" t="s">
        <v>174</v>
      </c>
      <c r="L653" s="13" t="s">
        <v>175</v>
      </c>
      <c r="M653" s="13" t="s">
        <v>100</v>
      </c>
      <c r="N653" s="13" t="s">
        <v>38</v>
      </c>
      <c r="O653" s="14">
        <v>379.4</v>
      </c>
      <c r="P653" s="14">
        <f t="shared" si="2"/>
        <v>379.4</v>
      </c>
      <c r="Q653" s="14">
        <v>378.46</v>
      </c>
    </row>
    <row r="654">
      <c r="A654" s="12">
        <v>43270.0</v>
      </c>
      <c r="B654" s="12"/>
      <c r="C654" s="12" t="s">
        <v>2374</v>
      </c>
      <c r="D654" s="1" t="s">
        <v>1197</v>
      </c>
      <c r="E654" s="15" t="str">
        <f t="shared" si="1"/>
        <v>Jun</v>
      </c>
      <c r="F654" s="13" t="s">
        <v>41</v>
      </c>
      <c r="G654" s="13" t="s">
        <v>2334</v>
      </c>
      <c r="H654" s="13" t="s">
        <v>2582</v>
      </c>
      <c r="I654" s="13" t="s">
        <v>34</v>
      </c>
      <c r="J654" s="13">
        <v>1.0</v>
      </c>
      <c r="K654" s="13" t="s">
        <v>174</v>
      </c>
      <c r="L654" s="13" t="s">
        <v>175</v>
      </c>
      <c r="M654" s="13" t="s">
        <v>100</v>
      </c>
      <c r="N654" s="13" t="s">
        <v>38</v>
      </c>
      <c r="O654" s="14">
        <v>97.82</v>
      </c>
      <c r="P654" s="14">
        <f t="shared" si="2"/>
        <v>97.82</v>
      </c>
      <c r="Q654" s="14">
        <v>97.7</v>
      </c>
    </row>
    <row r="655">
      <c r="A655" s="12">
        <v>43270.0</v>
      </c>
      <c r="B655" s="12"/>
      <c r="C655" s="12" t="s">
        <v>2374</v>
      </c>
      <c r="D655" s="1" t="s">
        <v>1197</v>
      </c>
      <c r="E655" s="15" t="str">
        <f t="shared" si="1"/>
        <v>Jun</v>
      </c>
      <c r="F655" s="13" t="s">
        <v>41</v>
      </c>
      <c r="G655" s="13" t="s">
        <v>2334</v>
      </c>
      <c r="H655" s="13" t="s">
        <v>2582</v>
      </c>
      <c r="I655" s="13" t="s">
        <v>34</v>
      </c>
      <c r="J655" s="13">
        <v>1.0</v>
      </c>
      <c r="K655" s="13" t="s">
        <v>174</v>
      </c>
      <c r="L655" s="13" t="s">
        <v>175</v>
      </c>
      <c r="M655" s="13" t="s">
        <v>100</v>
      </c>
      <c r="N655" s="13" t="s">
        <v>51</v>
      </c>
      <c r="O655" s="14">
        <v>103.12</v>
      </c>
      <c r="P655" s="14">
        <f t="shared" si="2"/>
        <v>103.12</v>
      </c>
      <c r="Q655" s="14">
        <v>102.24</v>
      </c>
    </row>
    <row r="656">
      <c r="A656" s="12">
        <v>42969.0</v>
      </c>
      <c r="B656" s="12"/>
      <c r="C656" s="12" t="s">
        <v>2322</v>
      </c>
      <c r="D656" s="1" t="s">
        <v>1199</v>
      </c>
      <c r="E656" s="15" t="str">
        <f t="shared" si="1"/>
        <v>Aug</v>
      </c>
      <c r="F656" s="13" t="s">
        <v>41</v>
      </c>
      <c r="G656" s="13" t="s">
        <v>2523</v>
      </c>
      <c r="H656" s="13" t="s">
        <v>2726</v>
      </c>
      <c r="I656" s="13" t="s">
        <v>23</v>
      </c>
      <c r="J656" s="13">
        <v>4.0</v>
      </c>
      <c r="K656" s="13" t="s">
        <v>303</v>
      </c>
      <c r="L656" s="13" t="s">
        <v>304</v>
      </c>
      <c r="M656" s="13" t="s">
        <v>100</v>
      </c>
      <c r="N656" s="13" t="s">
        <v>38</v>
      </c>
      <c r="O656" s="14">
        <v>113.552</v>
      </c>
      <c r="P656" s="14">
        <f t="shared" si="2"/>
        <v>454.208</v>
      </c>
      <c r="Q656" s="14">
        <v>112.7</v>
      </c>
    </row>
    <row r="657">
      <c r="A657" s="12">
        <v>42969.0</v>
      </c>
      <c r="B657" s="12"/>
      <c r="C657" s="12" t="s">
        <v>2322</v>
      </c>
      <c r="D657" s="1" t="s">
        <v>1199</v>
      </c>
      <c r="E657" s="15" t="str">
        <f t="shared" si="1"/>
        <v>Aug</v>
      </c>
      <c r="F657" s="13" t="s">
        <v>41</v>
      </c>
      <c r="G657" s="13" t="s">
        <v>2523</v>
      </c>
      <c r="H657" s="13" t="s">
        <v>2726</v>
      </c>
      <c r="I657" s="13" t="s">
        <v>23</v>
      </c>
      <c r="J657" s="13">
        <v>4.0</v>
      </c>
      <c r="K657" s="13" t="s">
        <v>303</v>
      </c>
      <c r="L657" s="13" t="s">
        <v>304</v>
      </c>
      <c r="M657" s="13" t="s">
        <v>100</v>
      </c>
      <c r="N657" s="13" t="s">
        <v>38</v>
      </c>
      <c r="O657" s="14">
        <v>3.318</v>
      </c>
      <c r="P657" s="14">
        <f t="shared" si="2"/>
        <v>13.272</v>
      </c>
      <c r="Q657" s="14">
        <v>3.09</v>
      </c>
    </row>
    <row r="658">
      <c r="A658" s="12">
        <v>42969.0</v>
      </c>
      <c r="B658" s="12"/>
      <c r="C658" s="12" t="s">
        <v>2322</v>
      </c>
      <c r="D658" s="1" t="s">
        <v>1199</v>
      </c>
      <c r="E658" s="15" t="str">
        <f t="shared" si="1"/>
        <v>Aug</v>
      </c>
      <c r="F658" s="13" t="s">
        <v>41</v>
      </c>
      <c r="G658" s="13" t="s">
        <v>2523</v>
      </c>
      <c r="H658" s="13" t="s">
        <v>2726</v>
      </c>
      <c r="I658" s="13" t="s">
        <v>23</v>
      </c>
      <c r="J658" s="13">
        <v>4.0</v>
      </c>
      <c r="K658" s="13" t="s">
        <v>303</v>
      </c>
      <c r="L658" s="13" t="s">
        <v>304</v>
      </c>
      <c r="M658" s="13" t="s">
        <v>100</v>
      </c>
      <c r="N658" s="13" t="s">
        <v>38</v>
      </c>
      <c r="O658" s="14">
        <v>134.288</v>
      </c>
      <c r="P658" s="14">
        <f t="shared" si="2"/>
        <v>537.152</v>
      </c>
      <c r="Q658" s="14">
        <v>133.72</v>
      </c>
    </row>
    <row r="659">
      <c r="A659" s="12">
        <v>42997.0</v>
      </c>
      <c r="B659" s="12"/>
      <c r="C659" s="12" t="s">
        <v>2329</v>
      </c>
      <c r="D659" s="1" t="s">
        <v>1203</v>
      </c>
      <c r="E659" s="15" t="str">
        <f t="shared" si="1"/>
        <v>Sep</v>
      </c>
      <c r="F659" s="13" t="s">
        <v>717</v>
      </c>
      <c r="G659" s="13" t="s">
        <v>2727</v>
      </c>
      <c r="H659" s="13" t="s">
        <v>2728</v>
      </c>
      <c r="I659" s="13" t="s">
        <v>68</v>
      </c>
      <c r="J659" s="13">
        <v>6.0</v>
      </c>
      <c r="K659" s="13" t="s">
        <v>278</v>
      </c>
      <c r="L659" s="13" t="s">
        <v>135</v>
      </c>
      <c r="M659" s="13" t="s">
        <v>71</v>
      </c>
      <c r="N659" s="13" t="s">
        <v>27</v>
      </c>
      <c r="O659" s="14">
        <v>701.372</v>
      </c>
      <c r="P659" s="14">
        <f t="shared" si="2"/>
        <v>4208.232</v>
      </c>
      <c r="Q659" s="14">
        <v>700.42</v>
      </c>
    </row>
    <row r="660">
      <c r="A660" s="12">
        <v>42997.0</v>
      </c>
      <c r="B660" s="12"/>
      <c r="C660" s="12" t="s">
        <v>2329</v>
      </c>
      <c r="D660" s="1" t="s">
        <v>1203</v>
      </c>
      <c r="E660" s="15" t="str">
        <f t="shared" si="1"/>
        <v>Sep</v>
      </c>
      <c r="F660" s="13" t="s">
        <v>717</v>
      </c>
      <c r="G660" s="13" t="s">
        <v>2727</v>
      </c>
      <c r="H660" s="13" t="s">
        <v>2728</v>
      </c>
      <c r="I660" s="13" t="s">
        <v>68</v>
      </c>
      <c r="J660" s="13">
        <v>6.0</v>
      </c>
      <c r="K660" s="13" t="s">
        <v>278</v>
      </c>
      <c r="L660" s="13" t="s">
        <v>135</v>
      </c>
      <c r="M660" s="13" t="s">
        <v>71</v>
      </c>
      <c r="N660" s="13" t="s">
        <v>38</v>
      </c>
      <c r="O660" s="14">
        <v>2.308</v>
      </c>
      <c r="P660" s="14">
        <f t="shared" si="2"/>
        <v>13.848</v>
      </c>
      <c r="Q660" s="14">
        <v>1.71</v>
      </c>
    </row>
    <row r="661">
      <c r="A661" s="12">
        <v>42606.0</v>
      </c>
      <c r="B661" s="12"/>
      <c r="C661" s="12" t="s">
        <v>2322</v>
      </c>
      <c r="D661" s="1" t="s">
        <v>1207</v>
      </c>
      <c r="E661" s="15" t="str">
        <f t="shared" si="1"/>
        <v>Aug</v>
      </c>
      <c r="F661" s="13" t="s">
        <v>41</v>
      </c>
      <c r="G661" s="13" t="s">
        <v>2491</v>
      </c>
      <c r="H661" s="13" t="s">
        <v>2492</v>
      </c>
      <c r="I661" s="13" t="s">
        <v>23</v>
      </c>
      <c r="J661" s="13">
        <v>7.0</v>
      </c>
      <c r="K661" s="13" t="s">
        <v>628</v>
      </c>
      <c r="L661" s="13" t="s">
        <v>70</v>
      </c>
      <c r="M661" s="13" t="s">
        <v>71</v>
      </c>
      <c r="N661" s="13" t="s">
        <v>38</v>
      </c>
      <c r="O661" s="14">
        <v>999.432</v>
      </c>
      <c r="P661" s="14">
        <f t="shared" si="2"/>
        <v>6996.024</v>
      </c>
      <c r="Q661" s="14">
        <v>998.53</v>
      </c>
    </row>
    <row r="662">
      <c r="A662" s="12">
        <v>42606.0</v>
      </c>
      <c r="B662" s="12"/>
      <c r="C662" s="12" t="s">
        <v>2322</v>
      </c>
      <c r="D662" s="1" t="s">
        <v>1207</v>
      </c>
      <c r="E662" s="15" t="str">
        <f t="shared" si="1"/>
        <v>Aug</v>
      </c>
      <c r="F662" s="13" t="s">
        <v>41</v>
      </c>
      <c r="G662" s="13" t="s">
        <v>2491</v>
      </c>
      <c r="H662" s="13" t="s">
        <v>2492</v>
      </c>
      <c r="I662" s="13" t="s">
        <v>23</v>
      </c>
      <c r="J662" s="13">
        <v>7.0</v>
      </c>
      <c r="K662" s="13" t="s">
        <v>628</v>
      </c>
      <c r="L662" s="13" t="s">
        <v>70</v>
      </c>
      <c r="M662" s="13" t="s">
        <v>71</v>
      </c>
      <c r="N662" s="13" t="s">
        <v>38</v>
      </c>
      <c r="O662" s="14">
        <v>724.08</v>
      </c>
      <c r="P662" s="14">
        <f t="shared" si="2"/>
        <v>5068.56</v>
      </c>
      <c r="Q662" s="14">
        <v>723.22</v>
      </c>
    </row>
    <row r="663">
      <c r="A663" s="12">
        <v>42606.0</v>
      </c>
      <c r="B663" s="12"/>
      <c r="C663" s="12" t="s">
        <v>2322</v>
      </c>
      <c r="D663" s="1" t="s">
        <v>1207</v>
      </c>
      <c r="E663" s="15" t="str">
        <f t="shared" si="1"/>
        <v>Aug</v>
      </c>
      <c r="F663" s="13" t="s">
        <v>41</v>
      </c>
      <c r="G663" s="13" t="s">
        <v>2491</v>
      </c>
      <c r="H663" s="13" t="s">
        <v>2492</v>
      </c>
      <c r="I663" s="13" t="s">
        <v>23</v>
      </c>
      <c r="J663" s="13">
        <v>7.0</v>
      </c>
      <c r="K663" s="13" t="s">
        <v>628</v>
      </c>
      <c r="L663" s="13" t="s">
        <v>70</v>
      </c>
      <c r="M663" s="13" t="s">
        <v>71</v>
      </c>
      <c r="N663" s="13" t="s">
        <v>27</v>
      </c>
      <c r="O663" s="14">
        <v>918.785</v>
      </c>
      <c r="P663" s="14">
        <f t="shared" si="2"/>
        <v>6431.495</v>
      </c>
      <c r="Q663" s="14">
        <v>917.93</v>
      </c>
    </row>
    <row r="664">
      <c r="A664" s="12">
        <v>42606.0</v>
      </c>
      <c r="B664" s="12"/>
      <c r="C664" s="12" t="s">
        <v>2322</v>
      </c>
      <c r="D664" s="1" t="s">
        <v>1207</v>
      </c>
      <c r="E664" s="15" t="str">
        <f t="shared" si="1"/>
        <v>Aug</v>
      </c>
      <c r="F664" s="13" t="s">
        <v>41</v>
      </c>
      <c r="G664" s="13" t="s">
        <v>2491</v>
      </c>
      <c r="H664" s="13" t="s">
        <v>2492</v>
      </c>
      <c r="I664" s="13" t="s">
        <v>23</v>
      </c>
      <c r="J664" s="13">
        <v>7.0</v>
      </c>
      <c r="K664" s="13" t="s">
        <v>628</v>
      </c>
      <c r="L664" s="13" t="s">
        <v>70</v>
      </c>
      <c r="M664" s="13" t="s">
        <v>71</v>
      </c>
      <c r="N664" s="13" t="s">
        <v>38</v>
      </c>
      <c r="O664" s="14">
        <v>2.724</v>
      </c>
      <c r="P664" s="14">
        <f t="shared" si="2"/>
        <v>19.068</v>
      </c>
      <c r="Q664" s="14">
        <v>2.25</v>
      </c>
    </row>
    <row r="665">
      <c r="A665" s="12">
        <v>42820.0</v>
      </c>
      <c r="B665" s="12"/>
      <c r="C665" s="12" t="s">
        <v>2399</v>
      </c>
      <c r="D665" s="1" t="s">
        <v>1209</v>
      </c>
      <c r="E665" s="15" t="str">
        <f t="shared" si="1"/>
        <v>Mar</v>
      </c>
      <c r="F665" s="13" t="s">
        <v>41</v>
      </c>
      <c r="G665" s="13" t="s">
        <v>2729</v>
      </c>
      <c r="H665" s="13" t="s">
        <v>2730</v>
      </c>
      <c r="I665" s="13" t="s">
        <v>34</v>
      </c>
      <c r="J665" s="13">
        <v>1.0</v>
      </c>
      <c r="K665" s="13" t="s">
        <v>174</v>
      </c>
      <c r="L665" s="13" t="s">
        <v>175</v>
      </c>
      <c r="M665" s="13" t="s">
        <v>100</v>
      </c>
      <c r="N665" s="13" t="s">
        <v>38</v>
      </c>
      <c r="O665" s="14">
        <v>459.95</v>
      </c>
      <c r="P665" s="14">
        <f t="shared" si="2"/>
        <v>459.95</v>
      </c>
      <c r="Q665" s="14">
        <v>459.05</v>
      </c>
    </row>
    <row r="666">
      <c r="A666" s="12">
        <v>42836.0</v>
      </c>
      <c r="B666" s="12"/>
      <c r="C666" s="12" t="s">
        <v>2332</v>
      </c>
      <c r="D666" s="6">
        <v>42836.0</v>
      </c>
      <c r="E666" s="15" t="str">
        <f t="shared" si="1"/>
        <v>Apr</v>
      </c>
      <c r="F666" s="13" t="s">
        <v>717</v>
      </c>
      <c r="G666" s="13" t="s">
        <v>2527</v>
      </c>
      <c r="H666" s="13" t="s">
        <v>2528</v>
      </c>
      <c r="I666" s="13" t="s">
        <v>23</v>
      </c>
      <c r="J666" s="13">
        <v>4.0</v>
      </c>
      <c r="K666" s="13" t="s">
        <v>818</v>
      </c>
      <c r="L666" s="13" t="s">
        <v>25</v>
      </c>
      <c r="M666" s="13" t="s">
        <v>26</v>
      </c>
      <c r="N666" s="13" t="s">
        <v>38</v>
      </c>
      <c r="O666" s="14">
        <v>10.74</v>
      </c>
      <c r="P666" s="14">
        <f t="shared" si="2"/>
        <v>42.96</v>
      </c>
      <c r="Q666" s="14">
        <v>10.2</v>
      </c>
    </row>
    <row r="667">
      <c r="A667" s="12">
        <v>43318.0</v>
      </c>
      <c r="B667" s="12"/>
      <c r="C667" s="12" t="s">
        <v>2322</v>
      </c>
      <c r="D667" s="6">
        <v>43379.0</v>
      </c>
      <c r="E667" s="15" t="str">
        <f t="shared" si="1"/>
        <v>Oct</v>
      </c>
      <c r="F667" s="13" t="s">
        <v>20</v>
      </c>
      <c r="G667" s="13" t="s">
        <v>2731</v>
      </c>
      <c r="H667" s="13" t="s">
        <v>2732</v>
      </c>
      <c r="I667" s="13" t="s">
        <v>34</v>
      </c>
      <c r="J667" s="13">
        <v>7.0</v>
      </c>
      <c r="K667" s="13" t="s">
        <v>480</v>
      </c>
      <c r="L667" s="13" t="s">
        <v>70</v>
      </c>
      <c r="M667" s="13" t="s">
        <v>71</v>
      </c>
      <c r="N667" s="13" t="s">
        <v>38</v>
      </c>
      <c r="O667" s="14">
        <v>23.76</v>
      </c>
      <c r="P667" s="14">
        <f t="shared" si="2"/>
        <v>166.32</v>
      </c>
      <c r="Q667" s="14">
        <v>23.17</v>
      </c>
    </row>
    <row r="668">
      <c r="A668" s="12">
        <v>43318.0</v>
      </c>
      <c r="B668" s="12"/>
      <c r="C668" s="12" t="s">
        <v>2322</v>
      </c>
      <c r="D668" s="6">
        <v>43379.0</v>
      </c>
      <c r="E668" s="15" t="str">
        <f t="shared" si="1"/>
        <v>Oct</v>
      </c>
      <c r="F668" s="13" t="s">
        <v>20</v>
      </c>
      <c r="G668" s="13" t="s">
        <v>2731</v>
      </c>
      <c r="H668" s="13" t="s">
        <v>2732</v>
      </c>
      <c r="I668" s="13" t="s">
        <v>34</v>
      </c>
      <c r="J668" s="13">
        <v>7.0</v>
      </c>
      <c r="K668" s="13" t="s">
        <v>480</v>
      </c>
      <c r="L668" s="13" t="s">
        <v>70</v>
      </c>
      <c r="M668" s="13" t="s">
        <v>71</v>
      </c>
      <c r="N668" s="13" t="s">
        <v>38</v>
      </c>
      <c r="O668" s="14">
        <v>85.056</v>
      </c>
      <c r="P668" s="14">
        <f t="shared" si="2"/>
        <v>595.392</v>
      </c>
      <c r="Q668" s="14">
        <v>84.29</v>
      </c>
    </row>
    <row r="669">
      <c r="A669" s="12">
        <v>43318.0</v>
      </c>
      <c r="B669" s="12"/>
      <c r="C669" s="12" t="s">
        <v>2322</v>
      </c>
      <c r="D669" s="6">
        <v>43379.0</v>
      </c>
      <c r="E669" s="15" t="str">
        <f t="shared" si="1"/>
        <v>Oct</v>
      </c>
      <c r="F669" s="13" t="s">
        <v>20</v>
      </c>
      <c r="G669" s="13" t="s">
        <v>2731</v>
      </c>
      <c r="H669" s="13" t="s">
        <v>2732</v>
      </c>
      <c r="I669" s="13" t="s">
        <v>34</v>
      </c>
      <c r="J669" s="13">
        <v>7.0</v>
      </c>
      <c r="K669" s="13" t="s">
        <v>480</v>
      </c>
      <c r="L669" s="13" t="s">
        <v>70</v>
      </c>
      <c r="M669" s="13" t="s">
        <v>71</v>
      </c>
      <c r="N669" s="13" t="s">
        <v>51</v>
      </c>
      <c r="O669" s="14">
        <v>381.576</v>
      </c>
      <c r="P669" s="14">
        <f t="shared" si="2"/>
        <v>2671.032</v>
      </c>
      <c r="Q669" s="14">
        <v>380.78</v>
      </c>
    </row>
    <row r="670">
      <c r="A670" s="12">
        <v>42362.0</v>
      </c>
      <c r="B670" s="12"/>
      <c r="C670" s="12" t="s">
        <v>2325</v>
      </c>
      <c r="D670" s="1" t="s">
        <v>788</v>
      </c>
      <c r="E670" s="15" t="str">
        <f t="shared" si="1"/>
        <v>Dec</v>
      </c>
      <c r="F670" s="13" t="s">
        <v>121</v>
      </c>
      <c r="G670" s="13" t="s">
        <v>2733</v>
      </c>
      <c r="H670" s="13" t="s">
        <v>2734</v>
      </c>
      <c r="I670" s="13" t="s">
        <v>23</v>
      </c>
      <c r="J670" s="13">
        <v>4.0</v>
      </c>
      <c r="K670" s="13" t="s">
        <v>1219</v>
      </c>
      <c r="L670" s="13" t="s">
        <v>304</v>
      </c>
      <c r="M670" s="13" t="s">
        <v>100</v>
      </c>
      <c r="N670" s="13" t="s">
        <v>27</v>
      </c>
      <c r="O670" s="14">
        <v>30.36</v>
      </c>
      <c r="P670" s="14">
        <f t="shared" si="2"/>
        <v>121.44</v>
      </c>
      <c r="Q670" s="14">
        <v>29.57</v>
      </c>
    </row>
    <row r="671">
      <c r="A671" s="12">
        <v>43349.0</v>
      </c>
      <c r="B671" s="12"/>
      <c r="C671" s="12" t="s">
        <v>2329</v>
      </c>
      <c r="D671" s="1" t="s">
        <v>915</v>
      </c>
      <c r="E671" s="15" t="str">
        <f t="shared" si="1"/>
        <v>Jun</v>
      </c>
      <c r="F671" s="13" t="s">
        <v>41</v>
      </c>
      <c r="G671" s="13" t="s">
        <v>2711</v>
      </c>
      <c r="H671" s="13" t="s">
        <v>2712</v>
      </c>
      <c r="I671" s="13" t="s">
        <v>68</v>
      </c>
      <c r="J671" s="13">
        <v>6.0</v>
      </c>
      <c r="K671" s="13" t="s">
        <v>188</v>
      </c>
      <c r="L671" s="13" t="s">
        <v>135</v>
      </c>
      <c r="M671" s="13" t="s">
        <v>71</v>
      </c>
      <c r="N671" s="13" t="s">
        <v>27</v>
      </c>
      <c r="O671" s="14">
        <v>23.976</v>
      </c>
      <c r="P671" s="14">
        <f t="shared" si="2"/>
        <v>143.856</v>
      </c>
      <c r="Q671" s="14">
        <v>23.68</v>
      </c>
    </row>
    <row r="672">
      <c r="A672" s="12">
        <v>43349.0</v>
      </c>
      <c r="B672" s="12"/>
      <c r="C672" s="12" t="s">
        <v>2329</v>
      </c>
      <c r="D672" s="1" t="s">
        <v>915</v>
      </c>
      <c r="E672" s="15" t="str">
        <f t="shared" si="1"/>
        <v>Jun</v>
      </c>
      <c r="F672" s="13" t="s">
        <v>41</v>
      </c>
      <c r="G672" s="13" t="s">
        <v>2711</v>
      </c>
      <c r="H672" s="13" t="s">
        <v>2712</v>
      </c>
      <c r="I672" s="13" t="s">
        <v>68</v>
      </c>
      <c r="J672" s="13">
        <v>6.0</v>
      </c>
      <c r="K672" s="13" t="s">
        <v>188</v>
      </c>
      <c r="L672" s="13" t="s">
        <v>135</v>
      </c>
      <c r="M672" s="13" t="s">
        <v>71</v>
      </c>
      <c r="N672" s="13" t="s">
        <v>27</v>
      </c>
      <c r="O672" s="14">
        <v>108.925</v>
      </c>
      <c r="P672" s="14">
        <f t="shared" si="2"/>
        <v>653.55</v>
      </c>
      <c r="Q672" s="14">
        <v>108.54</v>
      </c>
    </row>
    <row r="673">
      <c r="A673" s="12">
        <v>43349.0</v>
      </c>
      <c r="B673" s="12"/>
      <c r="C673" s="12" t="s">
        <v>2329</v>
      </c>
      <c r="D673" s="1" t="s">
        <v>915</v>
      </c>
      <c r="E673" s="15" t="str">
        <f t="shared" si="1"/>
        <v>Jun</v>
      </c>
      <c r="F673" s="13" t="s">
        <v>41</v>
      </c>
      <c r="G673" s="13" t="s">
        <v>2711</v>
      </c>
      <c r="H673" s="13" t="s">
        <v>2712</v>
      </c>
      <c r="I673" s="13" t="s">
        <v>68</v>
      </c>
      <c r="J673" s="13">
        <v>6.0</v>
      </c>
      <c r="K673" s="13" t="s">
        <v>188</v>
      </c>
      <c r="L673" s="13" t="s">
        <v>135</v>
      </c>
      <c r="M673" s="13" t="s">
        <v>71</v>
      </c>
      <c r="N673" s="13" t="s">
        <v>38</v>
      </c>
      <c r="O673" s="14">
        <v>36.352</v>
      </c>
      <c r="P673" s="14">
        <f t="shared" si="2"/>
        <v>218.112</v>
      </c>
      <c r="Q673" s="14">
        <v>36.08</v>
      </c>
    </row>
    <row r="674">
      <c r="A674" s="12">
        <v>43266.0</v>
      </c>
      <c r="B674" s="12"/>
      <c r="C674" s="12" t="s">
        <v>2374</v>
      </c>
      <c r="D674" s="1" t="s">
        <v>1222</v>
      </c>
      <c r="E674" s="15" t="str">
        <f t="shared" si="1"/>
        <v>Jun</v>
      </c>
      <c r="F674" s="13" t="s">
        <v>41</v>
      </c>
      <c r="G674" s="13" t="s">
        <v>2458</v>
      </c>
      <c r="H674" s="13" t="s">
        <v>2567</v>
      </c>
      <c r="I674" s="13" t="s">
        <v>23</v>
      </c>
      <c r="J674" s="13">
        <v>6.0</v>
      </c>
      <c r="K674" s="13" t="s">
        <v>733</v>
      </c>
      <c r="L674" s="13" t="s">
        <v>135</v>
      </c>
      <c r="M674" s="13" t="s">
        <v>71</v>
      </c>
      <c r="N674" s="13" t="s">
        <v>38</v>
      </c>
      <c r="O674" s="14">
        <v>19.56</v>
      </c>
      <c r="P674" s="14">
        <f t="shared" si="2"/>
        <v>117.36</v>
      </c>
      <c r="Q674" s="14">
        <v>18.66</v>
      </c>
    </row>
    <row r="675">
      <c r="A675" s="12">
        <v>43232.0</v>
      </c>
      <c r="B675" s="12"/>
      <c r="C675" s="12" t="s">
        <v>2335</v>
      </c>
      <c r="D675" s="6">
        <v>43324.0</v>
      </c>
      <c r="E675" s="15" t="str">
        <f t="shared" si="1"/>
        <v>Aug</v>
      </c>
      <c r="F675" s="13" t="s">
        <v>121</v>
      </c>
      <c r="G675" s="13" t="s">
        <v>2661</v>
      </c>
      <c r="H675" s="13" t="s">
        <v>2735</v>
      </c>
      <c r="I675" s="13" t="s">
        <v>23</v>
      </c>
      <c r="J675" s="13">
        <v>4.0</v>
      </c>
      <c r="K675" s="13" t="s">
        <v>303</v>
      </c>
      <c r="L675" s="13" t="s">
        <v>169</v>
      </c>
      <c r="M675" s="13" t="s">
        <v>71</v>
      </c>
      <c r="N675" s="13" t="s">
        <v>38</v>
      </c>
      <c r="O675" s="14">
        <v>61.44</v>
      </c>
      <c r="P675" s="14">
        <f t="shared" si="2"/>
        <v>245.76</v>
      </c>
      <c r="Q675" s="14">
        <v>60.91</v>
      </c>
    </row>
    <row r="676">
      <c r="A676" s="12">
        <v>43232.0</v>
      </c>
      <c r="B676" s="12"/>
      <c r="C676" s="12" t="s">
        <v>2335</v>
      </c>
      <c r="D676" s="6">
        <v>43324.0</v>
      </c>
      <c r="E676" s="15" t="str">
        <f t="shared" si="1"/>
        <v>Aug</v>
      </c>
      <c r="F676" s="13" t="s">
        <v>121</v>
      </c>
      <c r="G676" s="13" t="s">
        <v>2661</v>
      </c>
      <c r="H676" s="13" t="s">
        <v>2735</v>
      </c>
      <c r="I676" s="13" t="s">
        <v>23</v>
      </c>
      <c r="J676" s="13">
        <v>4.0</v>
      </c>
      <c r="K676" s="13" t="s">
        <v>303</v>
      </c>
      <c r="L676" s="13" t="s">
        <v>169</v>
      </c>
      <c r="M676" s="13" t="s">
        <v>71</v>
      </c>
      <c r="N676" s="13" t="s">
        <v>38</v>
      </c>
      <c r="O676" s="14">
        <v>38.9</v>
      </c>
      <c r="P676" s="14">
        <f t="shared" si="2"/>
        <v>155.6</v>
      </c>
      <c r="Q676" s="14">
        <v>38.1</v>
      </c>
    </row>
    <row r="677">
      <c r="A677" s="12">
        <v>43232.0</v>
      </c>
      <c r="B677" s="12"/>
      <c r="C677" s="12" t="s">
        <v>2335</v>
      </c>
      <c r="D677" s="6">
        <v>43324.0</v>
      </c>
      <c r="E677" s="15" t="str">
        <f t="shared" si="1"/>
        <v>Aug</v>
      </c>
      <c r="F677" s="13" t="s">
        <v>121</v>
      </c>
      <c r="G677" s="13" t="s">
        <v>2661</v>
      </c>
      <c r="H677" s="13" t="s">
        <v>2735</v>
      </c>
      <c r="I677" s="13" t="s">
        <v>23</v>
      </c>
      <c r="J677" s="13">
        <v>4.0</v>
      </c>
      <c r="K677" s="13" t="s">
        <v>303</v>
      </c>
      <c r="L677" s="13" t="s">
        <v>169</v>
      </c>
      <c r="M677" s="13" t="s">
        <v>71</v>
      </c>
      <c r="N677" s="13" t="s">
        <v>51</v>
      </c>
      <c r="O677" s="14">
        <v>99.39</v>
      </c>
      <c r="P677" s="14">
        <f t="shared" si="2"/>
        <v>397.56</v>
      </c>
      <c r="Q677" s="14">
        <v>99.38</v>
      </c>
    </row>
    <row r="678">
      <c r="A678" s="12">
        <v>43177.0</v>
      </c>
      <c r="B678" s="12"/>
      <c r="C678" s="12" t="s">
        <v>2399</v>
      </c>
      <c r="D678" s="1" t="s">
        <v>1227</v>
      </c>
      <c r="E678" s="15" t="str">
        <f t="shared" si="1"/>
        <v>Mar</v>
      </c>
      <c r="F678" s="13" t="s">
        <v>41</v>
      </c>
      <c r="G678" s="13" t="s">
        <v>2736</v>
      </c>
      <c r="H678" s="13" t="s">
        <v>2737</v>
      </c>
      <c r="I678" s="13" t="s">
        <v>23</v>
      </c>
      <c r="J678" s="13">
        <v>7.0</v>
      </c>
      <c r="K678" s="13" t="s">
        <v>1230</v>
      </c>
      <c r="L678" s="13" t="s">
        <v>70</v>
      </c>
      <c r="M678" s="13" t="s">
        <v>71</v>
      </c>
      <c r="N678" s="13" t="s">
        <v>38</v>
      </c>
      <c r="O678" s="14">
        <v>2.688</v>
      </c>
      <c r="P678" s="14">
        <f t="shared" si="2"/>
        <v>18.816</v>
      </c>
      <c r="Q678" s="14">
        <v>2.55</v>
      </c>
    </row>
    <row r="679">
      <c r="A679" s="12">
        <v>43177.0</v>
      </c>
      <c r="B679" s="12"/>
      <c r="C679" s="12" t="s">
        <v>2399</v>
      </c>
      <c r="D679" s="1" t="s">
        <v>1227</v>
      </c>
      <c r="E679" s="15" t="str">
        <f t="shared" si="1"/>
        <v>Mar</v>
      </c>
      <c r="F679" s="13" t="s">
        <v>41</v>
      </c>
      <c r="G679" s="13" t="s">
        <v>2736</v>
      </c>
      <c r="H679" s="13" t="s">
        <v>2737</v>
      </c>
      <c r="I679" s="13" t="s">
        <v>23</v>
      </c>
      <c r="J679" s="13">
        <v>7.0</v>
      </c>
      <c r="K679" s="13" t="s">
        <v>1230</v>
      </c>
      <c r="L679" s="13" t="s">
        <v>70</v>
      </c>
      <c r="M679" s="13" t="s">
        <v>71</v>
      </c>
      <c r="N679" s="13" t="s">
        <v>51</v>
      </c>
      <c r="O679" s="14">
        <v>27.816</v>
      </c>
      <c r="P679" s="14">
        <f t="shared" si="2"/>
        <v>194.712</v>
      </c>
      <c r="Q679" s="14">
        <v>26.86</v>
      </c>
    </row>
    <row r="680">
      <c r="A680" s="12">
        <v>43177.0</v>
      </c>
      <c r="B680" s="12"/>
      <c r="C680" s="12" t="s">
        <v>2399</v>
      </c>
      <c r="D680" s="1" t="s">
        <v>1227</v>
      </c>
      <c r="E680" s="15" t="str">
        <f t="shared" si="1"/>
        <v>Mar</v>
      </c>
      <c r="F680" s="13" t="s">
        <v>41</v>
      </c>
      <c r="G680" s="13" t="s">
        <v>2736</v>
      </c>
      <c r="H680" s="13" t="s">
        <v>2737</v>
      </c>
      <c r="I680" s="13" t="s">
        <v>23</v>
      </c>
      <c r="J680" s="13">
        <v>7.0</v>
      </c>
      <c r="K680" s="13" t="s">
        <v>1230</v>
      </c>
      <c r="L680" s="13" t="s">
        <v>70</v>
      </c>
      <c r="M680" s="13" t="s">
        <v>71</v>
      </c>
      <c r="N680" s="13" t="s">
        <v>27</v>
      </c>
      <c r="O680" s="14">
        <v>82.524</v>
      </c>
      <c r="P680" s="14">
        <f t="shared" si="2"/>
        <v>577.668</v>
      </c>
      <c r="Q680" s="14">
        <v>82.06</v>
      </c>
    </row>
    <row r="681">
      <c r="A681" s="12">
        <v>43177.0</v>
      </c>
      <c r="B681" s="12"/>
      <c r="C681" s="12" t="s">
        <v>2399</v>
      </c>
      <c r="D681" s="1" t="s">
        <v>1227</v>
      </c>
      <c r="E681" s="15" t="str">
        <f t="shared" si="1"/>
        <v>Mar</v>
      </c>
      <c r="F681" s="13" t="s">
        <v>41</v>
      </c>
      <c r="G681" s="13" t="s">
        <v>2736</v>
      </c>
      <c r="H681" s="13" t="s">
        <v>2737</v>
      </c>
      <c r="I681" s="13" t="s">
        <v>23</v>
      </c>
      <c r="J681" s="13">
        <v>7.0</v>
      </c>
      <c r="K681" s="13" t="s">
        <v>1230</v>
      </c>
      <c r="L681" s="13" t="s">
        <v>70</v>
      </c>
      <c r="M681" s="13" t="s">
        <v>71</v>
      </c>
      <c r="N681" s="13" t="s">
        <v>38</v>
      </c>
      <c r="O681" s="14">
        <v>182.994</v>
      </c>
      <c r="P681" s="14">
        <f t="shared" si="2"/>
        <v>1280.958</v>
      </c>
      <c r="Q681" s="14">
        <v>182.04</v>
      </c>
    </row>
    <row r="682">
      <c r="A682" s="12">
        <v>43058.0</v>
      </c>
      <c r="B682" s="12"/>
      <c r="C682" s="12" t="s">
        <v>2326</v>
      </c>
      <c r="D682" s="1" t="s">
        <v>381</v>
      </c>
      <c r="E682" s="15" t="str">
        <f t="shared" si="1"/>
        <v>Nov</v>
      </c>
      <c r="F682" s="13" t="s">
        <v>41</v>
      </c>
      <c r="G682" s="13" t="s">
        <v>2562</v>
      </c>
      <c r="H682" s="13" t="s">
        <v>2738</v>
      </c>
      <c r="I682" s="13" t="s">
        <v>23</v>
      </c>
      <c r="J682" s="13">
        <v>1.0</v>
      </c>
      <c r="K682" s="13" t="s">
        <v>174</v>
      </c>
      <c r="L682" s="13" t="s">
        <v>175</v>
      </c>
      <c r="M682" s="13" t="s">
        <v>100</v>
      </c>
      <c r="N682" s="13" t="s">
        <v>38</v>
      </c>
      <c r="O682" s="14">
        <v>14.352</v>
      </c>
      <c r="P682" s="14">
        <f t="shared" si="2"/>
        <v>14.352</v>
      </c>
      <c r="Q682" s="14">
        <v>14.01</v>
      </c>
    </row>
    <row r="683">
      <c r="A683" s="12">
        <v>43058.0</v>
      </c>
      <c r="B683" s="12"/>
      <c r="C683" s="12" t="s">
        <v>2326</v>
      </c>
      <c r="D683" s="1" t="s">
        <v>381</v>
      </c>
      <c r="E683" s="15" t="str">
        <f t="shared" si="1"/>
        <v>Nov</v>
      </c>
      <c r="F683" s="13" t="s">
        <v>41</v>
      </c>
      <c r="G683" s="13" t="s">
        <v>2562</v>
      </c>
      <c r="H683" s="13" t="s">
        <v>2738</v>
      </c>
      <c r="I683" s="13" t="s">
        <v>23</v>
      </c>
      <c r="J683" s="13">
        <v>1.0</v>
      </c>
      <c r="K683" s="13" t="s">
        <v>174</v>
      </c>
      <c r="L683" s="13" t="s">
        <v>175</v>
      </c>
      <c r="M683" s="13" t="s">
        <v>100</v>
      </c>
      <c r="N683" s="13" t="s">
        <v>38</v>
      </c>
      <c r="O683" s="14">
        <v>64.96</v>
      </c>
      <c r="P683" s="14">
        <f t="shared" si="2"/>
        <v>64.96</v>
      </c>
      <c r="Q683" s="14">
        <v>64.55</v>
      </c>
    </row>
    <row r="684">
      <c r="A684" s="12">
        <v>43058.0</v>
      </c>
      <c r="B684" s="12"/>
      <c r="C684" s="12" t="s">
        <v>2326</v>
      </c>
      <c r="D684" s="1" t="s">
        <v>381</v>
      </c>
      <c r="E684" s="15" t="str">
        <f t="shared" si="1"/>
        <v>Nov</v>
      </c>
      <c r="F684" s="13" t="s">
        <v>41</v>
      </c>
      <c r="G684" s="13" t="s">
        <v>2562</v>
      </c>
      <c r="H684" s="13" t="s">
        <v>2738</v>
      </c>
      <c r="I684" s="13" t="s">
        <v>23</v>
      </c>
      <c r="J684" s="13">
        <v>1.0</v>
      </c>
      <c r="K684" s="13" t="s">
        <v>174</v>
      </c>
      <c r="L684" s="13" t="s">
        <v>175</v>
      </c>
      <c r="M684" s="13" t="s">
        <v>100</v>
      </c>
      <c r="N684" s="13" t="s">
        <v>38</v>
      </c>
      <c r="O684" s="14">
        <v>68.6</v>
      </c>
      <c r="P684" s="14">
        <f t="shared" si="2"/>
        <v>68.6</v>
      </c>
      <c r="Q684" s="14">
        <v>68.47</v>
      </c>
    </row>
    <row r="685">
      <c r="A685" s="12">
        <v>43201.0</v>
      </c>
      <c r="B685" s="12"/>
      <c r="C685" s="12" t="s">
        <v>2332</v>
      </c>
      <c r="D685" s="6">
        <v>43201.0</v>
      </c>
      <c r="E685" s="15" t="str">
        <f t="shared" si="1"/>
        <v>Apr</v>
      </c>
      <c r="F685" s="13" t="s">
        <v>717</v>
      </c>
      <c r="G685" s="13" t="s">
        <v>2739</v>
      </c>
      <c r="H685" s="13" t="s">
        <v>2577</v>
      </c>
      <c r="I685" s="13" t="s">
        <v>34</v>
      </c>
      <c r="J685" s="13">
        <v>2.0</v>
      </c>
      <c r="K685" s="13" t="s">
        <v>1237</v>
      </c>
      <c r="L685" s="13" t="s">
        <v>58</v>
      </c>
      <c r="M685" s="13" t="s">
        <v>26</v>
      </c>
      <c r="N685" s="13" t="s">
        <v>51</v>
      </c>
      <c r="O685" s="14">
        <v>7999.98</v>
      </c>
      <c r="P685" s="14">
        <f t="shared" si="2"/>
        <v>15999.96</v>
      </c>
      <c r="Q685" s="14">
        <v>7999.04</v>
      </c>
    </row>
    <row r="686">
      <c r="A686" s="12">
        <v>43201.0</v>
      </c>
      <c r="B686" s="12"/>
      <c r="C686" s="12" t="s">
        <v>2332</v>
      </c>
      <c r="D686" s="6">
        <v>43201.0</v>
      </c>
      <c r="E686" s="15" t="str">
        <f t="shared" si="1"/>
        <v>Apr</v>
      </c>
      <c r="F686" s="13" t="s">
        <v>717</v>
      </c>
      <c r="G686" s="13" t="s">
        <v>2739</v>
      </c>
      <c r="H686" s="13" t="s">
        <v>2577</v>
      </c>
      <c r="I686" s="13" t="s">
        <v>34</v>
      </c>
      <c r="J686" s="13">
        <v>2.0</v>
      </c>
      <c r="K686" s="13" t="s">
        <v>1237</v>
      </c>
      <c r="L686" s="13" t="s">
        <v>58</v>
      </c>
      <c r="M686" s="13" t="s">
        <v>26</v>
      </c>
      <c r="N686" s="13" t="s">
        <v>38</v>
      </c>
      <c r="O686" s="14">
        <v>167.44</v>
      </c>
      <c r="P686" s="14">
        <f t="shared" si="2"/>
        <v>334.88</v>
      </c>
      <c r="Q686" s="14">
        <v>167.12</v>
      </c>
    </row>
    <row r="687">
      <c r="A687" s="12">
        <v>42131.0</v>
      </c>
      <c r="B687" s="12"/>
      <c r="C687" s="12" t="s">
        <v>2335</v>
      </c>
      <c r="D687" s="6">
        <v>42223.0</v>
      </c>
      <c r="E687" s="15" t="str">
        <f t="shared" si="1"/>
        <v>Aug</v>
      </c>
      <c r="F687" s="13" t="s">
        <v>121</v>
      </c>
      <c r="G687" s="13" t="s">
        <v>2507</v>
      </c>
      <c r="H687" s="13" t="s">
        <v>2740</v>
      </c>
      <c r="I687" s="13" t="s">
        <v>23</v>
      </c>
      <c r="J687" s="13">
        <v>3.0</v>
      </c>
      <c r="K687" s="13" t="s">
        <v>205</v>
      </c>
      <c r="L687" s="13" t="s">
        <v>827</v>
      </c>
      <c r="M687" s="13" t="s">
        <v>26</v>
      </c>
      <c r="N687" s="13" t="s">
        <v>51</v>
      </c>
      <c r="O687" s="14">
        <v>479.97</v>
      </c>
      <c r="P687" s="14">
        <f t="shared" si="2"/>
        <v>1439.91</v>
      </c>
      <c r="Q687" s="14">
        <v>479.4</v>
      </c>
    </row>
    <row r="688">
      <c r="A688" s="12">
        <v>42131.0</v>
      </c>
      <c r="B688" s="12"/>
      <c r="C688" s="12" t="s">
        <v>2335</v>
      </c>
      <c r="D688" s="6">
        <v>42223.0</v>
      </c>
      <c r="E688" s="15" t="str">
        <f t="shared" si="1"/>
        <v>Aug</v>
      </c>
      <c r="F688" s="13" t="s">
        <v>121</v>
      </c>
      <c r="G688" s="13" t="s">
        <v>2507</v>
      </c>
      <c r="H688" s="13" t="s">
        <v>2740</v>
      </c>
      <c r="I688" s="13" t="s">
        <v>23</v>
      </c>
      <c r="J688" s="13">
        <v>3.0</v>
      </c>
      <c r="K688" s="13" t="s">
        <v>205</v>
      </c>
      <c r="L688" s="13" t="s">
        <v>827</v>
      </c>
      <c r="M688" s="13" t="s">
        <v>26</v>
      </c>
      <c r="N688" s="13" t="s">
        <v>38</v>
      </c>
      <c r="O688" s="14">
        <v>14.62</v>
      </c>
      <c r="P688" s="14">
        <f t="shared" si="2"/>
        <v>43.86</v>
      </c>
      <c r="Q688" s="14">
        <v>13.95</v>
      </c>
    </row>
    <row r="689">
      <c r="A689" s="12">
        <v>42131.0</v>
      </c>
      <c r="B689" s="12"/>
      <c r="C689" s="12" t="s">
        <v>2335</v>
      </c>
      <c r="D689" s="6">
        <v>42223.0</v>
      </c>
      <c r="E689" s="15" t="str">
        <f t="shared" si="1"/>
        <v>Aug</v>
      </c>
      <c r="F689" s="13" t="s">
        <v>121</v>
      </c>
      <c r="G689" s="13" t="s">
        <v>2507</v>
      </c>
      <c r="H689" s="13" t="s">
        <v>2740</v>
      </c>
      <c r="I689" s="13" t="s">
        <v>23</v>
      </c>
      <c r="J689" s="13">
        <v>3.0</v>
      </c>
      <c r="K689" s="13" t="s">
        <v>205</v>
      </c>
      <c r="L689" s="13" t="s">
        <v>827</v>
      </c>
      <c r="M689" s="13" t="s">
        <v>26</v>
      </c>
      <c r="N689" s="13" t="s">
        <v>38</v>
      </c>
      <c r="O689" s="14">
        <v>19.44</v>
      </c>
      <c r="P689" s="14">
        <f t="shared" si="2"/>
        <v>58.32</v>
      </c>
      <c r="Q689" s="14">
        <v>19.38</v>
      </c>
    </row>
    <row r="690">
      <c r="A690" s="12">
        <v>43459.0</v>
      </c>
      <c r="B690" s="12"/>
      <c r="C690" s="12" t="s">
        <v>2325</v>
      </c>
      <c r="D690" s="1" t="s">
        <v>795</v>
      </c>
      <c r="E690" s="15" t="str">
        <f t="shared" si="1"/>
        <v>Dec</v>
      </c>
      <c r="F690" s="13" t="s">
        <v>41</v>
      </c>
      <c r="G690" s="13" t="s">
        <v>2741</v>
      </c>
      <c r="H690" s="13" t="s">
        <v>2742</v>
      </c>
      <c r="I690" s="13" t="s">
        <v>23</v>
      </c>
      <c r="J690" s="13">
        <v>1.0</v>
      </c>
      <c r="K690" s="13" t="s">
        <v>174</v>
      </c>
      <c r="L690" s="13" t="s">
        <v>175</v>
      </c>
      <c r="M690" s="13" t="s">
        <v>100</v>
      </c>
      <c r="N690" s="13" t="s">
        <v>27</v>
      </c>
      <c r="O690" s="14">
        <v>191.984</v>
      </c>
      <c r="P690" s="14">
        <f t="shared" si="2"/>
        <v>191.984</v>
      </c>
      <c r="Q690" s="14">
        <v>191.73</v>
      </c>
    </row>
    <row r="691">
      <c r="A691" s="12">
        <v>42176.0</v>
      </c>
      <c r="B691" s="12"/>
      <c r="C691" s="12" t="s">
        <v>2374</v>
      </c>
      <c r="D691" s="1" t="s">
        <v>1245</v>
      </c>
      <c r="E691" s="15" t="str">
        <f t="shared" si="1"/>
        <v>Jun</v>
      </c>
      <c r="F691" s="13" t="s">
        <v>20</v>
      </c>
      <c r="G691" s="13" t="s">
        <v>2743</v>
      </c>
      <c r="H691" s="13" t="s">
        <v>2744</v>
      </c>
      <c r="I691" s="13" t="s">
        <v>23</v>
      </c>
      <c r="J691" s="13">
        <v>2.0</v>
      </c>
      <c r="K691" s="13" t="s">
        <v>1248</v>
      </c>
      <c r="L691" s="13" t="s">
        <v>198</v>
      </c>
      <c r="M691" s="13" t="s">
        <v>26</v>
      </c>
      <c r="N691" s="13" t="s">
        <v>27</v>
      </c>
      <c r="O691" s="14">
        <v>104.01</v>
      </c>
      <c r="P691" s="14">
        <f t="shared" si="2"/>
        <v>208.02</v>
      </c>
      <c r="Q691" s="14">
        <v>103.23</v>
      </c>
    </row>
    <row r="692">
      <c r="A692" s="12">
        <v>42176.0</v>
      </c>
      <c r="B692" s="12"/>
      <c r="C692" s="12" t="s">
        <v>2374</v>
      </c>
      <c r="D692" s="1" t="s">
        <v>1245</v>
      </c>
      <c r="E692" s="15" t="str">
        <f t="shared" si="1"/>
        <v>Jun</v>
      </c>
      <c r="F692" s="13" t="s">
        <v>20</v>
      </c>
      <c r="G692" s="13" t="s">
        <v>2743</v>
      </c>
      <c r="H692" s="13" t="s">
        <v>2744</v>
      </c>
      <c r="I692" s="13" t="s">
        <v>23</v>
      </c>
      <c r="J692" s="13">
        <v>2.0</v>
      </c>
      <c r="K692" s="13" t="s">
        <v>1248</v>
      </c>
      <c r="L692" s="13" t="s">
        <v>198</v>
      </c>
      <c r="M692" s="13" t="s">
        <v>26</v>
      </c>
      <c r="N692" s="13" t="s">
        <v>51</v>
      </c>
      <c r="O692" s="14">
        <v>284.82</v>
      </c>
      <c r="P692" s="14">
        <f t="shared" si="2"/>
        <v>569.64</v>
      </c>
      <c r="Q692" s="14">
        <v>284.3</v>
      </c>
    </row>
    <row r="693">
      <c r="A693" s="12">
        <v>42176.0</v>
      </c>
      <c r="B693" s="12"/>
      <c r="C693" s="12" t="s">
        <v>2374</v>
      </c>
      <c r="D693" s="1" t="s">
        <v>1245</v>
      </c>
      <c r="E693" s="15" t="str">
        <f t="shared" si="1"/>
        <v>Jun</v>
      </c>
      <c r="F693" s="13" t="s">
        <v>20</v>
      </c>
      <c r="G693" s="13" t="s">
        <v>2743</v>
      </c>
      <c r="H693" s="13" t="s">
        <v>2744</v>
      </c>
      <c r="I693" s="13" t="s">
        <v>23</v>
      </c>
      <c r="J693" s="13">
        <v>2.0</v>
      </c>
      <c r="K693" s="13" t="s">
        <v>1248</v>
      </c>
      <c r="L693" s="13" t="s">
        <v>198</v>
      </c>
      <c r="M693" s="13" t="s">
        <v>26</v>
      </c>
      <c r="N693" s="13" t="s">
        <v>38</v>
      </c>
      <c r="O693" s="14">
        <v>36.84</v>
      </c>
      <c r="P693" s="14">
        <f t="shared" si="2"/>
        <v>73.68</v>
      </c>
      <c r="Q693" s="14">
        <v>35.94</v>
      </c>
    </row>
    <row r="694">
      <c r="A694" s="12">
        <v>42457.0</v>
      </c>
      <c r="B694" s="12"/>
      <c r="C694" s="12" t="s">
        <v>2399</v>
      </c>
      <c r="D694" s="6">
        <v>42404.0</v>
      </c>
      <c r="E694" s="15" t="str">
        <f t="shared" si="1"/>
        <v>Feb</v>
      </c>
      <c r="F694" s="13" t="s">
        <v>41</v>
      </c>
      <c r="G694" s="13" t="s">
        <v>2438</v>
      </c>
      <c r="H694" s="13" t="s">
        <v>2745</v>
      </c>
      <c r="I694" s="13" t="s">
        <v>23</v>
      </c>
      <c r="J694" s="13">
        <v>9.0</v>
      </c>
      <c r="K694" s="13" t="s">
        <v>35</v>
      </c>
      <c r="L694" s="13" t="s">
        <v>52</v>
      </c>
      <c r="M694" s="13" t="s">
        <v>37</v>
      </c>
      <c r="N694" s="13" t="s">
        <v>51</v>
      </c>
      <c r="O694" s="14">
        <v>166.24</v>
      </c>
      <c r="P694" s="14">
        <f t="shared" si="2"/>
        <v>1496.16</v>
      </c>
      <c r="Q694" s="14">
        <v>166.08</v>
      </c>
    </row>
    <row r="695">
      <c r="A695" s="12">
        <v>42457.0</v>
      </c>
      <c r="B695" s="12"/>
      <c r="C695" s="12" t="s">
        <v>2399</v>
      </c>
      <c r="D695" s="6">
        <v>42404.0</v>
      </c>
      <c r="E695" s="15" t="str">
        <f t="shared" si="1"/>
        <v>Feb</v>
      </c>
      <c r="F695" s="13" t="s">
        <v>41</v>
      </c>
      <c r="G695" s="13" t="s">
        <v>2438</v>
      </c>
      <c r="H695" s="13" t="s">
        <v>2745</v>
      </c>
      <c r="I695" s="13" t="s">
        <v>23</v>
      </c>
      <c r="J695" s="13">
        <v>9.0</v>
      </c>
      <c r="K695" s="13" t="s">
        <v>35</v>
      </c>
      <c r="L695" s="13" t="s">
        <v>52</v>
      </c>
      <c r="M695" s="13" t="s">
        <v>37</v>
      </c>
      <c r="N695" s="13" t="s">
        <v>38</v>
      </c>
      <c r="O695" s="14">
        <v>33.4</v>
      </c>
      <c r="P695" s="14">
        <f t="shared" si="2"/>
        <v>300.6</v>
      </c>
      <c r="Q695" s="14">
        <v>33.38</v>
      </c>
    </row>
    <row r="696">
      <c r="A696" s="12">
        <v>42504.0</v>
      </c>
      <c r="B696" s="12"/>
      <c r="C696" s="12" t="s">
        <v>2335</v>
      </c>
      <c r="D696" s="1" t="s">
        <v>1253</v>
      </c>
      <c r="E696" s="15" t="str">
        <f t="shared" si="1"/>
        <v>May</v>
      </c>
      <c r="F696" s="13" t="s">
        <v>121</v>
      </c>
      <c r="G696" s="13" t="s">
        <v>2746</v>
      </c>
      <c r="H696" s="13" t="s">
        <v>2747</v>
      </c>
      <c r="I696" s="13" t="s">
        <v>68</v>
      </c>
      <c r="J696" s="13">
        <v>1.0</v>
      </c>
      <c r="K696" s="13" t="s">
        <v>1256</v>
      </c>
      <c r="L696" s="13" t="s">
        <v>99</v>
      </c>
      <c r="M696" s="13" t="s">
        <v>100</v>
      </c>
      <c r="N696" s="13" t="s">
        <v>38</v>
      </c>
      <c r="O696" s="14">
        <v>198.272</v>
      </c>
      <c r="P696" s="14">
        <f t="shared" si="2"/>
        <v>198.272</v>
      </c>
      <c r="Q696" s="14">
        <v>197.32</v>
      </c>
    </row>
    <row r="697">
      <c r="A697" s="12">
        <v>42504.0</v>
      </c>
      <c r="B697" s="12"/>
      <c r="C697" s="12" t="s">
        <v>2335</v>
      </c>
      <c r="D697" s="1" t="s">
        <v>1253</v>
      </c>
      <c r="E697" s="15" t="str">
        <f t="shared" si="1"/>
        <v>May</v>
      </c>
      <c r="F697" s="13" t="s">
        <v>121</v>
      </c>
      <c r="G697" s="13" t="s">
        <v>2746</v>
      </c>
      <c r="H697" s="13" t="s">
        <v>2747</v>
      </c>
      <c r="I697" s="13" t="s">
        <v>68</v>
      </c>
      <c r="J697" s="13">
        <v>1.0</v>
      </c>
      <c r="K697" s="13" t="s">
        <v>1256</v>
      </c>
      <c r="L697" s="13" t="s">
        <v>99</v>
      </c>
      <c r="M697" s="13" t="s">
        <v>100</v>
      </c>
      <c r="N697" s="13" t="s">
        <v>38</v>
      </c>
      <c r="O697" s="14">
        <v>47.36</v>
      </c>
      <c r="P697" s="14">
        <f t="shared" si="2"/>
        <v>47.36</v>
      </c>
      <c r="Q697" s="14">
        <v>47.31</v>
      </c>
    </row>
    <row r="698">
      <c r="A698" s="12">
        <v>42504.0</v>
      </c>
      <c r="B698" s="12"/>
      <c r="C698" s="12" t="s">
        <v>2335</v>
      </c>
      <c r="D698" s="1" t="s">
        <v>1253</v>
      </c>
      <c r="E698" s="15" t="str">
        <f t="shared" si="1"/>
        <v>May</v>
      </c>
      <c r="F698" s="13" t="s">
        <v>121</v>
      </c>
      <c r="G698" s="13" t="s">
        <v>2746</v>
      </c>
      <c r="H698" s="13" t="s">
        <v>2747</v>
      </c>
      <c r="I698" s="13" t="s">
        <v>68</v>
      </c>
      <c r="J698" s="13">
        <v>1.0</v>
      </c>
      <c r="K698" s="13" t="s">
        <v>1256</v>
      </c>
      <c r="L698" s="13" t="s">
        <v>99</v>
      </c>
      <c r="M698" s="13" t="s">
        <v>100</v>
      </c>
      <c r="N698" s="13" t="s">
        <v>38</v>
      </c>
      <c r="O698" s="14">
        <v>200.984</v>
      </c>
      <c r="P698" s="14">
        <f t="shared" si="2"/>
        <v>200.984</v>
      </c>
      <c r="Q698" s="14">
        <v>200.57</v>
      </c>
    </row>
    <row r="699">
      <c r="A699" s="12">
        <v>42504.0</v>
      </c>
      <c r="B699" s="12"/>
      <c r="C699" s="12" t="s">
        <v>2335</v>
      </c>
      <c r="D699" s="1" t="s">
        <v>1253</v>
      </c>
      <c r="E699" s="15" t="str">
        <f t="shared" si="1"/>
        <v>May</v>
      </c>
      <c r="F699" s="13" t="s">
        <v>121</v>
      </c>
      <c r="G699" s="13" t="s">
        <v>2746</v>
      </c>
      <c r="H699" s="13" t="s">
        <v>2747</v>
      </c>
      <c r="I699" s="13" t="s">
        <v>68</v>
      </c>
      <c r="J699" s="13">
        <v>1.0</v>
      </c>
      <c r="K699" s="13" t="s">
        <v>1256</v>
      </c>
      <c r="L699" s="13" t="s">
        <v>99</v>
      </c>
      <c r="M699" s="13" t="s">
        <v>100</v>
      </c>
      <c r="N699" s="13" t="s">
        <v>38</v>
      </c>
      <c r="O699" s="14">
        <v>97.696</v>
      </c>
      <c r="P699" s="14">
        <f t="shared" si="2"/>
        <v>97.696</v>
      </c>
      <c r="Q699" s="14">
        <v>97.58</v>
      </c>
    </row>
    <row r="700">
      <c r="A700" s="12">
        <v>42504.0</v>
      </c>
      <c r="B700" s="12"/>
      <c r="C700" s="12" t="s">
        <v>2335</v>
      </c>
      <c r="D700" s="1" t="s">
        <v>1253</v>
      </c>
      <c r="E700" s="15" t="str">
        <f t="shared" si="1"/>
        <v>May</v>
      </c>
      <c r="F700" s="13" t="s">
        <v>121</v>
      </c>
      <c r="G700" s="13" t="s">
        <v>2746</v>
      </c>
      <c r="H700" s="13" t="s">
        <v>2747</v>
      </c>
      <c r="I700" s="13" t="s">
        <v>68</v>
      </c>
      <c r="J700" s="13">
        <v>1.0</v>
      </c>
      <c r="K700" s="13" t="s">
        <v>1256</v>
      </c>
      <c r="L700" s="13" t="s">
        <v>99</v>
      </c>
      <c r="M700" s="13" t="s">
        <v>100</v>
      </c>
      <c r="N700" s="13" t="s">
        <v>38</v>
      </c>
      <c r="O700" s="14">
        <v>2.696</v>
      </c>
      <c r="P700" s="14">
        <f t="shared" si="2"/>
        <v>2.696</v>
      </c>
      <c r="Q700" s="14">
        <v>2.67</v>
      </c>
    </row>
    <row r="701">
      <c r="A701" s="12">
        <v>42504.0</v>
      </c>
      <c r="B701" s="12"/>
      <c r="C701" s="12" t="s">
        <v>2335</v>
      </c>
      <c r="D701" s="1" t="s">
        <v>1253</v>
      </c>
      <c r="E701" s="15" t="str">
        <f t="shared" si="1"/>
        <v>May</v>
      </c>
      <c r="F701" s="13" t="s">
        <v>121</v>
      </c>
      <c r="G701" s="13" t="s">
        <v>2746</v>
      </c>
      <c r="H701" s="13" t="s">
        <v>2747</v>
      </c>
      <c r="I701" s="13" t="s">
        <v>68</v>
      </c>
      <c r="J701" s="13">
        <v>1.0</v>
      </c>
      <c r="K701" s="13" t="s">
        <v>1256</v>
      </c>
      <c r="L701" s="13" t="s">
        <v>99</v>
      </c>
      <c r="M701" s="13" t="s">
        <v>100</v>
      </c>
      <c r="N701" s="13" t="s">
        <v>38</v>
      </c>
      <c r="O701" s="14">
        <v>18.588</v>
      </c>
      <c r="P701" s="14">
        <f t="shared" si="2"/>
        <v>18.588</v>
      </c>
      <c r="Q701" s="14">
        <v>18.0</v>
      </c>
    </row>
    <row r="702">
      <c r="A702" s="12">
        <v>42504.0</v>
      </c>
      <c r="B702" s="12"/>
      <c r="C702" s="12" t="s">
        <v>2335</v>
      </c>
      <c r="D702" s="1" t="s">
        <v>1253</v>
      </c>
      <c r="E702" s="15" t="str">
        <f t="shared" si="1"/>
        <v>May</v>
      </c>
      <c r="F702" s="13" t="s">
        <v>121</v>
      </c>
      <c r="G702" s="13" t="s">
        <v>2746</v>
      </c>
      <c r="H702" s="13" t="s">
        <v>2747</v>
      </c>
      <c r="I702" s="13" t="s">
        <v>68</v>
      </c>
      <c r="J702" s="13">
        <v>1.0</v>
      </c>
      <c r="K702" s="13" t="s">
        <v>1256</v>
      </c>
      <c r="L702" s="13" t="s">
        <v>99</v>
      </c>
      <c r="M702" s="13" t="s">
        <v>100</v>
      </c>
      <c r="N702" s="13" t="s">
        <v>38</v>
      </c>
      <c r="O702" s="14">
        <v>4.896</v>
      </c>
      <c r="P702" s="14">
        <f t="shared" si="2"/>
        <v>4.896</v>
      </c>
      <c r="Q702" s="14">
        <v>4.29</v>
      </c>
    </row>
    <row r="703">
      <c r="A703" s="12">
        <v>43140.0</v>
      </c>
      <c r="B703" s="12"/>
      <c r="C703" s="12" t="s">
        <v>2431</v>
      </c>
      <c r="D703" s="6">
        <v>43321.0</v>
      </c>
      <c r="E703" s="15" t="str">
        <f t="shared" si="1"/>
        <v>Aug</v>
      </c>
      <c r="F703" s="13" t="s">
        <v>41</v>
      </c>
      <c r="G703" s="13" t="s">
        <v>2525</v>
      </c>
      <c r="H703" s="13" t="s">
        <v>2526</v>
      </c>
      <c r="I703" s="13" t="s">
        <v>34</v>
      </c>
      <c r="J703" s="13">
        <v>4.0</v>
      </c>
      <c r="K703" s="13" t="s">
        <v>1219</v>
      </c>
      <c r="L703" s="13" t="s">
        <v>304</v>
      </c>
      <c r="M703" s="13" t="s">
        <v>100</v>
      </c>
      <c r="N703" s="13" t="s">
        <v>27</v>
      </c>
      <c r="O703" s="14">
        <v>15.072</v>
      </c>
      <c r="P703" s="14">
        <f t="shared" si="2"/>
        <v>60.288</v>
      </c>
      <c r="Q703" s="14">
        <v>15.04</v>
      </c>
    </row>
    <row r="704">
      <c r="A704" s="12">
        <v>42836.0</v>
      </c>
      <c r="B704" s="12"/>
      <c r="C704" s="12" t="s">
        <v>2332</v>
      </c>
      <c r="D704" s="6">
        <v>42958.0</v>
      </c>
      <c r="E704" s="15" t="str">
        <f t="shared" si="1"/>
        <v>Aug</v>
      </c>
      <c r="F704" s="13" t="s">
        <v>20</v>
      </c>
      <c r="G704" s="13" t="s">
        <v>2342</v>
      </c>
      <c r="H704" s="13" t="s">
        <v>2585</v>
      </c>
      <c r="I704" s="13" t="s">
        <v>34</v>
      </c>
      <c r="J704" s="13">
        <v>9.0</v>
      </c>
      <c r="K704" s="13" t="s">
        <v>62</v>
      </c>
      <c r="L704" s="13" t="s">
        <v>63</v>
      </c>
      <c r="M704" s="13" t="s">
        <v>37</v>
      </c>
      <c r="N704" s="13" t="s">
        <v>27</v>
      </c>
      <c r="O704" s="14">
        <v>209.88</v>
      </c>
      <c r="P704" s="14">
        <f t="shared" si="2"/>
        <v>1888.92</v>
      </c>
      <c r="Q704" s="14">
        <v>209.67</v>
      </c>
    </row>
    <row r="705">
      <c r="A705" s="12">
        <v>42617.0</v>
      </c>
      <c r="B705" s="12"/>
      <c r="C705" s="12" t="s">
        <v>2329</v>
      </c>
      <c r="D705" s="1" t="s">
        <v>1260</v>
      </c>
      <c r="E705" s="15" t="str">
        <f t="shared" si="1"/>
        <v>Apr</v>
      </c>
      <c r="F705" s="13" t="s">
        <v>41</v>
      </c>
      <c r="G705" s="13" t="s">
        <v>2748</v>
      </c>
      <c r="H705" s="13" t="s">
        <v>2749</v>
      </c>
      <c r="I705" s="13" t="s">
        <v>23</v>
      </c>
      <c r="J705" s="13">
        <v>9.0</v>
      </c>
      <c r="K705" s="13" t="s">
        <v>654</v>
      </c>
      <c r="L705" s="13" t="s">
        <v>52</v>
      </c>
      <c r="M705" s="13" t="s">
        <v>37</v>
      </c>
      <c r="N705" s="13" t="s">
        <v>27</v>
      </c>
      <c r="O705" s="14">
        <v>369.912</v>
      </c>
      <c r="P705" s="14">
        <f t="shared" si="2"/>
        <v>3329.208</v>
      </c>
      <c r="Q705" s="14">
        <v>369.25</v>
      </c>
    </row>
    <row r="706">
      <c r="A706" s="12">
        <v>42347.0</v>
      </c>
      <c r="B706" s="12"/>
      <c r="C706" s="12" t="s">
        <v>2325</v>
      </c>
      <c r="D706" s="1" t="s">
        <v>518</v>
      </c>
      <c r="E706" s="15" t="str">
        <f t="shared" si="1"/>
        <v>Sep</v>
      </c>
      <c r="F706" s="13" t="s">
        <v>41</v>
      </c>
      <c r="G706" s="13" t="s">
        <v>2750</v>
      </c>
      <c r="H706" s="13" t="s">
        <v>2630</v>
      </c>
      <c r="I706" s="13" t="s">
        <v>34</v>
      </c>
      <c r="J706" s="13">
        <v>2.0</v>
      </c>
      <c r="K706" s="13" t="s">
        <v>1266</v>
      </c>
      <c r="L706" s="13" t="s">
        <v>58</v>
      </c>
      <c r="M706" s="13" t="s">
        <v>26</v>
      </c>
      <c r="N706" s="13" t="s">
        <v>38</v>
      </c>
      <c r="O706" s="14">
        <v>10.368</v>
      </c>
      <c r="P706" s="14">
        <f t="shared" si="2"/>
        <v>20.736</v>
      </c>
      <c r="Q706" s="14">
        <v>10.13</v>
      </c>
    </row>
    <row r="707">
      <c r="A707" s="12">
        <v>42347.0</v>
      </c>
      <c r="B707" s="12"/>
      <c r="C707" s="12" t="s">
        <v>2325</v>
      </c>
      <c r="D707" s="1" t="s">
        <v>518</v>
      </c>
      <c r="E707" s="15" t="str">
        <f t="shared" si="1"/>
        <v>Sep</v>
      </c>
      <c r="F707" s="13" t="s">
        <v>41</v>
      </c>
      <c r="G707" s="13" t="s">
        <v>2750</v>
      </c>
      <c r="H707" s="13" t="s">
        <v>2630</v>
      </c>
      <c r="I707" s="13" t="s">
        <v>34</v>
      </c>
      <c r="J707" s="13">
        <v>2.0</v>
      </c>
      <c r="K707" s="13" t="s">
        <v>1266</v>
      </c>
      <c r="L707" s="13" t="s">
        <v>58</v>
      </c>
      <c r="M707" s="13" t="s">
        <v>26</v>
      </c>
      <c r="N707" s="13" t="s">
        <v>38</v>
      </c>
      <c r="O707" s="14">
        <v>166.84</v>
      </c>
      <c r="P707" s="14">
        <f t="shared" si="2"/>
        <v>333.68</v>
      </c>
      <c r="Q707" s="14">
        <v>166.37</v>
      </c>
    </row>
    <row r="708">
      <c r="A708" s="12">
        <v>42347.0</v>
      </c>
      <c r="B708" s="12"/>
      <c r="C708" s="12" t="s">
        <v>2325</v>
      </c>
      <c r="D708" s="1" t="s">
        <v>518</v>
      </c>
      <c r="E708" s="15" t="str">
        <f t="shared" si="1"/>
        <v>Sep</v>
      </c>
      <c r="F708" s="13" t="s">
        <v>41</v>
      </c>
      <c r="G708" s="13" t="s">
        <v>2750</v>
      </c>
      <c r="H708" s="13" t="s">
        <v>2630</v>
      </c>
      <c r="I708" s="13" t="s">
        <v>34</v>
      </c>
      <c r="J708" s="13">
        <v>2.0</v>
      </c>
      <c r="K708" s="13" t="s">
        <v>1266</v>
      </c>
      <c r="L708" s="13" t="s">
        <v>58</v>
      </c>
      <c r="M708" s="13" t="s">
        <v>26</v>
      </c>
      <c r="N708" s="13" t="s">
        <v>51</v>
      </c>
      <c r="O708" s="14">
        <v>15.216</v>
      </c>
      <c r="P708" s="14">
        <f t="shared" si="2"/>
        <v>30.432</v>
      </c>
      <c r="Q708" s="14">
        <v>14.91</v>
      </c>
    </row>
    <row r="709">
      <c r="A709" s="12">
        <v>42047.0</v>
      </c>
      <c r="B709" s="12"/>
      <c r="C709" s="12" t="s">
        <v>2431</v>
      </c>
      <c r="D709" s="6">
        <v>42106.0</v>
      </c>
      <c r="E709" s="15" t="str">
        <f t="shared" si="1"/>
        <v>Apr</v>
      </c>
      <c r="F709" s="13" t="s">
        <v>121</v>
      </c>
      <c r="G709" s="13" t="s">
        <v>2478</v>
      </c>
      <c r="H709" s="13" t="s">
        <v>2751</v>
      </c>
      <c r="I709" s="13" t="s">
        <v>23</v>
      </c>
      <c r="J709" s="13">
        <v>1.0</v>
      </c>
      <c r="K709" s="13" t="s">
        <v>174</v>
      </c>
      <c r="L709" s="13" t="s">
        <v>175</v>
      </c>
      <c r="M709" s="13" t="s">
        <v>100</v>
      </c>
      <c r="N709" s="13" t="s">
        <v>51</v>
      </c>
      <c r="O709" s="14">
        <v>119.96</v>
      </c>
      <c r="P709" s="14">
        <f t="shared" si="2"/>
        <v>119.96</v>
      </c>
      <c r="Q709" s="14">
        <v>119.88</v>
      </c>
    </row>
    <row r="710">
      <c r="A710" s="12">
        <v>42047.0</v>
      </c>
      <c r="B710" s="12"/>
      <c r="C710" s="12" t="s">
        <v>2431</v>
      </c>
      <c r="D710" s="6">
        <v>42106.0</v>
      </c>
      <c r="E710" s="15" t="str">
        <f t="shared" si="1"/>
        <v>Apr</v>
      </c>
      <c r="F710" s="13" t="s">
        <v>121</v>
      </c>
      <c r="G710" s="13" t="s">
        <v>2478</v>
      </c>
      <c r="H710" s="13" t="s">
        <v>2751</v>
      </c>
      <c r="I710" s="13" t="s">
        <v>23</v>
      </c>
      <c r="J710" s="13">
        <v>1.0</v>
      </c>
      <c r="K710" s="13" t="s">
        <v>174</v>
      </c>
      <c r="L710" s="13" t="s">
        <v>175</v>
      </c>
      <c r="M710" s="13" t="s">
        <v>100</v>
      </c>
      <c r="N710" s="13" t="s">
        <v>27</v>
      </c>
      <c r="O710" s="14">
        <v>883.92</v>
      </c>
      <c r="P710" s="14">
        <f t="shared" si="2"/>
        <v>883.92</v>
      </c>
      <c r="Q710" s="14">
        <v>883.73</v>
      </c>
    </row>
    <row r="711">
      <c r="A711" s="12">
        <v>42047.0</v>
      </c>
      <c r="B711" s="12"/>
      <c r="C711" s="12" t="s">
        <v>2431</v>
      </c>
      <c r="D711" s="6">
        <v>42106.0</v>
      </c>
      <c r="E711" s="15" t="str">
        <f t="shared" si="1"/>
        <v>Apr</v>
      </c>
      <c r="F711" s="13" t="s">
        <v>121</v>
      </c>
      <c r="G711" s="13" t="s">
        <v>2478</v>
      </c>
      <c r="H711" s="13" t="s">
        <v>2751</v>
      </c>
      <c r="I711" s="13" t="s">
        <v>23</v>
      </c>
      <c r="J711" s="13">
        <v>1.0</v>
      </c>
      <c r="K711" s="13" t="s">
        <v>174</v>
      </c>
      <c r="L711" s="13" t="s">
        <v>175</v>
      </c>
      <c r="M711" s="13" t="s">
        <v>100</v>
      </c>
      <c r="N711" s="13" t="s">
        <v>38</v>
      </c>
      <c r="O711" s="14">
        <v>46.72</v>
      </c>
      <c r="P711" s="14">
        <f t="shared" si="2"/>
        <v>46.72</v>
      </c>
      <c r="Q711" s="14">
        <v>46.15</v>
      </c>
    </row>
    <row r="712">
      <c r="A712" s="12">
        <v>42128.0</v>
      </c>
      <c r="B712" s="12"/>
      <c r="C712" s="12" t="s">
        <v>2335</v>
      </c>
      <c r="D712" s="6">
        <v>42189.0</v>
      </c>
      <c r="E712" s="15" t="str">
        <f t="shared" si="1"/>
        <v>Jul</v>
      </c>
      <c r="F712" s="13" t="s">
        <v>121</v>
      </c>
      <c r="G712" s="13" t="s">
        <v>2356</v>
      </c>
      <c r="H712" s="13" t="s">
        <v>2495</v>
      </c>
      <c r="I712" s="13" t="s">
        <v>68</v>
      </c>
      <c r="J712" s="13">
        <v>1.0</v>
      </c>
      <c r="K712" s="13" t="s">
        <v>174</v>
      </c>
      <c r="L712" s="13" t="s">
        <v>175</v>
      </c>
      <c r="M712" s="13" t="s">
        <v>100</v>
      </c>
      <c r="N712" s="13" t="s">
        <v>38</v>
      </c>
      <c r="O712" s="14">
        <v>55.48</v>
      </c>
      <c r="P712" s="14">
        <f t="shared" si="2"/>
        <v>55.48</v>
      </c>
      <c r="Q712" s="14">
        <v>55.03</v>
      </c>
    </row>
    <row r="713">
      <c r="A713" s="12">
        <v>43168.0</v>
      </c>
      <c r="B713" s="12"/>
      <c r="C713" s="12" t="s">
        <v>2399</v>
      </c>
      <c r="D713" s="6">
        <v>43290.0</v>
      </c>
      <c r="E713" s="15" t="str">
        <f t="shared" si="1"/>
        <v>Jul</v>
      </c>
      <c r="F713" s="13" t="s">
        <v>41</v>
      </c>
      <c r="G713" s="13" t="s">
        <v>2578</v>
      </c>
      <c r="H713" s="13" t="s">
        <v>2752</v>
      </c>
      <c r="I713" s="13" t="s">
        <v>23</v>
      </c>
      <c r="J713" s="13">
        <v>3.0</v>
      </c>
      <c r="K713" s="13" t="s">
        <v>1276</v>
      </c>
      <c r="L713" s="13" t="s">
        <v>145</v>
      </c>
      <c r="M713" s="13" t="s">
        <v>26</v>
      </c>
      <c r="N713" s="13" t="s">
        <v>38</v>
      </c>
      <c r="O713" s="14">
        <v>24.448</v>
      </c>
      <c r="P713" s="14">
        <f t="shared" si="2"/>
        <v>73.344</v>
      </c>
      <c r="Q713" s="14">
        <v>24.28</v>
      </c>
    </row>
    <row r="714">
      <c r="A714" s="12">
        <v>43239.0</v>
      </c>
      <c r="B714" s="12"/>
      <c r="C714" s="12" t="s">
        <v>2335</v>
      </c>
      <c r="D714" s="1" t="s">
        <v>1278</v>
      </c>
      <c r="E714" s="15" t="str">
        <f t="shared" si="1"/>
        <v>May</v>
      </c>
      <c r="F714" s="13" t="s">
        <v>41</v>
      </c>
      <c r="G714" s="13" t="s">
        <v>2753</v>
      </c>
      <c r="H714" s="13" t="s">
        <v>2754</v>
      </c>
      <c r="I714" s="13" t="s">
        <v>34</v>
      </c>
      <c r="J714" s="13">
        <v>1.0</v>
      </c>
      <c r="K714" s="13" t="s">
        <v>1281</v>
      </c>
      <c r="L714" s="13" t="s">
        <v>175</v>
      </c>
      <c r="M714" s="13" t="s">
        <v>100</v>
      </c>
      <c r="N714" s="13" t="s">
        <v>38</v>
      </c>
      <c r="O714" s="14">
        <v>281.34</v>
      </c>
      <c r="P714" s="14">
        <f t="shared" si="2"/>
        <v>281.34</v>
      </c>
      <c r="Q714" s="14">
        <v>280.52</v>
      </c>
    </row>
    <row r="715">
      <c r="A715" s="12">
        <v>43239.0</v>
      </c>
      <c r="B715" s="12"/>
      <c r="C715" s="12" t="s">
        <v>2335</v>
      </c>
      <c r="D715" s="1" t="s">
        <v>1278</v>
      </c>
      <c r="E715" s="15" t="str">
        <f t="shared" si="1"/>
        <v>May</v>
      </c>
      <c r="F715" s="13" t="s">
        <v>41</v>
      </c>
      <c r="G715" s="13" t="s">
        <v>2753</v>
      </c>
      <c r="H715" s="13" t="s">
        <v>2754</v>
      </c>
      <c r="I715" s="13" t="s">
        <v>34</v>
      </c>
      <c r="J715" s="13">
        <v>1.0</v>
      </c>
      <c r="K715" s="13" t="s">
        <v>1281</v>
      </c>
      <c r="L715" s="13" t="s">
        <v>175</v>
      </c>
      <c r="M715" s="13" t="s">
        <v>100</v>
      </c>
      <c r="N715" s="13" t="s">
        <v>51</v>
      </c>
      <c r="O715" s="14">
        <v>307.98</v>
      </c>
      <c r="P715" s="14">
        <f t="shared" si="2"/>
        <v>307.98</v>
      </c>
      <c r="Q715" s="14">
        <v>307.2</v>
      </c>
    </row>
    <row r="716">
      <c r="A716" s="12">
        <v>43239.0</v>
      </c>
      <c r="B716" s="12"/>
      <c r="C716" s="12" t="s">
        <v>2335</v>
      </c>
      <c r="D716" s="1" t="s">
        <v>1278</v>
      </c>
      <c r="E716" s="15" t="str">
        <f t="shared" si="1"/>
        <v>May</v>
      </c>
      <c r="F716" s="13" t="s">
        <v>41</v>
      </c>
      <c r="G716" s="13" t="s">
        <v>2753</v>
      </c>
      <c r="H716" s="13" t="s">
        <v>2754</v>
      </c>
      <c r="I716" s="13" t="s">
        <v>34</v>
      </c>
      <c r="J716" s="13">
        <v>1.0</v>
      </c>
      <c r="K716" s="13" t="s">
        <v>1281</v>
      </c>
      <c r="L716" s="13" t="s">
        <v>175</v>
      </c>
      <c r="M716" s="13" t="s">
        <v>100</v>
      </c>
      <c r="N716" s="13" t="s">
        <v>51</v>
      </c>
      <c r="O716" s="14">
        <v>299.97</v>
      </c>
      <c r="P716" s="14">
        <f t="shared" si="2"/>
        <v>299.97</v>
      </c>
      <c r="Q716" s="14">
        <v>299.73</v>
      </c>
    </row>
    <row r="717">
      <c r="A717" s="12">
        <v>42011.0</v>
      </c>
      <c r="B717" s="12"/>
      <c r="C717" s="12" t="s">
        <v>2353</v>
      </c>
      <c r="D717" s="6">
        <v>42162.0</v>
      </c>
      <c r="E717" s="15" t="str">
        <f t="shared" si="1"/>
        <v>Jun</v>
      </c>
      <c r="F717" s="13" t="s">
        <v>20</v>
      </c>
      <c r="G717" s="13" t="s">
        <v>2525</v>
      </c>
      <c r="H717" s="13" t="s">
        <v>2526</v>
      </c>
      <c r="I717" s="13" t="s">
        <v>34</v>
      </c>
      <c r="J717" s="13">
        <v>9.0</v>
      </c>
      <c r="K717" s="13" t="s">
        <v>62</v>
      </c>
      <c r="L717" s="13" t="s">
        <v>63</v>
      </c>
      <c r="M717" s="13" t="s">
        <v>37</v>
      </c>
      <c r="N717" s="13" t="s">
        <v>38</v>
      </c>
      <c r="O717" s="14">
        <v>19.92</v>
      </c>
      <c r="P717" s="14">
        <f t="shared" si="2"/>
        <v>179.28</v>
      </c>
      <c r="Q717" s="14">
        <v>19.36</v>
      </c>
    </row>
    <row r="718">
      <c r="A718" s="12">
        <v>42309.0</v>
      </c>
      <c r="B718" s="12"/>
      <c r="C718" s="12" t="s">
        <v>2326</v>
      </c>
      <c r="D718" s="1" t="s">
        <v>1284</v>
      </c>
      <c r="E718" s="15" t="str">
        <f t="shared" si="1"/>
        <v>Jan</v>
      </c>
      <c r="F718" s="13" t="s">
        <v>121</v>
      </c>
      <c r="G718" s="13" t="s">
        <v>2755</v>
      </c>
      <c r="H718" s="13" t="s">
        <v>2756</v>
      </c>
      <c r="I718" s="13" t="s">
        <v>23</v>
      </c>
      <c r="J718" s="13">
        <v>1.0</v>
      </c>
      <c r="K718" s="13" t="s">
        <v>162</v>
      </c>
      <c r="L718" s="13" t="s">
        <v>163</v>
      </c>
      <c r="M718" s="13" t="s">
        <v>100</v>
      </c>
      <c r="N718" s="13" t="s">
        <v>27</v>
      </c>
      <c r="O718" s="14">
        <v>9.94</v>
      </c>
      <c r="P718" s="14">
        <f t="shared" si="2"/>
        <v>9.94</v>
      </c>
      <c r="Q718" s="14">
        <v>8.98</v>
      </c>
    </row>
    <row r="719">
      <c r="A719" s="12">
        <v>43367.0</v>
      </c>
      <c r="B719" s="12"/>
      <c r="C719" s="12" t="s">
        <v>2329</v>
      </c>
      <c r="D719" s="1" t="s">
        <v>1288</v>
      </c>
      <c r="E719" s="15" t="str">
        <f t="shared" si="1"/>
        <v>Sep</v>
      </c>
      <c r="F719" s="13" t="s">
        <v>41</v>
      </c>
      <c r="G719" s="13" t="s">
        <v>2517</v>
      </c>
      <c r="H719" s="13" t="s">
        <v>2518</v>
      </c>
      <c r="I719" s="13" t="s">
        <v>23</v>
      </c>
      <c r="J719" s="13">
        <v>4.0</v>
      </c>
      <c r="K719" s="13" t="s">
        <v>360</v>
      </c>
      <c r="L719" s="13" t="s">
        <v>304</v>
      </c>
      <c r="M719" s="13" t="s">
        <v>100</v>
      </c>
      <c r="N719" s="13" t="s">
        <v>27</v>
      </c>
      <c r="O719" s="14">
        <v>103.056</v>
      </c>
      <c r="P719" s="14">
        <f t="shared" si="2"/>
        <v>412.224</v>
      </c>
      <c r="Q719" s="14">
        <v>102.11</v>
      </c>
    </row>
    <row r="720">
      <c r="A720" s="12">
        <v>42041.0</v>
      </c>
      <c r="B720" s="12"/>
      <c r="C720" s="12" t="s">
        <v>2431</v>
      </c>
      <c r="D720" s="6">
        <v>42191.0</v>
      </c>
      <c r="E720" s="15" t="str">
        <f t="shared" si="1"/>
        <v>Jul</v>
      </c>
      <c r="F720" s="13" t="s">
        <v>41</v>
      </c>
      <c r="G720" s="13" t="s">
        <v>2532</v>
      </c>
      <c r="H720" s="13" t="s">
        <v>2757</v>
      </c>
      <c r="I720" s="13" t="s">
        <v>68</v>
      </c>
      <c r="J720" s="13">
        <v>8.0</v>
      </c>
      <c r="K720" s="13" t="s">
        <v>105</v>
      </c>
      <c r="L720" s="13" t="s">
        <v>83</v>
      </c>
      <c r="M720" s="13" t="s">
        <v>37</v>
      </c>
      <c r="N720" s="13" t="s">
        <v>38</v>
      </c>
      <c r="O720" s="14">
        <v>59.808</v>
      </c>
      <c r="P720" s="14">
        <f t="shared" si="2"/>
        <v>478.464</v>
      </c>
      <c r="Q720" s="14">
        <v>59.78</v>
      </c>
    </row>
    <row r="721">
      <c r="A721" s="12">
        <v>42041.0</v>
      </c>
      <c r="B721" s="12"/>
      <c r="C721" s="12" t="s">
        <v>2431</v>
      </c>
      <c r="D721" s="6">
        <v>42191.0</v>
      </c>
      <c r="E721" s="15" t="str">
        <f t="shared" si="1"/>
        <v>Jul</v>
      </c>
      <c r="F721" s="13" t="s">
        <v>41</v>
      </c>
      <c r="G721" s="13" t="s">
        <v>2532</v>
      </c>
      <c r="H721" s="13" t="s">
        <v>2757</v>
      </c>
      <c r="I721" s="13" t="s">
        <v>68</v>
      </c>
      <c r="J721" s="13">
        <v>8.0</v>
      </c>
      <c r="K721" s="13" t="s">
        <v>105</v>
      </c>
      <c r="L721" s="13" t="s">
        <v>83</v>
      </c>
      <c r="M721" s="13" t="s">
        <v>37</v>
      </c>
      <c r="N721" s="13" t="s">
        <v>27</v>
      </c>
      <c r="O721" s="14">
        <v>73.32</v>
      </c>
      <c r="P721" s="14">
        <f t="shared" si="2"/>
        <v>586.56</v>
      </c>
      <c r="Q721" s="14">
        <v>72.32</v>
      </c>
    </row>
    <row r="722">
      <c r="A722" s="12">
        <v>42779.0</v>
      </c>
      <c r="B722" s="12"/>
      <c r="C722" s="12" t="s">
        <v>2431</v>
      </c>
      <c r="D722" s="1" t="s">
        <v>1293</v>
      </c>
      <c r="E722" s="15" t="str">
        <f t="shared" si="1"/>
        <v>Feb</v>
      </c>
      <c r="F722" s="13" t="s">
        <v>41</v>
      </c>
      <c r="G722" s="13" t="s">
        <v>2617</v>
      </c>
      <c r="H722" s="13" t="s">
        <v>2758</v>
      </c>
      <c r="I722" s="13" t="s">
        <v>68</v>
      </c>
      <c r="J722" s="13">
        <v>9.0</v>
      </c>
      <c r="K722" s="13" t="s">
        <v>35</v>
      </c>
      <c r="L722" s="13" t="s">
        <v>52</v>
      </c>
      <c r="M722" s="13" t="s">
        <v>37</v>
      </c>
      <c r="N722" s="13" t="s">
        <v>38</v>
      </c>
      <c r="O722" s="14">
        <v>146.82</v>
      </c>
      <c r="P722" s="14">
        <f t="shared" si="2"/>
        <v>1321.38</v>
      </c>
      <c r="Q722" s="14">
        <v>146.01</v>
      </c>
    </row>
    <row r="723">
      <c r="A723" s="12">
        <v>43084.0</v>
      </c>
      <c r="B723" s="12"/>
      <c r="C723" s="12" t="s">
        <v>2325</v>
      </c>
      <c r="D723" s="1" t="s">
        <v>1297</v>
      </c>
      <c r="E723" s="15" t="str">
        <f t="shared" si="1"/>
        <v>Dec</v>
      </c>
      <c r="F723" s="13" t="s">
        <v>41</v>
      </c>
      <c r="G723" s="13" t="s">
        <v>2507</v>
      </c>
      <c r="H723" s="13" t="s">
        <v>2466</v>
      </c>
      <c r="I723" s="13" t="s">
        <v>34</v>
      </c>
      <c r="J723" s="13">
        <v>4.0</v>
      </c>
      <c r="K723" s="13" t="s">
        <v>513</v>
      </c>
      <c r="L723" s="13" t="s">
        <v>157</v>
      </c>
      <c r="M723" s="13" t="s">
        <v>71</v>
      </c>
      <c r="N723" s="13" t="s">
        <v>27</v>
      </c>
      <c r="O723" s="14">
        <v>1652.94</v>
      </c>
      <c r="P723" s="14">
        <f t="shared" si="2"/>
        <v>6611.76</v>
      </c>
      <c r="Q723" s="14">
        <v>1652.21</v>
      </c>
    </row>
    <row r="724">
      <c r="A724" s="12">
        <v>43084.0</v>
      </c>
      <c r="B724" s="12"/>
      <c r="C724" s="12" t="s">
        <v>2325</v>
      </c>
      <c r="D724" s="1" t="s">
        <v>1297</v>
      </c>
      <c r="E724" s="15" t="str">
        <f t="shared" si="1"/>
        <v>Dec</v>
      </c>
      <c r="F724" s="13" t="s">
        <v>41</v>
      </c>
      <c r="G724" s="13" t="s">
        <v>2507</v>
      </c>
      <c r="H724" s="13" t="s">
        <v>2466</v>
      </c>
      <c r="I724" s="13" t="s">
        <v>34</v>
      </c>
      <c r="J724" s="13">
        <v>4.0</v>
      </c>
      <c r="K724" s="13" t="s">
        <v>513</v>
      </c>
      <c r="L724" s="13" t="s">
        <v>157</v>
      </c>
      <c r="M724" s="13" t="s">
        <v>71</v>
      </c>
      <c r="N724" s="13" t="s">
        <v>38</v>
      </c>
      <c r="O724" s="14">
        <v>296.37</v>
      </c>
      <c r="P724" s="14">
        <f t="shared" si="2"/>
        <v>1185.48</v>
      </c>
      <c r="Q724" s="14">
        <v>296.27</v>
      </c>
    </row>
    <row r="725">
      <c r="A725" s="12">
        <v>42195.0</v>
      </c>
      <c r="B725" s="12"/>
      <c r="C725" s="12" t="s">
        <v>2348</v>
      </c>
      <c r="D725" s="1" t="s">
        <v>1299</v>
      </c>
      <c r="E725" s="15" t="str">
        <f t="shared" si="1"/>
        <v>Oct</v>
      </c>
      <c r="F725" s="13" t="s">
        <v>41</v>
      </c>
      <c r="G725" s="13" t="s">
        <v>2759</v>
      </c>
      <c r="H725" s="13" t="s">
        <v>2760</v>
      </c>
      <c r="I725" s="13" t="s">
        <v>68</v>
      </c>
      <c r="J725" s="13">
        <v>1.0</v>
      </c>
      <c r="K725" s="13" t="s">
        <v>98</v>
      </c>
      <c r="L725" s="13" t="s">
        <v>99</v>
      </c>
      <c r="M725" s="13" t="s">
        <v>100</v>
      </c>
      <c r="N725" s="13" t="s">
        <v>27</v>
      </c>
      <c r="O725" s="14">
        <v>129.92</v>
      </c>
      <c r="P725" s="14">
        <f t="shared" si="2"/>
        <v>129.92</v>
      </c>
      <c r="Q725" s="14">
        <v>129.89</v>
      </c>
    </row>
    <row r="726">
      <c r="A726" s="12">
        <v>42923.0</v>
      </c>
      <c r="B726" s="12"/>
      <c r="C726" s="12" t="s">
        <v>2348</v>
      </c>
      <c r="D726" s="6">
        <v>43076.0</v>
      </c>
      <c r="E726" s="15" t="str">
        <f t="shared" si="1"/>
        <v>Dec</v>
      </c>
      <c r="F726" s="13" t="s">
        <v>41</v>
      </c>
      <c r="G726" s="13" t="s">
        <v>2363</v>
      </c>
      <c r="H726" s="13" t="s">
        <v>2761</v>
      </c>
      <c r="I726" s="13" t="s">
        <v>34</v>
      </c>
      <c r="J726" s="13">
        <v>3.0</v>
      </c>
      <c r="K726" s="13" t="s">
        <v>1305</v>
      </c>
      <c r="L726" s="13" t="s">
        <v>145</v>
      </c>
      <c r="M726" s="13" t="s">
        <v>26</v>
      </c>
      <c r="N726" s="13" t="s">
        <v>38</v>
      </c>
      <c r="O726" s="14">
        <v>45.584</v>
      </c>
      <c r="P726" s="14">
        <f t="shared" si="2"/>
        <v>136.752</v>
      </c>
      <c r="Q726" s="14">
        <v>45.23</v>
      </c>
    </row>
    <row r="727">
      <c r="A727" s="12">
        <v>43359.0</v>
      </c>
      <c r="B727" s="12"/>
      <c r="C727" s="12" t="s">
        <v>2329</v>
      </c>
      <c r="D727" s="1" t="s">
        <v>1307</v>
      </c>
      <c r="E727" s="15" t="str">
        <f t="shared" si="1"/>
        <v>Sep</v>
      </c>
      <c r="F727" s="13" t="s">
        <v>41</v>
      </c>
      <c r="G727" s="13" t="s">
        <v>2748</v>
      </c>
      <c r="H727" s="13" t="s">
        <v>2762</v>
      </c>
      <c r="I727" s="13" t="s">
        <v>23</v>
      </c>
      <c r="J727" s="13">
        <v>7.0</v>
      </c>
      <c r="K727" s="13" t="s">
        <v>685</v>
      </c>
      <c r="L727" s="13" t="s">
        <v>70</v>
      </c>
      <c r="M727" s="13" t="s">
        <v>71</v>
      </c>
      <c r="N727" s="13" t="s">
        <v>38</v>
      </c>
      <c r="O727" s="14">
        <v>17.568</v>
      </c>
      <c r="P727" s="14">
        <f t="shared" si="2"/>
        <v>122.976</v>
      </c>
      <c r="Q727" s="14">
        <v>17.21</v>
      </c>
    </row>
    <row r="728">
      <c r="A728" s="12">
        <v>43359.0</v>
      </c>
      <c r="B728" s="12"/>
      <c r="C728" s="12" t="s">
        <v>2329</v>
      </c>
      <c r="D728" s="1" t="s">
        <v>1307</v>
      </c>
      <c r="E728" s="15" t="str">
        <f t="shared" si="1"/>
        <v>Sep</v>
      </c>
      <c r="F728" s="13" t="s">
        <v>41</v>
      </c>
      <c r="G728" s="13" t="s">
        <v>2748</v>
      </c>
      <c r="H728" s="13" t="s">
        <v>2762</v>
      </c>
      <c r="I728" s="13" t="s">
        <v>23</v>
      </c>
      <c r="J728" s="13">
        <v>7.0</v>
      </c>
      <c r="K728" s="13" t="s">
        <v>685</v>
      </c>
      <c r="L728" s="13" t="s">
        <v>70</v>
      </c>
      <c r="M728" s="13" t="s">
        <v>71</v>
      </c>
      <c r="N728" s="13" t="s">
        <v>51</v>
      </c>
      <c r="O728" s="14">
        <v>55.992</v>
      </c>
      <c r="P728" s="14">
        <f t="shared" si="2"/>
        <v>391.944</v>
      </c>
      <c r="Q728" s="14">
        <v>55.22</v>
      </c>
    </row>
    <row r="729">
      <c r="A729" s="12">
        <v>42806.0</v>
      </c>
      <c r="B729" s="12"/>
      <c r="C729" s="12" t="s">
        <v>2399</v>
      </c>
      <c r="D729" s="6">
        <v>42898.0</v>
      </c>
      <c r="E729" s="15" t="str">
        <f t="shared" si="1"/>
        <v>Jun</v>
      </c>
      <c r="F729" s="13" t="s">
        <v>121</v>
      </c>
      <c r="G729" s="13" t="s">
        <v>2351</v>
      </c>
      <c r="H729" s="13" t="s">
        <v>2635</v>
      </c>
      <c r="I729" s="13" t="s">
        <v>23</v>
      </c>
      <c r="J729" s="13">
        <v>1.0</v>
      </c>
      <c r="K729" s="13" t="s">
        <v>1313</v>
      </c>
      <c r="L729" s="13" t="s">
        <v>175</v>
      </c>
      <c r="M729" s="13" t="s">
        <v>100</v>
      </c>
      <c r="N729" s="13" t="s">
        <v>38</v>
      </c>
      <c r="O729" s="14">
        <v>182.72</v>
      </c>
      <c r="P729" s="14">
        <f t="shared" si="2"/>
        <v>182.72</v>
      </c>
      <c r="Q729" s="14">
        <v>182.7</v>
      </c>
    </row>
    <row r="730">
      <c r="A730" s="12">
        <v>42806.0</v>
      </c>
      <c r="B730" s="12"/>
      <c r="C730" s="12" t="s">
        <v>2399</v>
      </c>
      <c r="D730" s="6">
        <v>42898.0</v>
      </c>
      <c r="E730" s="15" t="str">
        <f t="shared" si="1"/>
        <v>Jun</v>
      </c>
      <c r="F730" s="13" t="s">
        <v>121</v>
      </c>
      <c r="G730" s="13" t="s">
        <v>2351</v>
      </c>
      <c r="H730" s="13" t="s">
        <v>2635</v>
      </c>
      <c r="I730" s="13" t="s">
        <v>23</v>
      </c>
      <c r="J730" s="13">
        <v>1.0</v>
      </c>
      <c r="K730" s="13" t="s">
        <v>1313</v>
      </c>
      <c r="L730" s="13" t="s">
        <v>175</v>
      </c>
      <c r="M730" s="13" t="s">
        <v>100</v>
      </c>
      <c r="N730" s="13" t="s">
        <v>27</v>
      </c>
      <c r="O730" s="14">
        <v>400.032</v>
      </c>
      <c r="P730" s="14">
        <f t="shared" si="2"/>
        <v>400.032</v>
      </c>
      <c r="Q730" s="14">
        <v>399.48</v>
      </c>
    </row>
    <row r="731">
      <c r="A731" s="12">
        <v>42806.0</v>
      </c>
      <c r="B731" s="12"/>
      <c r="C731" s="12" t="s">
        <v>2399</v>
      </c>
      <c r="D731" s="6">
        <v>42898.0</v>
      </c>
      <c r="E731" s="15" t="str">
        <f t="shared" si="1"/>
        <v>Jun</v>
      </c>
      <c r="F731" s="13" t="s">
        <v>121</v>
      </c>
      <c r="G731" s="13" t="s">
        <v>2351</v>
      </c>
      <c r="H731" s="13" t="s">
        <v>2635</v>
      </c>
      <c r="I731" s="13" t="s">
        <v>23</v>
      </c>
      <c r="J731" s="13">
        <v>1.0</v>
      </c>
      <c r="K731" s="13" t="s">
        <v>1313</v>
      </c>
      <c r="L731" s="13" t="s">
        <v>175</v>
      </c>
      <c r="M731" s="13" t="s">
        <v>100</v>
      </c>
      <c r="N731" s="13" t="s">
        <v>38</v>
      </c>
      <c r="O731" s="14">
        <v>33.63</v>
      </c>
      <c r="P731" s="14">
        <f t="shared" si="2"/>
        <v>33.63</v>
      </c>
      <c r="Q731" s="14">
        <v>33.16</v>
      </c>
    </row>
    <row r="732">
      <c r="A732" s="12">
        <v>42806.0</v>
      </c>
      <c r="B732" s="12"/>
      <c r="C732" s="12" t="s">
        <v>2399</v>
      </c>
      <c r="D732" s="6">
        <v>42898.0</v>
      </c>
      <c r="E732" s="15" t="str">
        <f t="shared" si="1"/>
        <v>Jun</v>
      </c>
      <c r="F732" s="13" t="s">
        <v>121</v>
      </c>
      <c r="G732" s="13" t="s">
        <v>2351</v>
      </c>
      <c r="H732" s="13" t="s">
        <v>2635</v>
      </c>
      <c r="I732" s="13" t="s">
        <v>23</v>
      </c>
      <c r="J732" s="13">
        <v>1.0</v>
      </c>
      <c r="K732" s="13" t="s">
        <v>1313</v>
      </c>
      <c r="L732" s="13" t="s">
        <v>175</v>
      </c>
      <c r="M732" s="13" t="s">
        <v>100</v>
      </c>
      <c r="N732" s="13" t="s">
        <v>27</v>
      </c>
      <c r="O732" s="14">
        <v>542.646</v>
      </c>
      <c r="P732" s="14">
        <f t="shared" si="2"/>
        <v>542.646</v>
      </c>
      <c r="Q732" s="14">
        <v>542.23</v>
      </c>
    </row>
    <row r="733">
      <c r="A733" s="12">
        <v>42806.0</v>
      </c>
      <c r="B733" s="12"/>
      <c r="C733" s="12" t="s">
        <v>2399</v>
      </c>
      <c r="D733" s="6">
        <v>42898.0</v>
      </c>
      <c r="E733" s="15" t="str">
        <f t="shared" si="1"/>
        <v>Jun</v>
      </c>
      <c r="F733" s="13" t="s">
        <v>121</v>
      </c>
      <c r="G733" s="13" t="s">
        <v>2351</v>
      </c>
      <c r="H733" s="13" t="s">
        <v>2635</v>
      </c>
      <c r="I733" s="13" t="s">
        <v>23</v>
      </c>
      <c r="J733" s="13">
        <v>1.0</v>
      </c>
      <c r="K733" s="13" t="s">
        <v>1313</v>
      </c>
      <c r="L733" s="13" t="s">
        <v>175</v>
      </c>
      <c r="M733" s="13" t="s">
        <v>100</v>
      </c>
      <c r="N733" s="13" t="s">
        <v>38</v>
      </c>
      <c r="O733" s="14">
        <v>6.3</v>
      </c>
      <c r="P733" s="14">
        <f t="shared" si="2"/>
        <v>6.3</v>
      </c>
      <c r="Q733" s="14">
        <v>5.34</v>
      </c>
    </row>
    <row r="734">
      <c r="A734" s="12">
        <v>43121.0</v>
      </c>
      <c r="B734" s="12"/>
      <c r="C734" s="12" t="s">
        <v>2353</v>
      </c>
      <c r="D734" s="1" t="s">
        <v>979</v>
      </c>
      <c r="E734" s="15" t="str">
        <f t="shared" si="1"/>
        <v>Jan</v>
      </c>
      <c r="F734" s="13" t="s">
        <v>41</v>
      </c>
      <c r="G734" s="13" t="s">
        <v>32</v>
      </c>
      <c r="H734" s="13" t="s">
        <v>2763</v>
      </c>
      <c r="I734" s="13" t="s">
        <v>68</v>
      </c>
      <c r="J734" s="13">
        <v>9.0</v>
      </c>
      <c r="K734" s="13" t="s">
        <v>62</v>
      </c>
      <c r="L734" s="13" t="s">
        <v>63</v>
      </c>
      <c r="M734" s="13" t="s">
        <v>37</v>
      </c>
      <c r="N734" s="13" t="s">
        <v>38</v>
      </c>
      <c r="O734" s="14">
        <v>242.94</v>
      </c>
      <c r="P734" s="14">
        <f t="shared" si="2"/>
        <v>2186.46</v>
      </c>
      <c r="Q734" s="14">
        <v>242.41</v>
      </c>
    </row>
    <row r="735">
      <c r="A735" s="12">
        <v>43121.0</v>
      </c>
      <c r="B735" s="12"/>
      <c r="C735" s="12" t="s">
        <v>2353</v>
      </c>
      <c r="D735" s="1" t="s">
        <v>979</v>
      </c>
      <c r="E735" s="15" t="str">
        <f t="shared" si="1"/>
        <v>Jan</v>
      </c>
      <c r="F735" s="13" t="s">
        <v>41</v>
      </c>
      <c r="G735" s="13" t="s">
        <v>32</v>
      </c>
      <c r="H735" s="13" t="s">
        <v>2763</v>
      </c>
      <c r="I735" s="13" t="s">
        <v>68</v>
      </c>
      <c r="J735" s="13">
        <v>9.0</v>
      </c>
      <c r="K735" s="13" t="s">
        <v>62</v>
      </c>
      <c r="L735" s="13" t="s">
        <v>63</v>
      </c>
      <c r="M735" s="13" t="s">
        <v>37</v>
      </c>
      <c r="N735" s="13" t="s">
        <v>51</v>
      </c>
      <c r="O735" s="14">
        <v>179.97</v>
      </c>
      <c r="P735" s="14">
        <f t="shared" si="2"/>
        <v>1619.73</v>
      </c>
      <c r="Q735" s="14">
        <v>179.08</v>
      </c>
    </row>
    <row r="736">
      <c r="A736" s="12">
        <v>43121.0</v>
      </c>
      <c r="B736" s="12"/>
      <c r="C736" s="12" t="s">
        <v>2353</v>
      </c>
      <c r="D736" s="1" t="s">
        <v>979</v>
      </c>
      <c r="E736" s="15" t="str">
        <f t="shared" si="1"/>
        <v>Jan</v>
      </c>
      <c r="F736" s="13" t="s">
        <v>41</v>
      </c>
      <c r="G736" s="13" t="s">
        <v>32</v>
      </c>
      <c r="H736" s="13" t="s">
        <v>2763</v>
      </c>
      <c r="I736" s="13" t="s">
        <v>68</v>
      </c>
      <c r="J736" s="13">
        <v>9.0</v>
      </c>
      <c r="K736" s="13" t="s">
        <v>62</v>
      </c>
      <c r="L736" s="13" t="s">
        <v>63</v>
      </c>
      <c r="M736" s="13" t="s">
        <v>37</v>
      </c>
      <c r="N736" s="13" t="s">
        <v>38</v>
      </c>
      <c r="O736" s="14">
        <v>99.696</v>
      </c>
      <c r="P736" s="14">
        <f t="shared" si="2"/>
        <v>897.264</v>
      </c>
      <c r="Q736" s="14">
        <v>99.66</v>
      </c>
    </row>
    <row r="737">
      <c r="A737" s="12">
        <v>43121.0</v>
      </c>
      <c r="B737" s="12"/>
      <c r="C737" s="12" t="s">
        <v>2353</v>
      </c>
      <c r="D737" s="1" t="s">
        <v>979</v>
      </c>
      <c r="E737" s="15" t="str">
        <f t="shared" si="1"/>
        <v>Jan</v>
      </c>
      <c r="F737" s="13" t="s">
        <v>41</v>
      </c>
      <c r="G737" s="13" t="s">
        <v>32</v>
      </c>
      <c r="H737" s="13" t="s">
        <v>2763</v>
      </c>
      <c r="I737" s="13" t="s">
        <v>68</v>
      </c>
      <c r="J737" s="13">
        <v>9.0</v>
      </c>
      <c r="K737" s="13" t="s">
        <v>62</v>
      </c>
      <c r="L737" s="13" t="s">
        <v>63</v>
      </c>
      <c r="M737" s="13" t="s">
        <v>37</v>
      </c>
      <c r="N737" s="13" t="s">
        <v>38</v>
      </c>
      <c r="O737" s="14">
        <v>27.936</v>
      </c>
      <c r="P737" s="14">
        <f t="shared" si="2"/>
        <v>251.424</v>
      </c>
      <c r="Q737" s="14">
        <v>27.72</v>
      </c>
    </row>
    <row r="738">
      <c r="A738" s="12">
        <v>43121.0</v>
      </c>
      <c r="B738" s="12"/>
      <c r="C738" s="12" t="s">
        <v>2353</v>
      </c>
      <c r="D738" s="1" t="s">
        <v>979</v>
      </c>
      <c r="E738" s="15" t="str">
        <f t="shared" si="1"/>
        <v>Jan</v>
      </c>
      <c r="F738" s="13" t="s">
        <v>41</v>
      </c>
      <c r="G738" s="13" t="s">
        <v>32</v>
      </c>
      <c r="H738" s="13" t="s">
        <v>2763</v>
      </c>
      <c r="I738" s="13" t="s">
        <v>68</v>
      </c>
      <c r="J738" s="13">
        <v>9.0</v>
      </c>
      <c r="K738" s="13" t="s">
        <v>62</v>
      </c>
      <c r="L738" s="13" t="s">
        <v>63</v>
      </c>
      <c r="M738" s="13" t="s">
        <v>37</v>
      </c>
      <c r="N738" s="13" t="s">
        <v>27</v>
      </c>
      <c r="O738" s="14">
        <v>84.98</v>
      </c>
      <c r="P738" s="14">
        <f t="shared" si="2"/>
        <v>764.82</v>
      </c>
      <c r="Q738" s="14">
        <v>84.26</v>
      </c>
    </row>
    <row r="739">
      <c r="A739" s="12">
        <v>43121.0</v>
      </c>
      <c r="B739" s="12"/>
      <c r="C739" s="12" t="s">
        <v>2353</v>
      </c>
      <c r="D739" s="1" t="s">
        <v>979</v>
      </c>
      <c r="E739" s="15" t="str">
        <f t="shared" si="1"/>
        <v>Jan</v>
      </c>
      <c r="F739" s="13" t="s">
        <v>41</v>
      </c>
      <c r="G739" s="13" t="s">
        <v>32</v>
      </c>
      <c r="H739" s="13" t="s">
        <v>2763</v>
      </c>
      <c r="I739" s="13" t="s">
        <v>68</v>
      </c>
      <c r="J739" s="13">
        <v>9.0</v>
      </c>
      <c r="K739" s="13" t="s">
        <v>62</v>
      </c>
      <c r="L739" s="13" t="s">
        <v>63</v>
      </c>
      <c r="M739" s="13" t="s">
        <v>37</v>
      </c>
      <c r="N739" s="13" t="s">
        <v>38</v>
      </c>
      <c r="O739" s="14">
        <v>18.72</v>
      </c>
      <c r="P739" s="14">
        <f t="shared" si="2"/>
        <v>168.48</v>
      </c>
      <c r="Q739" s="14">
        <v>17.91</v>
      </c>
    </row>
    <row r="740">
      <c r="A740" s="12">
        <v>42225.0</v>
      </c>
      <c r="B740" s="12"/>
      <c r="C740" s="12" t="s">
        <v>2322</v>
      </c>
      <c r="D740" s="6">
        <v>42347.0</v>
      </c>
      <c r="E740" s="15" t="str">
        <f t="shared" si="1"/>
        <v>Dec</v>
      </c>
      <c r="F740" s="13" t="s">
        <v>41</v>
      </c>
      <c r="G740" s="13" t="s">
        <v>2405</v>
      </c>
      <c r="H740" s="13" t="s">
        <v>2421</v>
      </c>
      <c r="I740" s="13" t="s">
        <v>23</v>
      </c>
      <c r="J740" s="13">
        <v>9.0</v>
      </c>
      <c r="K740" s="13" t="s">
        <v>87</v>
      </c>
      <c r="L740" s="13" t="s">
        <v>52</v>
      </c>
      <c r="M740" s="13" t="s">
        <v>37</v>
      </c>
      <c r="N740" s="13" t="s">
        <v>51</v>
      </c>
      <c r="O740" s="14">
        <v>49.98</v>
      </c>
      <c r="P740" s="14">
        <f t="shared" si="2"/>
        <v>449.82</v>
      </c>
      <c r="Q740" s="14">
        <v>49.18</v>
      </c>
    </row>
    <row r="741">
      <c r="A741" s="12">
        <v>42095.0</v>
      </c>
      <c r="B741" s="12"/>
      <c r="C741" s="12" t="s">
        <v>2332</v>
      </c>
      <c r="D741" s="6">
        <v>42217.0</v>
      </c>
      <c r="E741" s="15" t="str">
        <f t="shared" si="1"/>
        <v>Aug</v>
      </c>
      <c r="F741" s="13" t="s">
        <v>41</v>
      </c>
      <c r="G741" s="13" t="s">
        <v>2764</v>
      </c>
      <c r="H741" s="13" t="s">
        <v>2765</v>
      </c>
      <c r="I741" s="13" t="s">
        <v>68</v>
      </c>
      <c r="J741" s="13">
        <v>6.0</v>
      </c>
      <c r="K741" s="13" t="s">
        <v>134</v>
      </c>
      <c r="L741" s="13" t="s">
        <v>135</v>
      </c>
      <c r="M741" s="13" t="s">
        <v>71</v>
      </c>
      <c r="N741" s="13" t="s">
        <v>38</v>
      </c>
      <c r="O741" s="14">
        <v>11.784</v>
      </c>
      <c r="P741" s="14">
        <f t="shared" si="2"/>
        <v>70.704</v>
      </c>
      <c r="Q741" s="14">
        <v>10.79</v>
      </c>
    </row>
    <row r="742">
      <c r="A742" s="12">
        <v>42095.0</v>
      </c>
      <c r="B742" s="12"/>
      <c r="C742" s="12" t="s">
        <v>2332</v>
      </c>
      <c r="D742" s="6">
        <v>42217.0</v>
      </c>
      <c r="E742" s="15" t="str">
        <f t="shared" si="1"/>
        <v>Aug</v>
      </c>
      <c r="F742" s="13" t="s">
        <v>41</v>
      </c>
      <c r="G742" s="13" t="s">
        <v>2764</v>
      </c>
      <c r="H742" s="13" t="s">
        <v>2765</v>
      </c>
      <c r="I742" s="13" t="s">
        <v>68</v>
      </c>
      <c r="J742" s="13">
        <v>6.0</v>
      </c>
      <c r="K742" s="13" t="s">
        <v>134</v>
      </c>
      <c r="L742" s="13" t="s">
        <v>135</v>
      </c>
      <c r="M742" s="13" t="s">
        <v>71</v>
      </c>
      <c r="N742" s="13" t="s">
        <v>38</v>
      </c>
      <c r="O742" s="14">
        <v>272.736</v>
      </c>
      <c r="P742" s="14">
        <f t="shared" si="2"/>
        <v>1636.416</v>
      </c>
      <c r="Q742" s="14">
        <v>271.79</v>
      </c>
    </row>
    <row r="743">
      <c r="A743" s="12">
        <v>42095.0</v>
      </c>
      <c r="B743" s="12"/>
      <c r="C743" s="12" t="s">
        <v>2332</v>
      </c>
      <c r="D743" s="6">
        <v>42217.0</v>
      </c>
      <c r="E743" s="15" t="str">
        <f t="shared" si="1"/>
        <v>Aug</v>
      </c>
      <c r="F743" s="13" t="s">
        <v>41</v>
      </c>
      <c r="G743" s="13" t="s">
        <v>2764</v>
      </c>
      <c r="H743" s="13" t="s">
        <v>2765</v>
      </c>
      <c r="I743" s="13" t="s">
        <v>68</v>
      </c>
      <c r="J743" s="13">
        <v>6.0</v>
      </c>
      <c r="K743" s="13" t="s">
        <v>134</v>
      </c>
      <c r="L743" s="13" t="s">
        <v>135</v>
      </c>
      <c r="M743" s="13" t="s">
        <v>71</v>
      </c>
      <c r="N743" s="13" t="s">
        <v>38</v>
      </c>
      <c r="O743" s="14">
        <v>3.54</v>
      </c>
      <c r="P743" s="14">
        <f t="shared" si="2"/>
        <v>21.24</v>
      </c>
      <c r="Q743" s="14">
        <v>3.11</v>
      </c>
    </row>
    <row r="744">
      <c r="A744" s="12">
        <v>42974.0</v>
      </c>
      <c r="B744" s="12"/>
      <c r="C744" s="12" t="s">
        <v>2322</v>
      </c>
      <c r="D744" s="6">
        <v>42744.0</v>
      </c>
      <c r="E744" s="15" t="str">
        <f t="shared" si="1"/>
        <v>Jan</v>
      </c>
      <c r="F744" s="13" t="s">
        <v>41</v>
      </c>
      <c r="G744" s="13" t="s">
        <v>2552</v>
      </c>
      <c r="H744" s="13" t="s">
        <v>2766</v>
      </c>
      <c r="I744" s="13" t="s">
        <v>23</v>
      </c>
      <c r="J744" s="13">
        <v>7.0</v>
      </c>
      <c r="K744" s="13" t="s">
        <v>480</v>
      </c>
      <c r="L744" s="13" t="s">
        <v>70</v>
      </c>
      <c r="M744" s="13" t="s">
        <v>71</v>
      </c>
      <c r="N744" s="13" t="s">
        <v>38</v>
      </c>
      <c r="O744" s="14">
        <v>51.52</v>
      </c>
      <c r="P744" s="14">
        <f t="shared" si="2"/>
        <v>360.64</v>
      </c>
      <c r="Q744" s="14">
        <v>51.13</v>
      </c>
    </row>
    <row r="745">
      <c r="A745" s="12">
        <v>42974.0</v>
      </c>
      <c r="B745" s="12"/>
      <c r="C745" s="12" t="s">
        <v>2322</v>
      </c>
      <c r="D745" s="6">
        <v>42744.0</v>
      </c>
      <c r="E745" s="15" t="str">
        <f t="shared" si="1"/>
        <v>Jan</v>
      </c>
      <c r="F745" s="13" t="s">
        <v>41</v>
      </c>
      <c r="G745" s="13" t="s">
        <v>2552</v>
      </c>
      <c r="H745" s="13" t="s">
        <v>2766</v>
      </c>
      <c r="I745" s="13" t="s">
        <v>23</v>
      </c>
      <c r="J745" s="13">
        <v>7.0</v>
      </c>
      <c r="K745" s="13" t="s">
        <v>480</v>
      </c>
      <c r="L745" s="13" t="s">
        <v>70</v>
      </c>
      <c r="M745" s="13" t="s">
        <v>71</v>
      </c>
      <c r="N745" s="13" t="s">
        <v>38</v>
      </c>
      <c r="O745" s="14">
        <v>3.528</v>
      </c>
      <c r="P745" s="14">
        <f t="shared" si="2"/>
        <v>24.696</v>
      </c>
      <c r="Q745" s="14">
        <v>3.36</v>
      </c>
    </row>
    <row r="746">
      <c r="A746" s="12">
        <v>42974.0</v>
      </c>
      <c r="B746" s="12"/>
      <c r="C746" s="12" t="s">
        <v>2322</v>
      </c>
      <c r="D746" s="6">
        <v>42744.0</v>
      </c>
      <c r="E746" s="15" t="str">
        <f t="shared" si="1"/>
        <v>Jan</v>
      </c>
      <c r="F746" s="13" t="s">
        <v>41</v>
      </c>
      <c r="G746" s="13" t="s">
        <v>2552</v>
      </c>
      <c r="H746" s="13" t="s">
        <v>2766</v>
      </c>
      <c r="I746" s="13" t="s">
        <v>23</v>
      </c>
      <c r="J746" s="13">
        <v>7.0</v>
      </c>
      <c r="K746" s="13" t="s">
        <v>480</v>
      </c>
      <c r="L746" s="13" t="s">
        <v>70</v>
      </c>
      <c r="M746" s="13" t="s">
        <v>71</v>
      </c>
      <c r="N746" s="13" t="s">
        <v>38</v>
      </c>
      <c r="O746" s="14">
        <v>4.624</v>
      </c>
      <c r="P746" s="14">
        <f t="shared" si="2"/>
        <v>32.368</v>
      </c>
      <c r="Q746" s="14">
        <v>4.0</v>
      </c>
    </row>
    <row r="747">
      <c r="A747" s="12">
        <v>42974.0</v>
      </c>
      <c r="B747" s="12"/>
      <c r="C747" s="12" t="s">
        <v>2322</v>
      </c>
      <c r="D747" s="6">
        <v>42744.0</v>
      </c>
      <c r="E747" s="15" t="str">
        <f t="shared" si="1"/>
        <v>Jan</v>
      </c>
      <c r="F747" s="13" t="s">
        <v>41</v>
      </c>
      <c r="G747" s="13" t="s">
        <v>2552</v>
      </c>
      <c r="H747" s="13" t="s">
        <v>2766</v>
      </c>
      <c r="I747" s="13" t="s">
        <v>23</v>
      </c>
      <c r="J747" s="13">
        <v>7.0</v>
      </c>
      <c r="K747" s="13" t="s">
        <v>480</v>
      </c>
      <c r="L747" s="13" t="s">
        <v>70</v>
      </c>
      <c r="M747" s="13" t="s">
        <v>71</v>
      </c>
      <c r="N747" s="13" t="s">
        <v>38</v>
      </c>
      <c r="O747" s="14">
        <v>55.168</v>
      </c>
      <c r="P747" s="14">
        <f t="shared" si="2"/>
        <v>386.176</v>
      </c>
      <c r="Q747" s="14">
        <v>54.91</v>
      </c>
    </row>
    <row r="748">
      <c r="A748" s="12">
        <v>42151.0</v>
      </c>
      <c r="B748" s="12"/>
      <c r="C748" s="12" t="s">
        <v>2335</v>
      </c>
      <c r="D748" s="1" t="s">
        <v>1117</v>
      </c>
      <c r="E748" s="15" t="str">
        <f t="shared" si="1"/>
        <v>May</v>
      </c>
      <c r="F748" s="13" t="s">
        <v>717</v>
      </c>
      <c r="G748" s="13" t="s">
        <v>2632</v>
      </c>
      <c r="H748" s="13" t="s">
        <v>2633</v>
      </c>
      <c r="I748" s="13" t="s">
        <v>34</v>
      </c>
      <c r="J748" s="13">
        <v>9.0</v>
      </c>
      <c r="K748" s="13" t="s">
        <v>542</v>
      </c>
      <c r="L748" s="13" t="s">
        <v>52</v>
      </c>
      <c r="M748" s="13" t="s">
        <v>37</v>
      </c>
      <c r="N748" s="13" t="s">
        <v>27</v>
      </c>
      <c r="O748" s="14">
        <v>567.12</v>
      </c>
      <c r="P748" s="14">
        <f t="shared" si="2"/>
        <v>5104.08</v>
      </c>
      <c r="Q748" s="14">
        <v>566.93</v>
      </c>
    </row>
    <row r="749">
      <c r="A749" s="12">
        <v>42151.0</v>
      </c>
      <c r="B749" s="12"/>
      <c r="C749" s="12" t="s">
        <v>2335</v>
      </c>
      <c r="D749" s="1" t="s">
        <v>1117</v>
      </c>
      <c r="E749" s="15" t="str">
        <f t="shared" si="1"/>
        <v>May</v>
      </c>
      <c r="F749" s="13" t="s">
        <v>717</v>
      </c>
      <c r="G749" s="13" t="s">
        <v>2632</v>
      </c>
      <c r="H749" s="13" t="s">
        <v>2633</v>
      </c>
      <c r="I749" s="13" t="s">
        <v>34</v>
      </c>
      <c r="J749" s="13">
        <v>9.0</v>
      </c>
      <c r="K749" s="13" t="s">
        <v>542</v>
      </c>
      <c r="L749" s="13" t="s">
        <v>52</v>
      </c>
      <c r="M749" s="13" t="s">
        <v>37</v>
      </c>
      <c r="N749" s="13" t="s">
        <v>38</v>
      </c>
      <c r="O749" s="14">
        <v>359.32</v>
      </c>
      <c r="P749" s="14">
        <f t="shared" si="2"/>
        <v>3233.88</v>
      </c>
      <c r="Q749" s="14">
        <v>358.74</v>
      </c>
    </row>
    <row r="750">
      <c r="A750" s="12">
        <v>42814.0</v>
      </c>
      <c r="B750" s="12"/>
      <c r="C750" s="12" t="s">
        <v>2399</v>
      </c>
      <c r="D750" s="1" t="s">
        <v>1326</v>
      </c>
      <c r="E750" s="15" t="str">
        <f t="shared" si="1"/>
        <v>Mar</v>
      </c>
      <c r="F750" s="13" t="s">
        <v>20</v>
      </c>
      <c r="G750" s="13" t="s">
        <v>2767</v>
      </c>
      <c r="H750" s="13" t="s">
        <v>2768</v>
      </c>
      <c r="I750" s="13" t="s">
        <v>23</v>
      </c>
      <c r="J750" s="13">
        <v>6.0</v>
      </c>
      <c r="K750" s="13" t="s">
        <v>1329</v>
      </c>
      <c r="L750" s="13" t="s">
        <v>135</v>
      </c>
      <c r="M750" s="13" t="s">
        <v>71</v>
      </c>
      <c r="N750" s="13" t="s">
        <v>51</v>
      </c>
      <c r="O750" s="14">
        <v>11.992</v>
      </c>
      <c r="P750" s="14">
        <f t="shared" si="2"/>
        <v>71.952</v>
      </c>
      <c r="Q750" s="14">
        <v>11.93</v>
      </c>
    </row>
    <row r="751">
      <c r="A751" s="12">
        <v>43141.0</v>
      </c>
      <c r="B751" s="12"/>
      <c r="C751" s="12" t="s">
        <v>2431</v>
      </c>
      <c r="D751" s="6">
        <v>43261.0</v>
      </c>
      <c r="E751" s="15" t="str">
        <f t="shared" si="1"/>
        <v>Jun</v>
      </c>
      <c r="F751" s="13" t="s">
        <v>41</v>
      </c>
      <c r="G751" s="13" t="s">
        <v>2753</v>
      </c>
      <c r="H751" s="13" t="s">
        <v>2769</v>
      </c>
      <c r="I751" s="13" t="s">
        <v>23</v>
      </c>
      <c r="J751" s="13">
        <v>4.0</v>
      </c>
      <c r="K751" s="13" t="s">
        <v>1333</v>
      </c>
      <c r="L751" s="13" t="s">
        <v>157</v>
      </c>
      <c r="M751" s="13" t="s">
        <v>71</v>
      </c>
      <c r="N751" s="13" t="s">
        <v>38</v>
      </c>
      <c r="O751" s="14">
        <v>58.05</v>
      </c>
      <c r="P751" s="14">
        <f t="shared" si="2"/>
        <v>232.2</v>
      </c>
      <c r="Q751" s="14">
        <v>57.83</v>
      </c>
    </row>
    <row r="752">
      <c r="A752" s="12">
        <v>43141.0</v>
      </c>
      <c r="B752" s="12"/>
      <c r="C752" s="12" t="s">
        <v>2431</v>
      </c>
      <c r="D752" s="6">
        <v>43261.0</v>
      </c>
      <c r="E752" s="15" t="str">
        <f t="shared" si="1"/>
        <v>Jun</v>
      </c>
      <c r="F752" s="13" t="s">
        <v>41</v>
      </c>
      <c r="G752" s="13" t="s">
        <v>2753</v>
      </c>
      <c r="H752" s="13" t="s">
        <v>2769</v>
      </c>
      <c r="I752" s="13" t="s">
        <v>23</v>
      </c>
      <c r="J752" s="13">
        <v>4.0</v>
      </c>
      <c r="K752" s="13" t="s">
        <v>1333</v>
      </c>
      <c r="L752" s="13" t="s">
        <v>157</v>
      </c>
      <c r="M752" s="13" t="s">
        <v>71</v>
      </c>
      <c r="N752" s="13" t="s">
        <v>27</v>
      </c>
      <c r="O752" s="14">
        <v>157.74</v>
      </c>
      <c r="P752" s="14">
        <f t="shared" si="2"/>
        <v>630.96</v>
      </c>
      <c r="Q752" s="14">
        <v>157.37</v>
      </c>
    </row>
    <row r="753">
      <c r="A753" s="12">
        <v>43141.0</v>
      </c>
      <c r="B753" s="12"/>
      <c r="C753" s="12" t="s">
        <v>2431</v>
      </c>
      <c r="D753" s="6">
        <v>43261.0</v>
      </c>
      <c r="E753" s="15" t="str">
        <f t="shared" si="1"/>
        <v>Jun</v>
      </c>
      <c r="F753" s="13" t="s">
        <v>41</v>
      </c>
      <c r="G753" s="13" t="s">
        <v>2753</v>
      </c>
      <c r="H753" s="13" t="s">
        <v>2769</v>
      </c>
      <c r="I753" s="13" t="s">
        <v>23</v>
      </c>
      <c r="J753" s="13">
        <v>4.0</v>
      </c>
      <c r="K753" s="13" t="s">
        <v>1333</v>
      </c>
      <c r="L753" s="13" t="s">
        <v>157</v>
      </c>
      <c r="M753" s="13" t="s">
        <v>71</v>
      </c>
      <c r="N753" s="13" t="s">
        <v>38</v>
      </c>
      <c r="O753" s="14">
        <v>56.98</v>
      </c>
      <c r="P753" s="14">
        <f t="shared" si="2"/>
        <v>227.92</v>
      </c>
      <c r="Q753" s="14">
        <v>56.82</v>
      </c>
    </row>
    <row r="754">
      <c r="A754" s="12">
        <v>43141.0</v>
      </c>
      <c r="B754" s="12"/>
      <c r="C754" s="12" t="s">
        <v>2431</v>
      </c>
      <c r="D754" s="6">
        <v>43261.0</v>
      </c>
      <c r="E754" s="15" t="str">
        <f t="shared" si="1"/>
        <v>Jun</v>
      </c>
      <c r="F754" s="13" t="s">
        <v>41</v>
      </c>
      <c r="G754" s="13" t="s">
        <v>2753</v>
      </c>
      <c r="H754" s="13" t="s">
        <v>2769</v>
      </c>
      <c r="I754" s="13" t="s">
        <v>23</v>
      </c>
      <c r="J754" s="13">
        <v>4.0</v>
      </c>
      <c r="K754" s="13" t="s">
        <v>1333</v>
      </c>
      <c r="L754" s="13" t="s">
        <v>157</v>
      </c>
      <c r="M754" s="13" t="s">
        <v>71</v>
      </c>
      <c r="N754" s="13" t="s">
        <v>38</v>
      </c>
      <c r="O754" s="14">
        <v>2.88</v>
      </c>
      <c r="P754" s="14">
        <f t="shared" si="2"/>
        <v>11.52</v>
      </c>
      <c r="Q754" s="14">
        <v>2.5</v>
      </c>
    </row>
    <row r="755">
      <c r="A755" s="12">
        <v>42920.0</v>
      </c>
      <c r="B755" s="12"/>
      <c r="C755" s="12" t="s">
        <v>2348</v>
      </c>
      <c r="D755" s="6">
        <v>42982.0</v>
      </c>
      <c r="E755" s="15" t="str">
        <f t="shared" si="1"/>
        <v>Sep</v>
      </c>
      <c r="F755" s="13" t="s">
        <v>121</v>
      </c>
      <c r="G755" s="13" t="s">
        <v>2770</v>
      </c>
      <c r="H755" s="13" t="s">
        <v>2689</v>
      </c>
      <c r="I755" s="13" t="s">
        <v>34</v>
      </c>
      <c r="J755" s="13">
        <v>9.0</v>
      </c>
      <c r="K755" s="13" t="s">
        <v>87</v>
      </c>
      <c r="L755" s="13" t="s">
        <v>52</v>
      </c>
      <c r="M755" s="13" t="s">
        <v>37</v>
      </c>
      <c r="N755" s="13" t="s">
        <v>51</v>
      </c>
      <c r="O755" s="14">
        <v>1199.976</v>
      </c>
      <c r="P755" s="14">
        <f t="shared" si="2"/>
        <v>10799.784</v>
      </c>
      <c r="Q755" s="14">
        <v>1199.7</v>
      </c>
    </row>
    <row r="756">
      <c r="A756" s="12">
        <v>42563.0</v>
      </c>
      <c r="B756" s="12"/>
      <c r="C756" s="12" t="s">
        <v>2348</v>
      </c>
      <c r="D756" s="5">
        <v>42716.0</v>
      </c>
      <c r="E756" s="15" t="str">
        <f t="shared" si="1"/>
        <v>Dec</v>
      </c>
      <c r="F756" s="13" t="s">
        <v>41</v>
      </c>
      <c r="G756" s="13" t="s">
        <v>2690</v>
      </c>
      <c r="H756" s="13" t="s">
        <v>2691</v>
      </c>
      <c r="I756" s="13" t="s">
        <v>23</v>
      </c>
      <c r="J756" s="13">
        <v>9.0</v>
      </c>
      <c r="K756" s="13" t="s">
        <v>35</v>
      </c>
      <c r="L756" s="13" t="s">
        <v>52</v>
      </c>
      <c r="M756" s="13" t="s">
        <v>37</v>
      </c>
      <c r="N756" s="13" t="s">
        <v>27</v>
      </c>
      <c r="O756" s="14">
        <v>79.92</v>
      </c>
      <c r="P756" s="14">
        <f t="shared" si="2"/>
        <v>719.28</v>
      </c>
      <c r="Q756" s="14">
        <v>79.91</v>
      </c>
    </row>
    <row r="757">
      <c r="A757" s="12">
        <v>42996.0</v>
      </c>
      <c r="B757" s="12"/>
      <c r="C757" s="12" t="s">
        <v>2329</v>
      </c>
      <c r="D757" s="1" t="s">
        <v>245</v>
      </c>
      <c r="E757" s="15" t="str">
        <f t="shared" si="1"/>
        <v>Sep</v>
      </c>
      <c r="F757" s="13" t="s">
        <v>41</v>
      </c>
      <c r="G757" s="13" t="s">
        <v>2699</v>
      </c>
      <c r="H757" s="13" t="s">
        <v>2700</v>
      </c>
      <c r="I757" s="13" t="s">
        <v>34</v>
      </c>
      <c r="J757" s="13">
        <v>3.0</v>
      </c>
      <c r="K757" s="13" t="s">
        <v>849</v>
      </c>
      <c r="L757" s="13" t="s">
        <v>145</v>
      </c>
      <c r="M757" s="13" t="s">
        <v>26</v>
      </c>
      <c r="N757" s="13" t="s">
        <v>27</v>
      </c>
      <c r="O757" s="14">
        <v>383.438</v>
      </c>
      <c r="P757" s="14">
        <f t="shared" si="2"/>
        <v>1150.314</v>
      </c>
      <c r="Q757" s="14">
        <v>382.77</v>
      </c>
    </row>
    <row r="758">
      <c r="A758" s="12">
        <v>42367.0</v>
      </c>
      <c r="B758" s="12"/>
      <c r="C758" s="12" t="s">
        <v>2325</v>
      </c>
      <c r="D758" s="6">
        <v>42401.0</v>
      </c>
      <c r="E758" s="15" t="str">
        <f t="shared" si="1"/>
        <v>Feb</v>
      </c>
      <c r="F758" s="13" t="s">
        <v>41</v>
      </c>
      <c r="G758" s="13" t="s">
        <v>2771</v>
      </c>
      <c r="H758" s="13" t="s">
        <v>2772</v>
      </c>
      <c r="I758" s="13" t="s">
        <v>23</v>
      </c>
      <c r="J758" s="13">
        <v>5.0</v>
      </c>
      <c r="K758" s="13" t="s">
        <v>1342</v>
      </c>
      <c r="L758" s="13" t="s">
        <v>151</v>
      </c>
      <c r="M758" s="13" t="s">
        <v>71</v>
      </c>
      <c r="N758" s="13" t="s">
        <v>38</v>
      </c>
      <c r="O758" s="14">
        <v>24.56</v>
      </c>
      <c r="P758" s="14">
        <f t="shared" si="2"/>
        <v>122.8</v>
      </c>
      <c r="Q758" s="14">
        <v>24.04</v>
      </c>
    </row>
    <row r="759">
      <c r="A759" s="12">
        <v>42367.0</v>
      </c>
      <c r="B759" s="12"/>
      <c r="C759" s="12" t="s">
        <v>2325</v>
      </c>
      <c r="D759" s="6">
        <v>42401.0</v>
      </c>
      <c r="E759" s="15" t="str">
        <f t="shared" si="1"/>
        <v>Feb</v>
      </c>
      <c r="F759" s="13" t="s">
        <v>41</v>
      </c>
      <c r="G759" s="13" t="s">
        <v>2771</v>
      </c>
      <c r="H759" s="13" t="s">
        <v>2772</v>
      </c>
      <c r="I759" s="13" t="s">
        <v>23</v>
      </c>
      <c r="J759" s="13">
        <v>5.0</v>
      </c>
      <c r="K759" s="13" t="s">
        <v>1342</v>
      </c>
      <c r="L759" s="13" t="s">
        <v>151</v>
      </c>
      <c r="M759" s="13" t="s">
        <v>71</v>
      </c>
      <c r="N759" s="13" t="s">
        <v>51</v>
      </c>
      <c r="O759" s="14">
        <v>119.8</v>
      </c>
      <c r="P759" s="14">
        <f t="shared" si="2"/>
        <v>599</v>
      </c>
      <c r="Q759" s="14">
        <v>119.4</v>
      </c>
    </row>
    <row r="760">
      <c r="A760" s="12">
        <v>43304.0</v>
      </c>
      <c r="B760" s="12"/>
      <c r="C760" s="12" t="s">
        <v>2348</v>
      </c>
      <c r="D760" s="1" t="s">
        <v>1344</v>
      </c>
      <c r="E760" s="15" t="str">
        <f t="shared" si="1"/>
        <v>Jul</v>
      </c>
      <c r="F760" s="13" t="s">
        <v>41</v>
      </c>
      <c r="G760" s="13" t="s">
        <v>2532</v>
      </c>
      <c r="H760" s="13" t="s">
        <v>2663</v>
      </c>
      <c r="I760" s="13" t="s">
        <v>34</v>
      </c>
      <c r="J760" s="13">
        <v>1.0</v>
      </c>
      <c r="K760" s="13" t="s">
        <v>174</v>
      </c>
      <c r="L760" s="13" t="s">
        <v>175</v>
      </c>
      <c r="M760" s="13" t="s">
        <v>100</v>
      </c>
      <c r="N760" s="13" t="s">
        <v>38</v>
      </c>
      <c r="O760" s="14">
        <v>13.128</v>
      </c>
      <c r="P760" s="14">
        <f t="shared" si="2"/>
        <v>13.128</v>
      </c>
      <c r="Q760" s="14">
        <v>13.04</v>
      </c>
    </row>
    <row r="761">
      <c r="A761" s="12">
        <v>43361.0</v>
      </c>
      <c r="B761" s="12"/>
      <c r="C761" s="12" t="s">
        <v>2329</v>
      </c>
      <c r="D761" s="1" t="s">
        <v>1348</v>
      </c>
      <c r="E761" s="15" t="str">
        <f t="shared" si="1"/>
        <v>Sep</v>
      </c>
      <c r="F761" s="13" t="s">
        <v>41</v>
      </c>
      <c r="G761" s="13" t="s">
        <v>2535</v>
      </c>
      <c r="H761" s="13" t="s">
        <v>2606</v>
      </c>
      <c r="I761" s="13" t="s">
        <v>34</v>
      </c>
      <c r="J761" s="13">
        <v>5.0</v>
      </c>
      <c r="K761" s="13" t="s">
        <v>1020</v>
      </c>
      <c r="L761" s="13" t="s">
        <v>77</v>
      </c>
      <c r="M761" s="13" t="s">
        <v>71</v>
      </c>
      <c r="N761" s="13" t="s">
        <v>38</v>
      </c>
      <c r="O761" s="14">
        <v>22.72</v>
      </c>
      <c r="P761" s="14">
        <f t="shared" si="2"/>
        <v>113.6</v>
      </c>
      <c r="Q761" s="14">
        <v>22.7</v>
      </c>
    </row>
    <row r="762">
      <c r="A762" s="12">
        <v>42613.0</v>
      </c>
      <c r="B762" s="12"/>
      <c r="C762" s="12" t="s">
        <v>2322</v>
      </c>
      <c r="D762" s="6">
        <v>42499.0</v>
      </c>
      <c r="E762" s="15" t="str">
        <f t="shared" si="1"/>
        <v>May</v>
      </c>
      <c r="F762" s="13" t="s">
        <v>41</v>
      </c>
      <c r="G762" s="13" t="s">
        <v>2333</v>
      </c>
      <c r="H762" s="13" t="s">
        <v>2698</v>
      </c>
      <c r="I762" s="13" t="s">
        <v>23</v>
      </c>
      <c r="J762" s="13">
        <v>9.0</v>
      </c>
      <c r="K762" s="13" t="s">
        <v>35</v>
      </c>
      <c r="L762" s="13" t="s">
        <v>52</v>
      </c>
      <c r="M762" s="13" t="s">
        <v>37</v>
      </c>
      <c r="N762" s="13" t="s">
        <v>38</v>
      </c>
      <c r="O762" s="14">
        <v>58.32</v>
      </c>
      <c r="P762" s="14">
        <f t="shared" si="2"/>
        <v>524.88</v>
      </c>
      <c r="Q762" s="14">
        <v>58.08</v>
      </c>
    </row>
    <row r="763">
      <c r="A763" s="12">
        <v>43170.0</v>
      </c>
      <c r="B763" s="12"/>
      <c r="C763" s="12" t="s">
        <v>2399</v>
      </c>
      <c r="D763" s="6">
        <v>43292.0</v>
      </c>
      <c r="E763" s="15" t="str">
        <f t="shared" si="1"/>
        <v>Jul</v>
      </c>
      <c r="F763" s="13" t="s">
        <v>41</v>
      </c>
      <c r="G763" s="13" t="s">
        <v>2400</v>
      </c>
      <c r="H763" s="13" t="s">
        <v>2401</v>
      </c>
      <c r="I763" s="13" t="s">
        <v>34</v>
      </c>
      <c r="J763" s="13">
        <v>3.0</v>
      </c>
      <c r="K763" s="13" t="s">
        <v>958</v>
      </c>
      <c r="L763" s="13" t="s">
        <v>707</v>
      </c>
      <c r="M763" s="13" t="s">
        <v>26</v>
      </c>
      <c r="N763" s="13" t="s">
        <v>38</v>
      </c>
      <c r="O763" s="14">
        <v>12.39</v>
      </c>
      <c r="P763" s="14">
        <f t="shared" si="2"/>
        <v>37.17</v>
      </c>
      <c r="Q763" s="14">
        <v>11.81</v>
      </c>
    </row>
    <row r="764">
      <c r="A764" s="12">
        <v>42584.0</v>
      </c>
      <c r="B764" s="12"/>
      <c r="C764" s="12" t="s">
        <v>2322</v>
      </c>
      <c r="D764" s="1" t="s">
        <v>494</v>
      </c>
      <c r="E764" s="15" t="str">
        <f t="shared" si="1"/>
        <v>Feb</v>
      </c>
      <c r="F764" s="13" t="s">
        <v>41</v>
      </c>
      <c r="G764" s="13" t="s">
        <v>2773</v>
      </c>
      <c r="H764" s="13" t="s">
        <v>2774</v>
      </c>
      <c r="I764" s="13" t="s">
        <v>23</v>
      </c>
      <c r="J764" s="13">
        <v>4.0</v>
      </c>
      <c r="K764" s="13" t="s">
        <v>303</v>
      </c>
      <c r="L764" s="13" t="s">
        <v>304</v>
      </c>
      <c r="M764" s="13" t="s">
        <v>100</v>
      </c>
      <c r="N764" s="13" t="s">
        <v>51</v>
      </c>
      <c r="O764" s="14">
        <v>107.982</v>
      </c>
      <c r="P764" s="14">
        <f t="shared" si="2"/>
        <v>431.928</v>
      </c>
      <c r="Q764" s="14">
        <v>107.03</v>
      </c>
    </row>
    <row r="765">
      <c r="A765" s="12">
        <v>42017.0</v>
      </c>
      <c r="B765" s="12"/>
      <c r="C765" s="12" t="s">
        <v>2353</v>
      </c>
      <c r="D765" s="1" t="s">
        <v>1357</v>
      </c>
      <c r="E765" s="15" t="str">
        <f t="shared" si="1"/>
        <v>Jan</v>
      </c>
      <c r="F765" s="13" t="s">
        <v>20</v>
      </c>
      <c r="G765" s="13" t="s">
        <v>2775</v>
      </c>
      <c r="H765" s="13" t="s">
        <v>2776</v>
      </c>
      <c r="I765" s="13" t="s">
        <v>34</v>
      </c>
      <c r="J765" s="13">
        <v>7.0</v>
      </c>
      <c r="K765" s="13" t="s">
        <v>1360</v>
      </c>
      <c r="L765" s="13" t="s">
        <v>430</v>
      </c>
      <c r="M765" s="13" t="s">
        <v>26</v>
      </c>
      <c r="N765" s="13" t="s">
        <v>38</v>
      </c>
      <c r="O765" s="14">
        <v>11.36</v>
      </c>
      <c r="P765" s="14">
        <f t="shared" si="2"/>
        <v>79.52</v>
      </c>
      <c r="Q765" s="14">
        <v>10.46</v>
      </c>
    </row>
    <row r="766">
      <c r="A766" s="12">
        <v>42017.0</v>
      </c>
      <c r="B766" s="12"/>
      <c r="C766" s="12" t="s">
        <v>2353</v>
      </c>
      <c r="D766" s="1" t="s">
        <v>1357</v>
      </c>
      <c r="E766" s="15" t="str">
        <f t="shared" si="1"/>
        <v>Jan</v>
      </c>
      <c r="F766" s="13" t="s">
        <v>20</v>
      </c>
      <c r="G766" s="13" t="s">
        <v>2775</v>
      </c>
      <c r="H766" s="13" t="s">
        <v>2776</v>
      </c>
      <c r="I766" s="13" t="s">
        <v>34</v>
      </c>
      <c r="J766" s="13">
        <v>7.0</v>
      </c>
      <c r="K766" s="13" t="s">
        <v>1360</v>
      </c>
      <c r="L766" s="13" t="s">
        <v>430</v>
      </c>
      <c r="M766" s="13" t="s">
        <v>26</v>
      </c>
      <c r="N766" s="13" t="s">
        <v>38</v>
      </c>
      <c r="O766" s="14">
        <v>50.94</v>
      </c>
      <c r="P766" s="14">
        <f t="shared" si="2"/>
        <v>356.58</v>
      </c>
      <c r="Q766" s="14">
        <v>50.37</v>
      </c>
    </row>
    <row r="767">
      <c r="A767" s="12">
        <v>42017.0</v>
      </c>
      <c r="B767" s="12"/>
      <c r="C767" s="12" t="s">
        <v>2353</v>
      </c>
      <c r="D767" s="1" t="s">
        <v>1357</v>
      </c>
      <c r="E767" s="15" t="str">
        <f t="shared" si="1"/>
        <v>Jan</v>
      </c>
      <c r="F767" s="13" t="s">
        <v>20</v>
      </c>
      <c r="G767" s="13" t="s">
        <v>2775</v>
      </c>
      <c r="H767" s="13" t="s">
        <v>2776</v>
      </c>
      <c r="I767" s="13" t="s">
        <v>34</v>
      </c>
      <c r="J767" s="13">
        <v>7.0</v>
      </c>
      <c r="K767" s="13" t="s">
        <v>1360</v>
      </c>
      <c r="L767" s="13" t="s">
        <v>430</v>
      </c>
      <c r="M767" s="13" t="s">
        <v>26</v>
      </c>
      <c r="N767" s="13" t="s">
        <v>51</v>
      </c>
      <c r="O767" s="14">
        <v>646.74</v>
      </c>
      <c r="P767" s="14">
        <f t="shared" si="2"/>
        <v>4527.18</v>
      </c>
      <c r="Q767" s="14">
        <v>646.38</v>
      </c>
    </row>
    <row r="768">
      <c r="A768" s="12">
        <v>42017.0</v>
      </c>
      <c r="B768" s="12"/>
      <c r="C768" s="12" t="s">
        <v>2353</v>
      </c>
      <c r="D768" s="1" t="s">
        <v>1357</v>
      </c>
      <c r="E768" s="15" t="str">
        <f t="shared" si="1"/>
        <v>Jan</v>
      </c>
      <c r="F768" s="13" t="s">
        <v>20</v>
      </c>
      <c r="G768" s="13" t="s">
        <v>2775</v>
      </c>
      <c r="H768" s="13" t="s">
        <v>2776</v>
      </c>
      <c r="I768" s="13" t="s">
        <v>34</v>
      </c>
      <c r="J768" s="13">
        <v>7.0</v>
      </c>
      <c r="K768" s="13" t="s">
        <v>1360</v>
      </c>
      <c r="L768" s="13" t="s">
        <v>430</v>
      </c>
      <c r="M768" s="13" t="s">
        <v>26</v>
      </c>
      <c r="N768" s="13" t="s">
        <v>38</v>
      </c>
      <c r="O768" s="14">
        <v>5.64</v>
      </c>
      <c r="P768" s="14">
        <f t="shared" si="2"/>
        <v>39.48</v>
      </c>
      <c r="Q768" s="14">
        <v>4.98</v>
      </c>
    </row>
    <row r="769">
      <c r="A769" s="12">
        <v>42017.0</v>
      </c>
      <c r="B769" s="12"/>
      <c r="C769" s="12" t="s">
        <v>2353</v>
      </c>
      <c r="D769" s="1" t="s">
        <v>1357</v>
      </c>
      <c r="E769" s="15" t="str">
        <f t="shared" si="1"/>
        <v>Jan</v>
      </c>
      <c r="F769" s="13" t="s">
        <v>20</v>
      </c>
      <c r="G769" s="13" t="s">
        <v>2775</v>
      </c>
      <c r="H769" s="13" t="s">
        <v>2776</v>
      </c>
      <c r="I769" s="13" t="s">
        <v>34</v>
      </c>
      <c r="J769" s="13">
        <v>7.0</v>
      </c>
      <c r="K769" s="13" t="s">
        <v>1360</v>
      </c>
      <c r="L769" s="13" t="s">
        <v>430</v>
      </c>
      <c r="M769" s="13" t="s">
        <v>26</v>
      </c>
      <c r="N769" s="13" t="s">
        <v>38</v>
      </c>
      <c r="O769" s="14">
        <v>572.58</v>
      </c>
      <c r="P769" s="14">
        <f t="shared" si="2"/>
        <v>4008.06</v>
      </c>
      <c r="Q769" s="14">
        <v>572.37</v>
      </c>
    </row>
    <row r="770">
      <c r="A770" s="12">
        <v>42138.0</v>
      </c>
      <c r="B770" s="12"/>
      <c r="C770" s="12" t="s">
        <v>2335</v>
      </c>
      <c r="D770" s="1" t="s">
        <v>1362</v>
      </c>
      <c r="E770" s="15" t="str">
        <f t="shared" si="1"/>
        <v>May</v>
      </c>
      <c r="F770" s="13" t="s">
        <v>41</v>
      </c>
      <c r="G770" s="13" t="s">
        <v>2723</v>
      </c>
      <c r="H770" s="13" t="s">
        <v>2777</v>
      </c>
      <c r="I770" s="13" t="s">
        <v>34</v>
      </c>
      <c r="J770" s="13">
        <v>3.0</v>
      </c>
      <c r="K770" s="13" t="s">
        <v>642</v>
      </c>
      <c r="L770" s="13" t="s">
        <v>145</v>
      </c>
      <c r="M770" s="13" t="s">
        <v>26</v>
      </c>
      <c r="N770" s="13" t="s">
        <v>27</v>
      </c>
      <c r="O770" s="14">
        <v>310.88</v>
      </c>
      <c r="P770" s="14">
        <f t="shared" si="2"/>
        <v>932.64</v>
      </c>
      <c r="Q770" s="14">
        <v>310.63</v>
      </c>
    </row>
    <row r="771">
      <c r="A771" s="12">
        <v>42874.0</v>
      </c>
      <c r="B771" s="12"/>
      <c r="C771" s="12" t="s">
        <v>2335</v>
      </c>
      <c r="D771" s="1" t="s">
        <v>1366</v>
      </c>
      <c r="E771" s="15" t="str">
        <f t="shared" si="1"/>
        <v>May</v>
      </c>
      <c r="F771" s="13" t="s">
        <v>41</v>
      </c>
      <c r="G771" s="13" t="s">
        <v>2503</v>
      </c>
      <c r="H771" s="13" t="s">
        <v>2504</v>
      </c>
      <c r="I771" s="13" t="s">
        <v>23</v>
      </c>
      <c r="J771" s="13">
        <v>2.0</v>
      </c>
      <c r="K771" s="13" t="s">
        <v>628</v>
      </c>
      <c r="L771" s="13" t="s">
        <v>198</v>
      </c>
      <c r="M771" s="13" t="s">
        <v>26</v>
      </c>
      <c r="N771" s="13" t="s">
        <v>27</v>
      </c>
      <c r="O771" s="14">
        <v>641.96</v>
      </c>
      <c r="P771" s="14">
        <f t="shared" si="2"/>
        <v>1283.92</v>
      </c>
      <c r="Q771" s="14">
        <v>641.65</v>
      </c>
    </row>
    <row r="772">
      <c r="A772" s="12">
        <v>43130.0</v>
      </c>
      <c r="B772" s="12"/>
      <c r="C772" s="12" t="s">
        <v>2353</v>
      </c>
      <c r="D772" s="6">
        <v>43222.0</v>
      </c>
      <c r="E772" s="15" t="str">
        <f t="shared" si="1"/>
        <v>May</v>
      </c>
      <c r="F772" s="13" t="s">
        <v>41</v>
      </c>
      <c r="G772" s="13" t="s">
        <v>2778</v>
      </c>
      <c r="H772" s="13" t="s">
        <v>2779</v>
      </c>
      <c r="I772" s="13" t="s">
        <v>34</v>
      </c>
      <c r="J772" s="13">
        <v>5.0</v>
      </c>
      <c r="K772" s="13" t="s">
        <v>767</v>
      </c>
      <c r="L772" s="13" t="s">
        <v>298</v>
      </c>
      <c r="M772" s="13" t="s">
        <v>71</v>
      </c>
      <c r="N772" s="13" t="s">
        <v>38</v>
      </c>
      <c r="O772" s="14">
        <v>18.28</v>
      </c>
      <c r="P772" s="14">
        <f t="shared" si="2"/>
        <v>91.4</v>
      </c>
      <c r="Q772" s="14">
        <v>17.68</v>
      </c>
    </row>
    <row r="773">
      <c r="A773" s="12">
        <v>43130.0</v>
      </c>
      <c r="B773" s="12"/>
      <c r="C773" s="12" t="s">
        <v>2353</v>
      </c>
      <c r="D773" s="6">
        <v>43222.0</v>
      </c>
      <c r="E773" s="15" t="str">
        <f t="shared" si="1"/>
        <v>May</v>
      </c>
      <c r="F773" s="13" t="s">
        <v>41</v>
      </c>
      <c r="G773" s="13" t="s">
        <v>2778</v>
      </c>
      <c r="H773" s="13" t="s">
        <v>2779</v>
      </c>
      <c r="I773" s="13" t="s">
        <v>34</v>
      </c>
      <c r="J773" s="13">
        <v>5.0</v>
      </c>
      <c r="K773" s="13" t="s">
        <v>767</v>
      </c>
      <c r="L773" s="13" t="s">
        <v>298</v>
      </c>
      <c r="M773" s="13" t="s">
        <v>71</v>
      </c>
      <c r="N773" s="13" t="s">
        <v>51</v>
      </c>
      <c r="O773" s="14">
        <v>207.0</v>
      </c>
      <c r="P773" s="14">
        <f t="shared" si="2"/>
        <v>1035</v>
      </c>
      <c r="Q773" s="14">
        <v>206.73</v>
      </c>
    </row>
    <row r="774">
      <c r="A774" s="12">
        <v>43130.0</v>
      </c>
      <c r="B774" s="12"/>
      <c r="C774" s="12" t="s">
        <v>2353</v>
      </c>
      <c r="D774" s="6">
        <v>43222.0</v>
      </c>
      <c r="E774" s="15" t="str">
        <f t="shared" si="1"/>
        <v>May</v>
      </c>
      <c r="F774" s="13" t="s">
        <v>41</v>
      </c>
      <c r="G774" s="13" t="s">
        <v>2778</v>
      </c>
      <c r="H774" s="13" t="s">
        <v>2779</v>
      </c>
      <c r="I774" s="13" t="s">
        <v>34</v>
      </c>
      <c r="J774" s="13">
        <v>5.0</v>
      </c>
      <c r="K774" s="13" t="s">
        <v>767</v>
      </c>
      <c r="L774" s="13" t="s">
        <v>298</v>
      </c>
      <c r="M774" s="13" t="s">
        <v>71</v>
      </c>
      <c r="N774" s="13" t="s">
        <v>38</v>
      </c>
      <c r="O774" s="14">
        <v>32.35</v>
      </c>
      <c r="P774" s="14">
        <f t="shared" si="2"/>
        <v>161.75</v>
      </c>
      <c r="Q774" s="14">
        <v>31.87</v>
      </c>
    </row>
    <row r="775">
      <c r="A775" s="12">
        <v>43130.0</v>
      </c>
      <c r="B775" s="12"/>
      <c r="C775" s="12" t="s">
        <v>2353</v>
      </c>
      <c r="D775" s="6">
        <v>43222.0</v>
      </c>
      <c r="E775" s="15" t="str">
        <f t="shared" si="1"/>
        <v>May</v>
      </c>
      <c r="F775" s="13" t="s">
        <v>41</v>
      </c>
      <c r="G775" s="13" t="s">
        <v>2778</v>
      </c>
      <c r="H775" s="13" t="s">
        <v>2779</v>
      </c>
      <c r="I775" s="13" t="s">
        <v>34</v>
      </c>
      <c r="J775" s="13">
        <v>5.0</v>
      </c>
      <c r="K775" s="13" t="s">
        <v>767</v>
      </c>
      <c r="L775" s="13" t="s">
        <v>298</v>
      </c>
      <c r="M775" s="13" t="s">
        <v>71</v>
      </c>
      <c r="N775" s="13" t="s">
        <v>38</v>
      </c>
      <c r="O775" s="14">
        <v>7.71</v>
      </c>
      <c r="P775" s="14">
        <f t="shared" si="2"/>
        <v>38.55</v>
      </c>
      <c r="Q775" s="14">
        <v>6.77</v>
      </c>
    </row>
    <row r="776">
      <c r="A776" s="12">
        <v>43130.0</v>
      </c>
      <c r="B776" s="12"/>
      <c r="C776" s="12" t="s">
        <v>2353</v>
      </c>
      <c r="D776" s="6">
        <v>43222.0</v>
      </c>
      <c r="E776" s="15" t="str">
        <f t="shared" si="1"/>
        <v>May</v>
      </c>
      <c r="F776" s="13" t="s">
        <v>41</v>
      </c>
      <c r="G776" s="13" t="s">
        <v>2778</v>
      </c>
      <c r="H776" s="13" t="s">
        <v>2779</v>
      </c>
      <c r="I776" s="13" t="s">
        <v>34</v>
      </c>
      <c r="J776" s="13">
        <v>5.0</v>
      </c>
      <c r="K776" s="13" t="s">
        <v>767</v>
      </c>
      <c r="L776" s="13" t="s">
        <v>298</v>
      </c>
      <c r="M776" s="13" t="s">
        <v>71</v>
      </c>
      <c r="N776" s="13" t="s">
        <v>38</v>
      </c>
      <c r="O776" s="14">
        <v>40.3</v>
      </c>
      <c r="P776" s="14">
        <f t="shared" si="2"/>
        <v>201.5</v>
      </c>
      <c r="Q776" s="14">
        <v>39.34</v>
      </c>
    </row>
    <row r="777">
      <c r="A777" s="12">
        <v>43130.0</v>
      </c>
      <c r="B777" s="12"/>
      <c r="C777" s="12" t="s">
        <v>2353</v>
      </c>
      <c r="D777" s="6">
        <v>43222.0</v>
      </c>
      <c r="E777" s="15" t="str">
        <f t="shared" si="1"/>
        <v>May</v>
      </c>
      <c r="F777" s="13" t="s">
        <v>41</v>
      </c>
      <c r="G777" s="13" t="s">
        <v>2778</v>
      </c>
      <c r="H777" s="13" t="s">
        <v>2779</v>
      </c>
      <c r="I777" s="13" t="s">
        <v>34</v>
      </c>
      <c r="J777" s="13">
        <v>5.0</v>
      </c>
      <c r="K777" s="13" t="s">
        <v>767</v>
      </c>
      <c r="L777" s="13" t="s">
        <v>298</v>
      </c>
      <c r="M777" s="13" t="s">
        <v>71</v>
      </c>
      <c r="N777" s="13" t="s">
        <v>27</v>
      </c>
      <c r="O777" s="14">
        <v>34.58</v>
      </c>
      <c r="P777" s="14">
        <f t="shared" si="2"/>
        <v>172.9</v>
      </c>
      <c r="Q777" s="14">
        <v>33.95</v>
      </c>
    </row>
    <row r="778">
      <c r="A778" s="12">
        <v>42184.0</v>
      </c>
      <c r="B778" s="12"/>
      <c r="C778" s="12" t="s">
        <v>2374</v>
      </c>
      <c r="D778" s="6">
        <v>42162.0</v>
      </c>
      <c r="E778" s="15" t="str">
        <f t="shared" si="1"/>
        <v>Jun</v>
      </c>
      <c r="F778" s="13" t="s">
        <v>41</v>
      </c>
      <c r="G778" s="13" t="s">
        <v>2521</v>
      </c>
      <c r="H778" s="13" t="s">
        <v>2780</v>
      </c>
      <c r="I778" s="13" t="s">
        <v>23</v>
      </c>
      <c r="J778" s="13">
        <v>4.0</v>
      </c>
      <c r="K778" s="13" t="s">
        <v>579</v>
      </c>
      <c r="L778" s="13" t="s">
        <v>304</v>
      </c>
      <c r="M778" s="13" t="s">
        <v>100</v>
      </c>
      <c r="N778" s="13" t="s">
        <v>38</v>
      </c>
      <c r="O778" s="14">
        <v>32.76</v>
      </c>
      <c r="P778" s="14">
        <f t="shared" si="2"/>
        <v>131.04</v>
      </c>
      <c r="Q778" s="14">
        <v>32.5</v>
      </c>
    </row>
    <row r="779">
      <c r="A779" s="12">
        <v>42603.0</v>
      </c>
      <c r="B779" s="12"/>
      <c r="C779" s="12" t="s">
        <v>2322</v>
      </c>
      <c r="D779" s="1" t="s">
        <v>1374</v>
      </c>
      <c r="E779" s="15" t="str">
        <f t="shared" si="1"/>
        <v>Aug</v>
      </c>
      <c r="F779" s="13" t="s">
        <v>121</v>
      </c>
      <c r="G779" s="13" t="s">
        <v>2540</v>
      </c>
      <c r="H779" s="13" t="s">
        <v>2421</v>
      </c>
      <c r="I779" s="13" t="s">
        <v>68</v>
      </c>
      <c r="J779" s="13">
        <v>9.0</v>
      </c>
      <c r="K779" s="13" t="s">
        <v>87</v>
      </c>
      <c r="L779" s="13" t="s">
        <v>52</v>
      </c>
      <c r="M779" s="13" t="s">
        <v>37</v>
      </c>
      <c r="N779" s="13" t="s">
        <v>27</v>
      </c>
      <c r="O779" s="14">
        <v>544.008</v>
      </c>
      <c r="P779" s="14">
        <f t="shared" si="2"/>
        <v>4896.072</v>
      </c>
      <c r="Q779" s="14">
        <v>543.32</v>
      </c>
    </row>
    <row r="780">
      <c r="A780" s="12">
        <v>42603.0</v>
      </c>
      <c r="B780" s="12"/>
      <c r="C780" s="12" t="s">
        <v>2322</v>
      </c>
      <c r="D780" s="1" t="s">
        <v>1374</v>
      </c>
      <c r="E780" s="15" t="str">
        <f t="shared" si="1"/>
        <v>Aug</v>
      </c>
      <c r="F780" s="13" t="s">
        <v>121</v>
      </c>
      <c r="G780" s="13" t="s">
        <v>2540</v>
      </c>
      <c r="H780" s="13" t="s">
        <v>2421</v>
      </c>
      <c r="I780" s="13" t="s">
        <v>68</v>
      </c>
      <c r="J780" s="13">
        <v>9.0</v>
      </c>
      <c r="K780" s="13" t="s">
        <v>87</v>
      </c>
      <c r="L780" s="13" t="s">
        <v>52</v>
      </c>
      <c r="M780" s="13" t="s">
        <v>37</v>
      </c>
      <c r="N780" s="13" t="s">
        <v>38</v>
      </c>
      <c r="O780" s="14">
        <v>59.94</v>
      </c>
      <c r="P780" s="14">
        <f t="shared" si="2"/>
        <v>539.46</v>
      </c>
      <c r="Q780" s="14">
        <v>59.49</v>
      </c>
    </row>
    <row r="781">
      <c r="A781" s="12">
        <v>42603.0</v>
      </c>
      <c r="B781" s="12"/>
      <c r="C781" s="12" t="s">
        <v>2322</v>
      </c>
      <c r="D781" s="1" t="s">
        <v>1374</v>
      </c>
      <c r="E781" s="15" t="str">
        <f t="shared" si="1"/>
        <v>Aug</v>
      </c>
      <c r="F781" s="13" t="s">
        <v>121</v>
      </c>
      <c r="G781" s="13" t="s">
        <v>2540</v>
      </c>
      <c r="H781" s="13" t="s">
        <v>2421</v>
      </c>
      <c r="I781" s="13" t="s">
        <v>68</v>
      </c>
      <c r="J781" s="13">
        <v>9.0</v>
      </c>
      <c r="K781" s="13" t="s">
        <v>87</v>
      </c>
      <c r="L781" s="13" t="s">
        <v>52</v>
      </c>
      <c r="M781" s="13" t="s">
        <v>37</v>
      </c>
      <c r="N781" s="13" t="s">
        <v>38</v>
      </c>
      <c r="O781" s="14">
        <v>23.92</v>
      </c>
      <c r="P781" s="14">
        <f t="shared" si="2"/>
        <v>215.28</v>
      </c>
      <c r="Q781" s="14">
        <v>23.61</v>
      </c>
    </row>
    <row r="782">
      <c r="A782" s="12">
        <v>42603.0</v>
      </c>
      <c r="B782" s="12"/>
      <c r="C782" s="12" t="s">
        <v>2322</v>
      </c>
      <c r="D782" s="1" t="s">
        <v>1374</v>
      </c>
      <c r="E782" s="15" t="str">
        <f t="shared" si="1"/>
        <v>Aug</v>
      </c>
      <c r="F782" s="13" t="s">
        <v>121</v>
      </c>
      <c r="G782" s="13" t="s">
        <v>2540</v>
      </c>
      <c r="H782" s="13" t="s">
        <v>2421</v>
      </c>
      <c r="I782" s="13" t="s">
        <v>68</v>
      </c>
      <c r="J782" s="13">
        <v>9.0</v>
      </c>
      <c r="K782" s="13" t="s">
        <v>87</v>
      </c>
      <c r="L782" s="13" t="s">
        <v>52</v>
      </c>
      <c r="M782" s="13" t="s">
        <v>37</v>
      </c>
      <c r="N782" s="13" t="s">
        <v>38</v>
      </c>
      <c r="O782" s="14">
        <v>4.28</v>
      </c>
      <c r="P782" s="14">
        <f t="shared" si="2"/>
        <v>38.52</v>
      </c>
      <c r="Q782" s="14">
        <v>4.07</v>
      </c>
    </row>
    <row r="783">
      <c r="A783" s="12">
        <v>42439.0</v>
      </c>
      <c r="B783" s="12"/>
      <c r="C783" s="12" t="s">
        <v>2399</v>
      </c>
      <c r="D783" s="6">
        <v>42531.0</v>
      </c>
      <c r="E783" s="15" t="str">
        <f t="shared" si="1"/>
        <v>Jun</v>
      </c>
      <c r="F783" s="13" t="s">
        <v>20</v>
      </c>
      <c r="G783" s="13" t="s">
        <v>2781</v>
      </c>
      <c r="H783" s="13" t="s">
        <v>2782</v>
      </c>
      <c r="I783" s="13" t="s">
        <v>23</v>
      </c>
      <c r="J783" s="13">
        <v>4.0</v>
      </c>
      <c r="K783" s="13" t="s">
        <v>303</v>
      </c>
      <c r="L783" s="13" t="s">
        <v>304</v>
      </c>
      <c r="M783" s="13" t="s">
        <v>100</v>
      </c>
      <c r="N783" s="13" t="s">
        <v>38</v>
      </c>
      <c r="O783" s="14">
        <v>32.07</v>
      </c>
      <c r="P783" s="14">
        <f t="shared" si="2"/>
        <v>128.28</v>
      </c>
      <c r="Q783" s="14">
        <v>31.46</v>
      </c>
    </row>
    <row r="784">
      <c r="A784" s="12">
        <v>42439.0</v>
      </c>
      <c r="B784" s="12"/>
      <c r="C784" s="12" t="s">
        <v>2399</v>
      </c>
      <c r="D784" s="6">
        <v>42531.0</v>
      </c>
      <c r="E784" s="15" t="str">
        <f t="shared" si="1"/>
        <v>Jun</v>
      </c>
      <c r="F784" s="13" t="s">
        <v>20</v>
      </c>
      <c r="G784" s="13" t="s">
        <v>2781</v>
      </c>
      <c r="H784" s="13" t="s">
        <v>2782</v>
      </c>
      <c r="I784" s="13" t="s">
        <v>23</v>
      </c>
      <c r="J784" s="13">
        <v>4.0</v>
      </c>
      <c r="K784" s="13" t="s">
        <v>303</v>
      </c>
      <c r="L784" s="13" t="s">
        <v>304</v>
      </c>
      <c r="M784" s="13" t="s">
        <v>100</v>
      </c>
      <c r="N784" s="13" t="s">
        <v>51</v>
      </c>
      <c r="O784" s="14">
        <v>24.0</v>
      </c>
      <c r="P784" s="14">
        <f t="shared" si="2"/>
        <v>96</v>
      </c>
      <c r="Q784" s="14">
        <v>23.28</v>
      </c>
    </row>
    <row r="785">
      <c r="A785" s="12">
        <v>42439.0</v>
      </c>
      <c r="B785" s="12"/>
      <c r="C785" s="12" t="s">
        <v>2399</v>
      </c>
      <c r="D785" s="6">
        <v>42531.0</v>
      </c>
      <c r="E785" s="15" t="str">
        <f t="shared" si="1"/>
        <v>Jun</v>
      </c>
      <c r="F785" s="13" t="s">
        <v>20</v>
      </c>
      <c r="G785" s="13" t="s">
        <v>2781</v>
      </c>
      <c r="H785" s="13" t="s">
        <v>2782</v>
      </c>
      <c r="I785" s="13" t="s">
        <v>23</v>
      </c>
      <c r="J785" s="13">
        <v>4.0</v>
      </c>
      <c r="K785" s="13" t="s">
        <v>303</v>
      </c>
      <c r="L785" s="13" t="s">
        <v>304</v>
      </c>
      <c r="M785" s="13" t="s">
        <v>100</v>
      </c>
      <c r="N785" s="13" t="s">
        <v>27</v>
      </c>
      <c r="O785" s="14">
        <v>35.49</v>
      </c>
      <c r="P785" s="14">
        <f t="shared" si="2"/>
        <v>141.96</v>
      </c>
      <c r="Q785" s="14">
        <v>34.93</v>
      </c>
    </row>
    <row r="786">
      <c r="A786" s="12">
        <v>42439.0</v>
      </c>
      <c r="B786" s="12"/>
      <c r="C786" s="12" t="s">
        <v>2399</v>
      </c>
      <c r="D786" s="6">
        <v>42531.0</v>
      </c>
      <c r="E786" s="15" t="str">
        <f t="shared" si="1"/>
        <v>Jun</v>
      </c>
      <c r="F786" s="13" t="s">
        <v>20</v>
      </c>
      <c r="G786" s="13" t="s">
        <v>2781</v>
      </c>
      <c r="H786" s="13" t="s">
        <v>2782</v>
      </c>
      <c r="I786" s="13" t="s">
        <v>23</v>
      </c>
      <c r="J786" s="13">
        <v>4.0</v>
      </c>
      <c r="K786" s="13" t="s">
        <v>303</v>
      </c>
      <c r="L786" s="13" t="s">
        <v>304</v>
      </c>
      <c r="M786" s="13" t="s">
        <v>100</v>
      </c>
      <c r="N786" s="13" t="s">
        <v>51</v>
      </c>
      <c r="O786" s="14">
        <v>47.984</v>
      </c>
      <c r="P786" s="14">
        <f t="shared" si="2"/>
        <v>191.936</v>
      </c>
      <c r="Q786" s="14">
        <v>46.99</v>
      </c>
    </row>
    <row r="787">
      <c r="A787" s="12">
        <v>42513.0</v>
      </c>
      <c r="B787" s="12"/>
      <c r="C787" s="12" t="s">
        <v>2335</v>
      </c>
      <c r="D787" s="1" t="s">
        <v>1379</v>
      </c>
      <c r="E787" s="15" t="str">
        <f t="shared" si="1"/>
        <v>May</v>
      </c>
      <c r="F787" s="13" t="s">
        <v>41</v>
      </c>
      <c r="G787" s="13" t="s">
        <v>2369</v>
      </c>
      <c r="H787" s="13" t="s">
        <v>2512</v>
      </c>
      <c r="I787" s="13" t="s">
        <v>34</v>
      </c>
      <c r="J787" s="13">
        <v>2.0</v>
      </c>
      <c r="K787" s="13" t="s">
        <v>235</v>
      </c>
      <c r="L787" s="13" t="s">
        <v>236</v>
      </c>
      <c r="M787" s="13" t="s">
        <v>26</v>
      </c>
      <c r="N787" s="13" t="s">
        <v>38</v>
      </c>
      <c r="O787" s="14">
        <v>186.69</v>
      </c>
      <c r="P787" s="14">
        <f t="shared" si="2"/>
        <v>373.38</v>
      </c>
      <c r="Q787" s="14">
        <v>185.95</v>
      </c>
    </row>
    <row r="788">
      <c r="A788" s="12">
        <v>43176.0</v>
      </c>
      <c r="B788" s="12"/>
      <c r="C788" s="12" t="s">
        <v>2399</v>
      </c>
      <c r="D788" s="1" t="s">
        <v>1381</v>
      </c>
      <c r="E788" s="15" t="str">
        <f t="shared" si="1"/>
        <v>Mar</v>
      </c>
      <c r="F788" s="13" t="s">
        <v>20</v>
      </c>
      <c r="G788" s="13" t="s">
        <v>2427</v>
      </c>
      <c r="H788" s="13" t="s">
        <v>2428</v>
      </c>
      <c r="I788" s="13" t="s">
        <v>23</v>
      </c>
      <c r="J788" s="13">
        <v>9.0</v>
      </c>
      <c r="K788" s="13" t="s">
        <v>1382</v>
      </c>
      <c r="L788" s="13" t="s">
        <v>52</v>
      </c>
      <c r="M788" s="13" t="s">
        <v>37</v>
      </c>
      <c r="N788" s="13" t="s">
        <v>38</v>
      </c>
      <c r="O788" s="14">
        <v>17.456</v>
      </c>
      <c r="P788" s="14">
        <f t="shared" si="2"/>
        <v>157.104</v>
      </c>
      <c r="Q788" s="14">
        <v>16.96</v>
      </c>
    </row>
    <row r="789">
      <c r="A789" s="12">
        <v>42716.0</v>
      </c>
      <c r="B789" s="12"/>
      <c r="C789" s="12" t="s">
        <v>2325</v>
      </c>
      <c r="D789" s="1" t="s">
        <v>1384</v>
      </c>
      <c r="E789" s="15" t="str">
        <f t="shared" si="1"/>
        <v>Dec</v>
      </c>
      <c r="F789" s="13" t="s">
        <v>41</v>
      </c>
      <c r="G789" s="13" t="s">
        <v>2666</v>
      </c>
      <c r="H789" s="13" t="s">
        <v>2783</v>
      </c>
      <c r="I789" s="13" t="s">
        <v>23</v>
      </c>
      <c r="J789" s="13">
        <v>9.0</v>
      </c>
      <c r="K789" s="13" t="s">
        <v>1382</v>
      </c>
      <c r="L789" s="13" t="s">
        <v>52</v>
      </c>
      <c r="M789" s="13" t="s">
        <v>37</v>
      </c>
      <c r="N789" s="13" t="s">
        <v>27</v>
      </c>
      <c r="O789" s="14">
        <v>348.928</v>
      </c>
      <c r="P789" s="14">
        <f t="shared" si="2"/>
        <v>3140.352</v>
      </c>
      <c r="Q789" s="14">
        <v>348.61</v>
      </c>
    </row>
    <row r="790">
      <c r="A790" s="12">
        <v>42547.0</v>
      </c>
      <c r="B790" s="12"/>
      <c r="C790" s="12" t="s">
        <v>2374</v>
      </c>
      <c r="D790" s="1" t="s">
        <v>1388</v>
      </c>
      <c r="E790" s="15" t="str">
        <f t="shared" si="1"/>
        <v>Jun</v>
      </c>
      <c r="F790" s="13" t="s">
        <v>41</v>
      </c>
      <c r="G790" s="13" t="s">
        <v>922</v>
      </c>
      <c r="H790" s="13" t="s">
        <v>923</v>
      </c>
      <c r="I790" s="13" t="s">
        <v>23</v>
      </c>
      <c r="J790" s="13">
        <v>2.0</v>
      </c>
      <c r="K790" s="13" t="s">
        <v>814</v>
      </c>
      <c r="L790" s="13" t="s">
        <v>198</v>
      </c>
      <c r="M790" s="13" t="s">
        <v>26</v>
      </c>
      <c r="N790" s="13" t="s">
        <v>38</v>
      </c>
      <c r="O790" s="14">
        <v>143.96</v>
      </c>
      <c r="P790" s="14">
        <f t="shared" si="2"/>
        <v>287.92</v>
      </c>
      <c r="Q790" s="14">
        <v>143.01</v>
      </c>
    </row>
    <row r="791">
      <c r="A791" s="12">
        <v>42547.0</v>
      </c>
      <c r="B791" s="12"/>
      <c r="C791" s="12" t="s">
        <v>2374</v>
      </c>
      <c r="D791" s="1" t="s">
        <v>1388</v>
      </c>
      <c r="E791" s="15" t="str">
        <f t="shared" si="1"/>
        <v>Jun</v>
      </c>
      <c r="F791" s="13" t="s">
        <v>41</v>
      </c>
      <c r="G791" s="13" t="s">
        <v>922</v>
      </c>
      <c r="H791" s="13" t="s">
        <v>923</v>
      </c>
      <c r="I791" s="13" t="s">
        <v>23</v>
      </c>
      <c r="J791" s="13">
        <v>2.0</v>
      </c>
      <c r="K791" s="13" t="s">
        <v>814</v>
      </c>
      <c r="L791" s="13" t="s">
        <v>198</v>
      </c>
      <c r="M791" s="13" t="s">
        <v>26</v>
      </c>
      <c r="N791" s="13" t="s">
        <v>38</v>
      </c>
      <c r="O791" s="14">
        <v>15.42</v>
      </c>
      <c r="P791" s="14">
        <f t="shared" si="2"/>
        <v>30.84</v>
      </c>
      <c r="Q791" s="14">
        <v>14.8</v>
      </c>
    </row>
    <row r="792">
      <c r="A792" s="12">
        <v>42547.0</v>
      </c>
      <c r="B792" s="12"/>
      <c r="C792" s="12" t="s">
        <v>2374</v>
      </c>
      <c r="D792" s="1" t="s">
        <v>1388</v>
      </c>
      <c r="E792" s="15" t="str">
        <f t="shared" si="1"/>
        <v>Jun</v>
      </c>
      <c r="F792" s="13" t="s">
        <v>41</v>
      </c>
      <c r="G792" s="13" t="s">
        <v>922</v>
      </c>
      <c r="H792" s="13" t="s">
        <v>923</v>
      </c>
      <c r="I792" s="13" t="s">
        <v>23</v>
      </c>
      <c r="J792" s="13">
        <v>2.0</v>
      </c>
      <c r="K792" s="13" t="s">
        <v>814</v>
      </c>
      <c r="L792" s="13" t="s">
        <v>198</v>
      </c>
      <c r="M792" s="13" t="s">
        <v>26</v>
      </c>
      <c r="N792" s="13" t="s">
        <v>38</v>
      </c>
      <c r="O792" s="14">
        <v>43.04</v>
      </c>
      <c r="P792" s="14">
        <f t="shared" si="2"/>
        <v>86.08</v>
      </c>
      <c r="Q792" s="14">
        <v>42.63</v>
      </c>
    </row>
    <row r="793">
      <c r="A793" s="12">
        <v>42547.0</v>
      </c>
      <c r="B793" s="12"/>
      <c r="C793" s="12" t="s">
        <v>2374</v>
      </c>
      <c r="D793" s="1" t="s">
        <v>1388</v>
      </c>
      <c r="E793" s="15" t="str">
        <f t="shared" si="1"/>
        <v>Jun</v>
      </c>
      <c r="F793" s="13" t="s">
        <v>41</v>
      </c>
      <c r="G793" s="13" t="s">
        <v>922</v>
      </c>
      <c r="H793" s="13" t="s">
        <v>923</v>
      </c>
      <c r="I793" s="13" t="s">
        <v>23</v>
      </c>
      <c r="J793" s="13">
        <v>2.0</v>
      </c>
      <c r="K793" s="13" t="s">
        <v>814</v>
      </c>
      <c r="L793" s="13" t="s">
        <v>198</v>
      </c>
      <c r="M793" s="13" t="s">
        <v>26</v>
      </c>
      <c r="N793" s="13" t="s">
        <v>27</v>
      </c>
      <c r="O793" s="14">
        <v>332.94</v>
      </c>
      <c r="P793" s="14">
        <f t="shared" si="2"/>
        <v>665.88</v>
      </c>
      <c r="Q793" s="14">
        <v>332.22</v>
      </c>
    </row>
    <row r="794">
      <c r="A794" s="12">
        <v>42875.0</v>
      </c>
      <c r="B794" s="12"/>
      <c r="C794" s="12" t="s">
        <v>2335</v>
      </c>
      <c r="D794" s="1" t="s">
        <v>1390</v>
      </c>
      <c r="E794" s="15" t="str">
        <f t="shared" si="1"/>
        <v>May</v>
      </c>
      <c r="F794" s="13" t="s">
        <v>717</v>
      </c>
      <c r="G794" s="13" t="s">
        <v>2784</v>
      </c>
      <c r="H794" s="13" t="s">
        <v>2785</v>
      </c>
      <c r="I794" s="13" t="s">
        <v>23</v>
      </c>
      <c r="J794" s="13">
        <v>2.0</v>
      </c>
      <c r="K794" s="13" t="s">
        <v>1393</v>
      </c>
      <c r="L794" s="13" t="s">
        <v>58</v>
      </c>
      <c r="M794" s="13" t="s">
        <v>26</v>
      </c>
      <c r="N794" s="13" t="s">
        <v>51</v>
      </c>
      <c r="O794" s="14">
        <v>1363.96</v>
      </c>
      <c r="P794" s="14">
        <f t="shared" si="2"/>
        <v>2727.92</v>
      </c>
      <c r="Q794" s="14">
        <v>1363.48</v>
      </c>
    </row>
    <row r="795">
      <c r="A795" s="12">
        <v>42267.0</v>
      </c>
      <c r="B795" s="12"/>
      <c r="C795" s="12" t="s">
        <v>2329</v>
      </c>
      <c r="D795" s="1" t="s">
        <v>1395</v>
      </c>
      <c r="E795" s="15" t="str">
        <f t="shared" si="1"/>
        <v>Sep</v>
      </c>
      <c r="F795" s="13" t="s">
        <v>41</v>
      </c>
      <c r="G795" s="13" t="s">
        <v>2786</v>
      </c>
      <c r="H795" s="13" t="s">
        <v>2370</v>
      </c>
      <c r="I795" s="13" t="s">
        <v>23</v>
      </c>
      <c r="J795" s="13">
        <v>9.0</v>
      </c>
      <c r="K795" s="13" t="s">
        <v>87</v>
      </c>
      <c r="L795" s="13" t="s">
        <v>52</v>
      </c>
      <c r="M795" s="13" t="s">
        <v>37</v>
      </c>
      <c r="N795" s="13" t="s">
        <v>38</v>
      </c>
      <c r="O795" s="14">
        <v>9.96</v>
      </c>
      <c r="P795" s="14">
        <f t="shared" si="2"/>
        <v>89.64</v>
      </c>
      <c r="Q795" s="14">
        <v>8.97</v>
      </c>
    </row>
    <row r="796">
      <c r="A796" s="12">
        <v>42267.0</v>
      </c>
      <c r="B796" s="12"/>
      <c r="C796" s="12" t="s">
        <v>2329</v>
      </c>
      <c r="D796" s="1" t="s">
        <v>1395</v>
      </c>
      <c r="E796" s="15" t="str">
        <f t="shared" si="1"/>
        <v>Sep</v>
      </c>
      <c r="F796" s="13" t="s">
        <v>41</v>
      </c>
      <c r="G796" s="13" t="s">
        <v>2786</v>
      </c>
      <c r="H796" s="13" t="s">
        <v>2370</v>
      </c>
      <c r="I796" s="13" t="s">
        <v>23</v>
      </c>
      <c r="J796" s="13">
        <v>9.0</v>
      </c>
      <c r="K796" s="13" t="s">
        <v>87</v>
      </c>
      <c r="L796" s="13" t="s">
        <v>52</v>
      </c>
      <c r="M796" s="13" t="s">
        <v>37</v>
      </c>
      <c r="N796" s="13" t="s">
        <v>38</v>
      </c>
      <c r="O796" s="14">
        <v>21.72</v>
      </c>
      <c r="P796" s="14">
        <f t="shared" si="2"/>
        <v>195.48</v>
      </c>
      <c r="Q796" s="14">
        <v>21.3</v>
      </c>
    </row>
    <row r="797">
      <c r="A797" s="12">
        <v>43364.0</v>
      </c>
      <c r="B797" s="12"/>
      <c r="C797" s="12" t="s">
        <v>2329</v>
      </c>
      <c r="D797" s="1" t="s">
        <v>1155</v>
      </c>
      <c r="E797" s="15" t="str">
        <f t="shared" si="1"/>
        <v>Sep</v>
      </c>
      <c r="F797" s="13" t="s">
        <v>41</v>
      </c>
      <c r="G797" s="13" t="s">
        <v>2419</v>
      </c>
      <c r="H797" s="13" t="s">
        <v>2787</v>
      </c>
      <c r="I797" s="13" t="s">
        <v>23</v>
      </c>
      <c r="J797" s="13">
        <v>5.0</v>
      </c>
      <c r="K797" s="13" t="s">
        <v>240</v>
      </c>
      <c r="L797" s="13" t="s">
        <v>151</v>
      </c>
      <c r="M797" s="13" t="s">
        <v>71</v>
      </c>
      <c r="N797" s="13" t="s">
        <v>38</v>
      </c>
      <c r="O797" s="14">
        <v>20.16</v>
      </c>
      <c r="P797" s="14">
        <f t="shared" si="2"/>
        <v>100.8</v>
      </c>
      <c r="Q797" s="14">
        <v>20.03</v>
      </c>
    </row>
    <row r="798">
      <c r="A798" s="12">
        <v>42728.0</v>
      </c>
      <c r="B798" s="12"/>
      <c r="C798" s="12" t="s">
        <v>2325</v>
      </c>
      <c r="D798" s="1" t="s">
        <v>1402</v>
      </c>
      <c r="E798" s="15" t="str">
        <f t="shared" si="1"/>
        <v>Dec</v>
      </c>
      <c r="F798" s="13" t="s">
        <v>121</v>
      </c>
      <c r="G798" s="13" t="s">
        <v>2478</v>
      </c>
      <c r="H798" s="13" t="s">
        <v>2513</v>
      </c>
      <c r="I798" s="13" t="s">
        <v>34</v>
      </c>
      <c r="J798" s="13">
        <v>1.0</v>
      </c>
      <c r="K798" s="13" t="s">
        <v>240</v>
      </c>
      <c r="L798" s="13" t="s">
        <v>175</v>
      </c>
      <c r="M798" s="13" t="s">
        <v>100</v>
      </c>
      <c r="N798" s="13" t="s">
        <v>38</v>
      </c>
      <c r="O798" s="14">
        <v>132.79</v>
      </c>
      <c r="P798" s="14">
        <f t="shared" si="2"/>
        <v>132.79</v>
      </c>
      <c r="Q798" s="14">
        <v>132.09</v>
      </c>
    </row>
    <row r="799">
      <c r="A799" s="12">
        <v>42728.0</v>
      </c>
      <c r="B799" s="12"/>
      <c r="C799" s="12" t="s">
        <v>2325</v>
      </c>
      <c r="D799" s="1" t="s">
        <v>1402</v>
      </c>
      <c r="E799" s="15" t="str">
        <f t="shared" si="1"/>
        <v>Dec</v>
      </c>
      <c r="F799" s="13" t="s">
        <v>121</v>
      </c>
      <c r="G799" s="13" t="s">
        <v>2478</v>
      </c>
      <c r="H799" s="13" t="s">
        <v>2513</v>
      </c>
      <c r="I799" s="13" t="s">
        <v>34</v>
      </c>
      <c r="J799" s="13">
        <v>1.0</v>
      </c>
      <c r="K799" s="13" t="s">
        <v>240</v>
      </c>
      <c r="L799" s="13" t="s">
        <v>175</v>
      </c>
      <c r="M799" s="13" t="s">
        <v>100</v>
      </c>
      <c r="N799" s="13" t="s">
        <v>38</v>
      </c>
      <c r="O799" s="14">
        <v>12.96</v>
      </c>
      <c r="P799" s="14">
        <f t="shared" si="2"/>
        <v>12.96</v>
      </c>
      <c r="Q799" s="14">
        <v>12.5</v>
      </c>
    </row>
    <row r="800">
      <c r="A800" s="12">
        <v>42728.0</v>
      </c>
      <c r="B800" s="12"/>
      <c r="C800" s="12" t="s">
        <v>2325</v>
      </c>
      <c r="D800" s="1" t="s">
        <v>1402</v>
      </c>
      <c r="E800" s="15" t="str">
        <f t="shared" si="1"/>
        <v>Dec</v>
      </c>
      <c r="F800" s="13" t="s">
        <v>121</v>
      </c>
      <c r="G800" s="13" t="s">
        <v>2478</v>
      </c>
      <c r="H800" s="13" t="s">
        <v>2513</v>
      </c>
      <c r="I800" s="13" t="s">
        <v>34</v>
      </c>
      <c r="J800" s="13">
        <v>1.0</v>
      </c>
      <c r="K800" s="13" t="s">
        <v>240</v>
      </c>
      <c r="L800" s="13" t="s">
        <v>175</v>
      </c>
      <c r="M800" s="13" t="s">
        <v>100</v>
      </c>
      <c r="N800" s="13" t="s">
        <v>38</v>
      </c>
      <c r="O800" s="14">
        <v>21.56</v>
      </c>
      <c r="P800" s="14">
        <f t="shared" si="2"/>
        <v>21.56</v>
      </c>
      <c r="Q800" s="14">
        <v>20.78</v>
      </c>
    </row>
    <row r="801">
      <c r="A801" s="12">
        <v>42701.0</v>
      </c>
      <c r="B801" s="12"/>
      <c r="C801" s="12" t="s">
        <v>2326</v>
      </c>
      <c r="D801" s="6">
        <v>42441.0</v>
      </c>
      <c r="E801" s="15" t="str">
        <f t="shared" si="1"/>
        <v>Mar</v>
      </c>
      <c r="F801" s="13" t="s">
        <v>41</v>
      </c>
      <c r="G801" s="13" t="s">
        <v>2684</v>
      </c>
      <c r="H801" s="13" t="s">
        <v>2788</v>
      </c>
      <c r="I801" s="13" t="s">
        <v>23</v>
      </c>
      <c r="J801" s="13">
        <v>9.0</v>
      </c>
      <c r="K801" s="13" t="s">
        <v>1406</v>
      </c>
      <c r="L801" s="13" t="s">
        <v>52</v>
      </c>
      <c r="M801" s="13" t="s">
        <v>37</v>
      </c>
      <c r="N801" s="13" t="s">
        <v>27</v>
      </c>
      <c r="O801" s="14">
        <v>283.92</v>
      </c>
      <c r="P801" s="14">
        <f t="shared" si="2"/>
        <v>2555.28</v>
      </c>
      <c r="Q801" s="14">
        <v>282.99</v>
      </c>
    </row>
    <row r="802">
      <c r="A802" s="12">
        <v>43151.0</v>
      </c>
      <c r="B802" s="12"/>
      <c r="C802" s="12" t="s">
        <v>2431</v>
      </c>
      <c r="D802" s="1" t="s">
        <v>1408</v>
      </c>
      <c r="E802" s="15" t="str">
        <f t="shared" si="1"/>
        <v>Feb</v>
      </c>
      <c r="F802" s="13" t="s">
        <v>121</v>
      </c>
      <c r="G802" s="13" t="s">
        <v>2452</v>
      </c>
      <c r="H802" s="13" t="s">
        <v>2789</v>
      </c>
      <c r="I802" s="13" t="s">
        <v>34</v>
      </c>
      <c r="J802" s="13">
        <v>9.0</v>
      </c>
      <c r="K802" s="13" t="s">
        <v>542</v>
      </c>
      <c r="L802" s="13" t="s">
        <v>52</v>
      </c>
      <c r="M802" s="13" t="s">
        <v>37</v>
      </c>
      <c r="N802" s="13" t="s">
        <v>27</v>
      </c>
      <c r="O802" s="14">
        <v>22.23</v>
      </c>
      <c r="P802" s="14">
        <f t="shared" si="2"/>
        <v>200.07</v>
      </c>
      <c r="Q802" s="14">
        <v>21.53</v>
      </c>
    </row>
    <row r="803">
      <c r="A803" s="12">
        <v>43151.0</v>
      </c>
      <c r="B803" s="12"/>
      <c r="C803" s="12" t="s">
        <v>2431</v>
      </c>
      <c r="D803" s="1" t="s">
        <v>1408</v>
      </c>
      <c r="E803" s="15" t="str">
        <f t="shared" si="1"/>
        <v>Feb</v>
      </c>
      <c r="F803" s="13" t="s">
        <v>121</v>
      </c>
      <c r="G803" s="13" t="s">
        <v>2452</v>
      </c>
      <c r="H803" s="13" t="s">
        <v>2789</v>
      </c>
      <c r="I803" s="13" t="s">
        <v>34</v>
      </c>
      <c r="J803" s="13">
        <v>9.0</v>
      </c>
      <c r="K803" s="13" t="s">
        <v>542</v>
      </c>
      <c r="L803" s="13" t="s">
        <v>52</v>
      </c>
      <c r="M803" s="13" t="s">
        <v>37</v>
      </c>
      <c r="N803" s="13" t="s">
        <v>51</v>
      </c>
      <c r="O803" s="14">
        <v>215.968</v>
      </c>
      <c r="P803" s="14">
        <f t="shared" si="2"/>
        <v>1943.712</v>
      </c>
      <c r="Q803" s="14">
        <v>215.54</v>
      </c>
    </row>
    <row r="804">
      <c r="A804" s="12">
        <v>42965.0</v>
      </c>
      <c r="B804" s="12"/>
      <c r="C804" s="12" t="s">
        <v>2322</v>
      </c>
      <c r="D804" s="1" t="s">
        <v>1412</v>
      </c>
      <c r="E804" s="15" t="str">
        <f t="shared" si="1"/>
        <v>Aug</v>
      </c>
      <c r="F804" s="13" t="s">
        <v>20</v>
      </c>
      <c r="G804" s="13" t="s">
        <v>2452</v>
      </c>
      <c r="H804" s="13" t="s">
        <v>2789</v>
      </c>
      <c r="I804" s="13" t="s">
        <v>34</v>
      </c>
      <c r="J804" s="13">
        <v>1.0</v>
      </c>
      <c r="K804" s="13" t="s">
        <v>174</v>
      </c>
      <c r="L804" s="13" t="s">
        <v>175</v>
      </c>
      <c r="M804" s="13" t="s">
        <v>100</v>
      </c>
      <c r="N804" s="13" t="s">
        <v>38</v>
      </c>
      <c r="O804" s="14">
        <v>355.32</v>
      </c>
      <c r="P804" s="14">
        <f t="shared" si="2"/>
        <v>355.32</v>
      </c>
      <c r="Q804" s="14">
        <v>354.85</v>
      </c>
    </row>
    <row r="805">
      <c r="A805" s="12">
        <v>43072.0</v>
      </c>
      <c r="B805" s="12"/>
      <c r="C805" s="12" t="s">
        <v>2325</v>
      </c>
      <c r="D805" s="1" t="s">
        <v>1414</v>
      </c>
      <c r="E805" s="15" t="str">
        <f t="shared" si="1"/>
        <v>Mar</v>
      </c>
      <c r="F805" s="13" t="s">
        <v>41</v>
      </c>
      <c r="G805" s="13" t="s">
        <v>2592</v>
      </c>
      <c r="H805" s="13" t="s">
        <v>2790</v>
      </c>
      <c r="I805" s="13" t="s">
        <v>34</v>
      </c>
      <c r="J805" s="13">
        <v>7.0</v>
      </c>
      <c r="K805" s="13" t="s">
        <v>429</v>
      </c>
      <c r="L805" s="13" t="s">
        <v>430</v>
      </c>
      <c r="M805" s="13" t="s">
        <v>26</v>
      </c>
      <c r="N805" s="13" t="s">
        <v>38</v>
      </c>
      <c r="O805" s="14">
        <v>12.96</v>
      </c>
      <c r="P805" s="14">
        <f t="shared" si="2"/>
        <v>90.72</v>
      </c>
      <c r="Q805" s="14">
        <v>12.7</v>
      </c>
    </row>
    <row r="806">
      <c r="A806" s="12">
        <v>43212.0</v>
      </c>
      <c r="B806" s="12"/>
      <c r="C806" s="12" t="s">
        <v>2332</v>
      </c>
      <c r="D806" s="1" t="s">
        <v>1418</v>
      </c>
      <c r="E806" s="15" t="str">
        <f t="shared" si="1"/>
        <v>Apr</v>
      </c>
      <c r="F806" s="13" t="s">
        <v>121</v>
      </c>
      <c r="G806" s="13" t="s">
        <v>2405</v>
      </c>
      <c r="H806" s="13" t="s">
        <v>2791</v>
      </c>
      <c r="I806" s="13" t="s">
        <v>23</v>
      </c>
      <c r="J806" s="13">
        <v>9.0</v>
      </c>
      <c r="K806" s="13" t="s">
        <v>87</v>
      </c>
      <c r="L806" s="13" t="s">
        <v>52</v>
      </c>
      <c r="M806" s="13" t="s">
        <v>37</v>
      </c>
      <c r="N806" s="13" t="s">
        <v>27</v>
      </c>
      <c r="O806" s="14">
        <v>18.28</v>
      </c>
      <c r="P806" s="14">
        <f t="shared" si="2"/>
        <v>164.52</v>
      </c>
      <c r="Q806" s="14">
        <v>17.56</v>
      </c>
    </row>
    <row r="807">
      <c r="A807" s="12">
        <v>42015.0</v>
      </c>
      <c r="B807" s="12"/>
      <c r="C807" s="12" t="s">
        <v>2353</v>
      </c>
      <c r="D807" s="6">
        <v>42196.0</v>
      </c>
      <c r="E807" s="15" t="str">
        <f t="shared" si="1"/>
        <v>Jul</v>
      </c>
      <c r="F807" s="13" t="s">
        <v>41</v>
      </c>
      <c r="G807" s="13" t="s">
        <v>2583</v>
      </c>
      <c r="H807" s="13" t="s">
        <v>2584</v>
      </c>
      <c r="I807" s="13" t="s">
        <v>23</v>
      </c>
      <c r="J807" s="13">
        <v>8.0</v>
      </c>
      <c r="K807" s="13" t="s">
        <v>475</v>
      </c>
      <c r="L807" s="13" t="s">
        <v>279</v>
      </c>
      <c r="M807" s="13" t="s">
        <v>37</v>
      </c>
      <c r="N807" s="13" t="s">
        <v>38</v>
      </c>
      <c r="O807" s="14">
        <v>43.176</v>
      </c>
      <c r="P807" s="14">
        <f t="shared" si="2"/>
        <v>345.408</v>
      </c>
      <c r="Q807" s="14">
        <v>42.52</v>
      </c>
    </row>
    <row r="808">
      <c r="A808" s="12">
        <v>42015.0</v>
      </c>
      <c r="B808" s="12"/>
      <c r="C808" s="12" t="s">
        <v>2353</v>
      </c>
      <c r="D808" s="6">
        <v>42196.0</v>
      </c>
      <c r="E808" s="15" t="str">
        <f t="shared" si="1"/>
        <v>Jul</v>
      </c>
      <c r="F808" s="13" t="s">
        <v>41</v>
      </c>
      <c r="G808" s="13" t="s">
        <v>2583</v>
      </c>
      <c r="H808" s="13" t="s">
        <v>2584</v>
      </c>
      <c r="I808" s="13" t="s">
        <v>23</v>
      </c>
      <c r="J808" s="13">
        <v>8.0</v>
      </c>
      <c r="K808" s="13" t="s">
        <v>475</v>
      </c>
      <c r="L808" s="13" t="s">
        <v>279</v>
      </c>
      <c r="M808" s="13" t="s">
        <v>37</v>
      </c>
      <c r="N808" s="13" t="s">
        <v>51</v>
      </c>
      <c r="O808" s="14">
        <v>1983.968</v>
      </c>
      <c r="P808" s="14">
        <f t="shared" si="2"/>
        <v>15871.744</v>
      </c>
      <c r="Q808" s="14">
        <v>1983.61</v>
      </c>
    </row>
    <row r="809">
      <c r="A809" s="12">
        <v>42431.0</v>
      </c>
      <c r="B809" s="12"/>
      <c r="C809" s="12" t="s">
        <v>2399</v>
      </c>
      <c r="D809" s="6">
        <v>42492.0</v>
      </c>
      <c r="E809" s="15" t="str">
        <f t="shared" si="1"/>
        <v>May</v>
      </c>
      <c r="F809" s="13" t="s">
        <v>121</v>
      </c>
      <c r="G809" s="13" t="s">
        <v>2334</v>
      </c>
      <c r="H809" s="13" t="s">
        <v>2662</v>
      </c>
      <c r="I809" s="13" t="s">
        <v>23</v>
      </c>
      <c r="J809" s="13">
        <v>6.0</v>
      </c>
      <c r="K809" s="13" t="s">
        <v>1423</v>
      </c>
      <c r="L809" s="13" t="s">
        <v>93</v>
      </c>
      <c r="M809" s="13" t="s">
        <v>71</v>
      </c>
      <c r="N809" s="13" t="s">
        <v>27</v>
      </c>
      <c r="O809" s="14">
        <v>28.4</v>
      </c>
      <c r="P809" s="14">
        <f t="shared" si="2"/>
        <v>170.4</v>
      </c>
      <c r="Q809" s="14">
        <v>28.32</v>
      </c>
    </row>
    <row r="810">
      <c r="A810" s="12">
        <v>42431.0</v>
      </c>
      <c r="B810" s="12"/>
      <c r="C810" s="12" t="s">
        <v>2399</v>
      </c>
      <c r="D810" s="6">
        <v>42492.0</v>
      </c>
      <c r="E810" s="15" t="str">
        <f t="shared" si="1"/>
        <v>May</v>
      </c>
      <c r="F810" s="13" t="s">
        <v>121</v>
      </c>
      <c r="G810" s="13" t="s">
        <v>2334</v>
      </c>
      <c r="H810" s="13" t="s">
        <v>2662</v>
      </c>
      <c r="I810" s="13" t="s">
        <v>23</v>
      </c>
      <c r="J810" s="13">
        <v>6.0</v>
      </c>
      <c r="K810" s="13" t="s">
        <v>1423</v>
      </c>
      <c r="L810" s="13" t="s">
        <v>93</v>
      </c>
      <c r="M810" s="13" t="s">
        <v>71</v>
      </c>
      <c r="N810" s="13" t="s">
        <v>51</v>
      </c>
      <c r="O810" s="14">
        <v>149.97</v>
      </c>
      <c r="P810" s="14">
        <f t="shared" si="2"/>
        <v>899.82</v>
      </c>
      <c r="Q810" s="14">
        <v>149.22</v>
      </c>
    </row>
    <row r="811">
      <c r="A811" s="12">
        <v>42290.0</v>
      </c>
      <c r="B811" s="12"/>
      <c r="C811" s="12" t="s">
        <v>2358</v>
      </c>
      <c r="D811" s="1" t="s">
        <v>1425</v>
      </c>
      <c r="E811" s="15" t="str">
        <f t="shared" si="1"/>
        <v>Oct</v>
      </c>
      <c r="F811" s="13" t="s">
        <v>121</v>
      </c>
      <c r="G811" s="13" t="s">
        <v>2344</v>
      </c>
      <c r="H811" s="13" t="s">
        <v>2689</v>
      </c>
      <c r="I811" s="13" t="s">
        <v>23</v>
      </c>
      <c r="J811" s="13">
        <v>9.0</v>
      </c>
      <c r="K811" s="13" t="s">
        <v>1426</v>
      </c>
      <c r="L811" s="13" t="s">
        <v>63</v>
      </c>
      <c r="M811" s="13" t="s">
        <v>37</v>
      </c>
      <c r="N811" s="13" t="s">
        <v>38</v>
      </c>
      <c r="O811" s="14">
        <v>11.52</v>
      </c>
      <c r="P811" s="14">
        <f t="shared" si="2"/>
        <v>103.68</v>
      </c>
      <c r="Q811" s="14">
        <v>11.04</v>
      </c>
    </row>
    <row r="812">
      <c r="A812" s="12">
        <v>42290.0</v>
      </c>
      <c r="B812" s="12"/>
      <c r="C812" s="12" t="s">
        <v>2358</v>
      </c>
      <c r="D812" s="1" t="s">
        <v>1425</v>
      </c>
      <c r="E812" s="15" t="str">
        <f t="shared" si="1"/>
        <v>Oct</v>
      </c>
      <c r="F812" s="13" t="s">
        <v>121</v>
      </c>
      <c r="G812" s="13" t="s">
        <v>2344</v>
      </c>
      <c r="H812" s="13" t="s">
        <v>2689</v>
      </c>
      <c r="I812" s="13" t="s">
        <v>23</v>
      </c>
      <c r="J812" s="13">
        <v>9.0</v>
      </c>
      <c r="K812" s="13" t="s">
        <v>1426</v>
      </c>
      <c r="L812" s="13" t="s">
        <v>63</v>
      </c>
      <c r="M812" s="13" t="s">
        <v>37</v>
      </c>
      <c r="N812" s="13" t="s">
        <v>27</v>
      </c>
      <c r="O812" s="14">
        <v>1298.55</v>
      </c>
      <c r="P812" s="14">
        <f t="shared" si="2"/>
        <v>11686.95</v>
      </c>
      <c r="Q812" s="14">
        <v>1297.88</v>
      </c>
    </row>
    <row r="813">
      <c r="A813" s="12">
        <v>42290.0</v>
      </c>
      <c r="B813" s="12"/>
      <c r="C813" s="12" t="s">
        <v>2358</v>
      </c>
      <c r="D813" s="1" t="s">
        <v>1425</v>
      </c>
      <c r="E813" s="15" t="str">
        <f t="shared" si="1"/>
        <v>Oct</v>
      </c>
      <c r="F813" s="13" t="s">
        <v>121</v>
      </c>
      <c r="G813" s="13" t="s">
        <v>2344</v>
      </c>
      <c r="H813" s="13" t="s">
        <v>2689</v>
      </c>
      <c r="I813" s="13" t="s">
        <v>23</v>
      </c>
      <c r="J813" s="13">
        <v>9.0</v>
      </c>
      <c r="K813" s="13" t="s">
        <v>1426</v>
      </c>
      <c r="L813" s="13" t="s">
        <v>63</v>
      </c>
      <c r="M813" s="13" t="s">
        <v>37</v>
      </c>
      <c r="N813" s="13" t="s">
        <v>38</v>
      </c>
      <c r="O813" s="14">
        <v>213.92</v>
      </c>
      <c r="P813" s="14">
        <f t="shared" si="2"/>
        <v>1925.28</v>
      </c>
      <c r="Q813" s="14">
        <v>213.11</v>
      </c>
    </row>
    <row r="814">
      <c r="A814" s="12">
        <v>42290.0</v>
      </c>
      <c r="B814" s="12"/>
      <c r="C814" s="12" t="s">
        <v>2358</v>
      </c>
      <c r="D814" s="1" t="s">
        <v>1425</v>
      </c>
      <c r="E814" s="15" t="str">
        <f t="shared" si="1"/>
        <v>Oct</v>
      </c>
      <c r="F814" s="13" t="s">
        <v>121</v>
      </c>
      <c r="G814" s="13" t="s">
        <v>2344</v>
      </c>
      <c r="H814" s="13" t="s">
        <v>2689</v>
      </c>
      <c r="I814" s="13" t="s">
        <v>23</v>
      </c>
      <c r="J814" s="13">
        <v>9.0</v>
      </c>
      <c r="K814" s="13" t="s">
        <v>1426</v>
      </c>
      <c r="L814" s="13" t="s">
        <v>63</v>
      </c>
      <c r="M814" s="13" t="s">
        <v>37</v>
      </c>
      <c r="N814" s="13" t="s">
        <v>51</v>
      </c>
      <c r="O814" s="14">
        <v>25.78</v>
      </c>
      <c r="P814" s="14">
        <f t="shared" si="2"/>
        <v>232.02</v>
      </c>
      <c r="Q814" s="14">
        <v>24.79</v>
      </c>
    </row>
    <row r="815">
      <c r="A815" s="12">
        <v>43234.0</v>
      </c>
      <c r="B815" s="12"/>
      <c r="C815" s="12" t="s">
        <v>2335</v>
      </c>
      <c r="D815" s="1" t="s">
        <v>1428</v>
      </c>
      <c r="E815" s="15" t="str">
        <f t="shared" si="1"/>
        <v>May</v>
      </c>
      <c r="F815" s="13" t="s">
        <v>717</v>
      </c>
      <c r="G815" s="13" t="s">
        <v>2792</v>
      </c>
      <c r="H815" s="13" t="s">
        <v>2777</v>
      </c>
      <c r="I815" s="13" t="s">
        <v>23</v>
      </c>
      <c r="J815" s="13">
        <v>9.0</v>
      </c>
      <c r="K815" s="13" t="s">
        <v>1431</v>
      </c>
      <c r="L815" s="13" t="s">
        <v>52</v>
      </c>
      <c r="M815" s="13" t="s">
        <v>37</v>
      </c>
      <c r="N815" s="13" t="s">
        <v>27</v>
      </c>
      <c r="O815" s="14">
        <v>18.28</v>
      </c>
      <c r="P815" s="14">
        <f t="shared" si="2"/>
        <v>164.52</v>
      </c>
      <c r="Q815" s="14">
        <v>18.08</v>
      </c>
    </row>
    <row r="816">
      <c r="A816" s="12">
        <v>43234.0</v>
      </c>
      <c r="B816" s="12"/>
      <c r="C816" s="12" t="s">
        <v>2335</v>
      </c>
      <c r="D816" s="1" t="s">
        <v>1428</v>
      </c>
      <c r="E816" s="15" t="str">
        <f t="shared" si="1"/>
        <v>May</v>
      </c>
      <c r="F816" s="13" t="s">
        <v>717</v>
      </c>
      <c r="G816" s="13" t="s">
        <v>2792</v>
      </c>
      <c r="H816" s="13" t="s">
        <v>2777</v>
      </c>
      <c r="I816" s="13" t="s">
        <v>23</v>
      </c>
      <c r="J816" s="13">
        <v>9.0</v>
      </c>
      <c r="K816" s="13" t="s">
        <v>1431</v>
      </c>
      <c r="L816" s="13" t="s">
        <v>52</v>
      </c>
      <c r="M816" s="13" t="s">
        <v>37</v>
      </c>
      <c r="N816" s="13" t="s">
        <v>51</v>
      </c>
      <c r="O816" s="14">
        <v>1399.93</v>
      </c>
      <c r="P816" s="14">
        <f t="shared" si="2"/>
        <v>12599.37</v>
      </c>
      <c r="Q816" s="14">
        <v>1399.32</v>
      </c>
    </row>
    <row r="817">
      <c r="A817" s="12">
        <v>42449.0</v>
      </c>
      <c r="B817" s="12"/>
      <c r="C817" s="12" t="s">
        <v>2399</v>
      </c>
      <c r="D817" s="1" t="s">
        <v>1433</v>
      </c>
      <c r="E817" s="15" t="str">
        <f t="shared" si="1"/>
        <v>Mar</v>
      </c>
      <c r="F817" s="13" t="s">
        <v>121</v>
      </c>
      <c r="G817" s="13" t="s">
        <v>2596</v>
      </c>
      <c r="H817" s="13" t="s">
        <v>2793</v>
      </c>
      <c r="I817" s="13" t="s">
        <v>34</v>
      </c>
      <c r="J817" s="13">
        <v>5.0</v>
      </c>
      <c r="K817" s="13" t="s">
        <v>1436</v>
      </c>
      <c r="L817" s="13" t="s">
        <v>77</v>
      </c>
      <c r="M817" s="13" t="s">
        <v>71</v>
      </c>
      <c r="N817" s="13" t="s">
        <v>38</v>
      </c>
      <c r="O817" s="14">
        <v>51.84</v>
      </c>
      <c r="P817" s="14">
        <f t="shared" si="2"/>
        <v>259.2</v>
      </c>
      <c r="Q817" s="14">
        <v>51.11</v>
      </c>
    </row>
    <row r="818">
      <c r="A818" s="12">
        <v>42993.0</v>
      </c>
      <c r="B818" s="12"/>
      <c r="C818" s="12" t="s">
        <v>2329</v>
      </c>
      <c r="D818" s="1" t="s">
        <v>1203</v>
      </c>
      <c r="E818" s="15" t="str">
        <f t="shared" si="1"/>
        <v>Sep</v>
      </c>
      <c r="F818" s="13" t="s">
        <v>41</v>
      </c>
      <c r="G818" s="13" t="s">
        <v>2589</v>
      </c>
      <c r="H818" s="13" t="s">
        <v>2653</v>
      </c>
      <c r="I818" s="13" t="s">
        <v>23</v>
      </c>
      <c r="J818" s="13">
        <v>1.0</v>
      </c>
      <c r="K818" s="13" t="s">
        <v>98</v>
      </c>
      <c r="L818" s="13" t="s">
        <v>99</v>
      </c>
      <c r="M818" s="13" t="s">
        <v>100</v>
      </c>
      <c r="N818" s="13" t="s">
        <v>38</v>
      </c>
      <c r="O818" s="14">
        <v>5.344</v>
      </c>
      <c r="P818" s="14">
        <f t="shared" si="2"/>
        <v>5.344</v>
      </c>
      <c r="Q818" s="14">
        <v>4.97</v>
      </c>
    </row>
    <row r="819">
      <c r="A819" s="12">
        <v>42183.0</v>
      </c>
      <c r="B819" s="12"/>
      <c r="C819" s="12" t="s">
        <v>2374</v>
      </c>
      <c r="D819" s="6">
        <v>42042.0</v>
      </c>
      <c r="E819" s="15" t="str">
        <f t="shared" si="1"/>
        <v>Feb</v>
      </c>
      <c r="F819" s="13" t="s">
        <v>41</v>
      </c>
      <c r="G819" s="13" t="s">
        <v>2425</v>
      </c>
      <c r="H819" s="13" t="s">
        <v>2676</v>
      </c>
      <c r="I819" s="13" t="s">
        <v>23</v>
      </c>
      <c r="J819" s="13">
        <v>1.0</v>
      </c>
      <c r="K819" s="13" t="s">
        <v>98</v>
      </c>
      <c r="L819" s="13" t="s">
        <v>99</v>
      </c>
      <c r="M819" s="13" t="s">
        <v>100</v>
      </c>
      <c r="N819" s="13" t="s">
        <v>38</v>
      </c>
      <c r="O819" s="14">
        <v>41.472</v>
      </c>
      <c r="P819" s="14">
        <f t="shared" si="2"/>
        <v>41.472</v>
      </c>
      <c r="Q819" s="14">
        <v>41.33</v>
      </c>
    </row>
    <row r="820">
      <c r="A820" s="12">
        <v>42183.0</v>
      </c>
      <c r="B820" s="12"/>
      <c r="C820" s="12" t="s">
        <v>2374</v>
      </c>
      <c r="D820" s="6">
        <v>42042.0</v>
      </c>
      <c r="E820" s="15" t="str">
        <f t="shared" si="1"/>
        <v>Feb</v>
      </c>
      <c r="F820" s="13" t="s">
        <v>41</v>
      </c>
      <c r="G820" s="13" t="s">
        <v>2425</v>
      </c>
      <c r="H820" s="13" t="s">
        <v>2676</v>
      </c>
      <c r="I820" s="13" t="s">
        <v>23</v>
      </c>
      <c r="J820" s="13">
        <v>1.0</v>
      </c>
      <c r="K820" s="13" t="s">
        <v>98</v>
      </c>
      <c r="L820" s="13" t="s">
        <v>99</v>
      </c>
      <c r="M820" s="13" t="s">
        <v>100</v>
      </c>
      <c r="N820" s="13" t="s">
        <v>38</v>
      </c>
      <c r="O820" s="14">
        <v>3.168</v>
      </c>
      <c r="P820" s="14">
        <f t="shared" si="2"/>
        <v>3.168</v>
      </c>
      <c r="Q820" s="14">
        <v>2.59</v>
      </c>
    </row>
    <row r="821">
      <c r="A821" s="12">
        <v>42183.0</v>
      </c>
      <c r="B821" s="12"/>
      <c r="C821" s="12" t="s">
        <v>2374</v>
      </c>
      <c r="D821" s="6">
        <v>42042.0</v>
      </c>
      <c r="E821" s="15" t="str">
        <f t="shared" si="1"/>
        <v>Feb</v>
      </c>
      <c r="F821" s="13" t="s">
        <v>41</v>
      </c>
      <c r="G821" s="13" t="s">
        <v>2425</v>
      </c>
      <c r="H821" s="13" t="s">
        <v>2676</v>
      </c>
      <c r="I821" s="13" t="s">
        <v>23</v>
      </c>
      <c r="J821" s="13">
        <v>1.0</v>
      </c>
      <c r="K821" s="13" t="s">
        <v>98</v>
      </c>
      <c r="L821" s="13" t="s">
        <v>99</v>
      </c>
      <c r="M821" s="13" t="s">
        <v>100</v>
      </c>
      <c r="N821" s="13" t="s">
        <v>27</v>
      </c>
      <c r="O821" s="14">
        <v>1228.465</v>
      </c>
      <c r="P821" s="14">
        <f t="shared" si="2"/>
        <v>1228.465</v>
      </c>
      <c r="Q821" s="14">
        <v>1227.98</v>
      </c>
    </row>
    <row r="822">
      <c r="A822" s="12">
        <v>42183.0</v>
      </c>
      <c r="B822" s="12"/>
      <c r="C822" s="12" t="s">
        <v>2374</v>
      </c>
      <c r="D822" s="6">
        <v>42042.0</v>
      </c>
      <c r="E822" s="15" t="str">
        <f t="shared" si="1"/>
        <v>Feb</v>
      </c>
      <c r="F822" s="13" t="s">
        <v>41</v>
      </c>
      <c r="G822" s="13" t="s">
        <v>2425</v>
      </c>
      <c r="H822" s="13" t="s">
        <v>2676</v>
      </c>
      <c r="I822" s="13" t="s">
        <v>23</v>
      </c>
      <c r="J822" s="13">
        <v>1.0</v>
      </c>
      <c r="K822" s="13" t="s">
        <v>98</v>
      </c>
      <c r="L822" s="13" t="s">
        <v>99</v>
      </c>
      <c r="M822" s="13" t="s">
        <v>100</v>
      </c>
      <c r="N822" s="13" t="s">
        <v>38</v>
      </c>
      <c r="O822" s="14">
        <v>31.086</v>
      </c>
      <c r="P822" s="14">
        <f t="shared" si="2"/>
        <v>31.086</v>
      </c>
      <c r="Q822" s="14">
        <v>31.06</v>
      </c>
    </row>
    <row r="823">
      <c r="A823" s="12">
        <v>42183.0</v>
      </c>
      <c r="B823" s="12"/>
      <c r="C823" s="12" t="s">
        <v>2374</v>
      </c>
      <c r="D823" s="6">
        <v>42042.0</v>
      </c>
      <c r="E823" s="15" t="str">
        <f t="shared" si="1"/>
        <v>Feb</v>
      </c>
      <c r="F823" s="13" t="s">
        <v>41</v>
      </c>
      <c r="G823" s="13" t="s">
        <v>2425</v>
      </c>
      <c r="H823" s="13" t="s">
        <v>2676</v>
      </c>
      <c r="I823" s="13" t="s">
        <v>23</v>
      </c>
      <c r="J823" s="13">
        <v>1.0</v>
      </c>
      <c r="K823" s="13" t="s">
        <v>98</v>
      </c>
      <c r="L823" s="13" t="s">
        <v>99</v>
      </c>
      <c r="M823" s="13" t="s">
        <v>100</v>
      </c>
      <c r="N823" s="13" t="s">
        <v>38</v>
      </c>
      <c r="O823" s="14">
        <v>335.52</v>
      </c>
      <c r="P823" s="14">
        <f t="shared" si="2"/>
        <v>335.52</v>
      </c>
      <c r="Q823" s="14">
        <v>335.44</v>
      </c>
    </row>
    <row r="824">
      <c r="A824" s="12">
        <v>43271.0</v>
      </c>
      <c r="B824" s="12"/>
      <c r="C824" s="12" t="s">
        <v>2374</v>
      </c>
      <c r="D824" s="1" t="s">
        <v>1440</v>
      </c>
      <c r="E824" s="15" t="str">
        <f t="shared" si="1"/>
        <v>Jun</v>
      </c>
      <c r="F824" s="13" t="s">
        <v>41</v>
      </c>
      <c r="G824" s="13" t="s">
        <v>2794</v>
      </c>
      <c r="H824" s="13" t="s">
        <v>2795</v>
      </c>
      <c r="I824" s="13" t="s">
        <v>23</v>
      </c>
      <c r="J824" s="13">
        <v>7.0</v>
      </c>
      <c r="K824" s="13" t="s">
        <v>612</v>
      </c>
      <c r="L824" s="13" t="s">
        <v>462</v>
      </c>
      <c r="M824" s="13" t="s">
        <v>100</v>
      </c>
      <c r="N824" s="13" t="s">
        <v>51</v>
      </c>
      <c r="O824" s="14">
        <v>239.97</v>
      </c>
      <c r="P824" s="14">
        <f t="shared" si="2"/>
        <v>1679.79</v>
      </c>
      <c r="Q824" s="14">
        <v>239.15</v>
      </c>
    </row>
    <row r="825">
      <c r="A825" s="12">
        <v>43271.0</v>
      </c>
      <c r="B825" s="12"/>
      <c r="C825" s="12" t="s">
        <v>2374</v>
      </c>
      <c r="D825" s="1" t="s">
        <v>1440</v>
      </c>
      <c r="E825" s="15" t="str">
        <f t="shared" si="1"/>
        <v>Jun</v>
      </c>
      <c r="F825" s="13" t="s">
        <v>41</v>
      </c>
      <c r="G825" s="13" t="s">
        <v>2794</v>
      </c>
      <c r="H825" s="13" t="s">
        <v>2795</v>
      </c>
      <c r="I825" s="13" t="s">
        <v>23</v>
      </c>
      <c r="J825" s="13">
        <v>7.0</v>
      </c>
      <c r="K825" s="13" t="s">
        <v>612</v>
      </c>
      <c r="L825" s="13" t="s">
        <v>462</v>
      </c>
      <c r="M825" s="13" t="s">
        <v>100</v>
      </c>
      <c r="N825" s="13" t="s">
        <v>38</v>
      </c>
      <c r="O825" s="14">
        <v>9.82</v>
      </c>
      <c r="P825" s="14">
        <f t="shared" si="2"/>
        <v>68.74</v>
      </c>
      <c r="Q825" s="14">
        <v>9.82</v>
      </c>
    </row>
    <row r="826">
      <c r="A826" s="12">
        <v>42252.0</v>
      </c>
      <c r="B826" s="12"/>
      <c r="C826" s="12" t="s">
        <v>2329</v>
      </c>
      <c r="D826" s="1" t="s">
        <v>79</v>
      </c>
      <c r="E826" s="15" t="str">
        <f t="shared" si="1"/>
        <v>May</v>
      </c>
      <c r="F826" s="13" t="s">
        <v>41</v>
      </c>
      <c r="G826" s="13" t="s">
        <v>2373</v>
      </c>
      <c r="H826" s="13" t="s">
        <v>2796</v>
      </c>
      <c r="I826" s="13" t="s">
        <v>23</v>
      </c>
      <c r="J826" s="13">
        <v>9.0</v>
      </c>
      <c r="K826" s="13" t="s">
        <v>87</v>
      </c>
      <c r="L826" s="13" t="s">
        <v>52</v>
      </c>
      <c r="M826" s="13" t="s">
        <v>37</v>
      </c>
      <c r="N826" s="13" t="s">
        <v>51</v>
      </c>
      <c r="O826" s="14">
        <v>67.8</v>
      </c>
      <c r="P826" s="14">
        <f t="shared" si="2"/>
        <v>610.2</v>
      </c>
      <c r="Q826" s="14">
        <v>66.82</v>
      </c>
    </row>
    <row r="827">
      <c r="A827" s="12">
        <v>42252.0</v>
      </c>
      <c r="B827" s="12"/>
      <c r="C827" s="12" t="s">
        <v>2329</v>
      </c>
      <c r="D827" s="1" t="s">
        <v>79</v>
      </c>
      <c r="E827" s="15" t="str">
        <f t="shared" si="1"/>
        <v>May</v>
      </c>
      <c r="F827" s="13" t="s">
        <v>41</v>
      </c>
      <c r="G827" s="13" t="s">
        <v>2373</v>
      </c>
      <c r="H827" s="13" t="s">
        <v>2796</v>
      </c>
      <c r="I827" s="13" t="s">
        <v>23</v>
      </c>
      <c r="J827" s="13">
        <v>9.0</v>
      </c>
      <c r="K827" s="13" t="s">
        <v>87</v>
      </c>
      <c r="L827" s="13" t="s">
        <v>52</v>
      </c>
      <c r="M827" s="13" t="s">
        <v>37</v>
      </c>
      <c r="N827" s="13" t="s">
        <v>51</v>
      </c>
      <c r="O827" s="14">
        <v>167.97</v>
      </c>
      <c r="P827" s="14">
        <f t="shared" si="2"/>
        <v>1511.73</v>
      </c>
      <c r="Q827" s="14">
        <v>167.06</v>
      </c>
    </row>
    <row r="828">
      <c r="A828" s="12">
        <v>43333.0</v>
      </c>
      <c r="B828" s="12"/>
      <c r="C828" s="12" t="s">
        <v>2322</v>
      </c>
      <c r="D828" s="1" t="s">
        <v>1447</v>
      </c>
      <c r="E828" s="15" t="str">
        <f t="shared" si="1"/>
        <v>Aug</v>
      </c>
      <c r="F828" s="13" t="s">
        <v>41</v>
      </c>
      <c r="G828" s="13" t="s">
        <v>2434</v>
      </c>
      <c r="H828" s="13" t="s">
        <v>2639</v>
      </c>
      <c r="I828" s="13" t="s">
        <v>23</v>
      </c>
      <c r="J828" s="13">
        <v>5.0</v>
      </c>
      <c r="K828" s="13" t="s">
        <v>533</v>
      </c>
      <c r="L828" s="13" t="s">
        <v>151</v>
      </c>
      <c r="M828" s="13" t="s">
        <v>71</v>
      </c>
      <c r="N828" s="13" t="s">
        <v>38</v>
      </c>
      <c r="O828" s="14">
        <v>35.0</v>
      </c>
      <c r="P828" s="14">
        <f t="shared" si="2"/>
        <v>175</v>
      </c>
      <c r="Q828" s="14">
        <v>34.12</v>
      </c>
    </row>
    <row r="829">
      <c r="A829" s="12">
        <v>43333.0</v>
      </c>
      <c r="B829" s="12"/>
      <c r="C829" s="12" t="s">
        <v>2322</v>
      </c>
      <c r="D829" s="1" t="s">
        <v>1447</v>
      </c>
      <c r="E829" s="15" t="str">
        <f t="shared" si="1"/>
        <v>Aug</v>
      </c>
      <c r="F829" s="13" t="s">
        <v>41</v>
      </c>
      <c r="G829" s="13" t="s">
        <v>2434</v>
      </c>
      <c r="H829" s="13" t="s">
        <v>2639</v>
      </c>
      <c r="I829" s="13" t="s">
        <v>23</v>
      </c>
      <c r="J829" s="13">
        <v>5.0</v>
      </c>
      <c r="K829" s="13" t="s">
        <v>533</v>
      </c>
      <c r="L829" s="13" t="s">
        <v>151</v>
      </c>
      <c r="M829" s="13" t="s">
        <v>71</v>
      </c>
      <c r="N829" s="13" t="s">
        <v>38</v>
      </c>
      <c r="O829" s="14">
        <v>37.24</v>
      </c>
      <c r="P829" s="14">
        <f t="shared" si="2"/>
        <v>186.2</v>
      </c>
      <c r="Q829" s="14">
        <v>37.15</v>
      </c>
    </row>
    <row r="830">
      <c r="A830" s="12">
        <v>43333.0</v>
      </c>
      <c r="B830" s="12"/>
      <c r="C830" s="12" t="s">
        <v>2322</v>
      </c>
      <c r="D830" s="1" t="s">
        <v>1447</v>
      </c>
      <c r="E830" s="15" t="str">
        <f t="shared" si="1"/>
        <v>Aug</v>
      </c>
      <c r="F830" s="13" t="s">
        <v>41</v>
      </c>
      <c r="G830" s="13" t="s">
        <v>2434</v>
      </c>
      <c r="H830" s="13" t="s">
        <v>2639</v>
      </c>
      <c r="I830" s="13" t="s">
        <v>23</v>
      </c>
      <c r="J830" s="13">
        <v>5.0</v>
      </c>
      <c r="K830" s="13" t="s">
        <v>533</v>
      </c>
      <c r="L830" s="13" t="s">
        <v>151</v>
      </c>
      <c r="M830" s="13" t="s">
        <v>71</v>
      </c>
      <c r="N830" s="13" t="s">
        <v>38</v>
      </c>
      <c r="O830" s="14">
        <v>15.28</v>
      </c>
      <c r="P830" s="14">
        <f t="shared" si="2"/>
        <v>76.4</v>
      </c>
      <c r="Q830" s="14">
        <v>14.83</v>
      </c>
    </row>
    <row r="831">
      <c r="A831" s="12">
        <v>43267.0</v>
      </c>
      <c r="B831" s="12"/>
      <c r="C831" s="12" t="s">
        <v>2374</v>
      </c>
      <c r="D831" s="1" t="s">
        <v>1449</v>
      </c>
      <c r="E831" s="15" t="str">
        <f t="shared" si="1"/>
        <v>Jun</v>
      </c>
      <c r="F831" s="13" t="s">
        <v>20</v>
      </c>
      <c r="G831" s="13" t="s">
        <v>2392</v>
      </c>
      <c r="H831" s="13" t="s">
        <v>2393</v>
      </c>
      <c r="I831" s="13" t="s">
        <v>23</v>
      </c>
      <c r="J831" s="13">
        <v>4.0</v>
      </c>
      <c r="K831" s="13" t="s">
        <v>1450</v>
      </c>
      <c r="L831" s="13" t="s">
        <v>25</v>
      </c>
      <c r="M831" s="13" t="s">
        <v>26</v>
      </c>
      <c r="N831" s="13" t="s">
        <v>27</v>
      </c>
      <c r="O831" s="14">
        <v>301.96</v>
      </c>
      <c r="P831" s="14">
        <f t="shared" si="2"/>
        <v>1207.84</v>
      </c>
      <c r="Q831" s="14">
        <v>301.63</v>
      </c>
    </row>
    <row r="832">
      <c r="A832" s="12">
        <v>43267.0</v>
      </c>
      <c r="B832" s="12"/>
      <c r="C832" s="12" t="s">
        <v>2374</v>
      </c>
      <c r="D832" s="1" t="s">
        <v>1449</v>
      </c>
      <c r="E832" s="15" t="str">
        <f t="shared" si="1"/>
        <v>Jun</v>
      </c>
      <c r="F832" s="13" t="s">
        <v>20</v>
      </c>
      <c r="G832" s="13" t="s">
        <v>2392</v>
      </c>
      <c r="H832" s="13" t="s">
        <v>2393</v>
      </c>
      <c r="I832" s="13" t="s">
        <v>23</v>
      </c>
      <c r="J832" s="13">
        <v>4.0</v>
      </c>
      <c r="K832" s="13" t="s">
        <v>1450</v>
      </c>
      <c r="L832" s="13" t="s">
        <v>25</v>
      </c>
      <c r="M832" s="13" t="s">
        <v>26</v>
      </c>
      <c r="N832" s="13" t="s">
        <v>38</v>
      </c>
      <c r="O832" s="14">
        <v>180.66</v>
      </c>
      <c r="P832" s="14">
        <f t="shared" si="2"/>
        <v>722.64</v>
      </c>
      <c r="Q832" s="14">
        <v>180.35</v>
      </c>
    </row>
    <row r="833">
      <c r="A833" s="12">
        <v>43267.0</v>
      </c>
      <c r="B833" s="12"/>
      <c r="C833" s="12" t="s">
        <v>2374</v>
      </c>
      <c r="D833" s="1" t="s">
        <v>1449</v>
      </c>
      <c r="E833" s="15" t="str">
        <f t="shared" si="1"/>
        <v>Jun</v>
      </c>
      <c r="F833" s="13" t="s">
        <v>20</v>
      </c>
      <c r="G833" s="13" t="s">
        <v>2392</v>
      </c>
      <c r="H833" s="13" t="s">
        <v>2393</v>
      </c>
      <c r="I833" s="13" t="s">
        <v>23</v>
      </c>
      <c r="J833" s="13">
        <v>4.0</v>
      </c>
      <c r="K833" s="13" t="s">
        <v>1450</v>
      </c>
      <c r="L833" s="13" t="s">
        <v>25</v>
      </c>
      <c r="M833" s="13" t="s">
        <v>26</v>
      </c>
      <c r="N833" s="13" t="s">
        <v>51</v>
      </c>
      <c r="O833" s="14">
        <v>191.98</v>
      </c>
      <c r="P833" s="14">
        <f t="shared" si="2"/>
        <v>767.92</v>
      </c>
      <c r="Q833" s="14">
        <v>191.97</v>
      </c>
    </row>
    <row r="834">
      <c r="A834" s="12">
        <v>43267.0</v>
      </c>
      <c r="B834" s="12"/>
      <c r="C834" s="12" t="s">
        <v>2374</v>
      </c>
      <c r="D834" s="1" t="s">
        <v>1449</v>
      </c>
      <c r="E834" s="15" t="str">
        <f t="shared" si="1"/>
        <v>Jun</v>
      </c>
      <c r="F834" s="13" t="s">
        <v>20</v>
      </c>
      <c r="G834" s="13" t="s">
        <v>2392</v>
      </c>
      <c r="H834" s="13" t="s">
        <v>2393</v>
      </c>
      <c r="I834" s="13" t="s">
        <v>23</v>
      </c>
      <c r="J834" s="13">
        <v>4.0</v>
      </c>
      <c r="K834" s="13" t="s">
        <v>1450</v>
      </c>
      <c r="L834" s="13" t="s">
        <v>25</v>
      </c>
      <c r="M834" s="13" t="s">
        <v>26</v>
      </c>
      <c r="N834" s="13" t="s">
        <v>51</v>
      </c>
      <c r="O834" s="14">
        <v>65.99</v>
      </c>
      <c r="P834" s="14">
        <f t="shared" si="2"/>
        <v>263.96</v>
      </c>
      <c r="Q834" s="14">
        <v>65.98</v>
      </c>
    </row>
    <row r="835">
      <c r="A835" s="12">
        <v>42939.0</v>
      </c>
      <c r="B835" s="12"/>
      <c r="C835" s="12" t="s">
        <v>2348</v>
      </c>
      <c r="D835" s="1" t="s">
        <v>1452</v>
      </c>
      <c r="E835" s="15" t="str">
        <f t="shared" si="1"/>
        <v>Jul</v>
      </c>
      <c r="F835" s="13" t="s">
        <v>41</v>
      </c>
      <c r="G835" s="13" t="s">
        <v>2475</v>
      </c>
      <c r="H835" s="13" t="s">
        <v>2476</v>
      </c>
      <c r="I835" s="13" t="s">
        <v>34</v>
      </c>
      <c r="J835" s="13">
        <v>3.0</v>
      </c>
      <c r="K835" s="13" t="s">
        <v>522</v>
      </c>
      <c r="L835" s="13" t="s">
        <v>145</v>
      </c>
      <c r="M835" s="13" t="s">
        <v>26</v>
      </c>
      <c r="N835" s="13" t="s">
        <v>38</v>
      </c>
      <c r="O835" s="14">
        <v>35.216</v>
      </c>
      <c r="P835" s="14">
        <f t="shared" si="2"/>
        <v>105.648</v>
      </c>
      <c r="Q835" s="14">
        <v>34.32</v>
      </c>
    </row>
    <row r="836">
      <c r="A836" s="12">
        <v>42939.0</v>
      </c>
      <c r="B836" s="12"/>
      <c r="C836" s="12" t="s">
        <v>2348</v>
      </c>
      <c r="D836" s="1" t="s">
        <v>1452</v>
      </c>
      <c r="E836" s="15" t="str">
        <f t="shared" si="1"/>
        <v>Jul</v>
      </c>
      <c r="F836" s="13" t="s">
        <v>41</v>
      </c>
      <c r="G836" s="13" t="s">
        <v>2475</v>
      </c>
      <c r="H836" s="13" t="s">
        <v>2476</v>
      </c>
      <c r="I836" s="13" t="s">
        <v>34</v>
      </c>
      <c r="J836" s="13">
        <v>3.0</v>
      </c>
      <c r="K836" s="13" t="s">
        <v>522</v>
      </c>
      <c r="L836" s="13" t="s">
        <v>145</v>
      </c>
      <c r="M836" s="13" t="s">
        <v>26</v>
      </c>
      <c r="N836" s="13" t="s">
        <v>38</v>
      </c>
      <c r="O836" s="14">
        <v>23.696</v>
      </c>
      <c r="P836" s="14">
        <f t="shared" si="2"/>
        <v>71.088</v>
      </c>
      <c r="Q836" s="14">
        <v>23.08</v>
      </c>
    </row>
    <row r="837">
      <c r="A837" s="12">
        <v>42939.0</v>
      </c>
      <c r="B837" s="12"/>
      <c r="C837" s="12" t="s">
        <v>2348</v>
      </c>
      <c r="D837" s="1" t="s">
        <v>1452</v>
      </c>
      <c r="E837" s="15" t="str">
        <f t="shared" si="1"/>
        <v>Jul</v>
      </c>
      <c r="F837" s="13" t="s">
        <v>41</v>
      </c>
      <c r="G837" s="13" t="s">
        <v>2475</v>
      </c>
      <c r="H837" s="13" t="s">
        <v>2476</v>
      </c>
      <c r="I837" s="13" t="s">
        <v>34</v>
      </c>
      <c r="J837" s="13">
        <v>3.0</v>
      </c>
      <c r="K837" s="13" t="s">
        <v>522</v>
      </c>
      <c r="L837" s="13" t="s">
        <v>145</v>
      </c>
      <c r="M837" s="13" t="s">
        <v>26</v>
      </c>
      <c r="N837" s="13" t="s">
        <v>51</v>
      </c>
      <c r="O837" s="14">
        <v>265.475</v>
      </c>
      <c r="P837" s="14">
        <f t="shared" si="2"/>
        <v>796.425</v>
      </c>
      <c r="Q837" s="14">
        <v>265.15</v>
      </c>
    </row>
    <row r="838">
      <c r="A838" s="12">
        <v>42225.0</v>
      </c>
      <c r="B838" s="12"/>
      <c r="C838" s="12" t="s">
        <v>2322</v>
      </c>
      <c r="D838" s="1" t="s">
        <v>832</v>
      </c>
      <c r="E838" s="15" t="str">
        <f t="shared" si="1"/>
        <v>Sep</v>
      </c>
      <c r="F838" s="13" t="s">
        <v>20</v>
      </c>
      <c r="G838" s="13" t="s">
        <v>2773</v>
      </c>
      <c r="H838" s="13" t="s">
        <v>2774</v>
      </c>
      <c r="I838" s="13" t="s">
        <v>23</v>
      </c>
      <c r="J838" s="13">
        <v>7.0</v>
      </c>
      <c r="K838" s="13" t="s">
        <v>1230</v>
      </c>
      <c r="L838" s="13" t="s">
        <v>70</v>
      </c>
      <c r="M838" s="13" t="s">
        <v>71</v>
      </c>
      <c r="N838" s="13" t="s">
        <v>38</v>
      </c>
      <c r="O838" s="14">
        <v>51.184</v>
      </c>
      <c r="P838" s="14">
        <f t="shared" si="2"/>
        <v>358.288</v>
      </c>
      <c r="Q838" s="14">
        <v>51.02</v>
      </c>
    </row>
    <row r="839">
      <c r="A839" s="12">
        <v>43201.0</v>
      </c>
      <c r="B839" s="12"/>
      <c r="C839" s="12" t="s">
        <v>2332</v>
      </c>
      <c r="D839" s="5">
        <v>43415.0</v>
      </c>
      <c r="E839" s="15" t="str">
        <f t="shared" si="1"/>
        <v>Nov</v>
      </c>
      <c r="F839" s="13" t="s">
        <v>41</v>
      </c>
      <c r="G839" s="13" t="s">
        <v>2797</v>
      </c>
      <c r="H839" s="13" t="s">
        <v>2798</v>
      </c>
      <c r="I839" s="13" t="s">
        <v>68</v>
      </c>
      <c r="J839" s="13">
        <v>3.0</v>
      </c>
      <c r="K839" s="13" t="s">
        <v>235</v>
      </c>
      <c r="L839" s="13" t="s">
        <v>210</v>
      </c>
      <c r="M839" s="13" t="s">
        <v>26</v>
      </c>
      <c r="N839" s="13" t="s">
        <v>38</v>
      </c>
      <c r="O839" s="14">
        <v>9.664</v>
      </c>
      <c r="P839" s="14">
        <f t="shared" si="2"/>
        <v>28.992</v>
      </c>
      <c r="Q839" s="14">
        <v>9.37</v>
      </c>
    </row>
    <row r="840">
      <c r="A840" s="12">
        <v>42919.0</v>
      </c>
      <c r="B840" s="12"/>
      <c r="C840" s="12" t="s">
        <v>2348</v>
      </c>
      <c r="D840" s="6">
        <v>43072.0</v>
      </c>
      <c r="E840" s="15" t="str">
        <f t="shared" si="1"/>
        <v>Dec</v>
      </c>
      <c r="F840" s="13" t="s">
        <v>41</v>
      </c>
      <c r="G840" s="13" t="s">
        <v>2626</v>
      </c>
      <c r="H840" s="13" t="s">
        <v>2476</v>
      </c>
      <c r="I840" s="13" t="s">
        <v>34</v>
      </c>
      <c r="J840" s="13">
        <v>7.0</v>
      </c>
      <c r="K840" s="13" t="s">
        <v>69</v>
      </c>
      <c r="L840" s="13" t="s">
        <v>70</v>
      </c>
      <c r="M840" s="13" t="s">
        <v>71</v>
      </c>
      <c r="N840" s="13" t="s">
        <v>51</v>
      </c>
      <c r="O840" s="14">
        <v>21.072</v>
      </c>
      <c r="P840" s="14">
        <f t="shared" si="2"/>
        <v>147.504</v>
      </c>
      <c r="Q840" s="14">
        <v>20.89</v>
      </c>
    </row>
    <row r="841">
      <c r="A841" s="12">
        <v>42694.0</v>
      </c>
      <c r="B841" s="12"/>
      <c r="C841" s="12" t="s">
        <v>2326</v>
      </c>
      <c r="D841" s="1" t="s">
        <v>1459</v>
      </c>
      <c r="E841" s="15" t="str">
        <f t="shared" si="1"/>
        <v>Nov</v>
      </c>
      <c r="F841" s="13" t="s">
        <v>41</v>
      </c>
      <c r="G841" s="13" t="s">
        <v>2655</v>
      </c>
      <c r="H841" s="13" t="s">
        <v>2799</v>
      </c>
      <c r="I841" s="13" t="s">
        <v>34</v>
      </c>
      <c r="J841" s="13">
        <v>1.0</v>
      </c>
      <c r="K841" s="13" t="s">
        <v>174</v>
      </c>
      <c r="L841" s="13" t="s">
        <v>175</v>
      </c>
      <c r="M841" s="13" t="s">
        <v>100</v>
      </c>
      <c r="N841" s="13" t="s">
        <v>38</v>
      </c>
      <c r="O841" s="14">
        <v>60.45</v>
      </c>
      <c r="P841" s="14">
        <f t="shared" si="2"/>
        <v>60.45</v>
      </c>
      <c r="Q841" s="14">
        <v>60.25</v>
      </c>
    </row>
    <row r="842">
      <c r="A842" s="12">
        <v>42694.0</v>
      </c>
      <c r="B842" s="12"/>
      <c r="C842" s="12" t="s">
        <v>2326</v>
      </c>
      <c r="D842" s="1" t="s">
        <v>1459</v>
      </c>
      <c r="E842" s="15" t="str">
        <f t="shared" si="1"/>
        <v>Nov</v>
      </c>
      <c r="F842" s="13" t="s">
        <v>41</v>
      </c>
      <c r="G842" s="13" t="s">
        <v>2655</v>
      </c>
      <c r="H842" s="13" t="s">
        <v>2799</v>
      </c>
      <c r="I842" s="13" t="s">
        <v>34</v>
      </c>
      <c r="J842" s="13">
        <v>1.0</v>
      </c>
      <c r="K842" s="13" t="s">
        <v>174</v>
      </c>
      <c r="L842" s="13" t="s">
        <v>175</v>
      </c>
      <c r="M842" s="13" t="s">
        <v>100</v>
      </c>
      <c r="N842" s="13" t="s">
        <v>38</v>
      </c>
      <c r="O842" s="14">
        <v>11.52</v>
      </c>
      <c r="P842" s="14">
        <f t="shared" si="2"/>
        <v>11.52</v>
      </c>
      <c r="Q842" s="14">
        <v>11.19</v>
      </c>
    </row>
    <row r="843">
      <c r="A843" s="12">
        <v>42694.0</v>
      </c>
      <c r="B843" s="12"/>
      <c r="C843" s="12" t="s">
        <v>2326</v>
      </c>
      <c r="D843" s="1" t="s">
        <v>1459</v>
      </c>
      <c r="E843" s="15" t="str">
        <f t="shared" si="1"/>
        <v>Nov</v>
      </c>
      <c r="F843" s="13" t="s">
        <v>41</v>
      </c>
      <c r="G843" s="13" t="s">
        <v>2655</v>
      </c>
      <c r="H843" s="13" t="s">
        <v>2799</v>
      </c>
      <c r="I843" s="13" t="s">
        <v>34</v>
      </c>
      <c r="J843" s="13">
        <v>1.0</v>
      </c>
      <c r="K843" s="13" t="s">
        <v>174</v>
      </c>
      <c r="L843" s="13" t="s">
        <v>175</v>
      </c>
      <c r="M843" s="13" t="s">
        <v>100</v>
      </c>
      <c r="N843" s="13" t="s">
        <v>27</v>
      </c>
      <c r="O843" s="14">
        <v>186.048</v>
      </c>
      <c r="P843" s="14">
        <f t="shared" si="2"/>
        <v>186.048</v>
      </c>
      <c r="Q843" s="14">
        <v>185.91</v>
      </c>
    </row>
    <row r="844">
      <c r="A844" s="12">
        <v>42927.0</v>
      </c>
      <c r="B844" s="12"/>
      <c r="C844" s="12" t="s">
        <v>2348</v>
      </c>
      <c r="D844" s="6">
        <v>42989.0</v>
      </c>
      <c r="E844" s="15" t="str">
        <f t="shared" si="1"/>
        <v>Sep</v>
      </c>
      <c r="F844" s="13" t="s">
        <v>121</v>
      </c>
      <c r="G844" s="13" t="s">
        <v>2800</v>
      </c>
      <c r="H844" s="13" t="s">
        <v>2423</v>
      </c>
      <c r="I844" s="13" t="s">
        <v>34</v>
      </c>
      <c r="J844" s="13">
        <v>9.0</v>
      </c>
      <c r="K844" s="13" t="s">
        <v>35</v>
      </c>
      <c r="L844" s="13" t="s">
        <v>52</v>
      </c>
      <c r="M844" s="13" t="s">
        <v>37</v>
      </c>
      <c r="N844" s="13" t="s">
        <v>38</v>
      </c>
      <c r="O844" s="14">
        <v>37.44</v>
      </c>
      <c r="P844" s="14">
        <f t="shared" si="2"/>
        <v>336.96</v>
      </c>
      <c r="Q844" s="14">
        <v>37.17</v>
      </c>
    </row>
    <row r="845">
      <c r="A845" s="12">
        <v>42927.0</v>
      </c>
      <c r="B845" s="12"/>
      <c r="C845" s="12" t="s">
        <v>2348</v>
      </c>
      <c r="D845" s="6">
        <v>42989.0</v>
      </c>
      <c r="E845" s="15" t="str">
        <f t="shared" si="1"/>
        <v>Sep</v>
      </c>
      <c r="F845" s="13" t="s">
        <v>121</v>
      </c>
      <c r="G845" s="13" t="s">
        <v>2800</v>
      </c>
      <c r="H845" s="13" t="s">
        <v>2423</v>
      </c>
      <c r="I845" s="13" t="s">
        <v>34</v>
      </c>
      <c r="J845" s="13">
        <v>9.0</v>
      </c>
      <c r="K845" s="13" t="s">
        <v>35</v>
      </c>
      <c r="L845" s="13" t="s">
        <v>52</v>
      </c>
      <c r="M845" s="13" t="s">
        <v>37</v>
      </c>
      <c r="N845" s="13" t="s">
        <v>38</v>
      </c>
      <c r="O845" s="14">
        <v>26.976</v>
      </c>
      <c r="P845" s="14">
        <f t="shared" si="2"/>
        <v>242.784</v>
      </c>
      <c r="Q845" s="14">
        <v>26.22</v>
      </c>
    </row>
    <row r="846">
      <c r="A846" s="12">
        <v>42927.0</v>
      </c>
      <c r="B846" s="12"/>
      <c r="C846" s="12" t="s">
        <v>2348</v>
      </c>
      <c r="D846" s="6">
        <v>42989.0</v>
      </c>
      <c r="E846" s="15" t="str">
        <f t="shared" si="1"/>
        <v>Sep</v>
      </c>
      <c r="F846" s="13" t="s">
        <v>121</v>
      </c>
      <c r="G846" s="13" t="s">
        <v>2800</v>
      </c>
      <c r="H846" s="13" t="s">
        <v>2423</v>
      </c>
      <c r="I846" s="13" t="s">
        <v>34</v>
      </c>
      <c r="J846" s="13">
        <v>9.0</v>
      </c>
      <c r="K846" s="13" t="s">
        <v>35</v>
      </c>
      <c r="L846" s="13" t="s">
        <v>52</v>
      </c>
      <c r="M846" s="13" t="s">
        <v>37</v>
      </c>
      <c r="N846" s="13" t="s">
        <v>38</v>
      </c>
      <c r="O846" s="14">
        <v>11.36</v>
      </c>
      <c r="P846" s="14">
        <f t="shared" si="2"/>
        <v>102.24</v>
      </c>
      <c r="Q846" s="14">
        <v>11.28</v>
      </c>
    </row>
    <row r="847">
      <c r="A847" s="12">
        <v>42927.0</v>
      </c>
      <c r="B847" s="12"/>
      <c r="C847" s="12" t="s">
        <v>2348</v>
      </c>
      <c r="D847" s="6">
        <v>42989.0</v>
      </c>
      <c r="E847" s="15" t="str">
        <f t="shared" si="1"/>
        <v>Sep</v>
      </c>
      <c r="F847" s="13" t="s">
        <v>121</v>
      </c>
      <c r="G847" s="13" t="s">
        <v>2800</v>
      </c>
      <c r="H847" s="13" t="s">
        <v>2423</v>
      </c>
      <c r="I847" s="13" t="s">
        <v>34</v>
      </c>
      <c r="J847" s="13">
        <v>9.0</v>
      </c>
      <c r="K847" s="13" t="s">
        <v>35</v>
      </c>
      <c r="L847" s="13" t="s">
        <v>52</v>
      </c>
      <c r="M847" s="13" t="s">
        <v>37</v>
      </c>
      <c r="N847" s="13" t="s">
        <v>38</v>
      </c>
      <c r="O847" s="14">
        <v>14.62</v>
      </c>
      <c r="P847" s="14">
        <f t="shared" si="2"/>
        <v>131.58</v>
      </c>
      <c r="Q847" s="14">
        <v>14.55</v>
      </c>
    </row>
    <row r="848">
      <c r="A848" s="12">
        <v>42656.0</v>
      </c>
      <c r="B848" s="12"/>
      <c r="C848" s="12" t="s">
        <v>2358</v>
      </c>
      <c r="D848" s="1" t="s">
        <v>1466</v>
      </c>
      <c r="E848" s="15" t="str">
        <f t="shared" si="1"/>
        <v>Oct</v>
      </c>
      <c r="F848" s="13" t="s">
        <v>41</v>
      </c>
      <c r="G848" s="13" t="s">
        <v>2801</v>
      </c>
      <c r="H848" s="13" t="s">
        <v>2605</v>
      </c>
      <c r="I848" s="13" t="s">
        <v>23</v>
      </c>
      <c r="J848" s="13">
        <v>4.0</v>
      </c>
      <c r="K848" s="13" t="s">
        <v>818</v>
      </c>
      <c r="L848" s="13" t="s">
        <v>25</v>
      </c>
      <c r="M848" s="13" t="s">
        <v>26</v>
      </c>
      <c r="N848" s="13" t="s">
        <v>51</v>
      </c>
      <c r="O848" s="14">
        <v>83.72</v>
      </c>
      <c r="P848" s="14">
        <f t="shared" si="2"/>
        <v>334.88</v>
      </c>
      <c r="Q848" s="14">
        <v>83.34</v>
      </c>
    </row>
    <row r="849">
      <c r="A849" s="12">
        <v>42656.0</v>
      </c>
      <c r="B849" s="12"/>
      <c r="C849" s="12" t="s">
        <v>2358</v>
      </c>
      <c r="D849" s="1" t="s">
        <v>1466</v>
      </c>
      <c r="E849" s="15" t="str">
        <f t="shared" si="1"/>
        <v>Oct</v>
      </c>
      <c r="F849" s="13" t="s">
        <v>41</v>
      </c>
      <c r="G849" s="13" t="s">
        <v>2801</v>
      </c>
      <c r="H849" s="13" t="s">
        <v>2605</v>
      </c>
      <c r="I849" s="13" t="s">
        <v>23</v>
      </c>
      <c r="J849" s="13">
        <v>4.0</v>
      </c>
      <c r="K849" s="13" t="s">
        <v>818</v>
      </c>
      <c r="L849" s="13" t="s">
        <v>25</v>
      </c>
      <c r="M849" s="13" t="s">
        <v>26</v>
      </c>
      <c r="N849" s="13" t="s">
        <v>27</v>
      </c>
      <c r="O849" s="14">
        <v>287.94</v>
      </c>
      <c r="P849" s="14">
        <f t="shared" si="2"/>
        <v>1151.76</v>
      </c>
      <c r="Q849" s="14">
        <v>286.99</v>
      </c>
    </row>
    <row r="850">
      <c r="A850" s="12">
        <v>43101.0</v>
      </c>
      <c r="B850" s="12"/>
      <c r="C850" s="12" t="s">
        <v>2353</v>
      </c>
      <c r="D850" s="6">
        <v>43252.0</v>
      </c>
      <c r="E850" s="15" t="str">
        <f t="shared" si="1"/>
        <v>Jun</v>
      </c>
      <c r="F850" s="13" t="s">
        <v>41</v>
      </c>
      <c r="G850" s="13" t="s">
        <v>2576</v>
      </c>
      <c r="H850" s="13" t="s">
        <v>2424</v>
      </c>
      <c r="I850" s="13" t="s">
        <v>23</v>
      </c>
      <c r="J850" s="13">
        <v>4.0</v>
      </c>
      <c r="K850" s="13" t="s">
        <v>1472</v>
      </c>
      <c r="L850" s="13" t="s">
        <v>304</v>
      </c>
      <c r="M850" s="13" t="s">
        <v>100</v>
      </c>
      <c r="N850" s="13" t="s">
        <v>27</v>
      </c>
      <c r="O850" s="14">
        <v>48.896</v>
      </c>
      <c r="P850" s="14">
        <f t="shared" si="2"/>
        <v>195.584</v>
      </c>
      <c r="Q850" s="14">
        <v>48.39</v>
      </c>
    </row>
    <row r="851">
      <c r="A851" s="12">
        <v>42187.0</v>
      </c>
      <c r="B851" s="12"/>
      <c r="C851" s="12" t="s">
        <v>2348</v>
      </c>
      <c r="D851" s="6">
        <v>42340.0</v>
      </c>
      <c r="E851" s="15" t="str">
        <f t="shared" si="1"/>
        <v>Dec</v>
      </c>
      <c r="F851" s="13" t="s">
        <v>41</v>
      </c>
      <c r="G851" s="13" t="s">
        <v>2802</v>
      </c>
      <c r="H851" s="13" t="s">
        <v>2803</v>
      </c>
      <c r="I851" s="13" t="s">
        <v>34</v>
      </c>
      <c r="J851" s="13">
        <v>7.0</v>
      </c>
      <c r="K851" s="13" t="s">
        <v>1476</v>
      </c>
      <c r="L851" s="13" t="s">
        <v>462</v>
      </c>
      <c r="M851" s="13" t="s">
        <v>100</v>
      </c>
      <c r="N851" s="13" t="s">
        <v>51</v>
      </c>
      <c r="O851" s="14">
        <v>115.36</v>
      </c>
      <c r="P851" s="14">
        <f t="shared" si="2"/>
        <v>807.52</v>
      </c>
      <c r="Q851" s="14">
        <v>114.77</v>
      </c>
    </row>
    <row r="852">
      <c r="A852" s="12">
        <v>42906.0</v>
      </c>
      <c r="B852" s="12"/>
      <c r="C852" s="12" t="s">
        <v>2374</v>
      </c>
      <c r="D852" s="1" t="s">
        <v>159</v>
      </c>
      <c r="E852" s="15" t="str">
        <f t="shared" si="1"/>
        <v>Jun</v>
      </c>
      <c r="F852" s="13" t="s">
        <v>20</v>
      </c>
      <c r="G852" s="13" t="s">
        <v>2432</v>
      </c>
      <c r="H852" s="13" t="s">
        <v>2804</v>
      </c>
      <c r="I852" s="13" t="s">
        <v>34</v>
      </c>
      <c r="J852" s="13">
        <v>9.0</v>
      </c>
      <c r="K852" s="13" t="s">
        <v>1480</v>
      </c>
      <c r="L852" s="13" t="s">
        <v>52</v>
      </c>
      <c r="M852" s="13" t="s">
        <v>37</v>
      </c>
      <c r="N852" s="13" t="s">
        <v>38</v>
      </c>
      <c r="O852" s="14">
        <v>5.16</v>
      </c>
      <c r="P852" s="14">
        <f t="shared" si="2"/>
        <v>46.44</v>
      </c>
      <c r="Q852" s="14">
        <v>5.02</v>
      </c>
    </row>
    <row r="853">
      <c r="A853" s="12">
        <v>42906.0</v>
      </c>
      <c r="B853" s="12"/>
      <c r="C853" s="12" t="s">
        <v>2374</v>
      </c>
      <c r="D853" s="1" t="s">
        <v>159</v>
      </c>
      <c r="E853" s="15" t="str">
        <f t="shared" si="1"/>
        <v>Jun</v>
      </c>
      <c r="F853" s="13" t="s">
        <v>20</v>
      </c>
      <c r="G853" s="13" t="s">
        <v>2432</v>
      </c>
      <c r="H853" s="13" t="s">
        <v>2804</v>
      </c>
      <c r="I853" s="13" t="s">
        <v>34</v>
      </c>
      <c r="J853" s="13">
        <v>9.0</v>
      </c>
      <c r="K853" s="13" t="s">
        <v>1480</v>
      </c>
      <c r="L853" s="13" t="s">
        <v>52</v>
      </c>
      <c r="M853" s="13" t="s">
        <v>37</v>
      </c>
      <c r="N853" s="13" t="s">
        <v>38</v>
      </c>
      <c r="O853" s="14">
        <v>38.88</v>
      </c>
      <c r="P853" s="14">
        <f t="shared" si="2"/>
        <v>349.92</v>
      </c>
      <c r="Q853" s="14">
        <v>38.86</v>
      </c>
    </row>
    <row r="854">
      <c r="A854" s="12">
        <v>42883.0</v>
      </c>
      <c r="B854" s="12"/>
      <c r="C854" s="12" t="s">
        <v>2335</v>
      </c>
      <c r="D854" s="6">
        <v>42831.0</v>
      </c>
      <c r="E854" s="15" t="str">
        <f t="shared" si="1"/>
        <v>Apr</v>
      </c>
      <c r="F854" s="13" t="s">
        <v>41</v>
      </c>
      <c r="G854" s="13" t="s">
        <v>2493</v>
      </c>
      <c r="H854" s="13" t="s">
        <v>2439</v>
      </c>
      <c r="I854" s="13" t="s">
        <v>23</v>
      </c>
      <c r="J854" s="13">
        <v>3.0</v>
      </c>
      <c r="K854" s="13" t="s">
        <v>205</v>
      </c>
      <c r="L854" s="13" t="s">
        <v>827</v>
      </c>
      <c r="M854" s="13" t="s">
        <v>26</v>
      </c>
      <c r="N854" s="13" t="s">
        <v>38</v>
      </c>
      <c r="O854" s="14">
        <v>185.88</v>
      </c>
      <c r="P854" s="14">
        <f t="shared" si="2"/>
        <v>557.64</v>
      </c>
      <c r="Q854" s="14">
        <v>185.07</v>
      </c>
    </row>
    <row r="855">
      <c r="A855" s="12">
        <v>42785.0</v>
      </c>
      <c r="B855" s="12"/>
      <c r="C855" s="12" t="s">
        <v>2431</v>
      </c>
      <c r="D855" s="1" t="s">
        <v>1483</v>
      </c>
      <c r="E855" s="15" t="str">
        <f t="shared" si="1"/>
        <v>Feb</v>
      </c>
      <c r="F855" s="13" t="s">
        <v>41</v>
      </c>
      <c r="G855" s="13" t="s">
        <v>2434</v>
      </c>
      <c r="H855" s="13" t="s">
        <v>2639</v>
      </c>
      <c r="I855" s="13" t="s">
        <v>23</v>
      </c>
      <c r="J855" s="13">
        <v>1.0</v>
      </c>
      <c r="K855" s="13" t="s">
        <v>174</v>
      </c>
      <c r="L855" s="13" t="s">
        <v>175</v>
      </c>
      <c r="M855" s="13" t="s">
        <v>100</v>
      </c>
      <c r="N855" s="13" t="s">
        <v>27</v>
      </c>
      <c r="O855" s="14">
        <v>44.46</v>
      </c>
      <c r="P855" s="14">
        <f t="shared" si="2"/>
        <v>44.46</v>
      </c>
      <c r="Q855" s="14">
        <v>44.26</v>
      </c>
    </row>
    <row r="856">
      <c r="A856" s="12">
        <v>42785.0</v>
      </c>
      <c r="B856" s="12"/>
      <c r="C856" s="12" t="s">
        <v>2431</v>
      </c>
      <c r="D856" s="1" t="s">
        <v>1483</v>
      </c>
      <c r="E856" s="15" t="str">
        <f t="shared" si="1"/>
        <v>Feb</v>
      </c>
      <c r="F856" s="13" t="s">
        <v>41</v>
      </c>
      <c r="G856" s="13" t="s">
        <v>2434</v>
      </c>
      <c r="H856" s="13" t="s">
        <v>2639</v>
      </c>
      <c r="I856" s="13" t="s">
        <v>23</v>
      </c>
      <c r="J856" s="13">
        <v>1.0</v>
      </c>
      <c r="K856" s="13" t="s">
        <v>174</v>
      </c>
      <c r="L856" s="13" t="s">
        <v>175</v>
      </c>
      <c r="M856" s="13" t="s">
        <v>100</v>
      </c>
      <c r="N856" s="13" t="s">
        <v>38</v>
      </c>
      <c r="O856" s="14">
        <v>242.94</v>
      </c>
      <c r="P856" s="14">
        <f t="shared" si="2"/>
        <v>242.94</v>
      </c>
      <c r="Q856" s="14">
        <v>242.33</v>
      </c>
    </row>
    <row r="857">
      <c r="A857" s="12">
        <v>42071.0</v>
      </c>
      <c r="B857" s="12"/>
      <c r="C857" s="12" t="s">
        <v>2399</v>
      </c>
      <c r="D857" s="6">
        <v>42224.0</v>
      </c>
      <c r="E857" s="15" t="str">
        <f t="shared" si="1"/>
        <v>Aug</v>
      </c>
      <c r="F857" s="13" t="s">
        <v>41</v>
      </c>
      <c r="G857" s="13" t="s">
        <v>2805</v>
      </c>
      <c r="H857" s="13" t="s">
        <v>2806</v>
      </c>
      <c r="I857" s="13" t="s">
        <v>23</v>
      </c>
      <c r="J857" s="13">
        <v>1.0</v>
      </c>
      <c r="K857" s="13" t="s">
        <v>174</v>
      </c>
      <c r="L857" s="13" t="s">
        <v>175</v>
      </c>
      <c r="M857" s="13" t="s">
        <v>100</v>
      </c>
      <c r="N857" s="13" t="s">
        <v>38</v>
      </c>
      <c r="O857" s="14">
        <v>39.96</v>
      </c>
      <c r="P857" s="14">
        <f t="shared" si="2"/>
        <v>39.96</v>
      </c>
      <c r="Q857" s="14">
        <v>39.21</v>
      </c>
    </row>
    <row r="858">
      <c r="A858" s="12">
        <v>42071.0</v>
      </c>
      <c r="B858" s="12"/>
      <c r="C858" s="12" t="s">
        <v>2399</v>
      </c>
      <c r="D858" s="6">
        <v>42224.0</v>
      </c>
      <c r="E858" s="15" t="str">
        <f t="shared" si="1"/>
        <v>Aug</v>
      </c>
      <c r="F858" s="13" t="s">
        <v>41</v>
      </c>
      <c r="G858" s="13" t="s">
        <v>2805</v>
      </c>
      <c r="H858" s="13" t="s">
        <v>2806</v>
      </c>
      <c r="I858" s="13" t="s">
        <v>23</v>
      </c>
      <c r="J858" s="13">
        <v>1.0</v>
      </c>
      <c r="K858" s="13" t="s">
        <v>174</v>
      </c>
      <c r="L858" s="13" t="s">
        <v>175</v>
      </c>
      <c r="M858" s="13" t="s">
        <v>100</v>
      </c>
      <c r="N858" s="13" t="s">
        <v>38</v>
      </c>
      <c r="O858" s="14">
        <v>102.3</v>
      </c>
      <c r="P858" s="14">
        <f t="shared" si="2"/>
        <v>102.3</v>
      </c>
      <c r="Q858" s="14">
        <v>102.1</v>
      </c>
    </row>
    <row r="859">
      <c r="A859" s="12">
        <v>42071.0</v>
      </c>
      <c r="B859" s="12"/>
      <c r="C859" s="12" t="s">
        <v>2399</v>
      </c>
      <c r="D859" s="6">
        <v>42224.0</v>
      </c>
      <c r="E859" s="15" t="str">
        <f t="shared" si="1"/>
        <v>Aug</v>
      </c>
      <c r="F859" s="13" t="s">
        <v>41</v>
      </c>
      <c r="G859" s="13" t="s">
        <v>2805</v>
      </c>
      <c r="H859" s="13" t="s">
        <v>2806</v>
      </c>
      <c r="I859" s="13" t="s">
        <v>23</v>
      </c>
      <c r="J859" s="13">
        <v>1.0</v>
      </c>
      <c r="K859" s="13" t="s">
        <v>174</v>
      </c>
      <c r="L859" s="13" t="s">
        <v>175</v>
      </c>
      <c r="M859" s="13" t="s">
        <v>100</v>
      </c>
      <c r="N859" s="13" t="s">
        <v>38</v>
      </c>
      <c r="O859" s="14">
        <v>21.36</v>
      </c>
      <c r="P859" s="14">
        <f t="shared" si="2"/>
        <v>21.36</v>
      </c>
      <c r="Q859" s="14">
        <v>20.84</v>
      </c>
    </row>
    <row r="860">
      <c r="A860" s="12">
        <v>43377.0</v>
      </c>
      <c r="B860" s="12"/>
      <c r="C860" s="12" t="s">
        <v>2358</v>
      </c>
      <c r="D860" s="1" t="s">
        <v>1488</v>
      </c>
      <c r="E860" s="15" t="str">
        <f t="shared" si="1"/>
        <v>Apr</v>
      </c>
      <c r="F860" s="13" t="s">
        <v>41</v>
      </c>
      <c r="G860" s="13" t="s">
        <v>2627</v>
      </c>
      <c r="H860" s="13" t="s">
        <v>2738</v>
      </c>
      <c r="I860" s="13" t="s">
        <v>68</v>
      </c>
      <c r="J860" s="13">
        <v>8.0</v>
      </c>
      <c r="K860" s="13" t="s">
        <v>1491</v>
      </c>
      <c r="L860" s="13" t="s">
        <v>462</v>
      </c>
      <c r="M860" s="13" t="s">
        <v>100</v>
      </c>
      <c r="N860" s="13" t="s">
        <v>38</v>
      </c>
      <c r="O860" s="14">
        <v>7.61</v>
      </c>
      <c r="P860" s="14">
        <f t="shared" si="2"/>
        <v>60.88</v>
      </c>
      <c r="Q860" s="14">
        <v>7.6</v>
      </c>
    </row>
    <row r="861">
      <c r="A861" s="12">
        <v>43377.0</v>
      </c>
      <c r="B861" s="12"/>
      <c r="C861" s="12" t="s">
        <v>2358</v>
      </c>
      <c r="D861" s="1" t="s">
        <v>1488</v>
      </c>
      <c r="E861" s="15" t="str">
        <f t="shared" si="1"/>
        <v>Apr</v>
      </c>
      <c r="F861" s="13" t="s">
        <v>41</v>
      </c>
      <c r="G861" s="13" t="s">
        <v>2627</v>
      </c>
      <c r="H861" s="13" t="s">
        <v>2738</v>
      </c>
      <c r="I861" s="13" t="s">
        <v>68</v>
      </c>
      <c r="J861" s="13">
        <v>8.0</v>
      </c>
      <c r="K861" s="13" t="s">
        <v>1491</v>
      </c>
      <c r="L861" s="13" t="s">
        <v>462</v>
      </c>
      <c r="M861" s="13" t="s">
        <v>100</v>
      </c>
      <c r="N861" s="13" t="s">
        <v>38</v>
      </c>
      <c r="O861" s="14">
        <v>7.16</v>
      </c>
      <c r="P861" s="14">
        <f t="shared" si="2"/>
        <v>57.28</v>
      </c>
      <c r="Q861" s="14">
        <v>6.82</v>
      </c>
    </row>
    <row r="862">
      <c r="A862" s="12">
        <v>42253.0</v>
      </c>
      <c r="B862" s="12"/>
      <c r="C862" s="12" t="s">
        <v>2329</v>
      </c>
      <c r="D862" s="1" t="s">
        <v>1493</v>
      </c>
      <c r="E862" s="15" t="str">
        <f t="shared" si="1"/>
        <v>Jun</v>
      </c>
      <c r="F862" s="13" t="s">
        <v>41</v>
      </c>
      <c r="G862" s="13" t="s">
        <v>2721</v>
      </c>
      <c r="H862" s="13" t="s">
        <v>2807</v>
      </c>
      <c r="I862" s="13" t="s">
        <v>23</v>
      </c>
      <c r="J862" s="13">
        <v>9.0</v>
      </c>
      <c r="K862" s="13" t="s">
        <v>87</v>
      </c>
      <c r="L862" s="13" t="s">
        <v>52</v>
      </c>
      <c r="M862" s="13" t="s">
        <v>37</v>
      </c>
      <c r="N862" s="13" t="s">
        <v>38</v>
      </c>
      <c r="O862" s="14">
        <v>7.36</v>
      </c>
      <c r="P862" s="14">
        <f t="shared" si="2"/>
        <v>66.24</v>
      </c>
      <c r="Q862" s="14">
        <v>6.7</v>
      </c>
    </row>
    <row r="863">
      <c r="A863" s="12">
        <v>42253.0</v>
      </c>
      <c r="B863" s="12"/>
      <c r="C863" s="12" t="s">
        <v>2329</v>
      </c>
      <c r="D863" s="1" t="s">
        <v>1493</v>
      </c>
      <c r="E863" s="15" t="str">
        <f t="shared" si="1"/>
        <v>Jun</v>
      </c>
      <c r="F863" s="13" t="s">
        <v>41</v>
      </c>
      <c r="G863" s="13" t="s">
        <v>2721</v>
      </c>
      <c r="H863" s="13" t="s">
        <v>2807</v>
      </c>
      <c r="I863" s="13" t="s">
        <v>23</v>
      </c>
      <c r="J863" s="13">
        <v>9.0</v>
      </c>
      <c r="K863" s="13" t="s">
        <v>87</v>
      </c>
      <c r="L863" s="13" t="s">
        <v>52</v>
      </c>
      <c r="M863" s="13" t="s">
        <v>37</v>
      </c>
      <c r="N863" s="13" t="s">
        <v>38</v>
      </c>
      <c r="O863" s="14">
        <v>23.1</v>
      </c>
      <c r="P863" s="14">
        <f t="shared" si="2"/>
        <v>207.9</v>
      </c>
      <c r="Q863" s="14">
        <v>22.15</v>
      </c>
    </row>
    <row r="864">
      <c r="A864" s="12">
        <v>42856.0</v>
      </c>
      <c r="B864" s="12"/>
      <c r="C864" s="12" t="s">
        <v>2335</v>
      </c>
      <c r="D864" s="6">
        <v>42917.0</v>
      </c>
      <c r="E864" s="15" t="str">
        <f t="shared" si="1"/>
        <v>Jul</v>
      </c>
      <c r="F864" s="13" t="s">
        <v>20</v>
      </c>
      <c r="G864" s="13" t="s">
        <v>2723</v>
      </c>
      <c r="H864" s="13" t="s">
        <v>2777</v>
      </c>
      <c r="I864" s="13" t="s">
        <v>34</v>
      </c>
      <c r="J864" s="13">
        <v>3.0</v>
      </c>
      <c r="K864" s="13" t="s">
        <v>849</v>
      </c>
      <c r="L864" s="13" t="s">
        <v>145</v>
      </c>
      <c r="M864" s="13" t="s">
        <v>26</v>
      </c>
      <c r="N864" s="13" t="s">
        <v>51</v>
      </c>
      <c r="O864" s="14">
        <v>191.472</v>
      </c>
      <c r="P864" s="14">
        <f t="shared" si="2"/>
        <v>574.416</v>
      </c>
      <c r="Q864" s="14">
        <v>190.66</v>
      </c>
    </row>
    <row r="865">
      <c r="A865" s="12">
        <v>42856.0</v>
      </c>
      <c r="B865" s="12"/>
      <c r="C865" s="12" t="s">
        <v>2335</v>
      </c>
      <c r="D865" s="6">
        <v>42917.0</v>
      </c>
      <c r="E865" s="15" t="str">
        <f t="shared" si="1"/>
        <v>Jul</v>
      </c>
      <c r="F865" s="13" t="s">
        <v>20</v>
      </c>
      <c r="G865" s="13" t="s">
        <v>2723</v>
      </c>
      <c r="H865" s="13" t="s">
        <v>2777</v>
      </c>
      <c r="I865" s="13" t="s">
        <v>34</v>
      </c>
      <c r="J865" s="13">
        <v>3.0</v>
      </c>
      <c r="K865" s="13" t="s">
        <v>849</v>
      </c>
      <c r="L865" s="13" t="s">
        <v>145</v>
      </c>
      <c r="M865" s="13" t="s">
        <v>26</v>
      </c>
      <c r="N865" s="13" t="s">
        <v>38</v>
      </c>
      <c r="O865" s="14">
        <v>5.248</v>
      </c>
      <c r="P865" s="14">
        <f t="shared" si="2"/>
        <v>15.744</v>
      </c>
      <c r="Q865" s="14">
        <v>4.47</v>
      </c>
    </row>
    <row r="866">
      <c r="A866" s="12">
        <v>42856.0</v>
      </c>
      <c r="B866" s="12"/>
      <c r="C866" s="12" t="s">
        <v>2335</v>
      </c>
      <c r="D866" s="6">
        <v>42917.0</v>
      </c>
      <c r="E866" s="15" t="str">
        <f t="shared" si="1"/>
        <v>Jul</v>
      </c>
      <c r="F866" s="13" t="s">
        <v>20</v>
      </c>
      <c r="G866" s="13" t="s">
        <v>2723</v>
      </c>
      <c r="H866" s="13" t="s">
        <v>2777</v>
      </c>
      <c r="I866" s="13" t="s">
        <v>34</v>
      </c>
      <c r="J866" s="13">
        <v>3.0</v>
      </c>
      <c r="K866" s="13" t="s">
        <v>849</v>
      </c>
      <c r="L866" s="13" t="s">
        <v>145</v>
      </c>
      <c r="M866" s="13" t="s">
        <v>26</v>
      </c>
      <c r="N866" s="13" t="s">
        <v>51</v>
      </c>
      <c r="O866" s="14">
        <v>59.184</v>
      </c>
      <c r="P866" s="14">
        <f t="shared" si="2"/>
        <v>177.552</v>
      </c>
      <c r="Q866" s="14">
        <v>59.09</v>
      </c>
    </row>
    <row r="867">
      <c r="A867" s="12">
        <v>42278.0</v>
      </c>
      <c r="B867" s="12"/>
      <c r="C867" s="12" t="s">
        <v>2358</v>
      </c>
      <c r="D867" s="1" t="s">
        <v>1357</v>
      </c>
      <c r="E867" s="15" t="str">
        <f t="shared" si="1"/>
        <v>Jan</v>
      </c>
      <c r="F867" s="13" t="s">
        <v>41</v>
      </c>
      <c r="G867" s="13" t="s">
        <v>2723</v>
      </c>
      <c r="H867" s="13" t="s">
        <v>2738</v>
      </c>
      <c r="I867" s="13" t="s">
        <v>34</v>
      </c>
      <c r="J867" s="13">
        <v>2.0</v>
      </c>
      <c r="K867" s="13" t="s">
        <v>197</v>
      </c>
      <c r="L867" s="13" t="s">
        <v>198</v>
      </c>
      <c r="M867" s="13" t="s">
        <v>26</v>
      </c>
      <c r="N867" s="13" t="s">
        <v>38</v>
      </c>
      <c r="O867" s="14">
        <v>2.89</v>
      </c>
      <c r="P867" s="14">
        <f t="shared" si="2"/>
        <v>5.78</v>
      </c>
      <c r="Q867" s="14">
        <v>2.46</v>
      </c>
    </row>
    <row r="868">
      <c r="A868" s="12">
        <v>42278.0</v>
      </c>
      <c r="B868" s="12"/>
      <c r="C868" s="12" t="s">
        <v>2358</v>
      </c>
      <c r="D868" s="1" t="s">
        <v>1357</v>
      </c>
      <c r="E868" s="15" t="str">
        <f t="shared" si="1"/>
        <v>Jan</v>
      </c>
      <c r="F868" s="13" t="s">
        <v>41</v>
      </c>
      <c r="G868" s="13" t="s">
        <v>2723</v>
      </c>
      <c r="H868" s="13" t="s">
        <v>2738</v>
      </c>
      <c r="I868" s="13" t="s">
        <v>34</v>
      </c>
      <c r="J868" s="13">
        <v>2.0</v>
      </c>
      <c r="K868" s="13" t="s">
        <v>197</v>
      </c>
      <c r="L868" s="13" t="s">
        <v>198</v>
      </c>
      <c r="M868" s="13" t="s">
        <v>26</v>
      </c>
      <c r="N868" s="13" t="s">
        <v>27</v>
      </c>
      <c r="O868" s="14">
        <v>51.94</v>
      </c>
      <c r="P868" s="14">
        <f t="shared" si="2"/>
        <v>103.88</v>
      </c>
      <c r="Q868" s="14">
        <v>51.29</v>
      </c>
    </row>
    <row r="869">
      <c r="A869" s="12">
        <v>43007.0</v>
      </c>
      <c r="B869" s="12"/>
      <c r="C869" s="12" t="s">
        <v>2329</v>
      </c>
      <c r="D869" s="6">
        <v>42776.0</v>
      </c>
      <c r="E869" s="15" t="str">
        <f t="shared" si="1"/>
        <v>Feb</v>
      </c>
      <c r="F869" s="13" t="s">
        <v>121</v>
      </c>
      <c r="G869" s="13" t="s">
        <v>2365</v>
      </c>
      <c r="H869" s="13" t="s">
        <v>2808</v>
      </c>
      <c r="I869" s="13" t="s">
        <v>34</v>
      </c>
      <c r="J869" s="13">
        <v>1.0</v>
      </c>
      <c r="K869" s="13" t="s">
        <v>98</v>
      </c>
      <c r="L869" s="13" t="s">
        <v>99</v>
      </c>
      <c r="M869" s="13" t="s">
        <v>100</v>
      </c>
      <c r="N869" s="13" t="s">
        <v>38</v>
      </c>
      <c r="O869" s="14">
        <v>15.936</v>
      </c>
      <c r="P869" s="14">
        <f t="shared" si="2"/>
        <v>15.936</v>
      </c>
      <c r="Q869" s="14">
        <v>15.64</v>
      </c>
    </row>
    <row r="870">
      <c r="A870" s="12">
        <v>42159.0</v>
      </c>
      <c r="B870" s="12"/>
      <c r="C870" s="12" t="s">
        <v>2374</v>
      </c>
      <c r="D870" s="6">
        <v>42281.0</v>
      </c>
      <c r="E870" s="15" t="str">
        <f t="shared" si="1"/>
        <v>Oct</v>
      </c>
      <c r="F870" s="13" t="s">
        <v>41</v>
      </c>
      <c r="G870" s="13" t="s">
        <v>2576</v>
      </c>
      <c r="H870" s="13" t="s">
        <v>2809</v>
      </c>
      <c r="I870" s="13" t="s">
        <v>34</v>
      </c>
      <c r="J870" s="13">
        <v>1.0</v>
      </c>
      <c r="K870" s="13" t="s">
        <v>1382</v>
      </c>
      <c r="L870" s="13" t="s">
        <v>99</v>
      </c>
      <c r="M870" s="13" t="s">
        <v>100</v>
      </c>
      <c r="N870" s="13" t="s">
        <v>38</v>
      </c>
      <c r="O870" s="14">
        <v>44.91</v>
      </c>
      <c r="P870" s="14">
        <f t="shared" si="2"/>
        <v>44.91</v>
      </c>
      <c r="Q870" s="14">
        <v>44.34</v>
      </c>
    </row>
    <row r="871">
      <c r="A871" s="12">
        <v>42803.0</v>
      </c>
      <c r="B871" s="12"/>
      <c r="C871" s="12" t="s">
        <v>2399</v>
      </c>
      <c r="D871" s="6">
        <v>42864.0</v>
      </c>
      <c r="E871" s="15" t="str">
        <f t="shared" si="1"/>
        <v>May</v>
      </c>
      <c r="F871" s="13" t="s">
        <v>121</v>
      </c>
      <c r="G871" s="13" t="s">
        <v>1839</v>
      </c>
      <c r="H871" s="13" t="s">
        <v>2482</v>
      </c>
      <c r="I871" s="13" t="s">
        <v>68</v>
      </c>
      <c r="J871" s="13">
        <v>1.0</v>
      </c>
      <c r="K871" s="13" t="s">
        <v>98</v>
      </c>
      <c r="L871" s="13" t="s">
        <v>99</v>
      </c>
      <c r="M871" s="13" t="s">
        <v>100</v>
      </c>
      <c r="N871" s="13" t="s">
        <v>38</v>
      </c>
      <c r="O871" s="14">
        <v>1141.47</v>
      </c>
      <c r="P871" s="14">
        <f t="shared" si="2"/>
        <v>1141.47</v>
      </c>
      <c r="Q871" s="14">
        <v>1140.66</v>
      </c>
    </row>
    <row r="872">
      <c r="A872" s="12">
        <v>42803.0</v>
      </c>
      <c r="B872" s="12"/>
      <c r="C872" s="12" t="s">
        <v>2399</v>
      </c>
      <c r="D872" s="6">
        <v>42864.0</v>
      </c>
      <c r="E872" s="15" t="str">
        <f t="shared" si="1"/>
        <v>May</v>
      </c>
      <c r="F872" s="13" t="s">
        <v>121</v>
      </c>
      <c r="G872" s="13" t="s">
        <v>1839</v>
      </c>
      <c r="H872" s="13" t="s">
        <v>2482</v>
      </c>
      <c r="I872" s="13" t="s">
        <v>68</v>
      </c>
      <c r="J872" s="13">
        <v>1.0</v>
      </c>
      <c r="K872" s="13" t="s">
        <v>98</v>
      </c>
      <c r="L872" s="13" t="s">
        <v>99</v>
      </c>
      <c r="M872" s="13" t="s">
        <v>100</v>
      </c>
      <c r="N872" s="13" t="s">
        <v>51</v>
      </c>
      <c r="O872" s="14">
        <v>280.782</v>
      </c>
      <c r="P872" s="14">
        <f t="shared" si="2"/>
        <v>280.782</v>
      </c>
      <c r="Q872" s="14">
        <v>280.46</v>
      </c>
    </row>
    <row r="873">
      <c r="A873" s="12">
        <v>42662.0</v>
      </c>
      <c r="B873" s="12"/>
      <c r="C873" s="12" t="s">
        <v>2358</v>
      </c>
      <c r="D873" s="1" t="s">
        <v>286</v>
      </c>
      <c r="E873" s="15" t="str">
        <f t="shared" si="1"/>
        <v>Oct</v>
      </c>
      <c r="F873" s="13" t="s">
        <v>121</v>
      </c>
      <c r="G873" s="13" t="s">
        <v>2356</v>
      </c>
      <c r="H873" s="13" t="s">
        <v>2357</v>
      </c>
      <c r="I873" s="13" t="s">
        <v>23</v>
      </c>
      <c r="J873" s="13">
        <v>3.0</v>
      </c>
      <c r="K873" s="13" t="s">
        <v>57</v>
      </c>
      <c r="L873" s="13" t="s">
        <v>1510</v>
      </c>
      <c r="M873" s="13" t="s">
        <v>100</v>
      </c>
      <c r="N873" s="13" t="s">
        <v>38</v>
      </c>
      <c r="O873" s="14">
        <v>34.44</v>
      </c>
      <c r="P873" s="14">
        <f t="shared" si="2"/>
        <v>103.32</v>
      </c>
      <c r="Q873" s="14">
        <v>33.61</v>
      </c>
    </row>
    <row r="874">
      <c r="A874" s="12">
        <v>42289.0</v>
      </c>
      <c r="B874" s="12"/>
      <c r="C874" s="12" t="s">
        <v>2358</v>
      </c>
      <c r="D874" s="1" t="s">
        <v>1512</v>
      </c>
      <c r="E874" s="15" t="str">
        <f t="shared" si="1"/>
        <v>Dec</v>
      </c>
      <c r="F874" s="13" t="s">
        <v>41</v>
      </c>
      <c r="G874" s="13" t="s">
        <v>2449</v>
      </c>
      <c r="H874" s="13" t="s">
        <v>2810</v>
      </c>
      <c r="I874" s="13" t="s">
        <v>23</v>
      </c>
      <c r="J874" s="13">
        <v>1.0</v>
      </c>
      <c r="K874" s="13" t="s">
        <v>174</v>
      </c>
      <c r="L874" s="13" t="s">
        <v>175</v>
      </c>
      <c r="M874" s="13" t="s">
        <v>100</v>
      </c>
      <c r="N874" s="13" t="s">
        <v>38</v>
      </c>
      <c r="O874" s="14">
        <v>11.36</v>
      </c>
      <c r="P874" s="14">
        <f t="shared" si="2"/>
        <v>11.36</v>
      </c>
      <c r="Q874" s="14">
        <v>10.48</v>
      </c>
    </row>
    <row r="875">
      <c r="A875" s="12">
        <v>42289.0</v>
      </c>
      <c r="B875" s="12"/>
      <c r="C875" s="12" t="s">
        <v>2358</v>
      </c>
      <c r="D875" s="1" t="s">
        <v>1512</v>
      </c>
      <c r="E875" s="15" t="str">
        <f t="shared" si="1"/>
        <v>Dec</v>
      </c>
      <c r="F875" s="13" t="s">
        <v>41</v>
      </c>
      <c r="G875" s="13" t="s">
        <v>2449</v>
      </c>
      <c r="H875" s="13" t="s">
        <v>2810</v>
      </c>
      <c r="I875" s="13" t="s">
        <v>23</v>
      </c>
      <c r="J875" s="13">
        <v>1.0</v>
      </c>
      <c r="K875" s="13" t="s">
        <v>174</v>
      </c>
      <c r="L875" s="13" t="s">
        <v>175</v>
      </c>
      <c r="M875" s="13" t="s">
        <v>100</v>
      </c>
      <c r="N875" s="13" t="s">
        <v>38</v>
      </c>
      <c r="O875" s="14">
        <v>106.344</v>
      </c>
      <c r="P875" s="14">
        <f t="shared" si="2"/>
        <v>106.344</v>
      </c>
      <c r="Q875" s="14">
        <v>105.77</v>
      </c>
    </row>
    <row r="876">
      <c r="A876" s="12">
        <v>43337.0</v>
      </c>
      <c r="B876" s="12"/>
      <c r="C876" s="12" t="s">
        <v>2322</v>
      </c>
      <c r="D876" s="1" t="s">
        <v>1516</v>
      </c>
      <c r="E876" s="15" t="str">
        <f t="shared" si="1"/>
        <v>Aug</v>
      </c>
      <c r="F876" s="13" t="s">
        <v>41</v>
      </c>
      <c r="G876" s="13" t="s">
        <v>2576</v>
      </c>
      <c r="H876" s="13" t="s">
        <v>2424</v>
      </c>
      <c r="I876" s="13" t="s">
        <v>23</v>
      </c>
      <c r="J876" s="13">
        <v>2.0</v>
      </c>
      <c r="K876" s="13" t="s">
        <v>284</v>
      </c>
      <c r="L876" s="13" t="s">
        <v>58</v>
      </c>
      <c r="M876" s="13" t="s">
        <v>26</v>
      </c>
      <c r="N876" s="13" t="s">
        <v>38</v>
      </c>
      <c r="O876" s="14">
        <v>192.16</v>
      </c>
      <c r="P876" s="14">
        <f t="shared" si="2"/>
        <v>384.32</v>
      </c>
      <c r="Q876" s="14">
        <v>191.21</v>
      </c>
    </row>
    <row r="877">
      <c r="A877" s="12">
        <v>42752.0</v>
      </c>
      <c r="B877" s="12"/>
      <c r="C877" s="12" t="s">
        <v>2353</v>
      </c>
      <c r="D877" s="1" t="s">
        <v>1518</v>
      </c>
      <c r="E877" s="15" t="str">
        <f t="shared" si="1"/>
        <v>Jan</v>
      </c>
      <c r="F877" s="13" t="s">
        <v>41</v>
      </c>
      <c r="G877" s="13" t="s">
        <v>2721</v>
      </c>
      <c r="H877" s="13" t="s">
        <v>2722</v>
      </c>
      <c r="I877" s="13" t="s">
        <v>68</v>
      </c>
      <c r="J877" s="13">
        <v>3.0</v>
      </c>
      <c r="K877" s="13" t="s">
        <v>57</v>
      </c>
      <c r="L877" s="13" t="s">
        <v>1510</v>
      </c>
      <c r="M877" s="13" t="s">
        <v>100</v>
      </c>
      <c r="N877" s="13" t="s">
        <v>27</v>
      </c>
      <c r="O877" s="14">
        <v>322.59</v>
      </c>
      <c r="P877" s="14">
        <f t="shared" si="2"/>
        <v>967.77</v>
      </c>
      <c r="Q877" s="14">
        <v>322.4</v>
      </c>
    </row>
    <row r="878">
      <c r="A878" s="12">
        <v>42752.0</v>
      </c>
      <c r="B878" s="12"/>
      <c r="C878" s="12" t="s">
        <v>2353</v>
      </c>
      <c r="D878" s="1" t="s">
        <v>1518</v>
      </c>
      <c r="E878" s="15" t="str">
        <f t="shared" si="1"/>
        <v>Jan</v>
      </c>
      <c r="F878" s="13" t="s">
        <v>41</v>
      </c>
      <c r="G878" s="13" t="s">
        <v>2721</v>
      </c>
      <c r="H878" s="13" t="s">
        <v>2722</v>
      </c>
      <c r="I878" s="13" t="s">
        <v>68</v>
      </c>
      <c r="J878" s="13">
        <v>3.0</v>
      </c>
      <c r="K878" s="13" t="s">
        <v>57</v>
      </c>
      <c r="L878" s="13" t="s">
        <v>1510</v>
      </c>
      <c r="M878" s="13" t="s">
        <v>100</v>
      </c>
      <c r="N878" s="13" t="s">
        <v>51</v>
      </c>
      <c r="O878" s="14">
        <v>29.99</v>
      </c>
      <c r="P878" s="14">
        <f t="shared" si="2"/>
        <v>89.97</v>
      </c>
      <c r="Q878" s="14">
        <v>29.34</v>
      </c>
    </row>
    <row r="879">
      <c r="A879" s="12">
        <v>42752.0</v>
      </c>
      <c r="B879" s="12"/>
      <c r="C879" s="12" t="s">
        <v>2353</v>
      </c>
      <c r="D879" s="1" t="s">
        <v>1518</v>
      </c>
      <c r="E879" s="15" t="str">
        <f t="shared" si="1"/>
        <v>Jan</v>
      </c>
      <c r="F879" s="13" t="s">
        <v>41</v>
      </c>
      <c r="G879" s="13" t="s">
        <v>2721</v>
      </c>
      <c r="H879" s="13" t="s">
        <v>2722</v>
      </c>
      <c r="I879" s="13" t="s">
        <v>68</v>
      </c>
      <c r="J879" s="13">
        <v>3.0</v>
      </c>
      <c r="K879" s="13" t="s">
        <v>57</v>
      </c>
      <c r="L879" s="13" t="s">
        <v>1510</v>
      </c>
      <c r="M879" s="13" t="s">
        <v>100</v>
      </c>
      <c r="N879" s="13" t="s">
        <v>51</v>
      </c>
      <c r="O879" s="14">
        <v>371.97</v>
      </c>
      <c r="P879" s="14">
        <f t="shared" si="2"/>
        <v>1115.91</v>
      </c>
      <c r="Q879" s="14">
        <v>371.37</v>
      </c>
    </row>
    <row r="880">
      <c r="A880" s="12">
        <v>42264.0</v>
      </c>
      <c r="B880" s="12"/>
      <c r="C880" s="12" t="s">
        <v>2329</v>
      </c>
      <c r="D880" s="1" t="s">
        <v>556</v>
      </c>
      <c r="E880" s="15" t="str">
        <f t="shared" si="1"/>
        <v>Sep</v>
      </c>
      <c r="F880" s="13" t="s">
        <v>41</v>
      </c>
      <c r="G880" s="13" t="s">
        <v>2723</v>
      </c>
      <c r="H880" s="13" t="s">
        <v>2811</v>
      </c>
      <c r="I880" s="13" t="s">
        <v>68</v>
      </c>
      <c r="J880" s="13">
        <v>1.0</v>
      </c>
      <c r="K880" s="13" t="s">
        <v>98</v>
      </c>
      <c r="L880" s="13" t="s">
        <v>99</v>
      </c>
      <c r="M880" s="13" t="s">
        <v>100</v>
      </c>
      <c r="N880" s="13" t="s">
        <v>38</v>
      </c>
      <c r="O880" s="14">
        <v>5.892</v>
      </c>
      <c r="P880" s="14">
        <f t="shared" si="2"/>
        <v>5.892</v>
      </c>
      <c r="Q880" s="14">
        <v>5.78</v>
      </c>
    </row>
    <row r="881">
      <c r="A881" s="12">
        <v>43434.0</v>
      </c>
      <c r="B881" s="12"/>
      <c r="C881" s="12" t="s">
        <v>2326</v>
      </c>
      <c r="D881" s="6">
        <v>43143.0</v>
      </c>
      <c r="E881" s="15" t="str">
        <f t="shared" si="1"/>
        <v>Feb</v>
      </c>
      <c r="F881" s="13" t="s">
        <v>20</v>
      </c>
      <c r="G881" s="13" t="s">
        <v>2338</v>
      </c>
      <c r="H881" s="13" t="s">
        <v>2339</v>
      </c>
      <c r="I881" s="13" t="s">
        <v>68</v>
      </c>
      <c r="J881" s="13">
        <v>1.0</v>
      </c>
      <c r="K881" s="13" t="s">
        <v>174</v>
      </c>
      <c r="L881" s="13" t="s">
        <v>175</v>
      </c>
      <c r="M881" s="13" t="s">
        <v>100</v>
      </c>
      <c r="N881" s="13" t="s">
        <v>38</v>
      </c>
      <c r="O881" s="14">
        <v>68.472</v>
      </c>
      <c r="P881" s="14">
        <f t="shared" si="2"/>
        <v>68.472</v>
      </c>
      <c r="Q881" s="14">
        <v>68.14</v>
      </c>
    </row>
    <row r="882">
      <c r="A882" s="12">
        <v>43434.0</v>
      </c>
      <c r="B882" s="12"/>
      <c r="C882" s="12" t="s">
        <v>2326</v>
      </c>
      <c r="D882" s="6">
        <v>43143.0</v>
      </c>
      <c r="E882" s="15" t="str">
        <f t="shared" si="1"/>
        <v>Feb</v>
      </c>
      <c r="F882" s="13" t="s">
        <v>20</v>
      </c>
      <c r="G882" s="13" t="s">
        <v>2338</v>
      </c>
      <c r="H882" s="13" t="s">
        <v>2339</v>
      </c>
      <c r="I882" s="13" t="s">
        <v>68</v>
      </c>
      <c r="J882" s="13">
        <v>1.0</v>
      </c>
      <c r="K882" s="13" t="s">
        <v>174</v>
      </c>
      <c r="L882" s="13" t="s">
        <v>175</v>
      </c>
      <c r="M882" s="13" t="s">
        <v>100</v>
      </c>
      <c r="N882" s="13" t="s">
        <v>27</v>
      </c>
      <c r="O882" s="14">
        <v>1242.9</v>
      </c>
      <c r="P882" s="14">
        <f t="shared" si="2"/>
        <v>1242.9</v>
      </c>
      <c r="Q882" s="14">
        <v>1242.58</v>
      </c>
    </row>
    <row r="883">
      <c r="A883" s="12">
        <v>42623.0</v>
      </c>
      <c r="B883" s="12"/>
      <c r="C883" s="12" t="s">
        <v>2329</v>
      </c>
      <c r="D883" s="1" t="s">
        <v>1524</v>
      </c>
      <c r="E883" s="15" t="str">
        <f t="shared" si="1"/>
        <v>Oct</v>
      </c>
      <c r="F883" s="13" t="s">
        <v>41</v>
      </c>
      <c r="G883" s="13" t="s">
        <v>2432</v>
      </c>
      <c r="H883" s="13" t="s">
        <v>2433</v>
      </c>
      <c r="I883" s="13" t="s">
        <v>23</v>
      </c>
      <c r="J883" s="13">
        <v>2.0</v>
      </c>
      <c r="K883" s="13" t="s">
        <v>197</v>
      </c>
      <c r="L883" s="13" t="s">
        <v>198</v>
      </c>
      <c r="M883" s="13" t="s">
        <v>26</v>
      </c>
      <c r="N883" s="13" t="s">
        <v>38</v>
      </c>
      <c r="O883" s="14">
        <v>30.84</v>
      </c>
      <c r="P883" s="14">
        <f t="shared" si="2"/>
        <v>61.68</v>
      </c>
      <c r="Q883" s="14">
        <v>30.29</v>
      </c>
    </row>
    <row r="884">
      <c r="A884" s="12">
        <v>43457.0</v>
      </c>
      <c r="B884" s="12"/>
      <c r="C884" s="12" t="s">
        <v>2325</v>
      </c>
      <c r="D884" s="1" t="s">
        <v>1526</v>
      </c>
      <c r="E884" s="15" t="str">
        <f t="shared" si="1"/>
        <v>Dec</v>
      </c>
      <c r="F884" s="13" t="s">
        <v>717</v>
      </c>
      <c r="G884" s="13" t="s">
        <v>2405</v>
      </c>
      <c r="H884" s="13" t="s">
        <v>2421</v>
      </c>
      <c r="I884" s="13" t="s">
        <v>23</v>
      </c>
      <c r="J884" s="13">
        <v>9.0</v>
      </c>
      <c r="K884" s="13" t="s">
        <v>87</v>
      </c>
      <c r="L884" s="13" t="s">
        <v>52</v>
      </c>
      <c r="M884" s="13" t="s">
        <v>37</v>
      </c>
      <c r="N884" s="13" t="s">
        <v>38</v>
      </c>
      <c r="O884" s="14">
        <v>13.48</v>
      </c>
      <c r="P884" s="14">
        <f t="shared" si="2"/>
        <v>121.32</v>
      </c>
      <c r="Q884" s="14">
        <v>12.5</v>
      </c>
    </row>
    <row r="885">
      <c r="A885" s="12">
        <v>43030.0</v>
      </c>
      <c r="B885" s="12"/>
      <c r="C885" s="12" t="s">
        <v>2358</v>
      </c>
      <c r="D885" s="1" t="s">
        <v>1528</v>
      </c>
      <c r="E885" s="15" t="str">
        <f t="shared" si="1"/>
        <v>Oct</v>
      </c>
      <c r="F885" s="13" t="s">
        <v>121</v>
      </c>
      <c r="G885" s="13" t="s">
        <v>2767</v>
      </c>
      <c r="H885" s="13" t="s">
        <v>2812</v>
      </c>
      <c r="I885" s="13" t="s">
        <v>68</v>
      </c>
      <c r="J885" s="13">
        <v>4.0</v>
      </c>
      <c r="K885" s="13" t="s">
        <v>513</v>
      </c>
      <c r="L885" s="13" t="s">
        <v>157</v>
      </c>
      <c r="M885" s="13" t="s">
        <v>71</v>
      </c>
      <c r="N885" s="13" t="s">
        <v>27</v>
      </c>
      <c r="O885" s="14">
        <v>31.4</v>
      </c>
      <c r="P885" s="14">
        <f t="shared" si="2"/>
        <v>125.6</v>
      </c>
      <c r="Q885" s="14">
        <v>31.38</v>
      </c>
    </row>
    <row r="886">
      <c r="A886" s="12">
        <v>42123.0</v>
      </c>
      <c r="B886" s="12"/>
      <c r="C886" s="12" t="s">
        <v>2332</v>
      </c>
      <c r="D886" s="6">
        <v>42099.0</v>
      </c>
      <c r="E886" s="15" t="str">
        <f t="shared" si="1"/>
        <v>Apr</v>
      </c>
      <c r="F886" s="13" t="s">
        <v>41</v>
      </c>
      <c r="G886" s="13" t="s">
        <v>2813</v>
      </c>
      <c r="H886" s="13" t="s">
        <v>2814</v>
      </c>
      <c r="I886" s="13" t="s">
        <v>23</v>
      </c>
      <c r="J886" s="13">
        <v>1.0</v>
      </c>
      <c r="K886" s="13" t="s">
        <v>240</v>
      </c>
      <c r="L886" s="13" t="s">
        <v>175</v>
      </c>
      <c r="M886" s="13" t="s">
        <v>100</v>
      </c>
      <c r="N886" s="13" t="s">
        <v>27</v>
      </c>
      <c r="O886" s="14">
        <v>17.46</v>
      </c>
      <c r="P886" s="14">
        <f t="shared" si="2"/>
        <v>17.46</v>
      </c>
      <c r="Q886" s="14">
        <v>16.59</v>
      </c>
    </row>
    <row r="887">
      <c r="A887" s="12">
        <v>42485.0</v>
      </c>
      <c r="B887" s="12"/>
      <c r="C887" s="12" t="s">
        <v>2332</v>
      </c>
      <c r="D887" s="1" t="s">
        <v>1535</v>
      </c>
      <c r="E887" s="15" t="str">
        <f t="shared" si="1"/>
        <v>Apr</v>
      </c>
      <c r="F887" s="13" t="s">
        <v>20</v>
      </c>
      <c r="G887" s="13" t="s">
        <v>2815</v>
      </c>
      <c r="H887" s="13" t="s">
        <v>2385</v>
      </c>
      <c r="I887" s="13" t="s">
        <v>34</v>
      </c>
      <c r="J887" s="13">
        <v>9.0</v>
      </c>
      <c r="K887" s="13" t="s">
        <v>35</v>
      </c>
      <c r="L887" s="13" t="s">
        <v>52</v>
      </c>
      <c r="M887" s="13" t="s">
        <v>37</v>
      </c>
      <c r="N887" s="13" t="s">
        <v>38</v>
      </c>
      <c r="O887" s="14">
        <v>13.944</v>
      </c>
      <c r="P887" s="14">
        <f t="shared" si="2"/>
        <v>125.496</v>
      </c>
      <c r="Q887" s="14">
        <v>13.63</v>
      </c>
    </row>
    <row r="888">
      <c r="A888" s="12">
        <v>43277.0</v>
      </c>
      <c r="B888" s="12"/>
      <c r="C888" s="12" t="s">
        <v>2374</v>
      </c>
      <c r="D888" s="6">
        <v>43138.0</v>
      </c>
      <c r="E888" s="15" t="str">
        <f t="shared" si="1"/>
        <v>Feb</v>
      </c>
      <c r="F888" s="13" t="s">
        <v>41</v>
      </c>
      <c r="G888" s="13" t="s">
        <v>2673</v>
      </c>
      <c r="H888" s="13" t="s">
        <v>2674</v>
      </c>
      <c r="I888" s="13" t="s">
        <v>23</v>
      </c>
      <c r="J888" s="13">
        <v>9.0</v>
      </c>
      <c r="K888" s="13" t="s">
        <v>542</v>
      </c>
      <c r="L888" s="13" t="s">
        <v>52</v>
      </c>
      <c r="M888" s="13" t="s">
        <v>37</v>
      </c>
      <c r="N888" s="13" t="s">
        <v>38</v>
      </c>
      <c r="O888" s="14">
        <v>83.76</v>
      </c>
      <c r="P888" s="14">
        <f t="shared" si="2"/>
        <v>753.84</v>
      </c>
      <c r="Q888" s="14">
        <v>83.49</v>
      </c>
    </row>
    <row r="889">
      <c r="A889" s="12">
        <v>43387.0</v>
      </c>
      <c r="B889" s="12"/>
      <c r="C889" s="12" t="s">
        <v>2358</v>
      </c>
      <c r="D889" s="1" t="s">
        <v>778</v>
      </c>
      <c r="E889" s="15" t="str">
        <f t="shared" si="1"/>
        <v>Oct</v>
      </c>
      <c r="F889" s="13" t="s">
        <v>41</v>
      </c>
      <c r="G889" s="13" t="s">
        <v>2626</v>
      </c>
      <c r="H889" s="13" t="s">
        <v>2816</v>
      </c>
      <c r="I889" s="13" t="s">
        <v>68</v>
      </c>
      <c r="J889" s="13">
        <v>2.0</v>
      </c>
      <c r="K889" s="13" t="s">
        <v>235</v>
      </c>
      <c r="L889" s="13" t="s">
        <v>1542</v>
      </c>
      <c r="M889" s="13" t="s">
        <v>100</v>
      </c>
      <c r="N889" s="13" t="s">
        <v>38</v>
      </c>
      <c r="O889" s="14">
        <v>37.66</v>
      </c>
      <c r="P889" s="14">
        <f t="shared" si="2"/>
        <v>75.32</v>
      </c>
      <c r="Q889" s="14">
        <v>37.21</v>
      </c>
    </row>
    <row r="890">
      <c r="A890" s="12">
        <v>42259.0</v>
      </c>
      <c r="B890" s="12"/>
      <c r="C890" s="12" t="s">
        <v>2329</v>
      </c>
      <c r="D890" s="1" t="s">
        <v>1544</v>
      </c>
      <c r="E890" s="15" t="str">
        <f t="shared" si="1"/>
        <v>Dec</v>
      </c>
      <c r="F890" s="13" t="s">
        <v>41</v>
      </c>
      <c r="G890" s="13" t="s">
        <v>2802</v>
      </c>
      <c r="H890" s="13" t="s">
        <v>2803</v>
      </c>
      <c r="I890" s="13" t="s">
        <v>34</v>
      </c>
      <c r="J890" s="13">
        <v>9.0</v>
      </c>
      <c r="K890" s="13" t="s">
        <v>87</v>
      </c>
      <c r="L890" s="13" t="s">
        <v>52</v>
      </c>
      <c r="M890" s="13" t="s">
        <v>37</v>
      </c>
      <c r="N890" s="13" t="s">
        <v>38</v>
      </c>
      <c r="O890" s="14">
        <v>34.68</v>
      </c>
      <c r="P890" s="14">
        <f t="shared" si="2"/>
        <v>312.12</v>
      </c>
      <c r="Q890" s="14">
        <v>33.87</v>
      </c>
    </row>
    <row r="891">
      <c r="A891" s="12">
        <v>43271.0</v>
      </c>
      <c r="B891" s="12"/>
      <c r="C891" s="12" t="s">
        <v>2374</v>
      </c>
      <c r="D891" s="1" t="s">
        <v>1546</v>
      </c>
      <c r="E891" s="15" t="str">
        <f t="shared" si="1"/>
        <v>Jun</v>
      </c>
      <c r="F891" s="13" t="s">
        <v>41</v>
      </c>
      <c r="G891" s="13" t="s">
        <v>2570</v>
      </c>
      <c r="H891" s="13" t="s">
        <v>2457</v>
      </c>
      <c r="I891" s="13" t="s">
        <v>23</v>
      </c>
      <c r="J891" s="13">
        <v>1.0</v>
      </c>
      <c r="K891" s="13" t="s">
        <v>835</v>
      </c>
      <c r="L891" s="13" t="s">
        <v>175</v>
      </c>
      <c r="M891" s="13" t="s">
        <v>100</v>
      </c>
      <c r="N891" s="13" t="s">
        <v>51</v>
      </c>
      <c r="O891" s="14">
        <v>149.95</v>
      </c>
      <c r="P891" s="14">
        <f t="shared" si="2"/>
        <v>149.95</v>
      </c>
      <c r="Q891" s="14">
        <v>149.13</v>
      </c>
    </row>
    <row r="892">
      <c r="A892" s="12">
        <v>43271.0</v>
      </c>
      <c r="B892" s="12"/>
      <c r="C892" s="12" t="s">
        <v>2374</v>
      </c>
      <c r="D892" s="1" t="s">
        <v>1546</v>
      </c>
      <c r="E892" s="15" t="str">
        <f t="shared" si="1"/>
        <v>Jun</v>
      </c>
      <c r="F892" s="13" t="s">
        <v>41</v>
      </c>
      <c r="G892" s="13" t="s">
        <v>2570</v>
      </c>
      <c r="H892" s="13" t="s">
        <v>2457</v>
      </c>
      <c r="I892" s="13" t="s">
        <v>23</v>
      </c>
      <c r="J892" s="13">
        <v>1.0</v>
      </c>
      <c r="K892" s="13" t="s">
        <v>835</v>
      </c>
      <c r="L892" s="13" t="s">
        <v>175</v>
      </c>
      <c r="M892" s="13" t="s">
        <v>100</v>
      </c>
      <c r="N892" s="13" t="s">
        <v>38</v>
      </c>
      <c r="O892" s="14">
        <v>51.312</v>
      </c>
      <c r="P892" s="14">
        <f t="shared" si="2"/>
        <v>51.312</v>
      </c>
      <c r="Q892" s="14">
        <v>50.91</v>
      </c>
    </row>
    <row r="893">
      <c r="A893" s="12">
        <v>43277.0</v>
      </c>
      <c r="B893" s="12"/>
      <c r="C893" s="12" t="s">
        <v>2374</v>
      </c>
      <c r="D893" s="1" t="s">
        <v>1440</v>
      </c>
      <c r="E893" s="15" t="str">
        <f t="shared" si="1"/>
        <v>Jun</v>
      </c>
      <c r="F893" s="13" t="s">
        <v>121</v>
      </c>
      <c r="G893" s="13" t="s">
        <v>2356</v>
      </c>
      <c r="H893" s="13" t="s">
        <v>2495</v>
      </c>
      <c r="I893" s="13" t="s">
        <v>68</v>
      </c>
      <c r="J893" s="13">
        <v>4.0</v>
      </c>
      <c r="K893" s="13" t="s">
        <v>513</v>
      </c>
      <c r="L893" s="13" t="s">
        <v>157</v>
      </c>
      <c r="M893" s="13" t="s">
        <v>71</v>
      </c>
      <c r="N893" s="13" t="s">
        <v>38</v>
      </c>
      <c r="O893" s="14">
        <v>4.54</v>
      </c>
      <c r="P893" s="14">
        <f t="shared" si="2"/>
        <v>18.16</v>
      </c>
      <c r="Q893" s="14">
        <v>4.38</v>
      </c>
    </row>
    <row r="894">
      <c r="A894" s="12">
        <v>43277.0</v>
      </c>
      <c r="B894" s="12"/>
      <c r="C894" s="12" t="s">
        <v>2374</v>
      </c>
      <c r="D894" s="1" t="s">
        <v>1440</v>
      </c>
      <c r="E894" s="15" t="str">
        <f t="shared" si="1"/>
        <v>Jun</v>
      </c>
      <c r="F894" s="13" t="s">
        <v>121</v>
      </c>
      <c r="G894" s="13" t="s">
        <v>2356</v>
      </c>
      <c r="H894" s="13" t="s">
        <v>2495</v>
      </c>
      <c r="I894" s="13" t="s">
        <v>68</v>
      </c>
      <c r="J894" s="13">
        <v>4.0</v>
      </c>
      <c r="K894" s="13" t="s">
        <v>513</v>
      </c>
      <c r="L894" s="13" t="s">
        <v>157</v>
      </c>
      <c r="M894" s="13" t="s">
        <v>71</v>
      </c>
      <c r="N894" s="13" t="s">
        <v>38</v>
      </c>
      <c r="O894" s="14">
        <v>15.92</v>
      </c>
      <c r="P894" s="14">
        <f t="shared" si="2"/>
        <v>63.68</v>
      </c>
      <c r="Q894" s="14">
        <v>15.36</v>
      </c>
    </row>
    <row r="895">
      <c r="A895" s="12">
        <v>43277.0</v>
      </c>
      <c r="B895" s="12"/>
      <c r="C895" s="12" t="s">
        <v>2374</v>
      </c>
      <c r="D895" s="1" t="s">
        <v>1440</v>
      </c>
      <c r="E895" s="15" t="str">
        <f t="shared" si="1"/>
        <v>Jun</v>
      </c>
      <c r="F895" s="13" t="s">
        <v>121</v>
      </c>
      <c r="G895" s="13" t="s">
        <v>2356</v>
      </c>
      <c r="H895" s="13" t="s">
        <v>2495</v>
      </c>
      <c r="I895" s="13" t="s">
        <v>68</v>
      </c>
      <c r="J895" s="13">
        <v>4.0</v>
      </c>
      <c r="K895" s="13" t="s">
        <v>513</v>
      </c>
      <c r="L895" s="13" t="s">
        <v>157</v>
      </c>
      <c r="M895" s="13" t="s">
        <v>71</v>
      </c>
      <c r="N895" s="13" t="s">
        <v>51</v>
      </c>
      <c r="O895" s="14">
        <v>543.92</v>
      </c>
      <c r="P895" s="14">
        <f t="shared" si="2"/>
        <v>2175.68</v>
      </c>
      <c r="Q895" s="14">
        <v>543.77</v>
      </c>
    </row>
    <row r="896">
      <c r="A896" s="12">
        <v>43019.0</v>
      </c>
      <c r="B896" s="12"/>
      <c r="C896" s="12" t="s">
        <v>2358</v>
      </c>
      <c r="D896" s="5">
        <v>43080.0</v>
      </c>
      <c r="E896" s="15" t="str">
        <f t="shared" si="1"/>
        <v>Dec</v>
      </c>
      <c r="F896" s="13" t="s">
        <v>121</v>
      </c>
      <c r="G896" s="13" t="s">
        <v>2817</v>
      </c>
      <c r="H896" s="13" t="s">
        <v>2818</v>
      </c>
      <c r="I896" s="13" t="s">
        <v>34</v>
      </c>
      <c r="J896" s="13">
        <v>9.0</v>
      </c>
      <c r="K896" s="13" t="s">
        <v>87</v>
      </c>
      <c r="L896" s="13" t="s">
        <v>52</v>
      </c>
      <c r="M896" s="13" t="s">
        <v>37</v>
      </c>
      <c r="N896" s="13" t="s">
        <v>38</v>
      </c>
      <c r="O896" s="14">
        <v>155.82</v>
      </c>
      <c r="P896" s="14">
        <f t="shared" si="2"/>
        <v>1402.38</v>
      </c>
      <c r="Q896" s="14">
        <v>155.11</v>
      </c>
    </row>
    <row r="897">
      <c r="A897" s="12">
        <v>43019.0</v>
      </c>
      <c r="B897" s="12"/>
      <c r="C897" s="12" t="s">
        <v>2358</v>
      </c>
      <c r="D897" s="5">
        <v>43080.0</v>
      </c>
      <c r="E897" s="15" t="str">
        <f t="shared" si="1"/>
        <v>Dec</v>
      </c>
      <c r="F897" s="13" t="s">
        <v>121</v>
      </c>
      <c r="G897" s="13" t="s">
        <v>2817</v>
      </c>
      <c r="H897" s="13" t="s">
        <v>2818</v>
      </c>
      <c r="I897" s="13" t="s">
        <v>34</v>
      </c>
      <c r="J897" s="13">
        <v>9.0</v>
      </c>
      <c r="K897" s="13" t="s">
        <v>87</v>
      </c>
      <c r="L897" s="13" t="s">
        <v>52</v>
      </c>
      <c r="M897" s="13" t="s">
        <v>37</v>
      </c>
      <c r="N897" s="13" t="s">
        <v>38</v>
      </c>
      <c r="O897" s="14">
        <v>70.008</v>
      </c>
      <c r="P897" s="14">
        <f t="shared" si="2"/>
        <v>630.072</v>
      </c>
      <c r="Q897" s="14">
        <v>70.0</v>
      </c>
    </row>
    <row r="898">
      <c r="A898" s="12">
        <v>42804.0</v>
      </c>
      <c r="B898" s="12"/>
      <c r="C898" s="12" t="s">
        <v>2399</v>
      </c>
      <c r="D898" s="6">
        <v>42896.0</v>
      </c>
      <c r="E898" s="15" t="str">
        <f t="shared" si="1"/>
        <v>Jun</v>
      </c>
      <c r="F898" s="13" t="s">
        <v>20</v>
      </c>
      <c r="G898" s="13" t="s">
        <v>2819</v>
      </c>
      <c r="H898" s="13" t="s">
        <v>2820</v>
      </c>
      <c r="I898" s="13" t="s">
        <v>23</v>
      </c>
      <c r="J898" s="13">
        <v>7.0</v>
      </c>
      <c r="K898" s="13" t="s">
        <v>129</v>
      </c>
      <c r="L898" s="13" t="s">
        <v>70</v>
      </c>
      <c r="M898" s="13" t="s">
        <v>71</v>
      </c>
      <c r="N898" s="13" t="s">
        <v>38</v>
      </c>
      <c r="O898" s="14">
        <v>15.648</v>
      </c>
      <c r="P898" s="14">
        <f t="shared" si="2"/>
        <v>109.536</v>
      </c>
      <c r="Q898" s="14">
        <v>14.69</v>
      </c>
    </row>
    <row r="899">
      <c r="A899" s="12">
        <v>42256.0</v>
      </c>
      <c r="B899" s="12"/>
      <c r="C899" s="12" t="s">
        <v>2329</v>
      </c>
      <c r="D899" s="1" t="s">
        <v>1555</v>
      </c>
      <c r="E899" s="15" t="str">
        <f t="shared" si="1"/>
        <v>Sep</v>
      </c>
      <c r="F899" s="13" t="s">
        <v>41</v>
      </c>
      <c r="G899" s="13" t="s">
        <v>2647</v>
      </c>
      <c r="H899" s="13" t="s">
        <v>2821</v>
      </c>
      <c r="I899" s="13" t="s">
        <v>23</v>
      </c>
      <c r="J899" s="13">
        <v>4.0</v>
      </c>
      <c r="K899" s="13" t="s">
        <v>513</v>
      </c>
      <c r="L899" s="13" t="s">
        <v>157</v>
      </c>
      <c r="M899" s="13" t="s">
        <v>71</v>
      </c>
      <c r="N899" s="13" t="s">
        <v>38</v>
      </c>
      <c r="O899" s="14">
        <v>103.6</v>
      </c>
      <c r="P899" s="14">
        <f t="shared" si="2"/>
        <v>414.4</v>
      </c>
      <c r="Q899" s="14">
        <v>103.15</v>
      </c>
    </row>
    <row r="900">
      <c r="A900" s="12">
        <v>43402.0</v>
      </c>
      <c r="B900" s="12"/>
      <c r="C900" s="12" t="s">
        <v>2358</v>
      </c>
      <c r="D900" s="1" t="s">
        <v>1559</v>
      </c>
      <c r="E900" s="15" t="str">
        <f t="shared" si="1"/>
        <v>Oct</v>
      </c>
      <c r="F900" s="13" t="s">
        <v>20</v>
      </c>
      <c r="G900" s="13" t="s">
        <v>2822</v>
      </c>
      <c r="H900" s="13" t="s">
        <v>2823</v>
      </c>
      <c r="I900" s="13" t="s">
        <v>34</v>
      </c>
      <c r="J900" s="13">
        <v>1.0</v>
      </c>
      <c r="K900" s="13" t="s">
        <v>868</v>
      </c>
      <c r="L900" s="13" t="s">
        <v>175</v>
      </c>
      <c r="M900" s="13" t="s">
        <v>100</v>
      </c>
      <c r="N900" s="13" t="s">
        <v>38</v>
      </c>
      <c r="O900" s="14">
        <v>46.96</v>
      </c>
      <c r="P900" s="14">
        <f t="shared" si="2"/>
        <v>46.96</v>
      </c>
      <c r="Q900" s="14">
        <v>46.9</v>
      </c>
    </row>
    <row r="901">
      <c r="A901" s="12">
        <v>43012.0</v>
      </c>
      <c r="B901" s="12"/>
      <c r="C901" s="12" t="s">
        <v>2358</v>
      </c>
      <c r="D901" s="6">
        <v>43073.0</v>
      </c>
      <c r="E901" s="15" t="str">
        <f t="shared" si="1"/>
        <v>Dec</v>
      </c>
      <c r="F901" s="13" t="s">
        <v>121</v>
      </c>
      <c r="G901" s="13" t="s">
        <v>2456</v>
      </c>
      <c r="H901" s="13" t="s">
        <v>2795</v>
      </c>
      <c r="I901" s="13" t="s">
        <v>34</v>
      </c>
      <c r="J901" s="13">
        <v>4.0</v>
      </c>
      <c r="K901" s="13" t="s">
        <v>197</v>
      </c>
      <c r="L901" s="13" t="s">
        <v>304</v>
      </c>
      <c r="M901" s="13" t="s">
        <v>100</v>
      </c>
      <c r="N901" s="13" t="s">
        <v>38</v>
      </c>
      <c r="O901" s="14">
        <v>8.904</v>
      </c>
      <c r="P901" s="14">
        <f t="shared" si="2"/>
        <v>35.616</v>
      </c>
      <c r="Q901" s="14">
        <v>8.04</v>
      </c>
    </row>
    <row r="902">
      <c r="A902" s="12">
        <v>43415.0</v>
      </c>
      <c r="B902" s="12"/>
      <c r="C902" s="12" t="s">
        <v>2326</v>
      </c>
      <c r="D902" s="1" t="s">
        <v>458</v>
      </c>
      <c r="E902" s="15" t="str">
        <f t="shared" si="1"/>
        <v>Nov</v>
      </c>
      <c r="F902" s="13" t="s">
        <v>121</v>
      </c>
      <c r="G902" s="13" t="s">
        <v>2458</v>
      </c>
      <c r="H902" s="13" t="s">
        <v>2567</v>
      </c>
      <c r="I902" s="13" t="s">
        <v>23</v>
      </c>
      <c r="J902" s="13">
        <v>7.0</v>
      </c>
      <c r="K902" s="13" t="s">
        <v>1566</v>
      </c>
      <c r="L902" s="13" t="s">
        <v>70</v>
      </c>
      <c r="M902" s="13" t="s">
        <v>71</v>
      </c>
      <c r="N902" s="13" t="s">
        <v>38</v>
      </c>
      <c r="O902" s="14">
        <v>10.44</v>
      </c>
      <c r="P902" s="14">
        <f t="shared" si="2"/>
        <v>73.08</v>
      </c>
      <c r="Q902" s="14">
        <v>9.91</v>
      </c>
    </row>
    <row r="903">
      <c r="A903" s="12">
        <v>43415.0</v>
      </c>
      <c r="B903" s="12"/>
      <c r="C903" s="12" t="s">
        <v>2326</v>
      </c>
      <c r="D903" s="1" t="s">
        <v>458</v>
      </c>
      <c r="E903" s="15" t="str">
        <f t="shared" si="1"/>
        <v>Nov</v>
      </c>
      <c r="F903" s="13" t="s">
        <v>121</v>
      </c>
      <c r="G903" s="13" t="s">
        <v>2458</v>
      </c>
      <c r="H903" s="13" t="s">
        <v>2567</v>
      </c>
      <c r="I903" s="13" t="s">
        <v>23</v>
      </c>
      <c r="J903" s="13">
        <v>7.0</v>
      </c>
      <c r="K903" s="13" t="s">
        <v>1566</v>
      </c>
      <c r="L903" s="13" t="s">
        <v>70</v>
      </c>
      <c r="M903" s="13" t="s">
        <v>71</v>
      </c>
      <c r="N903" s="13" t="s">
        <v>38</v>
      </c>
      <c r="O903" s="14">
        <v>18.336</v>
      </c>
      <c r="P903" s="14">
        <f t="shared" si="2"/>
        <v>128.352</v>
      </c>
      <c r="Q903" s="14">
        <v>17.69</v>
      </c>
    </row>
    <row r="904">
      <c r="A904" s="12">
        <v>43358.0</v>
      </c>
      <c r="B904" s="12"/>
      <c r="C904" s="12" t="s">
        <v>2329</v>
      </c>
      <c r="D904" s="1" t="s">
        <v>204</v>
      </c>
      <c r="E904" s="15" t="str">
        <f t="shared" si="1"/>
        <v>Sep</v>
      </c>
      <c r="F904" s="13" t="s">
        <v>121</v>
      </c>
      <c r="G904" s="13" t="s">
        <v>2432</v>
      </c>
      <c r="H904" s="13" t="s">
        <v>2464</v>
      </c>
      <c r="I904" s="13" t="s">
        <v>23</v>
      </c>
      <c r="J904" s="13">
        <v>6.0</v>
      </c>
      <c r="K904" s="13" t="s">
        <v>188</v>
      </c>
      <c r="L904" s="13" t="s">
        <v>135</v>
      </c>
      <c r="M904" s="13" t="s">
        <v>71</v>
      </c>
      <c r="N904" s="13" t="s">
        <v>51</v>
      </c>
      <c r="O904" s="14">
        <v>323.976</v>
      </c>
      <c r="P904" s="14">
        <f t="shared" si="2"/>
        <v>1943.856</v>
      </c>
      <c r="Q904" s="14">
        <v>323.14</v>
      </c>
    </row>
    <row r="905">
      <c r="A905" s="12">
        <v>42951.0</v>
      </c>
      <c r="B905" s="12"/>
      <c r="C905" s="12" t="s">
        <v>2322</v>
      </c>
      <c r="D905" s="6">
        <v>43073.0</v>
      </c>
      <c r="E905" s="15" t="str">
        <f t="shared" si="1"/>
        <v>Dec</v>
      </c>
      <c r="F905" s="13" t="s">
        <v>41</v>
      </c>
      <c r="G905" s="13" t="s">
        <v>2499</v>
      </c>
      <c r="H905" s="13" t="s">
        <v>2500</v>
      </c>
      <c r="I905" s="13" t="s">
        <v>23</v>
      </c>
      <c r="J905" s="13">
        <v>9.0</v>
      </c>
      <c r="K905" s="13" t="s">
        <v>35</v>
      </c>
      <c r="L905" s="13" t="s">
        <v>52</v>
      </c>
      <c r="M905" s="13" t="s">
        <v>37</v>
      </c>
      <c r="N905" s="13" t="s">
        <v>38</v>
      </c>
      <c r="O905" s="14">
        <v>20.04</v>
      </c>
      <c r="P905" s="14">
        <f t="shared" si="2"/>
        <v>180.36</v>
      </c>
      <c r="Q905" s="14">
        <v>19.88</v>
      </c>
    </row>
    <row r="906">
      <c r="A906" s="12">
        <v>42951.0</v>
      </c>
      <c r="B906" s="12"/>
      <c r="C906" s="12" t="s">
        <v>2322</v>
      </c>
      <c r="D906" s="6">
        <v>43073.0</v>
      </c>
      <c r="E906" s="15" t="str">
        <f t="shared" si="1"/>
        <v>Dec</v>
      </c>
      <c r="F906" s="13" t="s">
        <v>41</v>
      </c>
      <c r="G906" s="13" t="s">
        <v>2499</v>
      </c>
      <c r="H906" s="13" t="s">
        <v>2500</v>
      </c>
      <c r="I906" s="13" t="s">
        <v>23</v>
      </c>
      <c r="J906" s="13">
        <v>9.0</v>
      </c>
      <c r="K906" s="13" t="s">
        <v>35</v>
      </c>
      <c r="L906" s="13" t="s">
        <v>52</v>
      </c>
      <c r="M906" s="13" t="s">
        <v>37</v>
      </c>
      <c r="N906" s="13" t="s">
        <v>38</v>
      </c>
      <c r="O906" s="14">
        <v>64.96</v>
      </c>
      <c r="P906" s="14">
        <f t="shared" si="2"/>
        <v>584.64</v>
      </c>
      <c r="Q906" s="14">
        <v>64.81</v>
      </c>
    </row>
    <row r="907">
      <c r="A907" s="12">
        <v>42951.0</v>
      </c>
      <c r="B907" s="12"/>
      <c r="C907" s="12" t="s">
        <v>2322</v>
      </c>
      <c r="D907" s="6">
        <v>43073.0</v>
      </c>
      <c r="E907" s="15" t="str">
        <f t="shared" si="1"/>
        <v>Dec</v>
      </c>
      <c r="F907" s="13" t="s">
        <v>41</v>
      </c>
      <c r="G907" s="13" t="s">
        <v>2499</v>
      </c>
      <c r="H907" s="13" t="s">
        <v>2500</v>
      </c>
      <c r="I907" s="13" t="s">
        <v>23</v>
      </c>
      <c r="J907" s="13">
        <v>9.0</v>
      </c>
      <c r="K907" s="13" t="s">
        <v>35</v>
      </c>
      <c r="L907" s="13" t="s">
        <v>52</v>
      </c>
      <c r="M907" s="13" t="s">
        <v>37</v>
      </c>
      <c r="N907" s="13" t="s">
        <v>38</v>
      </c>
      <c r="O907" s="14">
        <v>12.96</v>
      </c>
      <c r="P907" s="14">
        <f t="shared" si="2"/>
        <v>116.64</v>
      </c>
      <c r="Q907" s="14">
        <v>12.63</v>
      </c>
    </row>
    <row r="908">
      <c r="A908" s="12">
        <v>43464.0</v>
      </c>
      <c r="B908" s="12"/>
      <c r="C908" s="12" t="s">
        <v>2325</v>
      </c>
      <c r="D908" s="6">
        <v>43525.0</v>
      </c>
      <c r="E908" s="15" t="str">
        <f t="shared" si="1"/>
        <v>Mar</v>
      </c>
      <c r="F908" s="13" t="s">
        <v>41</v>
      </c>
      <c r="G908" s="13" t="s">
        <v>2373</v>
      </c>
      <c r="H908" s="13" t="s">
        <v>2328</v>
      </c>
      <c r="I908" s="13" t="s">
        <v>23</v>
      </c>
      <c r="J908" s="13">
        <v>1.0</v>
      </c>
      <c r="K908" s="13" t="s">
        <v>174</v>
      </c>
      <c r="L908" s="13" t="s">
        <v>175</v>
      </c>
      <c r="M908" s="13" t="s">
        <v>100</v>
      </c>
      <c r="N908" s="13" t="s">
        <v>27</v>
      </c>
      <c r="O908" s="14">
        <v>323.136</v>
      </c>
      <c r="P908" s="14">
        <f t="shared" si="2"/>
        <v>323.136</v>
      </c>
      <c r="Q908" s="14">
        <v>322.23</v>
      </c>
    </row>
    <row r="909">
      <c r="A909" s="12">
        <v>43464.0</v>
      </c>
      <c r="B909" s="12"/>
      <c r="C909" s="12" t="s">
        <v>2325</v>
      </c>
      <c r="D909" s="6">
        <v>43525.0</v>
      </c>
      <c r="E909" s="15" t="str">
        <f t="shared" si="1"/>
        <v>Mar</v>
      </c>
      <c r="F909" s="13" t="s">
        <v>41</v>
      </c>
      <c r="G909" s="13" t="s">
        <v>2373</v>
      </c>
      <c r="H909" s="13" t="s">
        <v>2328</v>
      </c>
      <c r="I909" s="13" t="s">
        <v>23</v>
      </c>
      <c r="J909" s="13">
        <v>1.0</v>
      </c>
      <c r="K909" s="13" t="s">
        <v>174</v>
      </c>
      <c r="L909" s="13" t="s">
        <v>175</v>
      </c>
      <c r="M909" s="13" t="s">
        <v>100</v>
      </c>
      <c r="N909" s="13" t="s">
        <v>51</v>
      </c>
      <c r="O909" s="14">
        <v>90.93</v>
      </c>
      <c r="P909" s="14">
        <f t="shared" si="2"/>
        <v>90.93</v>
      </c>
      <c r="Q909" s="14">
        <v>90.18</v>
      </c>
    </row>
    <row r="910">
      <c r="A910" s="12">
        <v>43464.0</v>
      </c>
      <c r="B910" s="12"/>
      <c r="C910" s="12" t="s">
        <v>2325</v>
      </c>
      <c r="D910" s="6">
        <v>43525.0</v>
      </c>
      <c r="E910" s="15" t="str">
        <f t="shared" si="1"/>
        <v>Mar</v>
      </c>
      <c r="F910" s="13" t="s">
        <v>41</v>
      </c>
      <c r="G910" s="13" t="s">
        <v>2373</v>
      </c>
      <c r="H910" s="13" t="s">
        <v>2328</v>
      </c>
      <c r="I910" s="13" t="s">
        <v>23</v>
      </c>
      <c r="J910" s="13">
        <v>1.0</v>
      </c>
      <c r="K910" s="13" t="s">
        <v>174</v>
      </c>
      <c r="L910" s="13" t="s">
        <v>175</v>
      </c>
      <c r="M910" s="13" t="s">
        <v>100</v>
      </c>
      <c r="N910" s="13" t="s">
        <v>38</v>
      </c>
      <c r="O910" s="14">
        <v>52.776</v>
      </c>
      <c r="P910" s="14">
        <f t="shared" si="2"/>
        <v>52.776</v>
      </c>
      <c r="Q910" s="14">
        <v>52.06</v>
      </c>
    </row>
    <row r="911">
      <c r="A911" s="12">
        <v>43140.0</v>
      </c>
      <c r="B911" s="12"/>
      <c r="C911" s="12" t="s">
        <v>2431</v>
      </c>
      <c r="D911" s="6">
        <v>43290.0</v>
      </c>
      <c r="E911" s="15" t="str">
        <f t="shared" si="1"/>
        <v>Jul</v>
      </c>
      <c r="F911" s="13" t="s">
        <v>41</v>
      </c>
      <c r="G911" s="13" t="s">
        <v>2670</v>
      </c>
      <c r="H911" s="13" t="s">
        <v>2824</v>
      </c>
      <c r="I911" s="13" t="s">
        <v>68</v>
      </c>
      <c r="J911" s="13">
        <v>4.0</v>
      </c>
      <c r="K911" s="13" t="s">
        <v>205</v>
      </c>
      <c r="L911" s="13" t="s">
        <v>157</v>
      </c>
      <c r="M911" s="13" t="s">
        <v>71</v>
      </c>
      <c r="N911" s="13" t="s">
        <v>51</v>
      </c>
      <c r="O911" s="14">
        <v>1199.8</v>
      </c>
      <c r="P911" s="14">
        <f t="shared" si="2"/>
        <v>4799.2</v>
      </c>
      <c r="Q911" s="14">
        <v>1199.52</v>
      </c>
    </row>
    <row r="912">
      <c r="A912" s="12">
        <v>43140.0</v>
      </c>
      <c r="B912" s="12"/>
      <c r="C912" s="12" t="s">
        <v>2431</v>
      </c>
      <c r="D912" s="6">
        <v>43290.0</v>
      </c>
      <c r="E912" s="15" t="str">
        <f t="shared" si="1"/>
        <v>Jul</v>
      </c>
      <c r="F912" s="13" t="s">
        <v>41</v>
      </c>
      <c r="G912" s="13" t="s">
        <v>2670</v>
      </c>
      <c r="H912" s="13" t="s">
        <v>2824</v>
      </c>
      <c r="I912" s="13" t="s">
        <v>68</v>
      </c>
      <c r="J912" s="13">
        <v>4.0</v>
      </c>
      <c r="K912" s="13" t="s">
        <v>205</v>
      </c>
      <c r="L912" s="13" t="s">
        <v>157</v>
      </c>
      <c r="M912" s="13" t="s">
        <v>71</v>
      </c>
      <c r="N912" s="13" t="s">
        <v>51</v>
      </c>
      <c r="O912" s="14">
        <v>1928.78</v>
      </c>
      <c r="P912" s="14">
        <f t="shared" si="2"/>
        <v>7715.12</v>
      </c>
      <c r="Q912" s="14">
        <v>1928.37</v>
      </c>
    </row>
    <row r="913">
      <c r="A913" s="12">
        <v>43140.0</v>
      </c>
      <c r="B913" s="12"/>
      <c r="C913" s="12" t="s">
        <v>2431</v>
      </c>
      <c r="D913" s="6">
        <v>43290.0</v>
      </c>
      <c r="E913" s="15" t="str">
        <f t="shared" si="1"/>
        <v>Jul</v>
      </c>
      <c r="F913" s="13" t="s">
        <v>41</v>
      </c>
      <c r="G913" s="13" t="s">
        <v>2670</v>
      </c>
      <c r="H913" s="13" t="s">
        <v>2824</v>
      </c>
      <c r="I913" s="13" t="s">
        <v>68</v>
      </c>
      <c r="J913" s="13">
        <v>4.0</v>
      </c>
      <c r="K913" s="13" t="s">
        <v>205</v>
      </c>
      <c r="L913" s="13" t="s">
        <v>157</v>
      </c>
      <c r="M913" s="13" t="s">
        <v>71</v>
      </c>
      <c r="N913" s="13" t="s">
        <v>38</v>
      </c>
      <c r="O913" s="14">
        <v>352.38</v>
      </c>
      <c r="P913" s="14">
        <f t="shared" si="2"/>
        <v>1409.52</v>
      </c>
      <c r="Q913" s="14">
        <v>352.29</v>
      </c>
    </row>
    <row r="914">
      <c r="A914" s="12">
        <v>43431.0</v>
      </c>
      <c r="B914" s="12"/>
      <c r="C914" s="12" t="s">
        <v>2326</v>
      </c>
      <c r="D914" s="1" t="s">
        <v>1574</v>
      </c>
      <c r="E914" s="15" t="str">
        <f t="shared" si="1"/>
        <v>Nov</v>
      </c>
      <c r="F914" s="13" t="s">
        <v>121</v>
      </c>
      <c r="G914" s="13" t="s">
        <v>2655</v>
      </c>
      <c r="H914" s="13" t="s">
        <v>2799</v>
      </c>
      <c r="I914" s="13" t="s">
        <v>34</v>
      </c>
      <c r="J914" s="13">
        <v>5.0</v>
      </c>
      <c r="K914" s="13" t="s">
        <v>1436</v>
      </c>
      <c r="L914" s="13" t="s">
        <v>77</v>
      </c>
      <c r="M914" s="13" t="s">
        <v>71</v>
      </c>
      <c r="N914" s="13" t="s">
        <v>27</v>
      </c>
      <c r="O914" s="14">
        <v>46.94</v>
      </c>
      <c r="P914" s="14">
        <f t="shared" si="2"/>
        <v>234.7</v>
      </c>
      <c r="Q914" s="14">
        <v>46.19</v>
      </c>
    </row>
    <row r="915">
      <c r="A915" s="12">
        <v>43431.0</v>
      </c>
      <c r="B915" s="12"/>
      <c r="C915" s="12" t="s">
        <v>2326</v>
      </c>
      <c r="D915" s="1" t="s">
        <v>1574</v>
      </c>
      <c r="E915" s="15" t="str">
        <f t="shared" si="1"/>
        <v>Nov</v>
      </c>
      <c r="F915" s="13" t="s">
        <v>121</v>
      </c>
      <c r="G915" s="13" t="s">
        <v>2655</v>
      </c>
      <c r="H915" s="13" t="s">
        <v>2799</v>
      </c>
      <c r="I915" s="13" t="s">
        <v>34</v>
      </c>
      <c r="J915" s="13">
        <v>5.0</v>
      </c>
      <c r="K915" s="13" t="s">
        <v>1436</v>
      </c>
      <c r="L915" s="13" t="s">
        <v>77</v>
      </c>
      <c r="M915" s="13" t="s">
        <v>71</v>
      </c>
      <c r="N915" s="13" t="s">
        <v>51</v>
      </c>
      <c r="O915" s="14">
        <v>143.73</v>
      </c>
      <c r="P915" s="14">
        <f t="shared" si="2"/>
        <v>718.65</v>
      </c>
      <c r="Q915" s="14">
        <v>143.67</v>
      </c>
    </row>
    <row r="916">
      <c r="A916" s="12">
        <v>42170.0</v>
      </c>
      <c r="B916" s="12"/>
      <c r="C916" s="12" t="s">
        <v>2374</v>
      </c>
      <c r="D916" s="1" t="s">
        <v>1576</v>
      </c>
      <c r="E916" s="15" t="str">
        <f t="shared" si="1"/>
        <v>Jun</v>
      </c>
      <c r="F916" s="13" t="s">
        <v>41</v>
      </c>
      <c r="G916" s="13" t="s">
        <v>2517</v>
      </c>
      <c r="H916" s="13" t="s">
        <v>2541</v>
      </c>
      <c r="I916" s="13" t="s">
        <v>34</v>
      </c>
      <c r="J916" s="13">
        <v>7.0</v>
      </c>
      <c r="K916" s="13" t="s">
        <v>404</v>
      </c>
      <c r="L916" s="13" t="s">
        <v>70</v>
      </c>
      <c r="M916" s="13" t="s">
        <v>71</v>
      </c>
      <c r="N916" s="13" t="s">
        <v>27</v>
      </c>
      <c r="O916" s="14">
        <v>99.918</v>
      </c>
      <c r="P916" s="14">
        <f t="shared" si="2"/>
        <v>699.426</v>
      </c>
      <c r="Q916" s="14">
        <v>99.41</v>
      </c>
    </row>
    <row r="917">
      <c r="A917" s="12">
        <v>42170.0</v>
      </c>
      <c r="B917" s="12"/>
      <c r="C917" s="12" t="s">
        <v>2374</v>
      </c>
      <c r="D917" s="1" t="s">
        <v>1576</v>
      </c>
      <c r="E917" s="15" t="str">
        <f t="shared" si="1"/>
        <v>Jun</v>
      </c>
      <c r="F917" s="13" t="s">
        <v>41</v>
      </c>
      <c r="G917" s="13" t="s">
        <v>2517</v>
      </c>
      <c r="H917" s="13" t="s">
        <v>2541</v>
      </c>
      <c r="I917" s="13" t="s">
        <v>34</v>
      </c>
      <c r="J917" s="13">
        <v>7.0</v>
      </c>
      <c r="K917" s="13" t="s">
        <v>404</v>
      </c>
      <c r="L917" s="13" t="s">
        <v>70</v>
      </c>
      <c r="M917" s="13" t="s">
        <v>71</v>
      </c>
      <c r="N917" s="13" t="s">
        <v>27</v>
      </c>
      <c r="O917" s="14">
        <v>797.944</v>
      </c>
      <c r="P917" s="14">
        <f t="shared" si="2"/>
        <v>5585.608</v>
      </c>
      <c r="Q917" s="14">
        <v>797.92</v>
      </c>
    </row>
    <row r="918">
      <c r="A918" s="12">
        <v>42170.0</v>
      </c>
      <c r="B918" s="12"/>
      <c r="C918" s="12" t="s">
        <v>2374</v>
      </c>
      <c r="D918" s="1" t="s">
        <v>1576</v>
      </c>
      <c r="E918" s="15" t="str">
        <f t="shared" si="1"/>
        <v>Jun</v>
      </c>
      <c r="F918" s="13" t="s">
        <v>41</v>
      </c>
      <c r="G918" s="13" t="s">
        <v>2517</v>
      </c>
      <c r="H918" s="13" t="s">
        <v>2541</v>
      </c>
      <c r="I918" s="13" t="s">
        <v>34</v>
      </c>
      <c r="J918" s="13">
        <v>7.0</v>
      </c>
      <c r="K918" s="13" t="s">
        <v>404</v>
      </c>
      <c r="L918" s="13" t="s">
        <v>70</v>
      </c>
      <c r="M918" s="13" t="s">
        <v>71</v>
      </c>
      <c r="N918" s="13" t="s">
        <v>38</v>
      </c>
      <c r="O918" s="14">
        <v>8.568</v>
      </c>
      <c r="P918" s="14">
        <f t="shared" si="2"/>
        <v>59.976</v>
      </c>
      <c r="Q918" s="14">
        <v>8.44</v>
      </c>
    </row>
    <row r="919">
      <c r="A919" s="12">
        <v>42858.0</v>
      </c>
      <c r="B919" s="12"/>
      <c r="C919" s="12" t="s">
        <v>2335</v>
      </c>
      <c r="D919" s="6">
        <v>43042.0</v>
      </c>
      <c r="E919" s="15" t="str">
        <f t="shared" si="1"/>
        <v>Nov</v>
      </c>
      <c r="F919" s="13" t="s">
        <v>41</v>
      </c>
      <c r="G919" s="13" t="s">
        <v>2661</v>
      </c>
      <c r="H919" s="13" t="s">
        <v>2825</v>
      </c>
      <c r="I919" s="13" t="s">
        <v>34</v>
      </c>
      <c r="J919" s="13">
        <v>7.0</v>
      </c>
      <c r="K919" s="13" t="s">
        <v>480</v>
      </c>
      <c r="L919" s="13" t="s">
        <v>70</v>
      </c>
      <c r="M919" s="13" t="s">
        <v>71</v>
      </c>
      <c r="N919" s="13" t="s">
        <v>38</v>
      </c>
      <c r="O919" s="14">
        <v>149.352</v>
      </c>
      <c r="P919" s="14">
        <f t="shared" si="2"/>
        <v>1045.464</v>
      </c>
      <c r="Q919" s="14">
        <v>148.95</v>
      </c>
    </row>
    <row r="920">
      <c r="A920" s="12">
        <v>42858.0</v>
      </c>
      <c r="B920" s="12"/>
      <c r="C920" s="12" t="s">
        <v>2335</v>
      </c>
      <c r="D920" s="6">
        <v>43042.0</v>
      </c>
      <c r="E920" s="15" t="str">
        <f t="shared" si="1"/>
        <v>Nov</v>
      </c>
      <c r="F920" s="13" t="s">
        <v>41</v>
      </c>
      <c r="G920" s="13" t="s">
        <v>2661</v>
      </c>
      <c r="H920" s="13" t="s">
        <v>2825</v>
      </c>
      <c r="I920" s="13" t="s">
        <v>34</v>
      </c>
      <c r="J920" s="13">
        <v>7.0</v>
      </c>
      <c r="K920" s="13" t="s">
        <v>480</v>
      </c>
      <c r="L920" s="13" t="s">
        <v>70</v>
      </c>
      <c r="M920" s="13" t="s">
        <v>71</v>
      </c>
      <c r="N920" s="13" t="s">
        <v>38</v>
      </c>
      <c r="O920" s="14">
        <v>12.992</v>
      </c>
      <c r="P920" s="14">
        <f t="shared" si="2"/>
        <v>90.944</v>
      </c>
      <c r="Q920" s="14">
        <v>12.26</v>
      </c>
    </row>
    <row r="921">
      <c r="A921" s="12">
        <v>42136.0</v>
      </c>
      <c r="B921" s="12"/>
      <c r="C921" s="12" t="s">
        <v>2335</v>
      </c>
      <c r="D921" s="5">
        <v>42350.0</v>
      </c>
      <c r="E921" s="15" t="str">
        <f t="shared" si="1"/>
        <v>Dec</v>
      </c>
      <c r="F921" s="13" t="s">
        <v>41</v>
      </c>
      <c r="G921" s="13" t="s">
        <v>2527</v>
      </c>
      <c r="H921" s="13" t="s">
        <v>2528</v>
      </c>
      <c r="I921" s="13" t="s">
        <v>23</v>
      </c>
      <c r="J921" s="13">
        <v>2.0</v>
      </c>
      <c r="K921" s="13" t="s">
        <v>1581</v>
      </c>
      <c r="L921" s="13" t="s">
        <v>198</v>
      </c>
      <c r="M921" s="13" t="s">
        <v>26</v>
      </c>
      <c r="N921" s="13" t="s">
        <v>38</v>
      </c>
      <c r="O921" s="14">
        <v>24.56</v>
      </c>
      <c r="P921" s="14">
        <f t="shared" si="2"/>
        <v>49.12</v>
      </c>
      <c r="Q921" s="14">
        <v>24.01</v>
      </c>
    </row>
    <row r="922">
      <c r="A922" s="12">
        <v>42678.0</v>
      </c>
      <c r="B922" s="12"/>
      <c r="C922" s="12" t="s">
        <v>2326</v>
      </c>
      <c r="D922" s="1" t="s">
        <v>1583</v>
      </c>
      <c r="E922" s="15" t="str">
        <f t="shared" si="1"/>
        <v>Apr</v>
      </c>
      <c r="F922" s="13" t="s">
        <v>41</v>
      </c>
      <c r="G922" s="13" t="s">
        <v>2627</v>
      </c>
      <c r="H922" s="13" t="s">
        <v>2717</v>
      </c>
      <c r="I922" s="13" t="s">
        <v>23</v>
      </c>
      <c r="J922" s="13">
        <v>1.0</v>
      </c>
      <c r="K922" s="13" t="s">
        <v>174</v>
      </c>
      <c r="L922" s="13" t="s">
        <v>175</v>
      </c>
      <c r="M922" s="13" t="s">
        <v>100</v>
      </c>
      <c r="N922" s="13" t="s">
        <v>51</v>
      </c>
      <c r="O922" s="14">
        <v>85.14</v>
      </c>
      <c r="P922" s="14">
        <f t="shared" si="2"/>
        <v>85.14</v>
      </c>
      <c r="Q922" s="14">
        <v>85.04</v>
      </c>
    </row>
    <row r="923">
      <c r="A923" s="12">
        <v>42678.0</v>
      </c>
      <c r="B923" s="12"/>
      <c r="C923" s="12" t="s">
        <v>2326</v>
      </c>
      <c r="D923" s="1" t="s">
        <v>1583</v>
      </c>
      <c r="E923" s="15" t="str">
        <f t="shared" si="1"/>
        <v>Apr</v>
      </c>
      <c r="F923" s="13" t="s">
        <v>41</v>
      </c>
      <c r="G923" s="13" t="s">
        <v>2627</v>
      </c>
      <c r="H923" s="13" t="s">
        <v>2717</v>
      </c>
      <c r="I923" s="13" t="s">
        <v>23</v>
      </c>
      <c r="J923" s="13">
        <v>1.0</v>
      </c>
      <c r="K923" s="13" t="s">
        <v>174</v>
      </c>
      <c r="L923" s="13" t="s">
        <v>175</v>
      </c>
      <c r="M923" s="13" t="s">
        <v>100</v>
      </c>
      <c r="N923" s="13" t="s">
        <v>51</v>
      </c>
      <c r="O923" s="14">
        <v>21.99</v>
      </c>
      <c r="P923" s="14">
        <f t="shared" si="2"/>
        <v>21.99</v>
      </c>
      <c r="Q923" s="14">
        <v>21.1</v>
      </c>
    </row>
    <row r="924">
      <c r="A924" s="12">
        <v>42678.0</v>
      </c>
      <c r="B924" s="12"/>
      <c r="C924" s="12" t="s">
        <v>2326</v>
      </c>
      <c r="D924" s="1" t="s">
        <v>1583</v>
      </c>
      <c r="E924" s="15" t="str">
        <f t="shared" si="1"/>
        <v>Apr</v>
      </c>
      <c r="F924" s="13" t="s">
        <v>41</v>
      </c>
      <c r="G924" s="13" t="s">
        <v>2627</v>
      </c>
      <c r="H924" s="13" t="s">
        <v>2717</v>
      </c>
      <c r="I924" s="13" t="s">
        <v>23</v>
      </c>
      <c r="J924" s="13">
        <v>1.0</v>
      </c>
      <c r="K924" s="13" t="s">
        <v>174</v>
      </c>
      <c r="L924" s="13" t="s">
        <v>175</v>
      </c>
      <c r="M924" s="13" t="s">
        <v>100</v>
      </c>
      <c r="N924" s="13" t="s">
        <v>38</v>
      </c>
      <c r="O924" s="14">
        <v>406.6</v>
      </c>
      <c r="P924" s="14">
        <f t="shared" si="2"/>
        <v>406.6</v>
      </c>
      <c r="Q924" s="14">
        <v>405.67</v>
      </c>
    </row>
    <row r="925">
      <c r="A925" s="12">
        <v>42993.0</v>
      </c>
      <c r="B925" s="12"/>
      <c r="C925" s="12" t="s">
        <v>2329</v>
      </c>
      <c r="D925" s="1" t="s">
        <v>1587</v>
      </c>
      <c r="E925" s="15" t="str">
        <f t="shared" si="1"/>
        <v>Sep</v>
      </c>
      <c r="F925" s="13" t="s">
        <v>41</v>
      </c>
      <c r="G925" s="13" t="s">
        <v>2568</v>
      </c>
      <c r="H925" s="13" t="s">
        <v>2826</v>
      </c>
      <c r="I925" s="13" t="s">
        <v>34</v>
      </c>
      <c r="J925" s="13">
        <v>1.0</v>
      </c>
      <c r="K925" s="13" t="s">
        <v>174</v>
      </c>
      <c r="L925" s="13" t="s">
        <v>175</v>
      </c>
      <c r="M925" s="13" t="s">
        <v>100</v>
      </c>
      <c r="N925" s="13" t="s">
        <v>38</v>
      </c>
      <c r="O925" s="14">
        <v>841.568</v>
      </c>
      <c r="P925" s="14">
        <f t="shared" si="2"/>
        <v>841.568</v>
      </c>
      <c r="Q925" s="14">
        <v>841.57</v>
      </c>
    </row>
    <row r="926">
      <c r="A926" s="12">
        <v>42260.0</v>
      </c>
      <c r="B926" s="12"/>
      <c r="C926" s="12" t="s">
        <v>2329</v>
      </c>
      <c r="D926" s="1" t="s">
        <v>1591</v>
      </c>
      <c r="E926" s="15" t="str">
        <f t="shared" si="1"/>
        <v>Sep</v>
      </c>
      <c r="F926" s="13" t="s">
        <v>121</v>
      </c>
      <c r="G926" s="13" t="s">
        <v>2827</v>
      </c>
      <c r="H926" s="13" t="s">
        <v>2828</v>
      </c>
      <c r="I926" s="13" t="s">
        <v>23</v>
      </c>
      <c r="J926" s="13">
        <v>1.0</v>
      </c>
      <c r="K926" s="13" t="s">
        <v>98</v>
      </c>
      <c r="L926" s="13" t="s">
        <v>99</v>
      </c>
      <c r="M926" s="13" t="s">
        <v>100</v>
      </c>
      <c r="N926" s="13" t="s">
        <v>38</v>
      </c>
      <c r="O926" s="14">
        <v>15.552</v>
      </c>
      <c r="P926" s="14">
        <f t="shared" si="2"/>
        <v>15.552</v>
      </c>
      <c r="Q926" s="14">
        <v>14.8</v>
      </c>
    </row>
    <row r="927">
      <c r="A927" s="12">
        <v>42260.0</v>
      </c>
      <c r="B927" s="12"/>
      <c r="C927" s="12" t="s">
        <v>2329</v>
      </c>
      <c r="D927" s="1" t="s">
        <v>1591</v>
      </c>
      <c r="E927" s="15" t="str">
        <f t="shared" si="1"/>
        <v>Sep</v>
      </c>
      <c r="F927" s="13" t="s">
        <v>121</v>
      </c>
      <c r="G927" s="13" t="s">
        <v>2827</v>
      </c>
      <c r="H927" s="13" t="s">
        <v>2828</v>
      </c>
      <c r="I927" s="13" t="s">
        <v>23</v>
      </c>
      <c r="J927" s="13">
        <v>1.0</v>
      </c>
      <c r="K927" s="13" t="s">
        <v>98</v>
      </c>
      <c r="L927" s="13" t="s">
        <v>99</v>
      </c>
      <c r="M927" s="13" t="s">
        <v>100</v>
      </c>
      <c r="N927" s="13" t="s">
        <v>51</v>
      </c>
      <c r="O927" s="14">
        <v>252.0</v>
      </c>
      <c r="P927" s="14">
        <f t="shared" si="2"/>
        <v>252</v>
      </c>
      <c r="Q927" s="14">
        <v>251.41</v>
      </c>
    </row>
    <row r="928">
      <c r="A928" s="12">
        <v>42500.0</v>
      </c>
      <c r="B928" s="12"/>
      <c r="C928" s="12" t="s">
        <v>2335</v>
      </c>
      <c r="D928" s="6">
        <v>42623.0</v>
      </c>
      <c r="E928" s="15" t="str">
        <f t="shared" si="1"/>
        <v>Sep</v>
      </c>
      <c r="F928" s="13" t="s">
        <v>41</v>
      </c>
      <c r="G928" s="13" t="s">
        <v>2392</v>
      </c>
      <c r="H928" s="13" t="s">
        <v>2829</v>
      </c>
      <c r="I928" s="13" t="s">
        <v>68</v>
      </c>
      <c r="J928" s="13">
        <v>2.0</v>
      </c>
      <c r="K928" s="13" t="s">
        <v>197</v>
      </c>
      <c r="L928" s="13" t="s">
        <v>198</v>
      </c>
      <c r="M928" s="13" t="s">
        <v>26</v>
      </c>
      <c r="N928" s="13" t="s">
        <v>38</v>
      </c>
      <c r="O928" s="14">
        <v>46.2</v>
      </c>
      <c r="P928" s="14">
        <f t="shared" si="2"/>
        <v>92.4</v>
      </c>
      <c r="Q928" s="14">
        <v>45.48</v>
      </c>
    </row>
    <row r="929">
      <c r="A929" s="12">
        <v>42500.0</v>
      </c>
      <c r="B929" s="12"/>
      <c r="C929" s="12" t="s">
        <v>2335</v>
      </c>
      <c r="D929" s="6">
        <v>42623.0</v>
      </c>
      <c r="E929" s="15" t="str">
        <f t="shared" si="1"/>
        <v>Sep</v>
      </c>
      <c r="F929" s="13" t="s">
        <v>41</v>
      </c>
      <c r="G929" s="13" t="s">
        <v>2392</v>
      </c>
      <c r="H929" s="13" t="s">
        <v>2829</v>
      </c>
      <c r="I929" s="13" t="s">
        <v>68</v>
      </c>
      <c r="J929" s="13">
        <v>2.0</v>
      </c>
      <c r="K929" s="13" t="s">
        <v>197</v>
      </c>
      <c r="L929" s="13" t="s">
        <v>198</v>
      </c>
      <c r="M929" s="13" t="s">
        <v>26</v>
      </c>
      <c r="N929" s="13" t="s">
        <v>38</v>
      </c>
      <c r="O929" s="14">
        <v>28.84</v>
      </c>
      <c r="P929" s="14">
        <f t="shared" si="2"/>
        <v>57.68</v>
      </c>
      <c r="Q929" s="14">
        <v>28.67</v>
      </c>
    </row>
    <row r="930">
      <c r="A930" s="12">
        <v>43204.0</v>
      </c>
      <c r="B930" s="12"/>
      <c r="C930" s="12" t="s">
        <v>2332</v>
      </c>
      <c r="D930" s="1" t="s">
        <v>625</v>
      </c>
      <c r="E930" s="15" t="str">
        <f t="shared" si="1"/>
        <v>Apr</v>
      </c>
      <c r="F930" s="13" t="s">
        <v>121</v>
      </c>
      <c r="G930" s="13" t="s">
        <v>2438</v>
      </c>
      <c r="H930" s="13" t="s">
        <v>2745</v>
      </c>
      <c r="I930" s="13" t="s">
        <v>23</v>
      </c>
      <c r="J930" s="13">
        <v>4.0</v>
      </c>
      <c r="K930" s="13" t="s">
        <v>1598</v>
      </c>
      <c r="L930" s="13" t="s">
        <v>304</v>
      </c>
      <c r="M930" s="13" t="s">
        <v>100</v>
      </c>
      <c r="N930" s="13" t="s">
        <v>38</v>
      </c>
      <c r="O930" s="14">
        <v>14.592</v>
      </c>
      <c r="P930" s="14">
        <f t="shared" si="2"/>
        <v>58.368</v>
      </c>
      <c r="Q930" s="14">
        <v>13.71</v>
      </c>
    </row>
    <row r="931">
      <c r="A931" s="12">
        <v>43204.0</v>
      </c>
      <c r="B931" s="12"/>
      <c r="C931" s="12" t="s">
        <v>2332</v>
      </c>
      <c r="D931" s="1" t="s">
        <v>625</v>
      </c>
      <c r="E931" s="15" t="str">
        <f t="shared" si="1"/>
        <v>Apr</v>
      </c>
      <c r="F931" s="13" t="s">
        <v>121</v>
      </c>
      <c r="G931" s="13" t="s">
        <v>2438</v>
      </c>
      <c r="H931" s="13" t="s">
        <v>2745</v>
      </c>
      <c r="I931" s="13" t="s">
        <v>23</v>
      </c>
      <c r="J931" s="13">
        <v>4.0</v>
      </c>
      <c r="K931" s="13" t="s">
        <v>1598</v>
      </c>
      <c r="L931" s="13" t="s">
        <v>304</v>
      </c>
      <c r="M931" s="13" t="s">
        <v>100</v>
      </c>
      <c r="N931" s="13" t="s">
        <v>38</v>
      </c>
      <c r="O931" s="14">
        <v>89.856</v>
      </c>
      <c r="P931" s="14">
        <f t="shared" si="2"/>
        <v>359.424</v>
      </c>
      <c r="Q931" s="14">
        <v>88.89</v>
      </c>
    </row>
    <row r="932">
      <c r="A932" s="12">
        <v>43204.0</v>
      </c>
      <c r="B932" s="12"/>
      <c r="C932" s="12" t="s">
        <v>2332</v>
      </c>
      <c r="D932" s="1" t="s">
        <v>625</v>
      </c>
      <c r="E932" s="15" t="str">
        <f t="shared" si="1"/>
        <v>Apr</v>
      </c>
      <c r="F932" s="13" t="s">
        <v>121</v>
      </c>
      <c r="G932" s="13" t="s">
        <v>2438</v>
      </c>
      <c r="H932" s="13" t="s">
        <v>2745</v>
      </c>
      <c r="I932" s="13" t="s">
        <v>23</v>
      </c>
      <c r="J932" s="13">
        <v>4.0</v>
      </c>
      <c r="K932" s="13" t="s">
        <v>1598</v>
      </c>
      <c r="L932" s="13" t="s">
        <v>304</v>
      </c>
      <c r="M932" s="13" t="s">
        <v>100</v>
      </c>
      <c r="N932" s="13" t="s">
        <v>38</v>
      </c>
      <c r="O932" s="14">
        <v>13.872</v>
      </c>
      <c r="P932" s="14">
        <f t="shared" si="2"/>
        <v>55.488</v>
      </c>
      <c r="Q932" s="14">
        <v>13.46</v>
      </c>
    </row>
    <row r="933">
      <c r="A933" s="12">
        <v>43140.0</v>
      </c>
      <c r="B933" s="12"/>
      <c r="C933" s="12" t="s">
        <v>2431</v>
      </c>
      <c r="D933" s="6">
        <v>43260.0</v>
      </c>
      <c r="E933" s="15" t="str">
        <f t="shared" si="1"/>
        <v>Jun</v>
      </c>
      <c r="F933" s="13" t="s">
        <v>41</v>
      </c>
      <c r="G933" s="13" t="s">
        <v>2741</v>
      </c>
      <c r="H933" s="13" t="s">
        <v>2575</v>
      </c>
      <c r="I933" s="13" t="s">
        <v>23</v>
      </c>
      <c r="J933" s="13">
        <v>1.0</v>
      </c>
      <c r="K933" s="13" t="s">
        <v>98</v>
      </c>
      <c r="L933" s="13" t="s">
        <v>99</v>
      </c>
      <c r="M933" s="13" t="s">
        <v>100</v>
      </c>
      <c r="N933" s="13" t="s">
        <v>38</v>
      </c>
      <c r="O933" s="14">
        <v>12.192</v>
      </c>
      <c r="P933" s="14">
        <f t="shared" si="2"/>
        <v>12.192</v>
      </c>
      <c r="Q933" s="14">
        <v>11.44</v>
      </c>
    </row>
    <row r="934">
      <c r="A934" s="12">
        <v>42906.0</v>
      </c>
      <c r="B934" s="12"/>
      <c r="C934" s="12" t="s">
        <v>2374</v>
      </c>
      <c r="D934" s="1" t="s">
        <v>1603</v>
      </c>
      <c r="E934" s="15" t="str">
        <f t="shared" si="1"/>
        <v>Jun</v>
      </c>
      <c r="F934" s="13" t="s">
        <v>41</v>
      </c>
      <c r="G934" s="13" t="s">
        <v>2830</v>
      </c>
      <c r="H934" s="13" t="s">
        <v>2831</v>
      </c>
      <c r="I934" s="13" t="s">
        <v>68</v>
      </c>
      <c r="J934" s="13">
        <v>1.0</v>
      </c>
      <c r="K934" s="13" t="s">
        <v>98</v>
      </c>
      <c r="L934" s="13" t="s">
        <v>99</v>
      </c>
      <c r="M934" s="13" t="s">
        <v>100</v>
      </c>
      <c r="N934" s="13" t="s">
        <v>38</v>
      </c>
      <c r="O934" s="14">
        <v>45.056</v>
      </c>
      <c r="P934" s="14">
        <f t="shared" si="2"/>
        <v>45.056</v>
      </c>
      <c r="Q934" s="14">
        <v>44.63</v>
      </c>
    </row>
    <row r="935">
      <c r="A935" s="12">
        <v>42906.0</v>
      </c>
      <c r="B935" s="12"/>
      <c r="C935" s="12" t="s">
        <v>2374</v>
      </c>
      <c r="D935" s="1" t="s">
        <v>1603</v>
      </c>
      <c r="E935" s="15" t="str">
        <f t="shared" si="1"/>
        <v>Jun</v>
      </c>
      <c r="F935" s="13" t="s">
        <v>41</v>
      </c>
      <c r="G935" s="13" t="s">
        <v>2830</v>
      </c>
      <c r="H935" s="13" t="s">
        <v>2831</v>
      </c>
      <c r="I935" s="13" t="s">
        <v>68</v>
      </c>
      <c r="J935" s="13">
        <v>1.0</v>
      </c>
      <c r="K935" s="13" t="s">
        <v>98</v>
      </c>
      <c r="L935" s="13" t="s">
        <v>99</v>
      </c>
      <c r="M935" s="13" t="s">
        <v>100</v>
      </c>
      <c r="N935" s="13" t="s">
        <v>38</v>
      </c>
      <c r="O935" s="14">
        <v>29.718</v>
      </c>
      <c r="P935" s="14">
        <f t="shared" si="2"/>
        <v>29.718</v>
      </c>
      <c r="Q935" s="14">
        <v>29.25</v>
      </c>
    </row>
    <row r="936">
      <c r="A936" s="12">
        <v>42906.0</v>
      </c>
      <c r="B936" s="12"/>
      <c r="C936" s="12" t="s">
        <v>2374</v>
      </c>
      <c r="D936" s="1" t="s">
        <v>1603</v>
      </c>
      <c r="E936" s="15" t="str">
        <f t="shared" si="1"/>
        <v>Jun</v>
      </c>
      <c r="F936" s="13" t="s">
        <v>41</v>
      </c>
      <c r="G936" s="13" t="s">
        <v>2830</v>
      </c>
      <c r="H936" s="13" t="s">
        <v>2831</v>
      </c>
      <c r="I936" s="13" t="s">
        <v>68</v>
      </c>
      <c r="J936" s="13">
        <v>1.0</v>
      </c>
      <c r="K936" s="13" t="s">
        <v>98</v>
      </c>
      <c r="L936" s="13" t="s">
        <v>99</v>
      </c>
      <c r="M936" s="13" t="s">
        <v>100</v>
      </c>
      <c r="N936" s="13" t="s">
        <v>38</v>
      </c>
      <c r="O936" s="14">
        <v>15.552</v>
      </c>
      <c r="P936" s="14">
        <f t="shared" si="2"/>
        <v>15.552</v>
      </c>
      <c r="Q936" s="14">
        <v>14.89</v>
      </c>
    </row>
    <row r="937">
      <c r="A937" s="12">
        <v>42906.0</v>
      </c>
      <c r="B937" s="12"/>
      <c r="C937" s="12" t="s">
        <v>2374</v>
      </c>
      <c r="D937" s="1" t="s">
        <v>1603</v>
      </c>
      <c r="E937" s="15" t="str">
        <f t="shared" si="1"/>
        <v>Jun</v>
      </c>
      <c r="F937" s="13" t="s">
        <v>41</v>
      </c>
      <c r="G937" s="13" t="s">
        <v>2830</v>
      </c>
      <c r="H937" s="13" t="s">
        <v>2831</v>
      </c>
      <c r="I937" s="13" t="s">
        <v>68</v>
      </c>
      <c r="J937" s="13">
        <v>1.0</v>
      </c>
      <c r="K937" s="13" t="s">
        <v>98</v>
      </c>
      <c r="L937" s="13" t="s">
        <v>99</v>
      </c>
      <c r="M937" s="13" t="s">
        <v>100</v>
      </c>
      <c r="N937" s="13" t="s">
        <v>38</v>
      </c>
      <c r="O937" s="14">
        <v>447.696</v>
      </c>
      <c r="P937" s="14">
        <f t="shared" si="2"/>
        <v>447.696</v>
      </c>
      <c r="Q937" s="14">
        <v>446.88</v>
      </c>
    </row>
    <row r="938">
      <c r="A938" s="12">
        <v>43231.0</v>
      </c>
      <c r="B938" s="12"/>
      <c r="C938" s="12" t="s">
        <v>2335</v>
      </c>
      <c r="D938" s="6">
        <v>43262.0</v>
      </c>
      <c r="E938" s="15" t="str">
        <f t="shared" si="1"/>
        <v>Jun</v>
      </c>
      <c r="F938" s="13" t="s">
        <v>121</v>
      </c>
      <c r="G938" s="13" t="s">
        <v>2367</v>
      </c>
      <c r="H938" s="13" t="s">
        <v>2368</v>
      </c>
      <c r="I938" s="13" t="s">
        <v>34</v>
      </c>
      <c r="J938" s="13">
        <v>8.0</v>
      </c>
      <c r="K938" s="13" t="s">
        <v>1607</v>
      </c>
      <c r="L938" s="13" t="s">
        <v>397</v>
      </c>
      <c r="M938" s="13" t="s">
        <v>37</v>
      </c>
      <c r="N938" s="13" t="s">
        <v>51</v>
      </c>
      <c r="O938" s="14">
        <v>159.99</v>
      </c>
      <c r="P938" s="14">
        <f t="shared" si="2"/>
        <v>1279.92</v>
      </c>
      <c r="Q938" s="14">
        <v>159.36</v>
      </c>
    </row>
    <row r="939">
      <c r="A939" s="12">
        <v>42717.0</v>
      </c>
      <c r="B939" s="12"/>
      <c r="C939" s="12" t="s">
        <v>2325</v>
      </c>
      <c r="D939" s="1" t="s">
        <v>1609</v>
      </c>
      <c r="E939" s="15" t="str">
        <f t="shared" si="1"/>
        <v>Dec</v>
      </c>
      <c r="F939" s="13" t="s">
        <v>41</v>
      </c>
      <c r="G939" s="13" t="s">
        <v>2832</v>
      </c>
      <c r="H939" s="13" t="s">
        <v>2833</v>
      </c>
      <c r="I939" s="13" t="s">
        <v>34</v>
      </c>
      <c r="J939" s="13">
        <v>9.0</v>
      </c>
      <c r="K939" s="13" t="s">
        <v>1612</v>
      </c>
      <c r="L939" s="13" t="s">
        <v>52</v>
      </c>
      <c r="M939" s="13" t="s">
        <v>37</v>
      </c>
      <c r="N939" s="13" t="s">
        <v>38</v>
      </c>
      <c r="O939" s="14">
        <v>12.96</v>
      </c>
      <c r="P939" s="14">
        <f t="shared" si="2"/>
        <v>116.64</v>
      </c>
      <c r="Q939" s="14">
        <v>12.37</v>
      </c>
    </row>
    <row r="940">
      <c r="A940" s="12">
        <v>42717.0</v>
      </c>
      <c r="B940" s="12"/>
      <c r="C940" s="12" t="s">
        <v>2325</v>
      </c>
      <c r="D940" s="1" t="s">
        <v>1609</v>
      </c>
      <c r="E940" s="15" t="str">
        <f t="shared" si="1"/>
        <v>Dec</v>
      </c>
      <c r="F940" s="13" t="s">
        <v>41</v>
      </c>
      <c r="G940" s="13" t="s">
        <v>2832</v>
      </c>
      <c r="H940" s="13" t="s">
        <v>2833</v>
      </c>
      <c r="I940" s="13" t="s">
        <v>34</v>
      </c>
      <c r="J940" s="13">
        <v>9.0</v>
      </c>
      <c r="K940" s="13" t="s">
        <v>1612</v>
      </c>
      <c r="L940" s="13" t="s">
        <v>52</v>
      </c>
      <c r="M940" s="13" t="s">
        <v>37</v>
      </c>
      <c r="N940" s="13" t="s">
        <v>38</v>
      </c>
      <c r="O940" s="14">
        <v>134.48</v>
      </c>
      <c r="P940" s="14">
        <f t="shared" si="2"/>
        <v>1210.32</v>
      </c>
      <c r="Q940" s="14">
        <v>134.18</v>
      </c>
    </row>
    <row r="941">
      <c r="A941" s="12">
        <v>42905.0</v>
      </c>
      <c r="B941" s="12"/>
      <c r="C941" s="12" t="s">
        <v>2374</v>
      </c>
      <c r="D941" s="1" t="s">
        <v>1614</v>
      </c>
      <c r="E941" s="15" t="str">
        <f t="shared" si="1"/>
        <v>Jun</v>
      </c>
      <c r="F941" s="13" t="s">
        <v>121</v>
      </c>
      <c r="G941" s="13" t="s">
        <v>2388</v>
      </c>
      <c r="H941" s="13" t="s">
        <v>2834</v>
      </c>
      <c r="I941" s="13" t="s">
        <v>34</v>
      </c>
      <c r="J941" s="13">
        <v>9.0</v>
      </c>
      <c r="K941" s="13" t="s">
        <v>87</v>
      </c>
      <c r="L941" s="13" t="s">
        <v>52</v>
      </c>
      <c r="M941" s="13" t="s">
        <v>37</v>
      </c>
      <c r="N941" s="13" t="s">
        <v>38</v>
      </c>
      <c r="O941" s="14">
        <v>17.12</v>
      </c>
      <c r="P941" s="14">
        <f t="shared" si="2"/>
        <v>154.08</v>
      </c>
      <c r="Q941" s="14">
        <v>17.11</v>
      </c>
    </row>
    <row r="942">
      <c r="A942" s="12">
        <v>43082.0</v>
      </c>
      <c r="B942" s="12"/>
      <c r="C942" s="12" t="s">
        <v>2325</v>
      </c>
      <c r="D942" s="1" t="s">
        <v>600</v>
      </c>
      <c r="E942" s="15" t="str">
        <f t="shared" si="1"/>
        <v>Dec</v>
      </c>
      <c r="F942" s="13" t="s">
        <v>41</v>
      </c>
      <c r="G942" s="13" t="s">
        <v>2661</v>
      </c>
      <c r="H942" s="13" t="s">
        <v>2825</v>
      </c>
      <c r="I942" s="13" t="s">
        <v>34</v>
      </c>
      <c r="J942" s="13">
        <v>9.0</v>
      </c>
      <c r="K942" s="13" t="s">
        <v>1618</v>
      </c>
      <c r="L942" s="13" t="s">
        <v>52</v>
      </c>
      <c r="M942" s="13" t="s">
        <v>37</v>
      </c>
      <c r="N942" s="13" t="s">
        <v>38</v>
      </c>
      <c r="O942" s="14">
        <v>6.096</v>
      </c>
      <c r="P942" s="14">
        <f t="shared" si="2"/>
        <v>54.864</v>
      </c>
      <c r="Q942" s="14">
        <v>5.43</v>
      </c>
    </row>
    <row r="943">
      <c r="A943" s="12">
        <v>43082.0</v>
      </c>
      <c r="B943" s="12"/>
      <c r="C943" s="12" t="s">
        <v>2325</v>
      </c>
      <c r="D943" s="1" t="s">
        <v>600</v>
      </c>
      <c r="E943" s="15" t="str">
        <f t="shared" si="1"/>
        <v>Dec</v>
      </c>
      <c r="F943" s="13" t="s">
        <v>41</v>
      </c>
      <c r="G943" s="13" t="s">
        <v>2661</v>
      </c>
      <c r="H943" s="13" t="s">
        <v>2825</v>
      </c>
      <c r="I943" s="13" t="s">
        <v>34</v>
      </c>
      <c r="J943" s="13">
        <v>9.0</v>
      </c>
      <c r="K943" s="13" t="s">
        <v>1618</v>
      </c>
      <c r="L943" s="13" t="s">
        <v>52</v>
      </c>
      <c r="M943" s="13" t="s">
        <v>37</v>
      </c>
      <c r="N943" s="13" t="s">
        <v>27</v>
      </c>
      <c r="O943" s="14">
        <v>1114.272</v>
      </c>
      <c r="P943" s="14">
        <f t="shared" si="2"/>
        <v>10028.448</v>
      </c>
      <c r="Q943" s="14">
        <v>1113.48</v>
      </c>
    </row>
    <row r="944">
      <c r="A944" s="12">
        <v>42519.0</v>
      </c>
      <c r="B944" s="12"/>
      <c r="C944" s="12" t="s">
        <v>2335</v>
      </c>
      <c r="D944" s="6">
        <v>42435.0</v>
      </c>
      <c r="E944" s="15" t="str">
        <f t="shared" si="1"/>
        <v>Mar</v>
      </c>
      <c r="F944" s="13" t="s">
        <v>41</v>
      </c>
      <c r="G944" s="13" t="s">
        <v>2560</v>
      </c>
      <c r="H944" s="13" t="s">
        <v>2561</v>
      </c>
      <c r="I944" s="13" t="s">
        <v>23</v>
      </c>
      <c r="J944" s="13">
        <v>9.0</v>
      </c>
      <c r="K944" s="13" t="s">
        <v>62</v>
      </c>
      <c r="L944" s="13" t="s">
        <v>63</v>
      </c>
      <c r="M944" s="13" t="s">
        <v>37</v>
      </c>
      <c r="N944" s="13" t="s">
        <v>38</v>
      </c>
      <c r="O944" s="14">
        <v>32.4</v>
      </c>
      <c r="P944" s="14">
        <f t="shared" si="2"/>
        <v>291.6</v>
      </c>
      <c r="Q944" s="14">
        <v>32.32</v>
      </c>
    </row>
    <row r="945">
      <c r="A945" s="12">
        <v>42519.0</v>
      </c>
      <c r="B945" s="12"/>
      <c r="C945" s="12" t="s">
        <v>2335</v>
      </c>
      <c r="D945" s="6">
        <v>42435.0</v>
      </c>
      <c r="E945" s="15" t="str">
        <f t="shared" si="1"/>
        <v>Mar</v>
      </c>
      <c r="F945" s="13" t="s">
        <v>41</v>
      </c>
      <c r="G945" s="13" t="s">
        <v>2560</v>
      </c>
      <c r="H945" s="13" t="s">
        <v>2561</v>
      </c>
      <c r="I945" s="13" t="s">
        <v>23</v>
      </c>
      <c r="J945" s="13">
        <v>9.0</v>
      </c>
      <c r="K945" s="13" t="s">
        <v>62</v>
      </c>
      <c r="L945" s="13" t="s">
        <v>63</v>
      </c>
      <c r="M945" s="13" t="s">
        <v>37</v>
      </c>
      <c r="N945" s="13" t="s">
        <v>38</v>
      </c>
      <c r="O945" s="14">
        <v>540.57</v>
      </c>
      <c r="P945" s="14">
        <f t="shared" si="2"/>
        <v>4865.13</v>
      </c>
      <c r="Q945" s="14">
        <v>539.8</v>
      </c>
    </row>
    <row r="946">
      <c r="A946" s="12">
        <v>42519.0</v>
      </c>
      <c r="B946" s="12"/>
      <c r="C946" s="12" t="s">
        <v>2335</v>
      </c>
      <c r="D946" s="6">
        <v>42435.0</v>
      </c>
      <c r="E946" s="15" t="str">
        <f t="shared" si="1"/>
        <v>Mar</v>
      </c>
      <c r="F946" s="13" t="s">
        <v>41</v>
      </c>
      <c r="G946" s="13" t="s">
        <v>2560</v>
      </c>
      <c r="H946" s="13" t="s">
        <v>2561</v>
      </c>
      <c r="I946" s="13" t="s">
        <v>23</v>
      </c>
      <c r="J946" s="13">
        <v>9.0</v>
      </c>
      <c r="K946" s="13" t="s">
        <v>62</v>
      </c>
      <c r="L946" s="13" t="s">
        <v>63</v>
      </c>
      <c r="M946" s="13" t="s">
        <v>37</v>
      </c>
      <c r="N946" s="13" t="s">
        <v>38</v>
      </c>
      <c r="O946" s="14">
        <v>167.76</v>
      </c>
      <c r="P946" s="14">
        <f t="shared" si="2"/>
        <v>1509.84</v>
      </c>
      <c r="Q946" s="14">
        <v>167.02</v>
      </c>
    </row>
    <row r="947">
      <c r="A947" s="12">
        <v>42577.0</v>
      </c>
      <c r="B947" s="12"/>
      <c r="C947" s="12" t="s">
        <v>2348</v>
      </c>
      <c r="D947" s="1" t="s">
        <v>1621</v>
      </c>
      <c r="E947" s="15" t="str">
        <f t="shared" si="1"/>
        <v>Jul</v>
      </c>
      <c r="F947" s="13" t="s">
        <v>121</v>
      </c>
      <c r="G947" s="13" t="s">
        <v>2425</v>
      </c>
      <c r="H947" s="13" t="s">
        <v>2676</v>
      </c>
      <c r="I947" s="13" t="s">
        <v>23</v>
      </c>
      <c r="J947" s="13">
        <v>8.0</v>
      </c>
      <c r="K947" s="13" t="s">
        <v>1009</v>
      </c>
      <c r="L947" s="13" t="s">
        <v>193</v>
      </c>
      <c r="M947" s="13" t="s">
        <v>37</v>
      </c>
      <c r="N947" s="13" t="s">
        <v>27</v>
      </c>
      <c r="O947" s="14">
        <v>393.165</v>
      </c>
      <c r="P947" s="14">
        <f t="shared" si="2"/>
        <v>3145.32</v>
      </c>
      <c r="Q947" s="14">
        <v>392.86</v>
      </c>
    </row>
    <row r="948">
      <c r="A948" s="12">
        <v>43432.0</v>
      </c>
      <c r="B948" s="12"/>
      <c r="C948" s="12" t="s">
        <v>2326</v>
      </c>
      <c r="D948" s="6">
        <v>43143.0</v>
      </c>
      <c r="E948" s="15" t="str">
        <f t="shared" si="1"/>
        <v>Feb</v>
      </c>
      <c r="F948" s="13" t="s">
        <v>41</v>
      </c>
      <c r="G948" s="13" t="s">
        <v>2617</v>
      </c>
      <c r="H948" s="13" t="s">
        <v>2618</v>
      </c>
      <c r="I948" s="13" t="s">
        <v>68</v>
      </c>
      <c r="J948" s="13">
        <v>1.0</v>
      </c>
      <c r="K948" s="13" t="s">
        <v>98</v>
      </c>
      <c r="L948" s="13" t="s">
        <v>99</v>
      </c>
      <c r="M948" s="13" t="s">
        <v>100</v>
      </c>
      <c r="N948" s="13" t="s">
        <v>27</v>
      </c>
      <c r="O948" s="14">
        <v>516.488</v>
      </c>
      <c r="P948" s="14">
        <f t="shared" si="2"/>
        <v>516.488</v>
      </c>
      <c r="Q948" s="14">
        <v>516.14</v>
      </c>
    </row>
    <row r="949">
      <c r="A949" s="12">
        <v>43432.0</v>
      </c>
      <c r="B949" s="12"/>
      <c r="C949" s="12" t="s">
        <v>2326</v>
      </c>
      <c r="D949" s="6">
        <v>43143.0</v>
      </c>
      <c r="E949" s="15" t="str">
        <f t="shared" si="1"/>
        <v>Feb</v>
      </c>
      <c r="F949" s="13" t="s">
        <v>41</v>
      </c>
      <c r="G949" s="13" t="s">
        <v>2617</v>
      </c>
      <c r="H949" s="13" t="s">
        <v>2618</v>
      </c>
      <c r="I949" s="13" t="s">
        <v>68</v>
      </c>
      <c r="J949" s="13">
        <v>1.0</v>
      </c>
      <c r="K949" s="13" t="s">
        <v>98</v>
      </c>
      <c r="L949" s="13" t="s">
        <v>99</v>
      </c>
      <c r="M949" s="13" t="s">
        <v>100</v>
      </c>
      <c r="N949" s="13" t="s">
        <v>27</v>
      </c>
      <c r="O949" s="14">
        <v>1007.232</v>
      </c>
      <c r="P949" s="14">
        <f t="shared" si="2"/>
        <v>1007.232</v>
      </c>
      <c r="Q949" s="14">
        <v>1006.41</v>
      </c>
    </row>
    <row r="950">
      <c r="A950" s="12">
        <v>43432.0</v>
      </c>
      <c r="B950" s="12"/>
      <c r="C950" s="12" t="s">
        <v>2326</v>
      </c>
      <c r="D950" s="6">
        <v>43143.0</v>
      </c>
      <c r="E950" s="15" t="str">
        <f t="shared" si="1"/>
        <v>Feb</v>
      </c>
      <c r="F950" s="13" t="s">
        <v>41</v>
      </c>
      <c r="G950" s="13" t="s">
        <v>2617</v>
      </c>
      <c r="H950" s="13" t="s">
        <v>2618</v>
      </c>
      <c r="I950" s="13" t="s">
        <v>68</v>
      </c>
      <c r="J950" s="13">
        <v>1.0</v>
      </c>
      <c r="K950" s="13" t="s">
        <v>98</v>
      </c>
      <c r="L950" s="13" t="s">
        <v>99</v>
      </c>
      <c r="M950" s="13" t="s">
        <v>100</v>
      </c>
      <c r="N950" s="13" t="s">
        <v>27</v>
      </c>
      <c r="O950" s="14">
        <v>2065.32</v>
      </c>
      <c r="P950" s="14">
        <f t="shared" si="2"/>
        <v>2065.32</v>
      </c>
      <c r="Q950" s="14">
        <v>2065.16</v>
      </c>
    </row>
    <row r="951">
      <c r="A951" s="12">
        <v>43432.0</v>
      </c>
      <c r="B951" s="12"/>
      <c r="C951" s="12" t="s">
        <v>2326</v>
      </c>
      <c r="D951" s="6">
        <v>43143.0</v>
      </c>
      <c r="E951" s="15" t="str">
        <f t="shared" si="1"/>
        <v>Feb</v>
      </c>
      <c r="F951" s="13" t="s">
        <v>41</v>
      </c>
      <c r="G951" s="13" t="s">
        <v>2617</v>
      </c>
      <c r="H951" s="13" t="s">
        <v>2618</v>
      </c>
      <c r="I951" s="13" t="s">
        <v>68</v>
      </c>
      <c r="J951" s="13">
        <v>1.0</v>
      </c>
      <c r="K951" s="13" t="s">
        <v>98</v>
      </c>
      <c r="L951" s="13" t="s">
        <v>99</v>
      </c>
      <c r="M951" s="13" t="s">
        <v>100</v>
      </c>
      <c r="N951" s="13" t="s">
        <v>38</v>
      </c>
      <c r="O951" s="14">
        <v>15.552</v>
      </c>
      <c r="P951" s="14">
        <f t="shared" si="2"/>
        <v>15.552</v>
      </c>
      <c r="Q951" s="14">
        <v>15.27</v>
      </c>
    </row>
    <row r="952">
      <c r="A952" s="12">
        <v>43432.0</v>
      </c>
      <c r="B952" s="12"/>
      <c r="C952" s="12" t="s">
        <v>2326</v>
      </c>
      <c r="D952" s="6">
        <v>43143.0</v>
      </c>
      <c r="E952" s="15" t="str">
        <f t="shared" si="1"/>
        <v>Feb</v>
      </c>
      <c r="F952" s="13" t="s">
        <v>41</v>
      </c>
      <c r="G952" s="13" t="s">
        <v>2617</v>
      </c>
      <c r="H952" s="13" t="s">
        <v>2618</v>
      </c>
      <c r="I952" s="13" t="s">
        <v>68</v>
      </c>
      <c r="J952" s="13">
        <v>1.0</v>
      </c>
      <c r="K952" s="13" t="s">
        <v>98</v>
      </c>
      <c r="L952" s="13" t="s">
        <v>99</v>
      </c>
      <c r="M952" s="13" t="s">
        <v>100</v>
      </c>
      <c r="N952" s="13" t="s">
        <v>38</v>
      </c>
      <c r="O952" s="14">
        <v>25.344</v>
      </c>
      <c r="P952" s="14">
        <f t="shared" si="2"/>
        <v>25.344</v>
      </c>
      <c r="Q952" s="14">
        <v>24.98</v>
      </c>
    </row>
    <row r="953">
      <c r="A953" s="12">
        <v>43163.0</v>
      </c>
      <c r="B953" s="12"/>
      <c r="C953" s="12" t="s">
        <v>2399</v>
      </c>
      <c r="D953" s="6">
        <v>43285.0</v>
      </c>
      <c r="E953" s="15" t="str">
        <f t="shared" si="1"/>
        <v>Jul</v>
      </c>
      <c r="F953" s="13" t="s">
        <v>41</v>
      </c>
      <c r="G953" s="13" t="s">
        <v>2415</v>
      </c>
      <c r="H953" s="13" t="s">
        <v>2835</v>
      </c>
      <c r="I953" s="13" t="s">
        <v>23</v>
      </c>
      <c r="J953" s="13">
        <v>1.0</v>
      </c>
      <c r="K953" s="13" t="s">
        <v>98</v>
      </c>
      <c r="L953" s="13" t="s">
        <v>99</v>
      </c>
      <c r="M953" s="13" t="s">
        <v>100</v>
      </c>
      <c r="N953" s="13" t="s">
        <v>27</v>
      </c>
      <c r="O953" s="14">
        <v>25.472</v>
      </c>
      <c r="P953" s="14">
        <f t="shared" si="2"/>
        <v>25.472</v>
      </c>
      <c r="Q953" s="14">
        <v>24.85</v>
      </c>
    </row>
    <row r="954">
      <c r="A954" s="12">
        <v>43462.0</v>
      </c>
      <c r="B954" s="12"/>
      <c r="C954" s="12" t="s">
        <v>2325</v>
      </c>
      <c r="D954" s="6">
        <v>43466.0</v>
      </c>
      <c r="E954" s="15" t="str">
        <f t="shared" si="1"/>
        <v>Jan</v>
      </c>
      <c r="F954" s="13" t="s">
        <v>41</v>
      </c>
      <c r="G954" s="13" t="s">
        <v>2434</v>
      </c>
      <c r="H954" s="13" t="s">
        <v>2787</v>
      </c>
      <c r="I954" s="13" t="s">
        <v>23</v>
      </c>
      <c r="J954" s="13">
        <v>7.0</v>
      </c>
      <c r="K954" s="13" t="s">
        <v>1629</v>
      </c>
      <c r="L954" s="13" t="s">
        <v>70</v>
      </c>
      <c r="M954" s="13" t="s">
        <v>71</v>
      </c>
      <c r="N954" s="13" t="s">
        <v>38</v>
      </c>
      <c r="O954" s="14">
        <v>27.168</v>
      </c>
      <c r="P954" s="14">
        <f t="shared" si="2"/>
        <v>190.176</v>
      </c>
      <c r="Q954" s="14">
        <v>27.06</v>
      </c>
    </row>
    <row r="955">
      <c r="A955" s="12">
        <v>43462.0</v>
      </c>
      <c r="B955" s="12"/>
      <c r="C955" s="12" t="s">
        <v>2325</v>
      </c>
      <c r="D955" s="6">
        <v>43466.0</v>
      </c>
      <c r="E955" s="15" t="str">
        <f t="shared" si="1"/>
        <v>Jan</v>
      </c>
      <c r="F955" s="13" t="s">
        <v>41</v>
      </c>
      <c r="G955" s="13" t="s">
        <v>2434</v>
      </c>
      <c r="H955" s="13" t="s">
        <v>2787</v>
      </c>
      <c r="I955" s="13" t="s">
        <v>23</v>
      </c>
      <c r="J955" s="13">
        <v>7.0</v>
      </c>
      <c r="K955" s="13" t="s">
        <v>1629</v>
      </c>
      <c r="L955" s="13" t="s">
        <v>70</v>
      </c>
      <c r="M955" s="13" t="s">
        <v>71</v>
      </c>
      <c r="N955" s="13" t="s">
        <v>27</v>
      </c>
      <c r="O955" s="14">
        <v>78.8528</v>
      </c>
      <c r="P955" s="14">
        <f t="shared" si="2"/>
        <v>551.9696</v>
      </c>
      <c r="Q955" s="14">
        <v>78.51</v>
      </c>
    </row>
    <row r="956">
      <c r="A956" s="12">
        <v>43434.0</v>
      </c>
      <c r="B956" s="12"/>
      <c r="C956" s="12" t="s">
        <v>2326</v>
      </c>
      <c r="D956" s="6">
        <v>43202.0</v>
      </c>
      <c r="E956" s="15" t="str">
        <f t="shared" si="1"/>
        <v>Apr</v>
      </c>
      <c r="F956" s="13" t="s">
        <v>41</v>
      </c>
      <c r="G956" s="13" t="s">
        <v>2836</v>
      </c>
      <c r="H956" s="13" t="s">
        <v>2837</v>
      </c>
      <c r="I956" s="13" t="s">
        <v>23</v>
      </c>
      <c r="J956" s="13">
        <v>3.0</v>
      </c>
      <c r="K956" s="13" t="s">
        <v>205</v>
      </c>
      <c r="L956" s="13" t="s">
        <v>827</v>
      </c>
      <c r="M956" s="13" t="s">
        <v>26</v>
      </c>
      <c r="N956" s="13" t="s">
        <v>38</v>
      </c>
      <c r="O956" s="14">
        <v>173.8</v>
      </c>
      <c r="P956" s="14">
        <f t="shared" si="2"/>
        <v>521.4</v>
      </c>
      <c r="Q956" s="14">
        <v>173.33</v>
      </c>
    </row>
    <row r="957">
      <c r="A957" s="12">
        <v>43235.0</v>
      </c>
      <c r="B957" s="12"/>
      <c r="C957" s="12" t="s">
        <v>2335</v>
      </c>
      <c r="D957" s="1" t="s">
        <v>1634</v>
      </c>
      <c r="E957" s="15" t="str">
        <f t="shared" si="1"/>
        <v>May</v>
      </c>
      <c r="F957" s="13" t="s">
        <v>20</v>
      </c>
      <c r="G957" s="13" t="s">
        <v>2505</v>
      </c>
      <c r="H957" s="13" t="s">
        <v>2838</v>
      </c>
      <c r="I957" s="13" t="s">
        <v>23</v>
      </c>
      <c r="J957" s="13">
        <v>8.0</v>
      </c>
      <c r="K957" s="13" t="s">
        <v>328</v>
      </c>
      <c r="L957" s="13" t="s">
        <v>193</v>
      </c>
      <c r="M957" s="13" t="s">
        <v>37</v>
      </c>
      <c r="N957" s="13" t="s">
        <v>51</v>
      </c>
      <c r="O957" s="14">
        <v>29.592</v>
      </c>
      <c r="P957" s="14">
        <f t="shared" si="2"/>
        <v>236.736</v>
      </c>
      <c r="Q957" s="14">
        <v>28.89</v>
      </c>
    </row>
    <row r="958">
      <c r="A958" s="12">
        <v>43235.0</v>
      </c>
      <c r="B958" s="12"/>
      <c r="C958" s="12" t="s">
        <v>2335</v>
      </c>
      <c r="D958" s="1" t="s">
        <v>1634</v>
      </c>
      <c r="E958" s="15" t="str">
        <f t="shared" si="1"/>
        <v>May</v>
      </c>
      <c r="F958" s="13" t="s">
        <v>20</v>
      </c>
      <c r="G958" s="13" t="s">
        <v>2505</v>
      </c>
      <c r="H958" s="13" t="s">
        <v>2838</v>
      </c>
      <c r="I958" s="13" t="s">
        <v>23</v>
      </c>
      <c r="J958" s="13">
        <v>8.0</v>
      </c>
      <c r="K958" s="13" t="s">
        <v>328</v>
      </c>
      <c r="L958" s="13" t="s">
        <v>193</v>
      </c>
      <c r="M958" s="13" t="s">
        <v>37</v>
      </c>
      <c r="N958" s="13" t="s">
        <v>38</v>
      </c>
      <c r="O958" s="14">
        <v>4.752</v>
      </c>
      <c r="P958" s="14">
        <f t="shared" si="2"/>
        <v>38.016</v>
      </c>
      <c r="Q958" s="14">
        <v>3.8</v>
      </c>
    </row>
    <row r="959">
      <c r="A959" s="12">
        <v>43235.0</v>
      </c>
      <c r="B959" s="12"/>
      <c r="C959" s="12" t="s">
        <v>2335</v>
      </c>
      <c r="D959" s="1" t="s">
        <v>1634</v>
      </c>
      <c r="E959" s="15" t="str">
        <f t="shared" si="1"/>
        <v>May</v>
      </c>
      <c r="F959" s="13" t="s">
        <v>20</v>
      </c>
      <c r="G959" s="13" t="s">
        <v>2505</v>
      </c>
      <c r="H959" s="13" t="s">
        <v>2838</v>
      </c>
      <c r="I959" s="13" t="s">
        <v>23</v>
      </c>
      <c r="J959" s="13">
        <v>8.0</v>
      </c>
      <c r="K959" s="13" t="s">
        <v>328</v>
      </c>
      <c r="L959" s="13" t="s">
        <v>193</v>
      </c>
      <c r="M959" s="13" t="s">
        <v>37</v>
      </c>
      <c r="N959" s="13" t="s">
        <v>38</v>
      </c>
      <c r="O959" s="14">
        <v>15.552</v>
      </c>
      <c r="P959" s="14">
        <f t="shared" si="2"/>
        <v>124.416</v>
      </c>
      <c r="Q959" s="14">
        <v>15.55</v>
      </c>
    </row>
    <row r="960">
      <c r="A960" s="12">
        <v>42635.0</v>
      </c>
      <c r="B960" s="12"/>
      <c r="C960" s="12" t="s">
        <v>2329</v>
      </c>
      <c r="D960" s="1" t="s">
        <v>1074</v>
      </c>
      <c r="E960" s="15" t="str">
        <f t="shared" si="1"/>
        <v>Sep</v>
      </c>
      <c r="F960" s="13" t="s">
        <v>717</v>
      </c>
      <c r="G960" s="13" t="s">
        <v>2839</v>
      </c>
      <c r="H960" s="13" t="s">
        <v>2840</v>
      </c>
      <c r="I960" s="13" t="s">
        <v>23</v>
      </c>
      <c r="J960" s="13">
        <v>9.0</v>
      </c>
      <c r="K960" s="13" t="s">
        <v>1313</v>
      </c>
      <c r="L960" s="13" t="s">
        <v>52</v>
      </c>
      <c r="M960" s="13" t="s">
        <v>37</v>
      </c>
      <c r="N960" s="13" t="s">
        <v>27</v>
      </c>
      <c r="O960" s="14">
        <v>204.6</v>
      </c>
      <c r="P960" s="14">
        <f t="shared" si="2"/>
        <v>1841.4</v>
      </c>
      <c r="Q960" s="14">
        <v>204.29</v>
      </c>
    </row>
    <row r="961">
      <c r="A961" s="12">
        <v>43418.0</v>
      </c>
      <c r="B961" s="12"/>
      <c r="C961" s="12" t="s">
        <v>2326</v>
      </c>
      <c r="D961" s="1" t="s">
        <v>1641</v>
      </c>
      <c r="E961" s="15" t="str">
        <f t="shared" si="1"/>
        <v>Nov</v>
      </c>
      <c r="F961" s="13" t="s">
        <v>41</v>
      </c>
      <c r="G961" s="13" t="s">
        <v>2443</v>
      </c>
      <c r="H961" s="13" t="s">
        <v>2825</v>
      </c>
      <c r="I961" s="13" t="s">
        <v>34</v>
      </c>
      <c r="J961" s="13">
        <v>9.0</v>
      </c>
      <c r="K961" s="13" t="s">
        <v>87</v>
      </c>
      <c r="L961" s="13" t="s">
        <v>52</v>
      </c>
      <c r="M961" s="13" t="s">
        <v>37</v>
      </c>
      <c r="N961" s="13" t="s">
        <v>27</v>
      </c>
      <c r="O961" s="14">
        <v>321.568</v>
      </c>
      <c r="P961" s="14">
        <f t="shared" si="2"/>
        <v>2894.112</v>
      </c>
      <c r="Q961" s="14">
        <v>321.44</v>
      </c>
    </row>
    <row r="962">
      <c r="A962" s="12">
        <v>42701.0</v>
      </c>
      <c r="B962" s="12"/>
      <c r="C962" s="12" t="s">
        <v>2326</v>
      </c>
      <c r="D962" s="6">
        <v>42381.0</v>
      </c>
      <c r="E962" s="15" t="str">
        <f t="shared" si="1"/>
        <v>Jan</v>
      </c>
      <c r="F962" s="13" t="s">
        <v>41</v>
      </c>
      <c r="G962" s="13" t="s">
        <v>2548</v>
      </c>
      <c r="H962" s="13" t="s">
        <v>2841</v>
      </c>
      <c r="I962" s="13" t="s">
        <v>68</v>
      </c>
      <c r="J962" s="13">
        <v>7.0</v>
      </c>
      <c r="K962" s="13" t="s">
        <v>943</v>
      </c>
      <c r="L962" s="13" t="s">
        <v>944</v>
      </c>
      <c r="M962" s="13" t="s">
        <v>26</v>
      </c>
      <c r="N962" s="13" t="s">
        <v>38</v>
      </c>
      <c r="O962" s="14">
        <v>6.24</v>
      </c>
      <c r="P962" s="14">
        <f t="shared" si="2"/>
        <v>43.68</v>
      </c>
      <c r="Q962" s="14">
        <v>6.13</v>
      </c>
    </row>
    <row r="963">
      <c r="A963" s="12">
        <v>42744.0</v>
      </c>
      <c r="B963" s="12"/>
      <c r="C963" s="12" t="s">
        <v>2353</v>
      </c>
      <c r="D963" s="6">
        <v>42834.0</v>
      </c>
      <c r="E963" s="15" t="str">
        <f t="shared" si="1"/>
        <v>Apr</v>
      </c>
      <c r="F963" s="13" t="s">
        <v>121</v>
      </c>
      <c r="G963" s="13" t="s">
        <v>2425</v>
      </c>
      <c r="H963" s="13" t="s">
        <v>2426</v>
      </c>
      <c r="I963" s="13" t="s">
        <v>34</v>
      </c>
      <c r="J963" s="13">
        <v>9.0</v>
      </c>
      <c r="K963" s="13" t="s">
        <v>87</v>
      </c>
      <c r="L963" s="13" t="s">
        <v>52</v>
      </c>
      <c r="M963" s="13" t="s">
        <v>37</v>
      </c>
      <c r="N963" s="13" t="s">
        <v>38</v>
      </c>
      <c r="O963" s="14">
        <v>21.88</v>
      </c>
      <c r="P963" s="14">
        <f t="shared" si="2"/>
        <v>196.92</v>
      </c>
      <c r="Q963" s="14">
        <v>21.28</v>
      </c>
    </row>
    <row r="964">
      <c r="A964" s="12">
        <v>42269.0</v>
      </c>
      <c r="B964" s="12"/>
      <c r="C964" s="12" t="s">
        <v>2329</v>
      </c>
      <c r="D964" s="1" t="s">
        <v>651</v>
      </c>
      <c r="E964" s="15" t="str">
        <f t="shared" si="1"/>
        <v>Sep</v>
      </c>
      <c r="F964" s="13" t="s">
        <v>20</v>
      </c>
      <c r="G964" s="13" t="s">
        <v>2647</v>
      </c>
      <c r="H964" s="13" t="s">
        <v>2821</v>
      </c>
      <c r="I964" s="13" t="s">
        <v>23</v>
      </c>
      <c r="J964" s="13">
        <v>3.0</v>
      </c>
      <c r="K964" s="13" t="s">
        <v>1649</v>
      </c>
      <c r="L964" s="13" t="s">
        <v>145</v>
      </c>
      <c r="M964" s="13" t="s">
        <v>26</v>
      </c>
      <c r="N964" s="13" t="s">
        <v>38</v>
      </c>
      <c r="O964" s="14">
        <v>4.608</v>
      </c>
      <c r="P964" s="14">
        <f t="shared" si="2"/>
        <v>13.824</v>
      </c>
      <c r="Q964" s="14">
        <v>3.7</v>
      </c>
    </row>
    <row r="965">
      <c r="A965" s="12">
        <v>43347.0</v>
      </c>
      <c r="B965" s="12"/>
      <c r="C965" s="12" t="s">
        <v>2329</v>
      </c>
      <c r="D965" s="6">
        <v>43408.0</v>
      </c>
      <c r="E965" s="15" t="str">
        <f t="shared" si="1"/>
        <v>Nov</v>
      </c>
      <c r="F965" s="13" t="s">
        <v>121</v>
      </c>
      <c r="G965" s="13" t="s">
        <v>2781</v>
      </c>
      <c r="H965" s="13" t="s">
        <v>2842</v>
      </c>
      <c r="I965" s="13" t="s">
        <v>68</v>
      </c>
      <c r="J965" s="13">
        <v>1.0</v>
      </c>
      <c r="K965" s="13" t="s">
        <v>174</v>
      </c>
      <c r="L965" s="13" t="s">
        <v>175</v>
      </c>
      <c r="M965" s="13" t="s">
        <v>100</v>
      </c>
      <c r="N965" s="13" t="s">
        <v>38</v>
      </c>
      <c r="O965" s="14">
        <v>9.82</v>
      </c>
      <c r="P965" s="14">
        <f t="shared" si="2"/>
        <v>9.82</v>
      </c>
      <c r="Q965" s="14">
        <v>9.0</v>
      </c>
    </row>
    <row r="966">
      <c r="A966" s="12">
        <v>43347.0</v>
      </c>
      <c r="B966" s="12"/>
      <c r="C966" s="12" t="s">
        <v>2329</v>
      </c>
      <c r="D966" s="6">
        <v>43408.0</v>
      </c>
      <c r="E966" s="15" t="str">
        <f t="shared" si="1"/>
        <v>Nov</v>
      </c>
      <c r="F966" s="13" t="s">
        <v>121</v>
      </c>
      <c r="G966" s="13" t="s">
        <v>2781</v>
      </c>
      <c r="H966" s="13" t="s">
        <v>2842</v>
      </c>
      <c r="I966" s="13" t="s">
        <v>68</v>
      </c>
      <c r="J966" s="13">
        <v>1.0</v>
      </c>
      <c r="K966" s="13" t="s">
        <v>174</v>
      </c>
      <c r="L966" s="13" t="s">
        <v>175</v>
      </c>
      <c r="M966" s="13" t="s">
        <v>100</v>
      </c>
      <c r="N966" s="13" t="s">
        <v>38</v>
      </c>
      <c r="O966" s="14">
        <v>35.97</v>
      </c>
      <c r="P966" s="14">
        <f t="shared" si="2"/>
        <v>35.97</v>
      </c>
      <c r="Q966" s="14">
        <v>35.61</v>
      </c>
    </row>
    <row r="967">
      <c r="A967" s="12">
        <v>43347.0</v>
      </c>
      <c r="B967" s="12"/>
      <c r="C967" s="12" t="s">
        <v>2329</v>
      </c>
      <c r="D967" s="6">
        <v>43408.0</v>
      </c>
      <c r="E967" s="15" t="str">
        <f t="shared" si="1"/>
        <v>Nov</v>
      </c>
      <c r="F967" s="13" t="s">
        <v>121</v>
      </c>
      <c r="G967" s="13" t="s">
        <v>2781</v>
      </c>
      <c r="H967" s="13" t="s">
        <v>2842</v>
      </c>
      <c r="I967" s="13" t="s">
        <v>68</v>
      </c>
      <c r="J967" s="13">
        <v>1.0</v>
      </c>
      <c r="K967" s="13" t="s">
        <v>174</v>
      </c>
      <c r="L967" s="13" t="s">
        <v>175</v>
      </c>
      <c r="M967" s="13" t="s">
        <v>100</v>
      </c>
      <c r="N967" s="13" t="s">
        <v>38</v>
      </c>
      <c r="O967" s="14">
        <v>12.96</v>
      </c>
      <c r="P967" s="14">
        <f t="shared" si="2"/>
        <v>12.96</v>
      </c>
      <c r="Q967" s="14">
        <v>12.91</v>
      </c>
    </row>
    <row r="968">
      <c r="A968" s="12">
        <v>43347.0</v>
      </c>
      <c r="B968" s="12"/>
      <c r="C968" s="12" t="s">
        <v>2329</v>
      </c>
      <c r="D968" s="6">
        <v>43408.0</v>
      </c>
      <c r="E968" s="15" t="str">
        <f t="shared" si="1"/>
        <v>Nov</v>
      </c>
      <c r="F968" s="13" t="s">
        <v>121</v>
      </c>
      <c r="G968" s="13" t="s">
        <v>2781</v>
      </c>
      <c r="H968" s="13" t="s">
        <v>2842</v>
      </c>
      <c r="I968" s="13" t="s">
        <v>68</v>
      </c>
      <c r="J968" s="13">
        <v>1.0</v>
      </c>
      <c r="K968" s="13" t="s">
        <v>174</v>
      </c>
      <c r="L968" s="13" t="s">
        <v>175</v>
      </c>
      <c r="M968" s="13" t="s">
        <v>100</v>
      </c>
      <c r="N968" s="13" t="s">
        <v>38</v>
      </c>
      <c r="O968" s="14">
        <v>191.6</v>
      </c>
      <c r="P968" s="14">
        <f t="shared" si="2"/>
        <v>191.6</v>
      </c>
      <c r="Q968" s="14">
        <v>191.09</v>
      </c>
    </row>
    <row r="969">
      <c r="A969" s="12">
        <v>43347.0</v>
      </c>
      <c r="B969" s="12"/>
      <c r="C969" s="12" t="s">
        <v>2329</v>
      </c>
      <c r="D969" s="6">
        <v>43408.0</v>
      </c>
      <c r="E969" s="15" t="str">
        <f t="shared" si="1"/>
        <v>Nov</v>
      </c>
      <c r="F969" s="13" t="s">
        <v>121</v>
      </c>
      <c r="G969" s="13" t="s">
        <v>2781</v>
      </c>
      <c r="H969" s="13" t="s">
        <v>2842</v>
      </c>
      <c r="I969" s="13" t="s">
        <v>68</v>
      </c>
      <c r="J969" s="13">
        <v>1.0</v>
      </c>
      <c r="K969" s="13" t="s">
        <v>174</v>
      </c>
      <c r="L969" s="13" t="s">
        <v>175</v>
      </c>
      <c r="M969" s="13" t="s">
        <v>100</v>
      </c>
      <c r="N969" s="13" t="s">
        <v>38</v>
      </c>
      <c r="O969" s="14">
        <v>8.64</v>
      </c>
      <c r="P969" s="14">
        <f t="shared" si="2"/>
        <v>8.64</v>
      </c>
      <c r="Q969" s="14">
        <v>7.67</v>
      </c>
    </row>
    <row r="970">
      <c r="A970" s="12">
        <v>43347.0</v>
      </c>
      <c r="B970" s="12"/>
      <c r="C970" s="12" t="s">
        <v>2329</v>
      </c>
      <c r="D970" s="6">
        <v>43408.0</v>
      </c>
      <c r="E970" s="15" t="str">
        <f t="shared" si="1"/>
        <v>Nov</v>
      </c>
      <c r="F970" s="13" t="s">
        <v>121</v>
      </c>
      <c r="G970" s="13" t="s">
        <v>2781</v>
      </c>
      <c r="H970" s="13" t="s">
        <v>2842</v>
      </c>
      <c r="I970" s="13" t="s">
        <v>68</v>
      </c>
      <c r="J970" s="13">
        <v>1.0</v>
      </c>
      <c r="K970" s="13" t="s">
        <v>174</v>
      </c>
      <c r="L970" s="13" t="s">
        <v>175</v>
      </c>
      <c r="M970" s="13" t="s">
        <v>100</v>
      </c>
      <c r="N970" s="13" t="s">
        <v>38</v>
      </c>
      <c r="O970" s="14">
        <v>501.81</v>
      </c>
      <c r="P970" s="14">
        <f t="shared" si="2"/>
        <v>501.81</v>
      </c>
      <c r="Q970" s="14">
        <v>501.68</v>
      </c>
    </row>
    <row r="971">
      <c r="A971" s="12">
        <v>42020.0</v>
      </c>
      <c r="B971" s="12"/>
      <c r="C971" s="12" t="s">
        <v>2353</v>
      </c>
      <c r="D971" s="1" t="s">
        <v>1654</v>
      </c>
      <c r="E971" s="15" t="str">
        <f t="shared" si="1"/>
        <v>Jan</v>
      </c>
      <c r="F971" s="13" t="s">
        <v>20</v>
      </c>
      <c r="G971" s="13" t="s">
        <v>2519</v>
      </c>
      <c r="H971" s="13" t="s">
        <v>2520</v>
      </c>
      <c r="I971" s="13" t="s">
        <v>23</v>
      </c>
      <c r="J971" s="13">
        <v>1.0</v>
      </c>
      <c r="K971" s="13" t="s">
        <v>98</v>
      </c>
      <c r="L971" s="13" t="s">
        <v>99</v>
      </c>
      <c r="M971" s="13" t="s">
        <v>100</v>
      </c>
      <c r="N971" s="13" t="s">
        <v>27</v>
      </c>
      <c r="O971" s="14">
        <v>127.104</v>
      </c>
      <c r="P971" s="14">
        <f t="shared" si="2"/>
        <v>127.104</v>
      </c>
      <c r="Q971" s="14">
        <v>126.74</v>
      </c>
    </row>
    <row r="972">
      <c r="A972" s="12">
        <v>42020.0</v>
      </c>
      <c r="B972" s="12"/>
      <c r="C972" s="12" t="s">
        <v>2353</v>
      </c>
      <c r="D972" s="1" t="s">
        <v>1654</v>
      </c>
      <c r="E972" s="15" t="str">
        <f t="shared" si="1"/>
        <v>Jan</v>
      </c>
      <c r="F972" s="13" t="s">
        <v>20</v>
      </c>
      <c r="G972" s="13" t="s">
        <v>2519</v>
      </c>
      <c r="H972" s="13" t="s">
        <v>2520</v>
      </c>
      <c r="I972" s="13" t="s">
        <v>23</v>
      </c>
      <c r="J972" s="13">
        <v>1.0</v>
      </c>
      <c r="K972" s="13" t="s">
        <v>98</v>
      </c>
      <c r="L972" s="13" t="s">
        <v>99</v>
      </c>
      <c r="M972" s="13" t="s">
        <v>100</v>
      </c>
      <c r="N972" s="13" t="s">
        <v>51</v>
      </c>
      <c r="O972" s="14">
        <v>124.2</v>
      </c>
      <c r="P972" s="14">
        <f t="shared" si="2"/>
        <v>124.2</v>
      </c>
      <c r="Q972" s="14">
        <v>123.49</v>
      </c>
    </row>
    <row r="973">
      <c r="A973" s="12">
        <v>42020.0</v>
      </c>
      <c r="B973" s="12"/>
      <c r="C973" s="12" t="s">
        <v>2353</v>
      </c>
      <c r="D973" s="1" t="s">
        <v>1654</v>
      </c>
      <c r="E973" s="15" t="str">
        <f t="shared" si="1"/>
        <v>Jan</v>
      </c>
      <c r="F973" s="13" t="s">
        <v>20</v>
      </c>
      <c r="G973" s="13" t="s">
        <v>2519</v>
      </c>
      <c r="H973" s="13" t="s">
        <v>2520</v>
      </c>
      <c r="I973" s="13" t="s">
        <v>23</v>
      </c>
      <c r="J973" s="13">
        <v>1.0</v>
      </c>
      <c r="K973" s="13" t="s">
        <v>98</v>
      </c>
      <c r="L973" s="13" t="s">
        <v>99</v>
      </c>
      <c r="M973" s="13" t="s">
        <v>100</v>
      </c>
      <c r="N973" s="13" t="s">
        <v>38</v>
      </c>
      <c r="O973" s="14">
        <v>18.588</v>
      </c>
      <c r="P973" s="14">
        <f t="shared" si="2"/>
        <v>18.588</v>
      </c>
      <c r="Q973" s="14">
        <v>18.21</v>
      </c>
    </row>
    <row r="974">
      <c r="A974" s="12">
        <v>42020.0</v>
      </c>
      <c r="B974" s="12"/>
      <c r="C974" s="12" t="s">
        <v>2353</v>
      </c>
      <c r="D974" s="1" t="s">
        <v>1654</v>
      </c>
      <c r="E974" s="15" t="str">
        <f t="shared" si="1"/>
        <v>Jan</v>
      </c>
      <c r="F974" s="13" t="s">
        <v>20</v>
      </c>
      <c r="G974" s="13" t="s">
        <v>2519</v>
      </c>
      <c r="H974" s="13" t="s">
        <v>2520</v>
      </c>
      <c r="I974" s="13" t="s">
        <v>23</v>
      </c>
      <c r="J974" s="13">
        <v>1.0</v>
      </c>
      <c r="K974" s="13" t="s">
        <v>98</v>
      </c>
      <c r="L974" s="13" t="s">
        <v>99</v>
      </c>
      <c r="M974" s="13" t="s">
        <v>100</v>
      </c>
      <c r="N974" s="13" t="s">
        <v>38</v>
      </c>
      <c r="O974" s="14">
        <v>30.072</v>
      </c>
      <c r="P974" s="14">
        <f t="shared" si="2"/>
        <v>30.072</v>
      </c>
      <c r="Q974" s="14">
        <v>29.51</v>
      </c>
    </row>
    <row r="975">
      <c r="A975" s="12">
        <v>43230.0</v>
      </c>
      <c r="B975" s="12"/>
      <c r="C975" s="12" t="s">
        <v>2335</v>
      </c>
      <c r="D975" s="6">
        <v>43322.0</v>
      </c>
      <c r="E975" s="15" t="str">
        <f t="shared" si="1"/>
        <v>Aug</v>
      </c>
      <c r="F975" s="13" t="s">
        <v>20</v>
      </c>
      <c r="G975" s="13" t="s">
        <v>2764</v>
      </c>
      <c r="H975" s="13" t="s">
        <v>2765</v>
      </c>
      <c r="I975" s="13" t="s">
        <v>68</v>
      </c>
      <c r="J975" s="13">
        <v>1.0</v>
      </c>
      <c r="K975" s="13" t="s">
        <v>174</v>
      </c>
      <c r="L975" s="13" t="s">
        <v>175</v>
      </c>
      <c r="M975" s="13" t="s">
        <v>100</v>
      </c>
      <c r="N975" s="13" t="s">
        <v>51</v>
      </c>
      <c r="O975" s="14">
        <v>160.93</v>
      </c>
      <c r="P975" s="14">
        <f t="shared" si="2"/>
        <v>160.93</v>
      </c>
      <c r="Q975" s="14">
        <v>160.25</v>
      </c>
    </row>
    <row r="976">
      <c r="A976" s="12">
        <v>43230.0</v>
      </c>
      <c r="B976" s="12"/>
      <c r="C976" s="12" t="s">
        <v>2335</v>
      </c>
      <c r="D976" s="6">
        <v>43322.0</v>
      </c>
      <c r="E976" s="15" t="str">
        <f t="shared" si="1"/>
        <v>Aug</v>
      </c>
      <c r="F976" s="13" t="s">
        <v>20</v>
      </c>
      <c r="G976" s="13" t="s">
        <v>2764</v>
      </c>
      <c r="H976" s="13" t="s">
        <v>2765</v>
      </c>
      <c r="I976" s="13" t="s">
        <v>68</v>
      </c>
      <c r="J976" s="13">
        <v>1.0</v>
      </c>
      <c r="K976" s="13" t="s">
        <v>174</v>
      </c>
      <c r="L976" s="13" t="s">
        <v>175</v>
      </c>
      <c r="M976" s="13" t="s">
        <v>100</v>
      </c>
      <c r="N976" s="13" t="s">
        <v>38</v>
      </c>
      <c r="O976" s="14">
        <v>75.792</v>
      </c>
      <c r="P976" s="14">
        <f t="shared" si="2"/>
        <v>75.792</v>
      </c>
      <c r="Q976" s="14">
        <v>75.6</v>
      </c>
    </row>
    <row r="977">
      <c r="A977" s="12">
        <v>43350.0</v>
      </c>
      <c r="B977" s="12"/>
      <c r="C977" s="12" t="s">
        <v>2329</v>
      </c>
      <c r="D977" s="1" t="s">
        <v>1657</v>
      </c>
      <c r="E977" s="15" t="str">
        <f t="shared" si="1"/>
        <v>Jul</v>
      </c>
      <c r="F977" s="13" t="s">
        <v>41</v>
      </c>
      <c r="G977" s="13" t="s">
        <v>2458</v>
      </c>
      <c r="H977" s="13" t="s">
        <v>2567</v>
      </c>
      <c r="I977" s="13" t="s">
        <v>23</v>
      </c>
      <c r="J977" s="13">
        <v>9.0</v>
      </c>
      <c r="K977" s="13" t="s">
        <v>255</v>
      </c>
      <c r="L977" s="13" t="s">
        <v>256</v>
      </c>
      <c r="M977" s="13" t="s">
        <v>37</v>
      </c>
      <c r="N977" s="13" t="s">
        <v>38</v>
      </c>
      <c r="O977" s="14">
        <v>1.08</v>
      </c>
      <c r="P977" s="14">
        <f t="shared" si="2"/>
        <v>9.72</v>
      </c>
      <c r="Q977" s="14">
        <v>0.62</v>
      </c>
    </row>
    <row r="978">
      <c r="A978" s="12">
        <v>43282.0</v>
      </c>
      <c r="B978" s="12"/>
      <c r="C978" s="12" t="s">
        <v>2348</v>
      </c>
      <c r="D978" s="6">
        <v>43374.0</v>
      </c>
      <c r="E978" s="15" t="str">
        <f t="shared" si="1"/>
        <v>Oct</v>
      </c>
      <c r="F978" s="13" t="s">
        <v>121</v>
      </c>
      <c r="G978" s="13" t="s">
        <v>2596</v>
      </c>
      <c r="H978" s="13" t="s">
        <v>2793</v>
      </c>
      <c r="I978" s="13" t="s">
        <v>34</v>
      </c>
      <c r="J978" s="13">
        <v>4.0</v>
      </c>
      <c r="K978" s="13" t="s">
        <v>513</v>
      </c>
      <c r="L978" s="13" t="s">
        <v>157</v>
      </c>
      <c r="M978" s="13" t="s">
        <v>71</v>
      </c>
      <c r="N978" s="13" t="s">
        <v>51</v>
      </c>
      <c r="O978" s="14">
        <v>3059.982</v>
      </c>
      <c r="P978" s="14">
        <f t="shared" si="2"/>
        <v>12239.928</v>
      </c>
      <c r="Q978" s="14">
        <v>3059.46</v>
      </c>
    </row>
    <row r="979">
      <c r="A979" s="12">
        <v>42885.0</v>
      </c>
      <c r="B979" s="12"/>
      <c r="C979" s="12" t="s">
        <v>2335</v>
      </c>
      <c r="D979" s="1" t="s">
        <v>1660</v>
      </c>
      <c r="E979" s="15" t="str">
        <f t="shared" si="1"/>
        <v>May</v>
      </c>
      <c r="F979" s="13" t="s">
        <v>121</v>
      </c>
      <c r="G979" s="13" t="s">
        <v>2480</v>
      </c>
      <c r="H979" s="13" t="s">
        <v>2843</v>
      </c>
      <c r="I979" s="13" t="s">
        <v>23</v>
      </c>
      <c r="J979" s="13">
        <v>2.0</v>
      </c>
      <c r="K979" s="13" t="s">
        <v>315</v>
      </c>
      <c r="L979" s="13" t="s">
        <v>58</v>
      </c>
      <c r="M979" s="13" t="s">
        <v>26</v>
      </c>
      <c r="N979" s="13" t="s">
        <v>38</v>
      </c>
      <c r="O979" s="14">
        <v>3.282</v>
      </c>
      <c r="P979" s="14">
        <f t="shared" si="2"/>
        <v>6.564</v>
      </c>
      <c r="Q979" s="14">
        <v>2.42</v>
      </c>
    </row>
    <row r="980">
      <c r="A980" s="12">
        <v>42625.0</v>
      </c>
      <c r="B980" s="12"/>
      <c r="C980" s="12" t="s">
        <v>2329</v>
      </c>
      <c r="D980" s="5">
        <v>42716.0</v>
      </c>
      <c r="E980" s="15" t="str">
        <f t="shared" si="1"/>
        <v>Dec</v>
      </c>
      <c r="F980" s="13" t="s">
        <v>121</v>
      </c>
      <c r="G980" s="13" t="s">
        <v>2346</v>
      </c>
      <c r="H980" s="13" t="s">
        <v>2394</v>
      </c>
      <c r="I980" s="13" t="s">
        <v>34</v>
      </c>
      <c r="J980" s="13">
        <v>4.0</v>
      </c>
      <c r="K980" s="13" t="s">
        <v>303</v>
      </c>
      <c r="L980" s="13" t="s">
        <v>169</v>
      </c>
      <c r="M980" s="13" t="s">
        <v>71</v>
      </c>
      <c r="N980" s="13" t="s">
        <v>38</v>
      </c>
      <c r="O980" s="14">
        <v>34.02</v>
      </c>
      <c r="P980" s="14">
        <f t="shared" si="2"/>
        <v>136.08</v>
      </c>
      <c r="Q980" s="14">
        <v>33.18</v>
      </c>
    </row>
    <row r="981">
      <c r="A981" s="12">
        <v>42804.0</v>
      </c>
      <c r="B981" s="12"/>
      <c r="C981" s="12" t="s">
        <v>2399</v>
      </c>
      <c r="D981" s="6">
        <v>42957.0</v>
      </c>
      <c r="E981" s="15" t="str">
        <f t="shared" si="1"/>
        <v>Aug</v>
      </c>
      <c r="F981" s="13" t="s">
        <v>41</v>
      </c>
      <c r="G981" s="13" t="s">
        <v>2351</v>
      </c>
      <c r="H981" s="13" t="s">
        <v>2352</v>
      </c>
      <c r="I981" s="13" t="s">
        <v>23</v>
      </c>
      <c r="J981" s="13">
        <v>1.0</v>
      </c>
      <c r="K981" s="13" t="s">
        <v>174</v>
      </c>
      <c r="L981" s="13" t="s">
        <v>175</v>
      </c>
      <c r="M981" s="13" t="s">
        <v>100</v>
      </c>
      <c r="N981" s="13" t="s">
        <v>27</v>
      </c>
      <c r="O981" s="14">
        <v>599.292</v>
      </c>
      <c r="P981" s="14">
        <f t="shared" si="2"/>
        <v>599.292</v>
      </c>
      <c r="Q981" s="14">
        <v>599.26</v>
      </c>
    </row>
    <row r="982">
      <c r="A982" s="12">
        <v>42319.0</v>
      </c>
      <c r="B982" s="12"/>
      <c r="C982" s="12" t="s">
        <v>2326</v>
      </c>
      <c r="D982" s="1" t="s">
        <v>1666</v>
      </c>
      <c r="E982" s="15" t="str">
        <f t="shared" si="1"/>
        <v>Nov</v>
      </c>
      <c r="F982" s="13" t="s">
        <v>20</v>
      </c>
      <c r="G982" s="13" t="s">
        <v>2356</v>
      </c>
      <c r="H982" s="13" t="s">
        <v>2844</v>
      </c>
      <c r="I982" s="13" t="s">
        <v>23</v>
      </c>
      <c r="J982" s="13">
        <v>8.0</v>
      </c>
      <c r="K982" s="13" t="s">
        <v>818</v>
      </c>
      <c r="L982" s="13" t="s">
        <v>279</v>
      </c>
      <c r="M982" s="13" t="s">
        <v>37</v>
      </c>
      <c r="N982" s="13" t="s">
        <v>38</v>
      </c>
      <c r="O982" s="14">
        <v>3.392</v>
      </c>
      <c r="P982" s="14">
        <f t="shared" si="2"/>
        <v>27.136</v>
      </c>
      <c r="Q982" s="14">
        <v>3.21</v>
      </c>
    </row>
    <row r="983">
      <c r="A983" s="12">
        <v>42319.0</v>
      </c>
      <c r="B983" s="12"/>
      <c r="C983" s="12" t="s">
        <v>2326</v>
      </c>
      <c r="D983" s="1" t="s">
        <v>1666</v>
      </c>
      <c r="E983" s="15" t="str">
        <f t="shared" si="1"/>
        <v>Nov</v>
      </c>
      <c r="F983" s="13" t="s">
        <v>20</v>
      </c>
      <c r="G983" s="13" t="s">
        <v>2356</v>
      </c>
      <c r="H983" s="13" t="s">
        <v>2844</v>
      </c>
      <c r="I983" s="13" t="s">
        <v>23</v>
      </c>
      <c r="J983" s="13">
        <v>8.0</v>
      </c>
      <c r="K983" s="13" t="s">
        <v>818</v>
      </c>
      <c r="L983" s="13" t="s">
        <v>279</v>
      </c>
      <c r="M983" s="13" t="s">
        <v>37</v>
      </c>
      <c r="N983" s="13" t="s">
        <v>51</v>
      </c>
      <c r="O983" s="14">
        <v>559.984</v>
      </c>
      <c r="P983" s="14">
        <f t="shared" si="2"/>
        <v>4479.872</v>
      </c>
      <c r="Q983" s="14">
        <v>559.5</v>
      </c>
    </row>
    <row r="984">
      <c r="A984" s="12">
        <v>42319.0</v>
      </c>
      <c r="B984" s="12"/>
      <c r="C984" s="12" t="s">
        <v>2326</v>
      </c>
      <c r="D984" s="1" t="s">
        <v>1666</v>
      </c>
      <c r="E984" s="15" t="str">
        <f t="shared" si="1"/>
        <v>Nov</v>
      </c>
      <c r="F984" s="13" t="s">
        <v>20</v>
      </c>
      <c r="G984" s="13" t="s">
        <v>2356</v>
      </c>
      <c r="H984" s="13" t="s">
        <v>2844</v>
      </c>
      <c r="I984" s="13" t="s">
        <v>23</v>
      </c>
      <c r="J984" s="13">
        <v>8.0</v>
      </c>
      <c r="K984" s="13" t="s">
        <v>818</v>
      </c>
      <c r="L984" s="13" t="s">
        <v>279</v>
      </c>
      <c r="M984" s="13" t="s">
        <v>37</v>
      </c>
      <c r="N984" s="13" t="s">
        <v>27</v>
      </c>
      <c r="O984" s="14">
        <v>603.92</v>
      </c>
      <c r="P984" s="14">
        <f t="shared" si="2"/>
        <v>4831.36</v>
      </c>
      <c r="Q984" s="14">
        <v>603.59</v>
      </c>
    </row>
    <row r="985">
      <c r="A985" s="12">
        <v>43372.0</v>
      </c>
      <c r="B985" s="12"/>
      <c r="C985" s="12" t="s">
        <v>2329</v>
      </c>
      <c r="D985" s="6">
        <v>43230.0</v>
      </c>
      <c r="E985" s="15" t="str">
        <f t="shared" si="1"/>
        <v>May</v>
      </c>
      <c r="F985" s="13" t="s">
        <v>41</v>
      </c>
      <c r="G985" s="13" t="s">
        <v>2845</v>
      </c>
      <c r="H985" s="13" t="s">
        <v>2846</v>
      </c>
      <c r="I985" s="13" t="s">
        <v>68</v>
      </c>
      <c r="J985" s="13">
        <v>7.0</v>
      </c>
      <c r="K985" s="13" t="s">
        <v>355</v>
      </c>
      <c r="L985" s="13" t="s">
        <v>70</v>
      </c>
      <c r="M985" s="13" t="s">
        <v>71</v>
      </c>
      <c r="N985" s="13" t="s">
        <v>38</v>
      </c>
      <c r="O985" s="14">
        <v>7.968</v>
      </c>
      <c r="P985" s="14">
        <f t="shared" si="2"/>
        <v>55.776</v>
      </c>
      <c r="Q985" s="14">
        <v>7.61</v>
      </c>
    </row>
    <row r="986">
      <c r="A986" s="12">
        <v>43372.0</v>
      </c>
      <c r="B986" s="12"/>
      <c r="C986" s="12" t="s">
        <v>2329</v>
      </c>
      <c r="D986" s="6">
        <v>43230.0</v>
      </c>
      <c r="E986" s="15" t="str">
        <f t="shared" si="1"/>
        <v>May</v>
      </c>
      <c r="F986" s="13" t="s">
        <v>41</v>
      </c>
      <c r="G986" s="13" t="s">
        <v>2845</v>
      </c>
      <c r="H986" s="13" t="s">
        <v>2846</v>
      </c>
      <c r="I986" s="13" t="s">
        <v>68</v>
      </c>
      <c r="J986" s="13">
        <v>7.0</v>
      </c>
      <c r="K986" s="13" t="s">
        <v>355</v>
      </c>
      <c r="L986" s="13" t="s">
        <v>70</v>
      </c>
      <c r="M986" s="13" t="s">
        <v>71</v>
      </c>
      <c r="N986" s="13" t="s">
        <v>38</v>
      </c>
      <c r="O986" s="14">
        <v>27.968</v>
      </c>
      <c r="P986" s="14">
        <f t="shared" si="2"/>
        <v>195.776</v>
      </c>
      <c r="Q986" s="14">
        <v>27.75</v>
      </c>
    </row>
    <row r="987">
      <c r="A987" s="12">
        <v>43372.0</v>
      </c>
      <c r="B987" s="12"/>
      <c r="C987" s="12" t="s">
        <v>2329</v>
      </c>
      <c r="D987" s="6">
        <v>43230.0</v>
      </c>
      <c r="E987" s="15" t="str">
        <f t="shared" si="1"/>
        <v>May</v>
      </c>
      <c r="F987" s="13" t="s">
        <v>41</v>
      </c>
      <c r="G987" s="13" t="s">
        <v>2845</v>
      </c>
      <c r="H987" s="13" t="s">
        <v>2846</v>
      </c>
      <c r="I987" s="13" t="s">
        <v>68</v>
      </c>
      <c r="J987" s="13">
        <v>7.0</v>
      </c>
      <c r="K987" s="13" t="s">
        <v>355</v>
      </c>
      <c r="L987" s="13" t="s">
        <v>70</v>
      </c>
      <c r="M987" s="13" t="s">
        <v>71</v>
      </c>
      <c r="N987" s="13" t="s">
        <v>51</v>
      </c>
      <c r="O987" s="14">
        <v>336.51</v>
      </c>
      <c r="P987" s="14">
        <f t="shared" si="2"/>
        <v>2355.57</v>
      </c>
      <c r="Q987" s="14">
        <v>336.1</v>
      </c>
    </row>
    <row r="988">
      <c r="A988" s="12">
        <v>42646.0</v>
      </c>
      <c r="B988" s="12"/>
      <c r="C988" s="12" t="s">
        <v>2358</v>
      </c>
      <c r="D988" s="6">
        <v>42646.0</v>
      </c>
      <c r="E988" s="15" t="str">
        <f t="shared" si="1"/>
        <v>Oct</v>
      </c>
      <c r="F988" s="13" t="s">
        <v>717</v>
      </c>
      <c r="G988" s="13" t="s">
        <v>2794</v>
      </c>
      <c r="H988" s="13" t="s">
        <v>2847</v>
      </c>
      <c r="I988" s="13" t="s">
        <v>23</v>
      </c>
      <c r="J988" s="13">
        <v>7.0</v>
      </c>
      <c r="K988" s="13" t="s">
        <v>129</v>
      </c>
      <c r="L988" s="13" t="s">
        <v>70</v>
      </c>
      <c r="M988" s="13" t="s">
        <v>71</v>
      </c>
      <c r="N988" s="13" t="s">
        <v>38</v>
      </c>
      <c r="O988" s="14">
        <v>1.112</v>
      </c>
      <c r="P988" s="14">
        <f t="shared" si="2"/>
        <v>7.784</v>
      </c>
      <c r="Q988" s="14">
        <v>0.28</v>
      </c>
    </row>
    <row r="989">
      <c r="A989" s="12">
        <v>43241.0</v>
      </c>
      <c r="B989" s="12"/>
      <c r="C989" s="12" t="s">
        <v>2335</v>
      </c>
      <c r="D989" s="1" t="s">
        <v>1676</v>
      </c>
      <c r="E989" s="15" t="str">
        <f t="shared" si="1"/>
        <v>May</v>
      </c>
      <c r="F989" s="13" t="s">
        <v>41</v>
      </c>
      <c r="G989" s="13" t="s">
        <v>2560</v>
      </c>
      <c r="H989" s="13" t="s">
        <v>2635</v>
      </c>
      <c r="I989" s="13" t="s">
        <v>34</v>
      </c>
      <c r="J989" s="13">
        <v>1.0</v>
      </c>
      <c r="K989" s="13" t="s">
        <v>868</v>
      </c>
      <c r="L989" s="13" t="s">
        <v>175</v>
      </c>
      <c r="M989" s="13" t="s">
        <v>100</v>
      </c>
      <c r="N989" s="13" t="s">
        <v>27</v>
      </c>
      <c r="O989" s="14">
        <v>520.05</v>
      </c>
      <c r="P989" s="14">
        <f t="shared" si="2"/>
        <v>520.05</v>
      </c>
      <c r="Q989" s="14">
        <v>519.68</v>
      </c>
    </row>
    <row r="990">
      <c r="A990" s="12">
        <v>43241.0</v>
      </c>
      <c r="B990" s="12"/>
      <c r="C990" s="12" t="s">
        <v>2335</v>
      </c>
      <c r="D990" s="1" t="s">
        <v>1676</v>
      </c>
      <c r="E990" s="15" t="str">
        <f t="shared" si="1"/>
        <v>May</v>
      </c>
      <c r="F990" s="13" t="s">
        <v>41</v>
      </c>
      <c r="G990" s="13" t="s">
        <v>2560</v>
      </c>
      <c r="H990" s="13" t="s">
        <v>2635</v>
      </c>
      <c r="I990" s="13" t="s">
        <v>34</v>
      </c>
      <c r="J990" s="13">
        <v>1.0</v>
      </c>
      <c r="K990" s="13" t="s">
        <v>868</v>
      </c>
      <c r="L990" s="13" t="s">
        <v>175</v>
      </c>
      <c r="M990" s="13" t="s">
        <v>100</v>
      </c>
      <c r="N990" s="13" t="s">
        <v>38</v>
      </c>
      <c r="O990" s="14">
        <v>17.97</v>
      </c>
      <c r="P990" s="14">
        <f t="shared" si="2"/>
        <v>17.97</v>
      </c>
      <c r="Q990" s="14">
        <v>17.52</v>
      </c>
    </row>
    <row r="991">
      <c r="A991" s="12">
        <v>42458.0</v>
      </c>
      <c r="B991" s="12"/>
      <c r="C991" s="12" t="s">
        <v>2399</v>
      </c>
      <c r="D991" s="1" t="s">
        <v>1678</v>
      </c>
      <c r="E991" s="15" t="str">
        <f t="shared" si="1"/>
        <v>Mar</v>
      </c>
      <c r="F991" s="13" t="s">
        <v>20</v>
      </c>
      <c r="G991" s="13" t="s">
        <v>2848</v>
      </c>
      <c r="H991" s="13" t="s">
        <v>2849</v>
      </c>
      <c r="I991" s="13" t="s">
        <v>68</v>
      </c>
      <c r="J991" s="13">
        <v>3.0</v>
      </c>
      <c r="K991" s="13" t="s">
        <v>849</v>
      </c>
      <c r="L991" s="13" t="s">
        <v>145</v>
      </c>
      <c r="M991" s="13" t="s">
        <v>26</v>
      </c>
      <c r="N991" s="13" t="s">
        <v>27</v>
      </c>
      <c r="O991" s="14">
        <v>1166.92</v>
      </c>
      <c r="P991" s="14">
        <f t="shared" si="2"/>
        <v>3500.76</v>
      </c>
      <c r="Q991" s="14">
        <v>1166.52</v>
      </c>
    </row>
    <row r="992">
      <c r="A992" s="12">
        <v>42987.0</v>
      </c>
      <c r="B992" s="12"/>
      <c r="C992" s="12" t="s">
        <v>2329</v>
      </c>
      <c r="D992" s="6">
        <v>43048.0</v>
      </c>
      <c r="E992" s="15" t="str">
        <f t="shared" si="1"/>
        <v>Nov</v>
      </c>
      <c r="F992" s="13" t="s">
        <v>121</v>
      </c>
      <c r="G992" s="13" t="s">
        <v>180</v>
      </c>
      <c r="H992" s="13" t="s">
        <v>2442</v>
      </c>
      <c r="I992" s="13" t="s">
        <v>23</v>
      </c>
      <c r="J992" s="13">
        <v>1.0</v>
      </c>
      <c r="K992" s="13" t="s">
        <v>174</v>
      </c>
      <c r="L992" s="13" t="s">
        <v>175</v>
      </c>
      <c r="M992" s="13" t="s">
        <v>100</v>
      </c>
      <c r="N992" s="13" t="s">
        <v>38</v>
      </c>
      <c r="O992" s="14">
        <v>14.624</v>
      </c>
      <c r="P992" s="14">
        <f t="shared" si="2"/>
        <v>14.624</v>
      </c>
      <c r="Q992" s="14">
        <v>14.58</v>
      </c>
    </row>
    <row r="993">
      <c r="A993" s="12">
        <v>42973.0</v>
      </c>
      <c r="B993" s="12"/>
      <c r="C993" s="12" t="s">
        <v>2322</v>
      </c>
      <c r="D993" s="1" t="s">
        <v>1683</v>
      </c>
      <c r="E993" s="15" t="str">
        <f t="shared" si="1"/>
        <v>Aug</v>
      </c>
      <c r="F993" s="13" t="s">
        <v>121</v>
      </c>
      <c r="G993" s="13" t="s">
        <v>2753</v>
      </c>
      <c r="H993" s="13" t="s">
        <v>2769</v>
      </c>
      <c r="I993" s="13" t="s">
        <v>23</v>
      </c>
      <c r="J993" s="13">
        <v>9.0</v>
      </c>
      <c r="K993" s="13" t="s">
        <v>373</v>
      </c>
      <c r="L993" s="13" t="s">
        <v>52</v>
      </c>
      <c r="M993" s="13" t="s">
        <v>37</v>
      </c>
      <c r="N993" s="13" t="s">
        <v>38</v>
      </c>
      <c r="O993" s="14">
        <v>10.23</v>
      </c>
      <c r="P993" s="14">
        <f t="shared" si="2"/>
        <v>92.07</v>
      </c>
      <c r="Q993" s="14">
        <v>9.92</v>
      </c>
    </row>
    <row r="994">
      <c r="A994" s="12">
        <v>42973.0</v>
      </c>
      <c r="B994" s="12"/>
      <c r="C994" s="12" t="s">
        <v>2322</v>
      </c>
      <c r="D994" s="1" t="s">
        <v>1683</v>
      </c>
      <c r="E994" s="15" t="str">
        <f t="shared" si="1"/>
        <v>Aug</v>
      </c>
      <c r="F994" s="13" t="s">
        <v>121</v>
      </c>
      <c r="G994" s="13" t="s">
        <v>2753</v>
      </c>
      <c r="H994" s="13" t="s">
        <v>2769</v>
      </c>
      <c r="I994" s="13" t="s">
        <v>23</v>
      </c>
      <c r="J994" s="13">
        <v>9.0</v>
      </c>
      <c r="K994" s="13" t="s">
        <v>373</v>
      </c>
      <c r="L994" s="13" t="s">
        <v>52</v>
      </c>
      <c r="M994" s="13" t="s">
        <v>37</v>
      </c>
      <c r="N994" s="13" t="s">
        <v>38</v>
      </c>
      <c r="O994" s="14">
        <v>154.9</v>
      </c>
      <c r="P994" s="14">
        <f t="shared" si="2"/>
        <v>1394.1</v>
      </c>
      <c r="Q994" s="14">
        <v>154.33</v>
      </c>
    </row>
    <row r="995">
      <c r="A995" s="12">
        <v>42145.0</v>
      </c>
      <c r="B995" s="12"/>
      <c r="C995" s="12" t="s">
        <v>2335</v>
      </c>
      <c r="D995" s="1" t="s">
        <v>1685</v>
      </c>
      <c r="E995" s="15" t="str">
        <f t="shared" si="1"/>
        <v>May</v>
      </c>
      <c r="F995" s="13" t="s">
        <v>41</v>
      </c>
      <c r="G995" s="13" t="s">
        <v>2850</v>
      </c>
      <c r="H995" s="13" t="s">
        <v>2459</v>
      </c>
      <c r="I995" s="13" t="s">
        <v>34</v>
      </c>
      <c r="J995" s="13">
        <v>2.0</v>
      </c>
      <c r="K995" s="13" t="s">
        <v>1688</v>
      </c>
      <c r="L995" s="13" t="s">
        <v>198</v>
      </c>
      <c r="M995" s="13" t="s">
        <v>26</v>
      </c>
      <c r="N995" s="13" t="s">
        <v>38</v>
      </c>
      <c r="O995" s="14">
        <v>2715.93</v>
      </c>
      <c r="P995" s="14">
        <f t="shared" si="2"/>
        <v>5431.86</v>
      </c>
      <c r="Q995" s="14">
        <v>2715.43</v>
      </c>
    </row>
    <row r="996">
      <c r="A996" s="12">
        <v>42145.0</v>
      </c>
      <c r="B996" s="12"/>
      <c r="C996" s="12" t="s">
        <v>2335</v>
      </c>
      <c r="D996" s="1" t="s">
        <v>1685</v>
      </c>
      <c r="E996" s="15" t="str">
        <f t="shared" si="1"/>
        <v>May</v>
      </c>
      <c r="F996" s="13" t="s">
        <v>41</v>
      </c>
      <c r="G996" s="13" t="s">
        <v>2850</v>
      </c>
      <c r="H996" s="13" t="s">
        <v>2459</v>
      </c>
      <c r="I996" s="13" t="s">
        <v>34</v>
      </c>
      <c r="J996" s="13">
        <v>2.0</v>
      </c>
      <c r="K996" s="13" t="s">
        <v>1688</v>
      </c>
      <c r="L996" s="13" t="s">
        <v>198</v>
      </c>
      <c r="M996" s="13" t="s">
        <v>26</v>
      </c>
      <c r="N996" s="13" t="s">
        <v>51</v>
      </c>
      <c r="O996" s="14">
        <v>617.97</v>
      </c>
      <c r="P996" s="14">
        <f t="shared" si="2"/>
        <v>1235.94</v>
      </c>
      <c r="Q996" s="14">
        <v>617.11</v>
      </c>
    </row>
    <row r="997">
      <c r="A997" s="12">
        <v>42671.0</v>
      </c>
      <c r="B997" s="12"/>
      <c r="C997" s="12" t="s">
        <v>2358</v>
      </c>
      <c r="D997" s="6">
        <v>42440.0</v>
      </c>
      <c r="E997" s="15" t="str">
        <f t="shared" si="1"/>
        <v>Mar</v>
      </c>
      <c r="F997" s="13" t="s">
        <v>41</v>
      </c>
      <c r="G997" s="13" t="s">
        <v>2661</v>
      </c>
      <c r="H997" s="13" t="s">
        <v>2851</v>
      </c>
      <c r="I997" s="13" t="s">
        <v>23</v>
      </c>
      <c r="J997" s="13">
        <v>4.0</v>
      </c>
      <c r="K997" s="13" t="s">
        <v>24</v>
      </c>
      <c r="L997" s="13" t="s">
        <v>25</v>
      </c>
      <c r="M997" s="13" t="s">
        <v>26</v>
      </c>
      <c r="N997" s="13" t="s">
        <v>38</v>
      </c>
      <c r="O997" s="14">
        <v>10.67</v>
      </c>
      <c r="P997" s="14">
        <f t="shared" si="2"/>
        <v>42.68</v>
      </c>
      <c r="Q997" s="14">
        <v>10.0</v>
      </c>
    </row>
    <row r="998">
      <c r="A998" s="12">
        <v>42671.0</v>
      </c>
      <c r="B998" s="12"/>
      <c r="C998" s="12" t="s">
        <v>2358</v>
      </c>
      <c r="D998" s="6">
        <v>42440.0</v>
      </c>
      <c r="E998" s="15" t="str">
        <f t="shared" si="1"/>
        <v>Mar</v>
      </c>
      <c r="F998" s="13" t="s">
        <v>41</v>
      </c>
      <c r="G998" s="13" t="s">
        <v>2661</v>
      </c>
      <c r="H998" s="13" t="s">
        <v>2851</v>
      </c>
      <c r="I998" s="13" t="s">
        <v>23</v>
      </c>
      <c r="J998" s="13">
        <v>4.0</v>
      </c>
      <c r="K998" s="13" t="s">
        <v>24</v>
      </c>
      <c r="L998" s="13" t="s">
        <v>25</v>
      </c>
      <c r="M998" s="13" t="s">
        <v>26</v>
      </c>
      <c r="N998" s="13" t="s">
        <v>38</v>
      </c>
      <c r="O998" s="14">
        <v>36.63</v>
      </c>
      <c r="P998" s="14">
        <f t="shared" si="2"/>
        <v>146.52</v>
      </c>
      <c r="Q998" s="14">
        <v>36.44</v>
      </c>
    </row>
    <row r="999">
      <c r="A999" s="12">
        <v>42671.0</v>
      </c>
      <c r="B999" s="12"/>
      <c r="C999" s="12" t="s">
        <v>2358</v>
      </c>
      <c r="D999" s="6">
        <v>42440.0</v>
      </c>
      <c r="E999" s="15" t="str">
        <f t="shared" si="1"/>
        <v>Mar</v>
      </c>
      <c r="F999" s="13" t="s">
        <v>41</v>
      </c>
      <c r="G999" s="13" t="s">
        <v>2661</v>
      </c>
      <c r="H999" s="13" t="s">
        <v>2851</v>
      </c>
      <c r="I999" s="13" t="s">
        <v>23</v>
      </c>
      <c r="J999" s="13">
        <v>4.0</v>
      </c>
      <c r="K999" s="13" t="s">
        <v>24</v>
      </c>
      <c r="L999" s="13" t="s">
        <v>25</v>
      </c>
      <c r="M999" s="13" t="s">
        <v>26</v>
      </c>
      <c r="N999" s="13" t="s">
        <v>27</v>
      </c>
      <c r="O999" s="14">
        <v>24.1</v>
      </c>
      <c r="P999" s="14">
        <f t="shared" si="2"/>
        <v>96.4</v>
      </c>
      <c r="Q999" s="14">
        <v>23.4</v>
      </c>
    </row>
    <row r="1000">
      <c r="A1000" s="12">
        <v>42671.0</v>
      </c>
      <c r="B1000" s="12"/>
      <c r="C1000" s="12" t="s">
        <v>2358</v>
      </c>
      <c r="D1000" s="6">
        <v>42440.0</v>
      </c>
      <c r="E1000" s="15" t="str">
        <f t="shared" si="1"/>
        <v>Mar</v>
      </c>
      <c r="F1000" s="13" t="s">
        <v>41</v>
      </c>
      <c r="G1000" s="13" t="s">
        <v>2661</v>
      </c>
      <c r="H1000" s="13" t="s">
        <v>2851</v>
      </c>
      <c r="I1000" s="13" t="s">
        <v>23</v>
      </c>
      <c r="J1000" s="13">
        <v>4.0</v>
      </c>
      <c r="K1000" s="13" t="s">
        <v>24</v>
      </c>
      <c r="L1000" s="13" t="s">
        <v>25</v>
      </c>
      <c r="M1000" s="13" t="s">
        <v>26</v>
      </c>
      <c r="N1000" s="13" t="s">
        <v>27</v>
      </c>
      <c r="O1000" s="14">
        <v>33.11</v>
      </c>
      <c r="P1000" s="14">
        <f t="shared" si="2"/>
        <v>132.44</v>
      </c>
      <c r="Q1000" s="14">
        <v>32.61</v>
      </c>
    </row>
    <row r="1001">
      <c r="A1001" s="12">
        <v>43052.0</v>
      </c>
      <c r="B1001" s="12"/>
      <c r="C1001" s="12" t="s">
        <v>2326</v>
      </c>
      <c r="D1001" s="1" t="s">
        <v>1693</v>
      </c>
      <c r="E1001" s="15" t="str">
        <f t="shared" si="1"/>
        <v>Nov</v>
      </c>
      <c r="F1001" s="13" t="s">
        <v>41</v>
      </c>
      <c r="G1001" s="13" t="s">
        <v>2483</v>
      </c>
      <c r="H1001" s="13" t="s">
        <v>2484</v>
      </c>
      <c r="I1001" s="13" t="s">
        <v>68</v>
      </c>
      <c r="J1001" s="13">
        <v>9.0</v>
      </c>
      <c r="K1001" s="13" t="s">
        <v>1192</v>
      </c>
      <c r="L1001" s="13" t="s">
        <v>63</v>
      </c>
      <c r="M1001" s="13" t="s">
        <v>37</v>
      </c>
      <c r="N1001" s="13" t="s">
        <v>38</v>
      </c>
      <c r="O1001" s="14">
        <v>44.02</v>
      </c>
      <c r="P1001" s="14">
        <f t="shared" si="2"/>
        <v>396.18</v>
      </c>
      <c r="Q1001" s="14">
        <v>43.34</v>
      </c>
    </row>
    <row r="1002">
      <c r="A1002" s="12">
        <v>42582.0</v>
      </c>
      <c r="B1002" s="12"/>
      <c r="C1002" s="12" t="s">
        <v>2348</v>
      </c>
      <c r="D1002" s="1" t="s">
        <v>584</v>
      </c>
      <c r="E1002" s="15" t="str">
        <f t="shared" si="1"/>
        <v>Jul</v>
      </c>
      <c r="F1002" s="13" t="s">
        <v>717</v>
      </c>
      <c r="G1002" s="13" t="s">
        <v>2419</v>
      </c>
      <c r="H1002" s="13" t="s">
        <v>2787</v>
      </c>
      <c r="I1002" s="13" t="s">
        <v>23</v>
      </c>
      <c r="J1002" s="13">
        <v>1.0</v>
      </c>
      <c r="K1002" s="13" t="s">
        <v>174</v>
      </c>
      <c r="L1002" s="13" t="s">
        <v>175</v>
      </c>
      <c r="M1002" s="13" t="s">
        <v>100</v>
      </c>
      <c r="N1002" s="13" t="s">
        <v>51</v>
      </c>
      <c r="O1002" s="14">
        <v>2309.65</v>
      </c>
      <c r="P1002" s="14">
        <f t="shared" si="2"/>
        <v>2309.65</v>
      </c>
      <c r="Q1002" s="14">
        <v>2308.89</v>
      </c>
    </row>
    <row r="1003">
      <c r="A1003" s="12">
        <v>42582.0</v>
      </c>
      <c r="B1003" s="12"/>
      <c r="C1003" s="12" t="s">
        <v>2348</v>
      </c>
      <c r="D1003" s="1" t="s">
        <v>584</v>
      </c>
      <c r="E1003" s="15" t="str">
        <f t="shared" si="1"/>
        <v>Jul</v>
      </c>
      <c r="F1003" s="13" t="s">
        <v>717</v>
      </c>
      <c r="G1003" s="13" t="s">
        <v>2419</v>
      </c>
      <c r="H1003" s="13" t="s">
        <v>2787</v>
      </c>
      <c r="I1003" s="13" t="s">
        <v>23</v>
      </c>
      <c r="J1003" s="13">
        <v>1.0</v>
      </c>
      <c r="K1003" s="13" t="s">
        <v>174</v>
      </c>
      <c r="L1003" s="13" t="s">
        <v>175</v>
      </c>
      <c r="M1003" s="13" t="s">
        <v>100</v>
      </c>
      <c r="N1003" s="13" t="s">
        <v>27</v>
      </c>
      <c r="O1003" s="14">
        <v>1090.782</v>
      </c>
      <c r="P1003" s="14">
        <f t="shared" si="2"/>
        <v>1090.782</v>
      </c>
      <c r="Q1003" s="14">
        <v>1090.27</v>
      </c>
    </row>
    <row r="1004">
      <c r="A1004" s="12">
        <v>42582.0</v>
      </c>
      <c r="B1004" s="12"/>
      <c r="C1004" s="12" t="s">
        <v>2348</v>
      </c>
      <c r="D1004" s="1" t="s">
        <v>584</v>
      </c>
      <c r="E1004" s="15" t="str">
        <f t="shared" si="1"/>
        <v>Jul</v>
      </c>
      <c r="F1004" s="13" t="s">
        <v>717</v>
      </c>
      <c r="G1004" s="13" t="s">
        <v>2419</v>
      </c>
      <c r="H1004" s="13" t="s">
        <v>2787</v>
      </c>
      <c r="I1004" s="13" t="s">
        <v>23</v>
      </c>
      <c r="J1004" s="13">
        <v>1.0</v>
      </c>
      <c r="K1004" s="13" t="s">
        <v>174</v>
      </c>
      <c r="L1004" s="13" t="s">
        <v>175</v>
      </c>
      <c r="M1004" s="13" t="s">
        <v>100</v>
      </c>
      <c r="N1004" s="13" t="s">
        <v>38</v>
      </c>
      <c r="O1004" s="14">
        <v>19.44</v>
      </c>
      <c r="P1004" s="14">
        <f t="shared" si="2"/>
        <v>19.44</v>
      </c>
      <c r="Q1004" s="14">
        <v>18.98</v>
      </c>
    </row>
    <row r="1005">
      <c r="A1005" s="12">
        <v>42609.0</v>
      </c>
      <c r="B1005" s="12"/>
      <c r="C1005" s="12" t="s">
        <v>2322</v>
      </c>
      <c r="D1005" s="1" t="s">
        <v>1696</v>
      </c>
      <c r="E1005" s="15" t="str">
        <f t="shared" si="1"/>
        <v>Aug</v>
      </c>
      <c r="F1005" s="13" t="s">
        <v>41</v>
      </c>
      <c r="G1005" s="13" t="s">
        <v>2429</v>
      </c>
      <c r="H1005" s="13" t="s">
        <v>2852</v>
      </c>
      <c r="I1005" s="13" t="s">
        <v>23</v>
      </c>
      <c r="J1005" s="13">
        <v>9.0</v>
      </c>
      <c r="K1005" s="13" t="s">
        <v>1699</v>
      </c>
      <c r="L1005" s="13" t="s">
        <v>52</v>
      </c>
      <c r="M1005" s="13" t="s">
        <v>37</v>
      </c>
      <c r="N1005" s="13" t="s">
        <v>38</v>
      </c>
      <c r="O1005" s="14">
        <v>484.65</v>
      </c>
      <c r="P1005" s="14">
        <f t="shared" si="2"/>
        <v>4361.85</v>
      </c>
      <c r="Q1005" s="14">
        <v>484.04</v>
      </c>
    </row>
    <row r="1006">
      <c r="A1006" s="12">
        <v>42687.0</v>
      </c>
      <c r="B1006" s="12"/>
      <c r="C1006" s="12" t="s">
        <v>2326</v>
      </c>
      <c r="D1006" s="1" t="s">
        <v>275</v>
      </c>
      <c r="E1006" s="15" t="str">
        <f t="shared" si="1"/>
        <v>Nov</v>
      </c>
      <c r="F1006" s="13" t="s">
        <v>41</v>
      </c>
      <c r="G1006" s="13" t="s">
        <v>2784</v>
      </c>
      <c r="H1006" s="13" t="s">
        <v>2785</v>
      </c>
      <c r="I1006" s="13" t="s">
        <v>23</v>
      </c>
      <c r="J1006" s="13">
        <v>2.0</v>
      </c>
      <c r="K1006" s="13" t="s">
        <v>849</v>
      </c>
      <c r="L1006" s="13" t="s">
        <v>58</v>
      </c>
      <c r="M1006" s="13" t="s">
        <v>26</v>
      </c>
      <c r="N1006" s="13" t="s">
        <v>38</v>
      </c>
      <c r="O1006" s="14">
        <v>115.296</v>
      </c>
      <c r="P1006" s="14">
        <f t="shared" si="2"/>
        <v>230.592</v>
      </c>
      <c r="Q1006" s="14">
        <v>114.51</v>
      </c>
    </row>
    <row r="1007">
      <c r="A1007" s="12">
        <v>42532.0</v>
      </c>
      <c r="B1007" s="12"/>
      <c r="C1007" s="12" t="s">
        <v>2374</v>
      </c>
      <c r="D1007" s="6">
        <v>42624.0</v>
      </c>
      <c r="E1007" s="15" t="str">
        <f t="shared" si="1"/>
        <v>Sep</v>
      </c>
      <c r="F1007" s="13" t="s">
        <v>121</v>
      </c>
      <c r="G1007" s="13" t="s">
        <v>2711</v>
      </c>
      <c r="H1007" s="13" t="s">
        <v>2853</v>
      </c>
      <c r="I1007" s="13" t="s">
        <v>23</v>
      </c>
      <c r="J1007" s="13">
        <v>8.0</v>
      </c>
      <c r="K1007" s="13" t="s">
        <v>369</v>
      </c>
      <c r="L1007" s="13" t="s">
        <v>193</v>
      </c>
      <c r="M1007" s="13" t="s">
        <v>37</v>
      </c>
      <c r="N1007" s="13" t="s">
        <v>38</v>
      </c>
      <c r="O1007" s="14">
        <v>7.08</v>
      </c>
      <c r="P1007" s="14">
        <f t="shared" si="2"/>
        <v>56.64</v>
      </c>
      <c r="Q1007" s="14">
        <v>6.22</v>
      </c>
    </row>
    <row r="1008">
      <c r="A1008" s="12">
        <v>42532.0</v>
      </c>
      <c r="B1008" s="12"/>
      <c r="C1008" s="12" t="s">
        <v>2374</v>
      </c>
      <c r="D1008" s="6">
        <v>42624.0</v>
      </c>
      <c r="E1008" s="15" t="str">
        <f t="shared" si="1"/>
        <v>Sep</v>
      </c>
      <c r="F1008" s="13" t="s">
        <v>121</v>
      </c>
      <c r="G1008" s="13" t="s">
        <v>2711</v>
      </c>
      <c r="H1008" s="13" t="s">
        <v>2853</v>
      </c>
      <c r="I1008" s="13" t="s">
        <v>23</v>
      </c>
      <c r="J1008" s="13">
        <v>8.0</v>
      </c>
      <c r="K1008" s="13" t="s">
        <v>369</v>
      </c>
      <c r="L1008" s="13" t="s">
        <v>193</v>
      </c>
      <c r="M1008" s="13" t="s">
        <v>37</v>
      </c>
      <c r="N1008" s="13" t="s">
        <v>38</v>
      </c>
      <c r="O1008" s="14">
        <v>4.401</v>
      </c>
      <c r="P1008" s="14">
        <f t="shared" si="2"/>
        <v>35.208</v>
      </c>
      <c r="Q1008" s="14">
        <v>4.01</v>
      </c>
    </row>
    <row r="1009">
      <c r="A1009" s="12">
        <v>43460.0</v>
      </c>
      <c r="B1009" s="12"/>
      <c r="C1009" s="12" t="s">
        <v>2325</v>
      </c>
      <c r="D1009" s="6">
        <v>43466.0</v>
      </c>
      <c r="E1009" s="15" t="str">
        <f t="shared" si="1"/>
        <v>Jan</v>
      </c>
      <c r="F1009" s="13" t="s">
        <v>41</v>
      </c>
      <c r="G1009" s="13" t="s">
        <v>2373</v>
      </c>
      <c r="H1009" s="13" t="s">
        <v>2559</v>
      </c>
      <c r="I1009" s="13" t="s">
        <v>23</v>
      </c>
      <c r="J1009" s="13">
        <v>5.0</v>
      </c>
      <c r="K1009" s="13" t="s">
        <v>1237</v>
      </c>
      <c r="L1009" s="13" t="s">
        <v>298</v>
      </c>
      <c r="M1009" s="13" t="s">
        <v>71</v>
      </c>
      <c r="N1009" s="13" t="s">
        <v>38</v>
      </c>
      <c r="O1009" s="14">
        <v>44.75</v>
      </c>
      <c r="P1009" s="14">
        <f t="shared" si="2"/>
        <v>223.75</v>
      </c>
      <c r="Q1009" s="14">
        <v>44.31</v>
      </c>
    </row>
    <row r="1010">
      <c r="A1010" s="12">
        <v>43108.0</v>
      </c>
      <c r="B1010" s="12"/>
      <c r="C1010" s="12" t="s">
        <v>2353</v>
      </c>
      <c r="D1010" s="6">
        <v>43167.0</v>
      </c>
      <c r="E1010" s="15" t="str">
        <f t="shared" si="1"/>
        <v>Mar</v>
      </c>
      <c r="F1010" s="13" t="s">
        <v>121</v>
      </c>
      <c r="G1010" s="13" t="s">
        <v>2713</v>
      </c>
      <c r="H1010" s="13" t="s">
        <v>2714</v>
      </c>
      <c r="I1010" s="13" t="s">
        <v>23</v>
      </c>
      <c r="J1010" s="13">
        <v>6.0</v>
      </c>
      <c r="K1010" s="13" t="s">
        <v>188</v>
      </c>
      <c r="L1010" s="13" t="s">
        <v>135</v>
      </c>
      <c r="M1010" s="13" t="s">
        <v>71</v>
      </c>
      <c r="N1010" s="13" t="s">
        <v>51</v>
      </c>
      <c r="O1010" s="14">
        <v>95.984</v>
      </c>
      <c r="P1010" s="14">
        <f t="shared" si="2"/>
        <v>575.904</v>
      </c>
      <c r="Q1010" s="14">
        <v>95.29</v>
      </c>
    </row>
    <row r="1011">
      <c r="A1011" s="12">
        <v>42332.0</v>
      </c>
      <c r="B1011" s="12"/>
      <c r="C1011" s="12" t="s">
        <v>2326</v>
      </c>
      <c r="D1011" s="1" t="s">
        <v>756</v>
      </c>
      <c r="E1011" s="15" t="str">
        <f t="shared" si="1"/>
        <v>Nov</v>
      </c>
      <c r="F1011" s="13" t="s">
        <v>121</v>
      </c>
      <c r="G1011" s="13" t="s">
        <v>2854</v>
      </c>
      <c r="H1011" s="13" t="s">
        <v>2404</v>
      </c>
      <c r="I1011" s="13" t="s">
        <v>23</v>
      </c>
      <c r="J1011" s="13">
        <v>9.0</v>
      </c>
      <c r="K1011" s="13" t="s">
        <v>542</v>
      </c>
      <c r="L1011" s="13" t="s">
        <v>52</v>
      </c>
      <c r="M1011" s="13" t="s">
        <v>37</v>
      </c>
      <c r="N1011" s="13" t="s">
        <v>27</v>
      </c>
      <c r="O1011" s="14">
        <v>151.72</v>
      </c>
      <c r="P1011" s="14">
        <f t="shared" si="2"/>
        <v>1365.48</v>
      </c>
      <c r="Q1011" s="14">
        <v>151.56</v>
      </c>
    </row>
    <row r="1012">
      <c r="A1012" s="12">
        <v>43268.0</v>
      </c>
      <c r="B1012" s="12"/>
      <c r="C1012" s="12" t="s">
        <v>2374</v>
      </c>
      <c r="D1012" s="1" t="s">
        <v>1449</v>
      </c>
      <c r="E1012" s="15" t="str">
        <f t="shared" si="1"/>
        <v>Jun</v>
      </c>
      <c r="F1012" s="13" t="s">
        <v>20</v>
      </c>
      <c r="G1012" s="13" t="s">
        <v>2440</v>
      </c>
      <c r="H1012" s="13" t="s">
        <v>2441</v>
      </c>
      <c r="I1012" s="13" t="s">
        <v>23</v>
      </c>
      <c r="J1012" s="13">
        <v>9.0</v>
      </c>
      <c r="K1012" s="13" t="s">
        <v>1710</v>
      </c>
      <c r="L1012" s="13" t="s">
        <v>63</v>
      </c>
      <c r="M1012" s="13" t="s">
        <v>37</v>
      </c>
      <c r="N1012" s="13" t="s">
        <v>27</v>
      </c>
      <c r="O1012" s="14">
        <v>155.25</v>
      </c>
      <c r="P1012" s="14">
        <f t="shared" si="2"/>
        <v>1397.25</v>
      </c>
      <c r="Q1012" s="14">
        <v>155.14</v>
      </c>
    </row>
    <row r="1013">
      <c r="A1013" s="12">
        <v>43268.0</v>
      </c>
      <c r="B1013" s="12"/>
      <c r="C1013" s="12" t="s">
        <v>2374</v>
      </c>
      <c r="D1013" s="1" t="s">
        <v>1449</v>
      </c>
      <c r="E1013" s="15" t="str">
        <f t="shared" si="1"/>
        <v>Jun</v>
      </c>
      <c r="F1013" s="13" t="s">
        <v>20</v>
      </c>
      <c r="G1013" s="13" t="s">
        <v>2440</v>
      </c>
      <c r="H1013" s="13" t="s">
        <v>2441</v>
      </c>
      <c r="I1013" s="13" t="s">
        <v>23</v>
      </c>
      <c r="J1013" s="13">
        <v>9.0</v>
      </c>
      <c r="K1013" s="13" t="s">
        <v>1710</v>
      </c>
      <c r="L1013" s="13" t="s">
        <v>63</v>
      </c>
      <c r="M1013" s="13" t="s">
        <v>37</v>
      </c>
      <c r="N1013" s="13" t="s">
        <v>38</v>
      </c>
      <c r="O1013" s="14">
        <v>14.03</v>
      </c>
      <c r="P1013" s="14">
        <f t="shared" si="2"/>
        <v>126.27</v>
      </c>
      <c r="Q1013" s="14">
        <v>13.25</v>
      </c>
    </row>
    <row r="1014">
      <c r="A1014" s="12">
        <v>42725.0</v>
      </c>
      <c r="B1014" s="12"/>
      <c r="C1014" s="12" t="s">
        <v>2325</v>
      </c>
      <c r="D1014" s="1" t="s">
        <v>684</v>
      </c>
      <c r="E1014" s="15" t="str">
        <f t="shared" si="1"/>
        <v>Dec</v>
      </c>
      <c r="F1014" s="13" t="s">
        <v>20</v>
      </c>
      <c r="G1014" s="13" t="s">
        <v>2560</v>
      </c>
      <c r="H1014" s="13" t="s">
        <v>2385</v>
      </c>
      <c r="I1014" s="13" t="s">
        <v>23</v>
      </c>
      <c r="J1014" s="13">
        <v>9.0</v>
      </c>
      <c r="K1014" s="13" t="s">
        <v>62</v>
      </c>
      <c r="L1014" s="13" t="s">
        <v>63</v>
      </c>
      <c r="M1014" s="13" t="s">
        <v>37</v>
      </c>
      <c r="N1014" s="13" t="s">
        <v>27</v>
      </c>
      <c r="O1014" s="14">
        <v>1618.37</v>
      </c>
      <c r="P1014" s="14">
        <f t="shared" si="2"/>
        <v>14565.33</v>
      </c>
      <c r="Q1014" s="14">
        <v>1618.18</v>
      </c>
    </row>
    <row r="1015">
      <c r="A1015" s="12">
        <v>42725.0</v>
      </c>
      <c r="B1015" s="12"/>
      <c r="C1015" s="12" t="s">
        <v>2325</v>
      </c>
      <c r="D1015" s="1" t="s">
        <v>684</v>
      </c>
      <c r="E1015" s="15" t="str">
        <f t="shared" si="1"/>
        <v>Dec</v>
      </c>
      <c r="F1015" s="13" t="s">
        <v>20</v>
      </c>
      <c r="G1015" s="13" t="s">
        <v>2560</v>
      </c>
      <c r="H1015" s="13" t="s">
        <v>2385</v>
      </c>
      <c r="I1015" s="13" t="s">
        <v>23</v>
      </c>
      <c r="J1015" s="13">
        <v>9.0</v>
      </c>
      <c r="K1015" s="13" t="s">
        <v>62</v>
      </c>
      <c r="L1015" s="13" t="s">
        <v>63</v>
      </c>
      <c r="M1015" s="13" t="s">
        <v>37</v>
      </c>
      <c r="N1015" s="13" t="s">
        <v>51</v>
      </c>
      <c r="O1015" s="14">
        <v>99.6</v>
      </c>
      <c r="P1015" s="14">
        <f t="shared" si="2"/>
        <v>896.4</v>
      </c>
      <c r="Q1015" s="14">
        <v>98.63</v>
      </c>
    </row>
    <row r="1016">
      <c r="A1016" s="12">
        <v>42630.0</v>
      </c>
      <c r="B1016" s="12"/>
      <c r="C1016" s="12" t="s">
        <v>2329</v>
      </c>
      <c r="D1016" s="1" t="s">
        <v>1715</v>
      </c>
      <c r="E1016" s="15" t="str">
        <f t="shared" si="1"/>
        <v>Sep</v>
      </c>
      <c r="F1016" s="13" t="s">
        <v>20</v>
      </c>
      <c r="G1016" s="13" t="s">
        <v>2711</v>
      </c>
      <c r="H1016" s="13" t="s">
        <v>2712</v>
      </c>
      <c r="I1016" s="13" t="s">
        <v>68</v>
      </c>
      <c r="J1016" s="13">
        <v>9.0</v>
      </c>
      <c r="K1016" s="13" t="s">
        <v>35</v>
      </c>
      <c r="L1016" s="13" t="s">
        <v>52</v>
      </c>
      <c r="M1016" s="13" t="s">
        <v>37</v>
      </c>
      <c r="N1016" s="13" t="s">
        <v>38</v>
      </c>
      <c r="O1016" s="14">
        <v>32.4</v>
      </c>
      <c r="P1016" s="14">
        <f t="shared" si="2"/>
        <v>291.6</v>
      </c>
      <c r="Q1016" s="14">
        <v>31.92</v>
      </c>
    </row>
    <row r="1017">
      <c r="A1017" s="12">
        <v>42528.0</v>
      </c>
      <c r="B1017" s="12"/>
      <c r="C1017" s="12" t="s">
        <v>2374</v>
      </c>
      <c r="D1017" s="6">
        <v>42650.0</v>
      </c>
      <c r="E1017" s="15" t="str">
        <f t="shared" si="1"/>
        <v>Oct</v>
      </c>
      <c r="F1017" s="13" t="s">
        <v>41</v>
      </c>
      <c r="G1017" s="13" t="s">
        <v>2855</v>
      </c>
      <c r="H1017" s="13" t="s">
        <v>2856</v>
      </c>
      <c r="I1017" s="13" t="s">
        <v>34</v>
      </c>
      <c r="J1017" s="13">
        <v>1.0</v>
      </c>
      <c r="K1017" s="13" t="s">
        <v>174</v>
      </c>
      <c r="L1017" s="13" t="s">
        <v>175</v>
      </c>
      <c r="M1017" s="13" t="s">
        <v>100</v>
      </c>
      <c r="N1017" s="13" t="s">
        <v>27</v>
      </c>
      <c r="O1017" s="14">
        <v>13.96</v>
      </c>
      <c r="P1017" s="14">
        <f t="shared" si="2"/>
        <v>13.96</v>
      </c>
      <c r="Q1017" s="14">
        <v>13.03</v>
      </c>
    </row>
    <row r="1018">
      <c r="A1018" s="12">
        <v>42528.0</v>
      </c>
      <c r="B1018" s="12"/>
      <c r="C1018" s="12" t="s">
        <v>2374</v>
      </c>
      <c r="D1018" s="6">
        <v>42650.0</v>
      </c>
      <c r="E1018" s="15" t="str">
        <f t="shared" si="1"/>
        <v>Oct</v>
      </c>
      <c r="F1018" s="13" t="s">
        <v>41</v>
      </c>
      <c r="G1018" s="13" t="s">
        <v>2855</v>
      </c>
      <c r="H1018" s="13" t="s">
        <v>2856</v>
      </c>
      <c r="I1018" s="13" t="s">
        <v>34</v>
      </c>
      <c r="J1018" s="13">
        <v>1.0</v>
      </c>
      <c r="K1018" s="13" t="s">
        <v>174</v>
      </c>
      <c r="L1018" s="13" t="s">
        <v>175</v>
      </c>
      <c r="M1018" s="13" t="s">
        <v>100</v>
      </c>
      <c r="N1018" s="13" t="s">
        <v>27</v>
      </c>
      <c r="O1018" s="14">
        <v>155.82</v>
      </c>
      <c r="P1018" s="14">
        <f t="shared" si="2"/>
        <v>155.82</v>
      </c>
      <c r="Q1018" s="14">
        <v>155.71</v>
      </c>
    </row>
    <row r="1019">
      <c r="A1019" s="12">
        <v>42528.0</v>
      </c>
      <c r="B1019" s="12"/>
      <c r="C1019" s="12" t="s">
        <v>2374</v>
      </c>
      <c r="D1019" s="6">
        <v>42650.0</v>
      </c>
      <c r="E1019" s="15" t="str">
        <f t="shared" si="1"/>
        <v>Oct</v>
      </c>
      <c r="F1019" s="13" t="s">
        <v>41</v>
      </c>
      <c r="G1019" s="13" t="s">
        <v>2855</v>
      </c>
      <c r="H1019" s="13" t="s">
        <v>2856</v>
      </c>
      <c r="I1019" s="13" t="s">
        <v>34</v>
      </c>
      <c r="J1019" s="13">
        <v>1.0</v>
      </c>
      <c r="K1019" s="13" t="s">
        <v>174</v>
      </c>
      <c r="L1019" s="13" t="s">
        <v>175</v>
      </c>
      <c r="M1019" s="13" t="s">
        <v>100</v>
      </c>
      <c r="N1019" s="13" t="s">
        <v>51</v>
      </c>
      <c r="O1019" s="14">
        <v>124.95</v>
      </c>
      <c r="P1019" s="14">
        <f t="shared" si="2"/>
        <v>124.95</v>
      </c>
      <c r="Q1019" s="14">
        <v>124.66</v>
      </c>
    </row>
    <row r="1020">
      <c r="A1020" s="12">
        <v>42528.0</v>
      </c>
      <c r="B1020" s="12"/>
      <c r="C1020" s="12" t="s">
        <v>2374</v>
      </c>
      <c r="D1020" s="6">
        <v>42650.0</v>
      </c>
      <c r="E1020" s="15" t="str">
        <f t="shared" si="1"/>
        <v>Oct</v>
      </c>
      <c r="F1020" s="13" t="s">
        <v>41</v>
      </c>
      <c r="G1020" s="13" t="s">
        <v>2855</v>
      </c>
      <c r="H1020" s="13" t="s">
        <v>2856</v>
      </c>
      <c r="I1020" s="13" t="s">
        <v>34</v>
      </c>
      <c r="J1020" s="13">
        <v>1.0</v>
      </c>
      <c r="K1020" s="13" t="s">
        <v>174</v>
      </c>
      <c r="L1020" s="13" t="s">
        <v>175</v>
      </c>
      <c r="M1020" s="13" t="s">
        <v>100</v>
      </c>
      <c r="N1020" s="13" t="s">
        <v>38</v>
      </c>
      <c r="O1020" s="14">
        <v>601.65</v>
      </c>
      <c r="P1020" s="14">
        <f t="shared" si="2"/>
        <v>601.65</v>
      </c>
      <c r="Q1020" s="14">
        <v>601.55</v>
      </c>
    </row>
    <row r="1021">
      <c r="A1021" s="12">
        <v>42487.0</v>
      </c>
      <c r="B1021" s="12"/>
      <c r="C1021" s="12" t="s">
        <v>2332</v>
      </c>
      <c r="D1021" s="6">
        <v>42434.0</v>
      </c>
      <c r="E1021" s="15" t="str">
        <f t="shared" si="1"/>
        <v>Mar</v>
      </c>
      <c r="F1021" s="13" t="s">
        <v>41</v>
      </c>
      <c r="G1021" s="13" t="s">
        <v>2434</v>
      </c>
      <c r="H1021" s="13" t="s">
        <v>2639</v>
      </c>
      <c r="I1021" s="13" t="s">
        <v>23</v>
      </c>
      <c r="J1021" s="13">
        <v>2.0</v>
      </c>
      <c r="K1021" s="13" t="s">
        <v>63</v>
      </c>
      <c r="L1021" s="13" t="s">
        <v>2857</v>
      </c>
      <c r="M1021" s="13" t="s">
        <v>100</v>
      </c>
      <c r="N1021" s="13" t="s">
        <v>38</v>
      </c>
      <c r="O1021" s="14">
        <v>22.74</v>
      </c>
      <c r="P1021" s="14">
        <f t="shared" si="2"/>
        <v>45.48</v>
      </c>
      <c r="Q1021" s="14">
        <v>22.15</v>
      </c>
    </row>
    <row r="1022">
      <c r="A1022" s="12">
        <v>42487.0</v>
      </c>
      <c r="B1022" s="12"/>
      <c r="C1022" s="12" t="s">
        <v>2332</v>
      </c>
      <c r="D1022" s="6">
        <v>42434.0</v>
      </c>
      <c r="E1022" s="15" t="str">
        <f t="shared" si="1"/>
        <v>Mar</v>
      </c>
      <c r="F1022" s="13" t="s">
        <v>41</v>
      </c>
      <c r="G1022" s="13" t="s">
        <v>2434</v>
      </c>
      <c r="H1022" s="13" t="s">
        <v>2639</v>
      </c>
      <c r="I1022" s="13" t="s">
        <v>23</v>
      </c>
      <c r="J1022" s="13">
        <v>2.0</v>
      </c>
      <c r="K1022" s="13" t="s">
        <v>63</v>
      </c>
      <c r="L1022" s="13" t="s">
        <v>2857</v>
      </c>
      <c r="M1022" s="13" t="s">
        <v>100</v>
      </c>
      <c r="N1022" s="13" t="s">
        <v>27</v>
      </c>
      <c r="O1022" s="14">
        <v>1267.53</v>
      </c>
      <c r="P1022" s="14">
        <f t="shared" si="2"/>
        <v>2535.06</v>
      </c>
      <c r="Q1022" s="14">
        <v>1267.26</v>
      </c>
    </row>
    <row r="1023">
      <c r="A1023" s="12">
        <v>42487.0</v>
      </c>
      <c r="B1023" s="12"/>
      <c r="C1023" s="12" t="s">
        <v>2332</v>
      </c>
      <c r="D1023" s="6">
        <v>42434.0</v>
      </c>
      <c r="E1023" s="15" t="str">
        <f t="shared" si="1"/>
        <v>Mar</v>
      </c>
      <c r="F1023" s="13" t="s">
        <v>41</v>
      </c>
      <c r="G1023" s="13" t="s">
        <v>2434</v>
      </c>
      <c r="H1023" s="13" t="s">
        <v>2639</v>
      </c>
      <c r="I1023" s="13" t="s">
        <v>23</v>
      </c>
      <c r="J1023" s="13">
        <v>2.0</v>
      </c>
      <c r="K1023" s="13" t="s">
        <v>63</v>
      </c>
      <c r="L1023" s="13" t="s">
        <v>2857</v>
      </c>
      <c r="M1023" s="13" t="s">
        <v>100</v>
      </c>
      <c r="N1023" s="13" t="s">
        <v>51</v>
      </c>
      <c r="O1023" s="14">
        <v>1379.92</v>
      </c>
      <c r="P1023" s="14">
        <f t="shared" si="2"/>
        <v>2759.84</v>
      </c>
      <c r="Q1023" s="14">
        <v>1379.42</v>
      </c>
    </row>
    <row r="1024">
      <c r="A1024" s="12">
        <v>42537.0</v>
      </c>
      <c r="B1024" s="12"/>
      <c r="C1024" s="12" t="s">
        <v>2374</v>
      </c>
      <c r="D1024" s="1" t="s">
        <v>1722</v>
      </c>
      <c r="E1024" s="15" t="str">
        <f t="shared" si="1"/>
        <v>Jun</v>
      </c>
      <c r="F1024" s="13" t="s">
        <v>41</v>
      </c>
      <c r="G1024" s="13" t="s">
        <v>2440</v>
      </c>
      <c r="H1024" s="13" t="s">
        <v>2613</v>
      </c>
      <c r="I1024" s="13" t="s">
        <v>23</v>
      </c>
      <c r="J1024" s="13">
        <v>1.0</v>
      </c>
      <c r="K1024" s="13" t="s">
        <v>98</v>
      </c>
      <c r="L1024" s="13" t="s">
        <v>99</v>
      </c>
      <c r="M1024" s="13" t="s">
        <v>100</v>
      </c>
      <c r="N1024" s="13" t="s">
        <v>38</v>
      </c>
      <c r="O1024" s="14">
        <v>6.208</v>
      </c>
      <c r="P1024" s="14">
        <f t="shared" si="2"/>
        <v>6.208</v>
      </c>
      <c r="Q1024" s="14">
        <v>6.04</v>
      </c>
    </row>
    <row r="1025">
      <c r="A1025" s="12">
        <v>43451.0</v>
      </c>
      <c r="B1025" s="12"/>
      <c r="C1025" s="12" t="s">
        <v>2325</v>
      </c>
      <c r="D1025" s="1" t="s">
        <v>1724</v>
      </c>
      <c r="E1025" s="15" t="str">
        <f t="shared" si="1"/>
        <v>Dec</v>
      </c>
      <c r="F1025" s="13" t="s">
        <v>121</v>
      </c>
      <c r="G1025" s="13" t="s">
        <v>2858</v>
      </c>
      <c r="H1025" s="13" t="s">
        <v>2859</v>
      </c>
      <c r="I1025" s="13" t="s">
        <v>68</v>
      </c>
      <c r="J1025" s="13">
        <v>9.0</v>
      </c>
      <c r="K1025" s="13" t="s">
        <v>35</v>
      </c>
      <c r="L1025" s="13" t="s">
        <v>52</v>
      </c>
      <c r="M1025" s="13" t="s">
        <v>37</v>
      </c>
      <c r="N1025" s="13" t="s">
        <v>38</v>
      </c>
      <c r="O1025" s="14">
        <v>11.808</v>
      </c>
      <c r="P1025" s="14">
        <f t="shared" si="2"/>
        <v>106.272</v>
      </c>
      <c r="Q1025" s="14">
        <v>11.56</v>
      </c>
    </row>
    <row r="1026">
      <c r="A1026" s="12">
        <v>43040.0</v>
      </c>
      <c r="B1026" s="12"/>
      <c r="C1026" s="12" t="s">
        <v>2326</v>
      </c>
      <c r="D1026" s="1" t="s">
        <v>1728</v>
      </c>
      <c r="E1026" s="15" t="str">
        <f t="shared" si="1"/>
        <v>Jan</v>
      </c>
      <c r="F1026" s="13" t="s">
        <v>20</v>
      </c>
      <c r="G1026" s="13" t="s">
        <v>2860</v>
      </c>
      <c r="H1026" s="13" t="s">
        <v>2861</v>
      </c>
      <c r="I1026" s="13" t="s">
        <v>68</v>
      </c>
      <c r="J1026" s="13">
        <v>4.0</v>
      </c>
      <c r="K1026" s="13" t="s">
        <v>197</v>
      </c>
      <c r="L1026" s="13" t="s">
        <v>304</v>
      </c>
      <c r="M1026" s="13" t="s">
        <v>100</v>
      </c>
      <c r="N1026" s="13" t="s">
        <v>38</v>
      </c>
      <c r="O1026" s="14">
        <v>15.552</v>
      </c>
      <c r="P1026" s="14">
        <f t="shared" si="2"/>
        <v>62.208</v>
      </c>
      <c r="Q1026" s="14">
        <v>15.04</v>
      </c>
    </row>
    <row r="1027">
      <c r="A1027" s="12">
        <v>43040.0</v>
      </c>
      <c r="B1027" s="12"/>
      <c r="C1027" s="12" t="s">
        <v>2326</v>
      </c>
      <c r="D1027" s="1" t="s">
        <v>1728</v>
      </c>
      <c r="E1027" s="15" t="str">
        <f t="shared" si="1"/>
        <v>Jan</v>
      </c>
      <c r="F1027" s="13" t="s">
        <v>20</v>
      </c>
      <c r="G1027" s="13" t="s">
        <v>2860</v>
      </c>
      <c r="H1027" s="13" t="s">
        <v>2861</v>
      </c>
      <c r="I1027" s="13" t="s">
        <v>68</v>
      </c>
      <c r="J1027" s="13">
        <v>4.0</v>
      </c>
      <c r="K1027" s="13" t="s">
        <v>197</v>
      </c>
      <c r="L1027" s="13" t="s">
        <v>304</v>
      </c>
      <c r="M1027" s="13" t="s">
        <v>100</v>
      </c>
      <c r="N1027" s="13" t="s">
        <v>38</v>
      </c>
      <c r="O1027" s="14">
        <v>63.312</v>
      </c>
      <c r="P1027" s="14">
        <f t="shared" si="2"/>
        <v>253.248</v>
      </c>
      <c r="Q1027" s="14">
        <v>63.23</v>
      </c>
    </row>
    <row r="1028">
      <c r="A1028" s="12">
        <v>43040.0</v>
      </c>
      <c r="B1028" s="12"/>
      <c r="C1028" s="12" t="s">
        <v>2326</v>
      </c>
      <c r="D1028" s="1" t="s">
        <v>1728</v>
      </c>
      <c r="E1028" s="15" t="str">
        <f t="shared" si="1"/>
        <v>Jan</v>
      </c>
      <c r="F1028" s="13" t="s">
        <v>20</v>
      </c>
      <c r="G1028" s="13" t="s">
        <v>2860</v>
      </c>
      <c r="H1028" s="13" t="s">
        <v>2861</v>
      </c>
      <c r="I1028" s="13" t="s">
        <v>68</v>
      </c>
      <c r="J1028" s="13">
        <v>4.0</v>
      </c>
      <c r="K1028" s="13" t="s">
        <v>197</v>
      </c>
      <c r="L1028" s="13" t="s">
        <v>304</v>
      </c>
      <c r="M1028" s="13" t="s">
        <v>100</v>
      </c>
      <c r="N1028" s="13" t="s">
        <v>51</v>
      </c>
      <c r="O1028" s="14">
        <v>15.588</v>
      </c>
      <c r="P1028" s="14">
        <f t="shared" si="2"/>
        <v>62.352</v>
      </c>
      <c r="Q1028" s="14">
        <v>15.5</v>
      </c>
    </row>
    <row r="1029">
      <c r="A1029" s="12">
        <v>42315.0</v>
      </c>
      <c r="B1029" s="12"/>
      <c r="C1029" s="12" t="s">
        <v>2326</v>
      </c>
      <c r="D1029" s="1" t="s">
        <v>1732</v>
      </c>
      <c r="E1029" s="15" t="str">
        <f t="shared" si="1"/>
        <v>Jul</v>
      </c>
      <c r="F1029" s="13" t="s">
        <v>41</v>
      </c>
      <c r="G1029" s="13" t="s">
        <v>2586</v>
      </c>
      <c r="H1029" s="13" t="s">
        <v>2424</v>
      </c>
      <c r="I1029" s="13" t="s">
        <v>34</v>
      </c>
      <c r="J1029" s="13">
        <v>7.0</v>
      </c>
      <c r="K1029" s="13" t="s">
        <v>637</v>
      </c>
      <c r="L1029" s="13" t="s">
        <v>462</v>
      </c>
      <c r="M1029" s="13" t="s">
        <v>100</v>
      </c>
      <c r="N1029" s="13" t="s">
        <v>38</v>
      </c>
      <c r="O1029" s="14">
        <v>177.2</v>
      </c>
      <c r="P1029" s="14">
        <f t="shared" si="2"/>
        <v>1240.4</v>
      </c>
      <c r="Q1029" s="14">
        <v>176.99</v>
      </c>
    </row>
    <row r="1030">
      <c r="A1030" s="12">
        <v>42315.0</v>
      </c>
      <c r="B1030" s="12"/>
      <c r="C1030" s="12" t="s">
        <v>2326</v>
      </c>
      <c r="D1030" s="1" t="s">
        <v>1732</v>
      </c>
      <c r="E1030" s="15" t="str">
        <f t="shared" si="1"/>
        <v>Jul</v>
      </c>
      <c r="F1030" s="13" t="s">
        <v>41</v>
      </c>
      <c r="G1030" s="13" t="s">
        <v>2586</v>
      </c>
      <c r="H1030" s="13" t="s">
        <v>2424</v>
      </c>
      <c r="I1030" s="13" t="s">
        <v>34</v>
      </c>
      <c r="J1030" s="13">
        <v>7.0</v>
      </c>
      <c r="K1030" s="13" t="s">
        <v>637</v>
      </c>
      <c r="L1030" s="13" t="s">
        <v>462</v>
      </c>
      <c r="M1030" s="13" t="s">
        <v>100</v>
      </c>
      <c r="N1030" s="13" t="s">
        <v>51</v>
      </c>
      <c r="O1030" s="14">
        <v>197.97</v>
      </c>
      <c r="P1030" s="14">
        <f t="shared" si="2"/>
        <v>1385.79</v>
      </c>
      <c r="Q1030" s="14">
        <v>197.65</v>
      </c>
    </row>
    <row r="1031">
      <c r="A1031" s="12">
        <v>42315.0</v>
      </c>
      <c r="B1031" s="12"/>
      <c r="C1031" s="12" t="s">
        <v>2326</v>
      </c>
      <c r="D1031" s="1" t="s">
        <v>1732</v>
      </c>
      <c r="E1031" s="15" t="str">
        <f t="shared" si="1"/>
        <v>Jul</v>
      </c>
      <c r="F1031" s="13" t="s">
        <v>41</v>
      </c>
      <c r="G1031" s="13" t="s">
        <v>2586</v>
      </c>
      <c r="H1031" s="13" t="s">
        <v>2424</v>
      </c>
      <c r="I1031" s="13" t="s">
        <v>34</v>
      </c>
      <c r="J1031" s="13">
        <v>7.0</v>
      </c>
      <c r="K1031" s="13" t="s">
        <v>637</v>
      </c>
      <c r="L1031" s="13" t="s">
        <v>462</v>
      </c>
      <c r="M1031" s="13" t="s">
        <v>100</v>
      </c>
      <c r="N1031" s="13" t="s">
        <v>27</v>
      </c>
      <c r="O1031" s="14">
        <v>854.94</v>
      </c>
      <c r="P1031" s="14">
        <f t="shared" si="2"/>
        <v>5984.58</v>
      </c>
      <c r="Q1031" s="14">
        <v>854.7</v>
      </c>
    </row>
    <row r="1032">
      <c r="A1032" s="12">
        <v>42315.0</v>
      </c>
      <c r="B1032" s="12"/>
      <c r="C1032" s="12" t="s">
        <v>2326</v>
      </c>
      <c r="D1032" s="1" t="s">
        <v>1732</v>
      </c>
      <c r="E1032" s="15" t="str">
        <f t="shared" si="1"/>
        <v>Jul</v>
      </c>
      <c r="F1032" s="13" t="s">
        <v>41</v>
      </c>
      <c r="G1032" s="13" t="s">
        <v>2586</v>
      </c>
      <c r="H1032" s="13" t="s">
        <v>2424</v>
      </c>
      <c r="I1032" s="13" t="s">
        <v>34</v>
      </c>
      <c r="J1032" s="13">
        <v>7.0</v>
      </c>
      <c r="K1032" s="13" t="s">
        <v>637</v>
      </c>
      <c r="L1032" s="13" t="s">
        <v>462</v>
      </c>
      <c r="M1032" s="13" t="s">
        <v>100</v>
      </c>
      <c r="N1032" s="13" t="s">
        <v>27</v>
      </c>
      <c r="O1032" s="14">
        <v>124.11</v>
      </c>
      <c r="P1032" s="14">
        <f t="shared" si="2"/>
        <v>868.77</v>
      </c>
      <c r="Q1032" s="14">
        <v>123.48</v>
      </c>
    </row>
    <row r="1033">
      <c r="A1033" s="12">
        <v>42315.0</v>
      </c>
      <c r="B1033" s="12"/>
      <c r="C1033" s="12" t="s">
        <v>2326</v>
      </c>
      <c r="D1033" s="1" t="s">
        <v>1732</v>
      </c>
      <c r="E1033" s="15" t="str">
        <f t="shared" si="1"/>
        <v>Jul</v>
      </c>
      <c r="F1033" s="13" t="s">
        <v>41</v>
      </c>
      <c r="G1033" s="13" t="s">
        <v>2586</v>
      </c>
      <c r="H1033" s="13" t="s">
        <v>2424</v>
      </c>
      <c r="I1033" s="13" t="s">
        <v>34</v>
      </c>
      <c r="J1033" s="13">
        <v>7.0</v>
      </c>
      <c r="K1033" s="13" t="s">
        <v>637</v>
      </c>
      <c r="L1033" s="13" t="s">
        <v>462</v>
      </c>
      <c r="M1033" s="13" t="s">
        <v>100</v>
      </c>
      <c r="N1033" s="13" t="s">
        <v>38</v>
      </c>
      <c r="O1033" s="14">
        <v>14.4</v>
      </c>
      <c r="P1033" s="14">
        <f t="shared" si="2"/>
        <v>100.8</v>
      </c>
      <c r="Q1033" s="14">
        <v>13.61</v>
      </c>
    </row>
    <row r="1034">
      <c r="A1034" s="12">
        <v>43059.0</v>
      </c>
      <c r="B1034" s="12"/>
      <c r="C1034" s="12" t="s">
        <v>2326</v>
      </c>
      <c r="D1034" s="1" t="s">
        <v>1734</v>
      </c>
      <c r="E1034" s="15" t="str">
        <f t="shared" si="1"/>
        <v>Nov</v>
      </c>
      <c r="F1034" s="13" t="s">
        <v>121</v>
      </c>
      <c r="G1034" s="13" t="s">
        <v>2334</v>
      </c>
      <c r="H1034" s="13" t="s">
        <v>2862</v>
      </c>
      <c r="I1034" s="13" t="s">
        <v>23</v>
      </c>
      <c r="J1034" s="13">
        <v>4.0</v>
      </c>
      <c r="K1034" s="13" t="s">
        <v>579</v>
      </c>
      <c r="L1034" s="13" t="s">
        <v>304</v>
      </c>
      <c r="M1034" s="13" t="s">
        <v>100</v>
      </c>
      <c r="N1034" s="13" t="s">
        <v>38</v>
      </c>
      <c r="O1034" s="14">
        <v>15.696</v>
      </c>
      <c r="P1034" s="14">
        <f t="shared" si="2"/>
        <v>62.784</v>
      </c>
      <c r="Q1034" s="14">
        <v>15.49</v>
      </c>
    </row>
    <row r="1035">
      <c r="A1035" s="12">
        <v>43059.0</v>
      </c>
      <c r="B1035" s="12"/>
      <c r="C1035" s="12" t="s">
        <v>2326</v>
      </c>
      <c r="D1035" s="1" t="s">
        <v>1734</v>
      </c>
      <c r="E1035" s="15" t="str">
        <f t="shared" si="1"/>
        <v>Nov</v>
      </c>
      <c r="F1035" s="13" t="s">
        <v>121</v>
      </c>
      <c r="G1035" s="13" t="s">
        <v>2334</v>
      </c>
      <c r="H1035" s="13" t="s">
        <v>2862</v>
      </c>
      <c r="I1035" s="13" t="s">
        <v>23</v>
      </c>
      <c r="J1035" s="13">
        <v>4.0</v>
      </c>
      <c r="K1035" s="13" t="s">
        <v>579</v>
      </c>
      <c r="L1035" s="13" t="s">
        <v>304</v>
      </c>
      <c r="M1035" s="13" t="s">
        <v>100</v>
      </c>
      <c r="N1035" s="13" t="s">
        <v>38</v>
      </c>
      <c r="O1035" s="14">
        <v>2.628</v>
      </c>
      <c r="P1035" s="14">
        <f t="shared" si="2"/>
        <v>10.512</v>
      </c>
      <c r="Q1035" s="14">
        <v>2.43</v>
      </c>
    </row>
    <row r="1036">
      <c r="A1036" s="12">
        <v>43059.0</v>
      </c>
      <c r="B1036" s="12"/>
      <c r="C1036" s="12" t="s">
        <v>2326</v>
      </c>
      <c r="D1036" s="1" t="s">
        <v>1734</v>
      </c>
      <c r="E1036" s="15" t="str">
        <f t="shared" si="1"/>
        <v>Nov</v>
      </c>
      <c r="F1036" s="13" t="s">
        <v>121</v>
      </c>
      <c r="G1036" s="13" t="s">
        <v>2334</v>
      </c>
      <c r="H1036" s="13" t="s">
        <v>2862</v>
      </c>
      <c r="I1036" s="13" t="s">
        <v>23</v>
      </c>
      <c r="J1036" s="13">
        <v>4.0</v>
      </c>
      <c r="K1036" s="13" t="s">
        <v>579</v>
      </c>
      <c r="L1036" s="13" t="s">
        <v>304</v>
      </c>
      <c r="M1036" s="13" t="s">
        <v>100</v>
      </c>
      <c r="N1036" s="13" t="s">
        <v>38</v>
      </c>
      <c r="O1036" s="14">
        <v>14.427</v>
      </c>
      <c r="P1036" s="14">
        <f t="shared" si="2"/>
        <v>57.708</v>
      </c>
      <c r="Q1036" s="14">
        <v>13.89</v>
      </c>
    </row>
    <row r="1037">
      <c r="A1037" s="12">
        <v>42847.0</v>
      </c>
      <c r="B1037" s="12"/>
      <c r="C1037" s="12" t="s">
        <v>2332</v>
      </c>
      <c r="D1037" s="1" t="s">
        <v>1738</v>
      </c>
      <c r="E1037" s="15" t="str">
        <f t="shared" si="1"/>
        <v>Apr</v>
      </c>
      <c r="F1037" s="13" t="s">
        <v>41</v>
      </c>
      <c r="G1037" s="13" t="s">
        <v>2626</v>
      </c>
      <c r="H1037" s="13" t="s">
        <v>2816</v>
      </c>
      <c r="I1037" s="13" t="s">
        <v>68</v>
      </c>
      <c r="J1037" s="13">
        <v>6.0</v>
      </c>
      <c r="K1037" s="13" t="s">
        <v>1739</v>
      </c>
      <c r="L1037" s="13" t="s">
        <v>351</v>
      </c>
      <c r="M1037" s="13" t="s">
        <v>71</v>
      </c>
      <c r="N1037" s="13" t="s">
        <v>27</v>
      </c>
      <c r="O1037" s="14">
        <v>86.62</v>
      </c>
      <c r="P1037" s="14">
        <f t="shared" si="2"/>
        <v>519.72</v>
      </c>
      <c r="Q1037" s="14">
        <v>86.12</v>
      </c>
    </row>
    <row r="1038">
      <c r="A1038" s="12">
        <v>42534.0</v>
      </c>
      <c r="B1038" s="12"/>
      <c r="C1038" s="12" t="s">
        <v>2374</v>
      </c>
      <c r="D1038" s="1" t="s">
        <v>1741</v>
      </c>
      <c r="E1038" s="15" t="str">
        <f t="shared" si="1"/>
        <v>Jun</v>
      </c>
      <c r="F1038" s="13" t="s">
        <v>121</v>
      </c>
      <c r="G1038" s="13" t="s">
        <v>2475</v>
      </c>
      <c r="H1038" s="13" t="s">
        <v>205</v>
      </c>
      <c r="I1038" s="13" t="s">
        <v>23</v>
      </c>
      <c r="J1038" s="13">
        <v>9.0</v>
      </c>
      <c r="K1038" s="13" t="s">
        <v>35</v>
      </c>
      <c r="L1038" s="13" t="s">
        <v>52</v>
      </c>
      <c r="M1038" s="13" t="s">
        <v>37</v>
      </c>
      <c r="N1038" s="13" t="s">
        <v>38</v>
      </c>
      <c r="O1038" s="14">
        <v>36.624</v>
      </c>
      <c r="P1038" s="14">
        <f t="shared" si="2"/>
        <v>329.616</v>
      </c>
      <c r="Q1038" s="14">
        <v>35.71</v>
      </c>
    </row>
    <row r="1039">
      <c r="A1039" s="12">
        <v>43424.0</v>
      </c>
      <c r="B1039" s="12"/>
      <c r="C1039" s="12" t="s">
        <v>2326</v>
      </c>
      <c r="D1039" s="1" t="s">
        <v>1745</v>
      </c>
      <c r="E1039" s="15" t="str">
        <f t="shared" si="1"/>
        <v>Nov</v>
      </c>
      <c r="F1039" s="13" t="s">
        <v>121</v>
      </c>
      <c r="G1039" s="13" t="s">
        <v>2475</v>
      </c>
      <c r="H1039" s="13" t="s">
        <v>2863</v>
      </c>
      <c r="I1039" s="13" t="s">
        <v>23</v>
      </c>
      <c r="J1039" s="13">
        <v>2.0</v>
      </c>
      <c r="K1039" s="13" t="s">
        <v>1237</v>
      </c>
      <c r="L1039" s="13" t="s">
        <v>58</v>
      </c>
      <c r="M1039" s="13" t="s">
        <v>26</v>
      </c>
      <c r="N1039" s="13" t="s">
        <v>38</v>
      </c>
      <c r="O1039" s="14">
        <v>23.968</v>
      </c>
      <c r="P1039" s="14">
        <f t="shared" si="2"/>
        <v>47.936</v>
      </c>
      <c r="Q1039" s="14">
        <v>23.57</v>
      </c>
    </row>
    <row r="1040">
      <c r="A1040" s="12">
        <v>43424.0</v>
      </c>
      <c r="B1040" s="12"/>
      <c r="C1040" s="12" t="s">
        <v>2326</v>
      </c>
      <c r="D1040" s="1" t="s">
        <v>1745</v>
      </c>
      <c r="E1040" s="15" t="str">
        <f t="shared" si="1"/>
        <v>Nov</v>
      </c>
      <c r="F1040" s="13" t="s">
        <v>121</v>
      </c>
      <c r="G1040" s="13" t="s">
        <v>2475</v>
      </c>
      <c r="H1040" s="13" t="s">
        <v>2863</v>
      </c>
      <c r="I1040" s="13" t="s">
        <v>23</v>
      </c>
      <c r="J1040" s="13">
        <v>2.0</v>
      </c>
      <c r="K1040" s="13" t="s">
        <v>1237</v>
      </c>
      <c r="L1040" s="13" t="s">
        <v>58</v>
      </c>
      <c r="M1040" s="13" t="s">
        <v>26</v>
      </c>
      <c r="N1040" s="13" t="s">
        <v>38</v>
      </c>
      <c r="O1040" s="14">
        <v>28.728</v>
      </c>
      <c r="P1040" s="14">
        <f t="shared" si="2"/>
        <v>57.456</v>
      </c>
      <c r="Q1040" s="14">
        <v>28.47</v>
      </c>
    </row>
    <row r="1041">
      <c r="A1041" s="12">
        <v>42814.0</v>
      </c>
      <c r="B1041" s="12"/>
      <c r="C1041" s="12" t="s">
        <v>2399</v>
      </c>
      <c r="D1041" s="1" t="s">
        <v>1092</v>
      </c>
      <c r="E1041" s="15" t="str">
        <f t="shared" si="1"/>
        <v>Mar</v>
      </c>
      <c r="F1041" s="13" t="s">
        <v>41</v>
      </c>
      <c r="G1041" s="13" t="s">
        <v>2480</v>
      </c>
      <c r="H1041" s="13" t="s">
        <v>2864</v>
      </c>
      <c r="I1041" s="13" t="s">
        <v>68</v>
      </c>
      <c r="J1041" s="13">
        <v>6.0</v>
      </c>
      <c r="K1041" s="13" t="s">
        <v>1751</v>
      </c>
      <c r="L1041" s="13" t="s">
        <v>351</v>
      </c>
      <c r="M1041" s="13" t="s">
        <v>71</v>
      </c>
      <c r="N1041" s="13" t="s">
        <v>27</v>
      </c>
      <c r="O1041" s="14">
        <v>697.16</v>
      </c>
      <c r="P1041" s="14">
        <f t="shared" si="2"/>
        <v>4182.96</v>
      </c>
      <c r="Q1041" s="14">
        <v>697.14</v>
      </c>
    </row>
    <row r="1042">
      <c r="A1042" s="12">
        <v>42895.0</v>
      </c>
      <c r="B1042" s="12"/>
      <c r="C1042" s="12" t="s">
        <v>2374</v>
      </c>
      <c r="D1042" s="6">
        <v>42987.0</v>
      </c>
      <c r="E1042" s="15" t="str">
        <f t="shared" si="1"/>
        <v>Sep</v>
      </c>
      <c r="F1042" s="13" t="s">
        <v>20</v>
      </c>
      <c r="G1042" s="13" t="s">
        <v>2489</v>
      </c>
      <c r="H1042" s="13" t="s">
        <v>2865</v>
      </c>
      <c r="I1042" s="13" t="s">
        <v>23</v>
      </c>
      <c r="J1042" s="13">
        <v>1.0</v>
      </c>
      <c r="K1042" s="13" t="s">
        <v>174</v>
      </c>
      <c r="L1042" s="13" t="s">
        <v>175</v>
      </c>
      <c r="M1042" s="13" t="s">
        <v>100</v>
      </c>
      <c r="N1042" s="13" t="s">
        <v>51</v>
      </c>
      <c r="O1042" s="14">
        <v>31.86</v>
      </c>
      <c r="P1042" s="14">
        <f t="shared" si="2"/>
        <v>31.86</v>
      </c>
      <c r="Q1042" s="14">
        <v>31.06</v>
      </c>
    </row>
    <row r="1043">
      <c r="A1043" s="12">
        <v>42895.0</v>
      </c>
      <c r="B1043" s="12"/>
      <c r="C1043" s="12" t="s">
        <v>2374</v>
      </c>
      <c r="D1043" s="6">
        <v>42987.0</v>
      </c>
      <c r="E1043" s="15" t="str">
        <f t="shared" si="1"/>
        <v>Sep</v>
      </c>
      <c r="F1043" s="13" t="s">
        <v>20</v>
      </c>
      <c r="G1043" s="13" t="s">
        <v>2489</v>
      </c>
      <c r="H1043" s="13" t="s">
        <v>2865</v>
      </c>
      <c r="I1043" s="13" t="s">
        <v>23</v>
      </c>
      <c r="J1043" s="13">
        <v>1.0</v>
      </c>
      <c r="K1043" s="13" t="s">
        <v>174</v>
      </c>
      <c r="L1043" s="13" t="s">
        <v>175</v>
      </c>
      <c r="M1043" s="13" t="s">
        <v>100</v>
      </c>
      <c r="N1043" s="13" t="s">
        <v>27</v>
      </c>
      <c r="O1043" s="14">
        <v>722.352</v>
      </c>
      <c r="P1043" s="14">
        <f t="shared" si="2"/>
        <v>722.352</v>
      </c>
      <c r="Q1043" s="14">
        <v>721.86</v>
      </c>
    </row>
    <row r="1044">
      <c r="A1044" s="12">
        <v>43350.0</v>
      </c>
      <c r="B1044" s="12"/>
      <c r="C1044" s="12" t="s">
        <v>2329</v>
      </c>
      <c r="D1044" s="6">
        <v>43441.0</v>
      </c>
      <c r="E1044" s="15" t="str">
        <f t="shared" si="1"/>
        <v>Dec</v>
      </c>
      <c r="F1044" s="13" t="s">
        <v>121</v>
      </c>
      <c r="G1044" s="13" t="s">
        <v>2866</v>
      </c>
      <c r="H1044" s="13" t="s">
        <v>2867</v>
      </c>
      <c r="I1044" s="13" t="s">
        <v>34</v>
      </c>
      <c r="J1044" s="13">
        <v>6.0</v>
      </c>
      <c r="K1044" s="13" t="s">
        <v>188</v>
      </c>
      <c r="L1044" s="13" t="s">
        <v>135</v>
      </c>
      <c r="M1044" s="13" t="s">
        <v>71</v>
      </c>
      <c r="N1044" s="13" t="s">
        <v>38</v>
      </c>
      <c r="O1044" s="14">
        <v>8.84</v>
      </c>
      <c r="P1044" s="14">
        <f t="shared" si="2"/>
        <v>53.04</v>
      </c>
      <c r="Q1044" s="14">
        <v>8.27</v>
      </c>
    </row>
    <row r="1045">
      <c r="A1045" s="12">
        <v>43350.0</v>
      </c>
      <c r="B1045" s="12"/>
      <c r="C1045" s="12" t="s">
        <v>2329</v>
      </c>
      <c r="D1045" s="6">
        <v>43441.0</v>
      </c>
      <c r="E1045" s="15" t="str">
        <f t="shared" si="1"/>
        <v>Dec</v>
      </c>
      <c r="F1045" s="13" t="s">
        <v>121</v>
      </c>
      <c r="G1045" s="13" t="s">
        <v>2866</v>
      </c>
      <c r="H1045" s="13" t="s">
        <v>2867</v>
      </c>
      <c r="I1045" s="13" t="s">
        <v>34</v>
      </c>
      <c r="J1045" s="13">
        <v>6.0</v>
      </c>
      <c r="K1045" s="13" t="s">
        <v>188</v>
      </c>
      <c r="L1045" s="13" t="s">
        <v>135</v>
      </c>
      <c r="M1045" s="13" t="s">
        <v>71</v>
      </c>
      <c r="N1045" s="13" t="s">
        <v>38</v>
      </c>
      <c r="O1045" s="14">
        <v>58.464</v>
      </c>
      <c r="P1045" s="14">
        <f t="shared" si="2"/>
        <v>350.784</v>
      </c>
      <c r="Q1045" s="14">
        <v>58.24</v>
      </c>
    </row>
    <row r="1046">
      <c r="A1046" s="12">
        <v>43444.0</v>
      </c>
      <c r="B1046" s="12"/>
      <c r="C1046" s="12" t="s">
        <v>2325</v>
      </c>
      <c r="D1046" s="1" t="s">
        <v>1759</v>
      </c>
      <c r="E1046" s="15" t="str">
        <f t="shared" si="1"/>
        <v>Oct</v>
      </c>
      <c r="F1046" s="13" t="s">
        <v>41</v>
      </c>
      <c r="G1046" s="13" t="s">
        <v>2363</v>
      </c>
      <c r="H1046" s="13" t="s">
        <v>2364</v>
      </c>
      <c r="I1046" s="13" t="s">
        <v>68</v>
      </c>
      <c r="J1046" s="13">
        <v>6.0</v>
      </c>
      <c r="K1046" s="13" t="s">
        <v>1760</v>
      </c>
      <c r="L1046" s="13" t="s">
        <v>135</v>
      </c>
      <c r="M1046" s="13" t="s">
        <v>71</v>
      </c>
      <c r="N1046" s="13" t="s">
        <v>27</v>
      </c>
      <c r="O1046" s="14">
        <v>254.604</v>
      </c>
      <c r="P1046" s="14">
        <f t="shared" si="2"/>
        <v>1527.624</v>
      </c>
      <c r="Q1046" s="14">
        <v>254.22</v>
      </c>
    </row>
    <row r="1047">
      <c r="A1047" s="12">
        <v>42950.0</v>
      </c>
      <c r="B1047" s="12"/>
      <c r="C1047" s="12" t="s">
        <v>2322</v>
      </c>
      <c r="D1047" s="1" t="s">
        <v>147</v>
      </c>
      <c r="E1047" s="15" t="str">
        <f t="shared" si="1"/>
        <v>Mar</v>
      </c>
      <c r="F1047" s="13" t="s">
        <v>41</v>
      </c>
      <c r="G1047" s="13" t="s">
        <v>2344</v>
      </c>
      <c r="H1047" s="13" t="s">
        <v>2689</v>
      </c>
      <c r="I1047" s="13" t="s">
        <v>23</v>
      </c>
      <c r="J1047" s="13">
        <v>3.0</v>
      </c>
      <c r="K1047" s="13" t="s">
        <v>791</v>
      </c>
      <c r="L1047" s="13" t="s">
        <v>145</v>
      </c>
      <c r="M1047" s="13" t="s">
        <v>26</v>
      </c>
      <c r="N1047" s="13" t="s">
        <v>51</v>
      </c>
      <c r="O1047" s="14">
        <v>1363.96</v>
      </c>
      <c r="P1047" s="14">
        <f t="shared" si="2"/>
        <v>4091.88</v>
      </c>
      <c r="Q1047" s="14">
        <v>1363.84</v>
      </c>
    </row>
    <row r="1048">
      <c r="A1048" s="12">
        <v>42950.0</v>
      </c>
      <c r="B1048" s="12"/>
      <c r="C1048" s="12" t="s">
        <v>2322</v>
      </c>
      <c r="D1048" s="1" t="s">
        <v>147</v>
      </c>
      <c r="E1048" s="15" t="str">
        <f t="shared" si="1"/>
        <v>Mar</v>
      </c>
      <c r="F1048" s="13" t="s">
        <v>41</v>
      </c>
      <c r="G1048" s="13" t="s">
        <v>2344</v>
      </c>
      <c r="H1048" s="13" t="s">
        <v>2689</v>
      </c>
      <c r="I1048" s="13" t="s">
        <v>23</v>
      </c>
      <c r="J1048" s="13">
        <v>3.0</v>
      </c>
      <c r="K1048" s="13" t="s">
        <v>791</v>
      </c>
      <c r="L1048" s="13" t="s">
        <v>145</v>
      </c>
      <c r="M1048" s="13" t="s">
        <v>26</v>
      </c>
      <c r="N1048" s="13" t="s">
        <v>27</v>
      </c>
      <c r="O1048" s="14">
        <v>102.36</v>
      </c>
      <c r="P1048" s="14">
        <f t="shared" si="2"/>
        <v>307.08</v>
      </c>
      <c r="Q1048" s="14">
        <v>101.47</v>
      </c>
    </row>
    <row r="1049">
      <c r="A1049" s="12">
        <v>42151.0</v>
      </c>
      <c r="B1049" s="12"/>
      <c r="C1049" s="12" t="s">
        <v>2335</v>
      </c>
      <c r="D1049" s="6">
        <v>42010.0</v>
      </c>
      <c r="E1049" s="15" t="str">
        <f t="shared" si="1"/>
        <v>Jan</v>
      </c>
      <c r="F1049" s="13" t="s">
        <v>20</v>
      </c>
      <c r="G1049" s="13" t="s">
        <v>2375</v>
      </c>
      <c r="H1049" s="13" t="s">
        <v>2401</v>
      </c>
      <c r="I1049" s="13" t="s">
        <v>23</v>
      </c>
      <c r="J1049" s="13">
        <v>9.0</v>
      </c>
      <c r="K1049" s="13" t="s">
        <v>87</v>
      </c>
      <c r="L1049" s="13" t="s">
        <v>52</v>
      </c>
      <c r="M1049" s="13" t="s">
        <v>37</v>
      </c>
      <c r="N1049" s="13" t="s">
        <v>51</v>
      </c>
      <c r="O1049" s="14">
        <v>1113.504</v>
      </c>
      <c r="P1049" s="14">
        <f t="shared" si="2"/>
        <v>10021.536</v>
      </c>
      <c r="Q1049" s="14">
        <v>1113.45</v>
      </c>
    </row>
    <row r="1050">
      <c r="A1050" s="12">
        <v>42151.0</v>
      </c>
      <c r="B1050" s="12"/>
      <c r="C1050" s="12" t="s">
        <v>2335</v>
      </c>
      <c r="D1050" s="6">
        <v>42010.0</v>
      </c>
      <c r="E1050" s="15" t="str">
        <f t="shared" si="1"/>
        <v>Jan</v>
      </c>
      <c r="F1050" s="13" t="s">
        <v>20</v>
      </c>
      <c r="G1050" s="13" t="s">
        <v>2375</v>
      </c>
      <c r="H1050" s="13" t="s">
        <v>2401</v>
      </c>
      <c r="I1050" s="13" t="s">
        <v>23</v>
      </c>
      <c r="J1050" s="13">
        <v>9.0</v>
      </c>
      <c r="K1050" s="13" t="s">
        <v>87</v>
      </c>
      <c r="L1050" s="13" t="s">
        <v>52</v>
      </c>
      <c r="M1050" s="13" t="s">
        <v>37</v>
      </c>
      <c r="N1050" s="13" t="s">
        <v>51</v>
      </c>
      <c r="O1050" s="14">
        <v>99.99</v>
      </c>
      <c r="P1050" s="14">
        <f t="shared" si="2"/>
        <v>899.91</v>
      </c>
      <c r="Q1050" s="14">
        <v>99.38</v>
      </c>
    </row>
    <row r="1051">
      <c r="A1051" s="12">
        <v>42436.0</v>
      </c>
      <c r="B1051" s="12"/>
      <c r="C1051" s="12" t="s">
        <v>2399</v>
      </c>
      <c r="D1051" s="6">
        <v>42497.0</v>
      </c>
      <c r="E1051" s="15" t="str">
        <f t="shared" si="1"/>
        <v>May</v>
      </c>
      <c r="F1051" s="13" t="s">
        <v>121</v>
      </c>
      <c r="G1051" s="13" t="s">
        <v>2868</v>
      </c>
      <c r="H1051" s="13" t="s">
        <v>2869</v>
      </c>
      <c r="I1051" s="13" t="s">
        <v>34</v>
      </c>
      <c r="J1051" s="13">
        <v>1.0</v>
      </c>
      <c r="K1051" s="13" t="s">
        <v>98</v>
      </c>
      <c r="L1051" s="13" t="s">
        <v>99</v>
      </c>
      <c r="M1051" s="13" t="s">
        <v>100</v>
      </c>
      <c r="N1051" s="13" t="s">
        <v>27</v>
      </c>
      <c r="O1051" s="14">
        <v>168.464</v>
      </c>
      <c r="P1051" s="14">
        <f t="shared" si="2"/>
        <v>168.464</v>
      </c>
      <c r="Q1051" s="14">
        <v>168.38</v>
      </c>
    </row>
    <row r="1052">
      <c r="A1052" s="12">
        <v>42436.0</v>
      </c>
      <c r="B1052" s="12"/>
      <c r="C1052" s="12" t="s">
        <v>2399</v>
      </c>
      <c r="D1052" s="6">
        <v>42497.0</v>
      </c>
      <c r="E1052" s="15" t="str">
        <f t="shared" si="1"/>
        <v>May</v>
      </c>
      <c r="F1052" s="13" t="s">
        <v>121</v>
      </c>
      <c r="G1052" s="13" t="s">
        <v>2868</v>
      </c>
      <c r="H1052" s="13" t="s">
        <v>2869</v>
      </c>
      <c r="I1052" s="13" t="s">
        <v>34</v>
      </c>
      <c r="J1052" s="13">
        <v>1.0</v>
      </c>
      <c r="K1052" s="13" t="s">
        <v>98</v>
      </c>
      <c r="L1052" s="13" t="s">
        <v>99</v>
      </c>
      <c r="M1052" s="13" t="s">
        <v>100</v>
      </c>
      <c r="N1052" s="13" t="s">
        <v>38</v>
      </c>
      <c r="O1052" s="14">
        <v>6.72</v>
      </c>
      <c r="P1052" s="14">
        <f t="shared" si="2"/>
        <v>6.72</v>
      </c>
      <c r="Q1052" s="14">
        <v>6.39</v>
      </c>
    </row>
    <row r="1053">
      <c r="A1053" s="12">
        <v>42436.0</v>
      </c>
      <c r="B1053" s="12"/>
      <c r="C1053" s="12" t="s">
        <v>2399</v>
      </c>
      <c r="D1053" s="6">
        <v>42497.0</v>
      </c>
      <c r="E1053" s="15" t="str">
        <f t="shared" si="1"/>
        <v>May</v>
      </c>
      <c r="F1053" s="13" t="s">
        <v>121</v>
      </c>
      <c r="G1053" s="13" t="s">
        <v>2868</v>
      </c>
      <c r="H1053" s="13" t="s">
        <v>2869</v>
      </c>
      <c r="I1053" s="13" t="s">
        <v>34</v>
      </c>
      <c r="J1053" s="13">
        <v>1.0</v>
      </c>
      <c r="K1053" s="13" t="s">
        <v>98</v>
      </c>
      <c r="L1053" s="13" t="s">
        <v>99</v>
      </c>
      <c r="M1053" s="13" t="s">
        <v>100</v>
      </c>
      <c r="N1053" s="13" t="s">
        <v>27</v>
      </c>
      <c r="O1053" s="14">
        <v>282.888</v>
      </c>
      <c r="P1053" s="14">
        <f t="shared" si="2"/>
        <v>282.888</v>
      </c>
      <c r="Q1053" s="14">
        <v>282.12</v>
      </c>
    </row>
    <row r="1054">
      <c r="A1054" s="12">
        <v>42464.0</v>
      </c>
      <c r="B1054" s="12"/>
      <c r="C1054" s="12" t="s">
        <v>2332</v>
      </c>
      <c r="D1054" s="6">
        <v>42586.0</v>
      </c>
      <c r="E1054" s="15" t="str">
        <f t="shared" si="1"/>
        <v>Aug</v>
      </c>
      <c r="F1054" s="13" t="s">
        <v>41</v>
      </c>
      <c r="G1054" s="13" t="s">
        <v>2870</v>
      </c>
      <c r="H1054" s="13" t="s">
        <v>2769</v>
      </c>
      <c r="I1054" s="13" t="s">
        <v>68</v>
      </c>
      <c r="J1054" s="13">
        <v>1.0</v>
      </c>
      <c r="K1054" s="13" t="s">
        <v>174</v>
      </c>
      <c r="L1054" s="13" t="s">
        <v>175</v>
      </c>
      <c r="M1054" s="13" t="s">
        <v>100</v>
      </c>
      <c r="N1054" s="13" t="s">
        <v>38</v>
      </c>
      <c r="O1054" s="14">
        <v>11.16</v>
      </c>
      <c r="P1054" s="14">
        <f t="shared" si="2"/>
        <v>11.16</v>
      </c>
      <c r="Q1054" s="14">
        <v>10.72</v>
      </c>
    </row>
    <row r="1055">
      <c r="A1055" s="12">
        <v>42464.0</v>
      </c>
      <c r="B1055" s="12"/>
      <c r="C1055" s="12" t="s">
        <v>2332</v>
      </c>
      <c r="D1055" s="6">
        <v>42586.0</v>
      </c>
      <c r="E1055" s="15" t="str">
        <f t="shared" si="1"/>
        <v>Aug</v>
      </c>
      <c r="F1055" s="13" t="s">
        <v>41</v>
      </c>
      <c r="G1055" s="13" t="s">
        <v>2870</v>
      </c>
      <c r="H1055" s="13" t="s">
        <v>2769</v>
      </c>
      <c r="I1055" s="13" t="s">
        <v>68</v>
      </c>
      <c r="J1055" s="13">
        <v>1.0</v>
      </c>
      <c r="K1055" s="13" t="s">
        <v>174</v>
      </c>
      <c r="L1055" s="13" t="s">
        <v>175</v>
      </c>
      <c r="M1055" s="13" t="s">
        <v>100</v>
      </c>
      <c r="N1055" s="13" t="s">
        <v>27</v>
      </c>
      <c r="O1055" s="14">
        <v>108.4</v>
      </c>
      <c r="P1055" s="14">
        <f t="shared" si="2"/>
        <v>108.4</v>
      </c>
      <c r="Q1055" s="14">
        <v>107.97</v>
      </c>
    </row>
    <row r="1056">
      <c r="A1056" s="12">
        <v>42464.0</v>
      </c>
      <c r="B1056" s="12"/>
      <c r="C1056" s="12" t="s">
        <v>2332</v>
      </c>
      <c r="D1056" s="6">
        <v>42586.0</v>
      </c>
      <c r="E1056" s="15" t="str">
        <f t="shared" si="1"/>
        <v>Aug</v>
      </c>
      <c r="F1056" s="13" t="s">
        <v>41</v>
      </c>
      <c r="G1056" s="13" t="s">
        <v>2870</v>
      </c>
      <c r="H1056" s="13" t="s">
        <v>2769</v>
      </c>
      <c r="I1056" s="13" t="s">
        <v>68</v>
      </c>
      <c r="J1056" s="13">
        <v>1.0</v>
      </c>
      <c r="K1056" s="13" t="s">
        <v>174</v>
      </c>
      <c r="L1056" s="13" t="s">
        <v>175</v>
      </c>
      <c r="M1056" s="13" t="s">
        <v>100</v>
      </c>
      <c r="N1056" s="13" t="s">
        <v>38</v>
      </c>
      <c r="O1056" s="14">
        <v>82.344</v>
      </c>
      <c r="P1056" s="14">
        <f t="shared" si="2"/>
        <v>82.344</v>
      </c>
      <c r="Q1056" s="14">
        <v>82.25</v>
      </c>
    </row>
    <row r="1057">
      <c r="A1057" s="12">
        <v>42464.0</v>
      </c>
      <c r="B1057" s="12"/>
      <c r="C1057" s="12" t="s">
        <v>2332</v>
      </c>
      <c r="D1057" s="6">
        <v>42586.0</v>
      </c>
      <c r="E1057" s="15" t="str">
        <f t="shared" si="1"/>
        <v>Aug</v>
      </c>
      <c r="F1057" s="13" t="s">
        <v>41</v>
      </c>
      <c r="G1057" s="13" t="s">
        <v>2870</v>
      </c>
      <c r="H1057" s="13" t="s">
        <v>2769</v>
      </c>
      <c r="I1057" s="13" t="s">
        <v>68</v>
      </c>
      <c r="J1057" s="13">
        <v>1.0</v>
      </c>
      <c r="K1057" s="13" t="s">
        <v>174</v>
      </c>
      <c r="L1057" s="13" t="s">
        <v>175</v>
      </c>
      <c r="M1057" s="13" t="s">
        <v>100</v>
      </c>
      <c r="N1057" s="13" t="s">
        <v>38</v>
      </c>
      <c r="O1057" s="14">
        <v>9.088</v>
      </c>
      <c r="P1057" s="14">
        <f t="shared" si="2"/>
        <v>9.088</v>
      </c>
      <c r="Q1057" s="14">
        <v>8.58</v>
      </c>
    </row>
    <row r="1058">
      <c r="A1058" s="12">
        <v>43385.0</v>
      </c>
      <c r="B1058" s="12"/>
      <c r="C1058" s="12" t="s">
        <v>2358</v>
      </c>
      <c r="D1058" s="1" t="s">
        <v>1770</v>
      </c>
      <c r="E1058" s="15" t="str">
        <f t="shared" si="1"/>
        <v>Dec</v>
      </c>
      <c r="F1058" s="13" t="s">
        <v>41</v>
      </c>
      <c r="G1058" s="13" t="s">
        <v>2546</v>
      </c>
      <c r="H1058" s="13" t="s">
        <v>2547</v>
      </c>
      <c r="I1058" s="13" t="s">
        <v>34</v>
      </c>
      <c r="J1058" s="13">
        <v>9.0</v>
      </c>
      <c r="K1058" s="13" t="s">
        <v>542</v>
      </c>
      <c r="L1058" s="13" t="s">
        <v>52</v>
      </c>
      <c r="M1058" s="13" t="s">
        <v>37</v>
      </c>
      <c r="N1058" s="13" t="s">
        <v>38</v>
      </c>
      <c r="O1058" s="14">
        <v>19.936</v>
      </c>
      <c r="P1058" s="14">
        <f t="shared" si="2"/>
        <v>179.424</v>
      </c>
      <c r="Q1058" s="14">
        <v>19.71</v>
      </c>
    </row>
    <row r="1059">
      <c r="A1059" s="12">
        <v>43385.0</v>
      </c>
      <c r="B1059" s="12"/>
      <c r="C1059" s="12" t="s">
        <v>2358</v>
      </c>
      <c r="D1059" s="1" t="s">
        <v>1770</v>
      </c>
      <c r="E1059" s="15" t="str">
        <f t="shared" si="1"/>
        <v>Dec</v>
      </c>
      <c r="F1059" s="13" t="s">
        <v>41</v>
      </c>
      <c r="G1059" s="13" t="s">
        <v>2546</v>
      </c>
      <c r="H1059" s="13" t="s">
        <v>2547</v>
      </c>
      <c r="I1059" s="13" t="s">
        <v>34</v>
      </c>
      <c r="J1059" s="13">
        <v>9.0</v>
      </c>
      <c r="K1059" s="13" t="s">
        <v>542</v>
      </c>
      <c r="L1059" s="13" t="s">
        <v>52</v>
      </c>
      <c r="M1059" s="13" t="s">
        <v>37</v>
      </c>
      <c r="N1059" s="13" t="s">
        <v>38</v>
      </c>
      <c r="O1059" s="14">
        <v>65.568</v>
      </c>
      <c r="P1059" s="14">
        <f t="shared" si="2"/>
        <v>590.112</v>
      </c>
      <c r="Q1059" s="14">
        <v>65.56</v>
      </c>
    </row>
    <row r="1060">
      <c r="A1060" s="12">
        <v>43063.0</v>
      </c>
      <c r="B1060" s="12"/>
      <c r="C1060" s="12" t="s">
        <v>2326</v>
      </c>
      <c r="D1060" s="6">
        <v>42747.0</v>
      </c>
      <c r="E1060" s="15" t="str">
        <f t="shared" si="1"/>
        <v>Jan</v>
      </c>
      <c r="F1060" s="13" t="s">
        <v>41</v>
      </c>
      <c r="G1060" s="13" t="s">
        <v>2871</v>
      </c>
      <c r="H1060" s="13" t="s">
        <v>2872</v>
      </c>
      <c r="I1060" s="13" t="s">
        <v>68</v>
      </c>
      <c r="J1060" s="13">
        <v>1.0</v>
      </c>
      <c r="K1060" s="13" t="s">
        <v>98</v>
      </c>
      <c r="L1060" s="13" t="s">
        <v>99</v>
      </c>
      <c r="M1060" s="13" t="s">
        <v>100</v>
      </c>
      <c r="N1060" s="13" t="s">
        <v>38</v>
      </c>
      <c r="O1060" s="14">
        <v>4.416</v>
      </c>
      <c r="P1060" s="14">
        <f t="shared" si="2"/>
        <v>4.416</v>
      </c>
      <c r="Q1060" s="14">
        <v>3.72</v>
      </c>
    </row>
    <row r="1061">
      <c r="A1061" s="12">
        <v>42452.0</v>
      </c>
      <c r="B1061" s="12"/>
      <c r="C1061" s="12" t="s">
        <v>2399</v>
      </c>
      <c r="D1061" s="1" t="s">
        <v>1775</v>
      </c>
      <c r="E1061" s="15" t="str">
        <f t="shared" si="1"/>
        <v>Mar</v>
      </c>
      <c r="F1061" s="13" t="s">
        <v>41</v>
      </c>
      <c r="G1061" s="13" t="s">
        <v>2573</v>
      </c>
      <c r="H1061" s="13" t="s">
        <v>2574</v>
      </c>
      <c r="I1061" s="13" t="s">
        <v>23</v>
      </c>
      <c r="J1061" s="13">
        <v>7.0</v>
      </c>
      <c r="K1061" s="13" t="s">
        <v>129</v>
      </c>
      <c r="L1061" s="13" t="s">
        <v>70</v>
      </c>
      <c r="M1061" s="13" t="s">
        <v>71</v>
      </c>
      <c r="N1061" s="13" t="s">
        <v>27</v>
      </c>
      <c r="O1061" s="14">
        <v>107.772</v>
      </c>
      <c r="P1061" s="14">
        <f t="shared" si="2"/>
        <v>754.404</v>
      </c>
      <c r="Q1061" s="14">
        <v>107.11</v>
      </c>
    </row>
    <row r="1062">
      <c r="A1062" s="12">
        <v>42476.0</v>
      </c>
      <c r="B1062" s="12"/>
      <c r="C1062" s="12" t="s">
        <v>2332</v>
      </c>
      <c r="D1062" s="1" t="s">
        <v>1777</v>
      </c>
      <c r="E1062" s="15" t="str">
        <f t="shared" si="1"/>
        <v>Apr</v>
      </c>
      <c r="F1062" s="13" t="s">
        <v>41</v>
      </c>
      <c r="G1062" s="13" t="s">
        <v>2873</v>
      </c>
      <c r="H1062" s="13" t="s">
        <v>2874</v>
      </c>
      <c r="I1062" s="13" t="s">
        <v>34</v>
      </c>
      <c r="J1062" s="13">
        <v>4.0</v>
      </c>
      <c r="K1062" s="13" t="s">
        <v>1598</v>
      </c>
      <c r="L1062" s="13" t="s">
        <v>304</v>
      </c>
      <c r="M1062" s="13" t="s">
        <v>100</v>
      </c>
      <c r="N1062" s="13" t="s">
        <v>38</v>
      </c>
      <c r="O1062" s="14">
        <v>45.216</v>
      </c>
      <c r="P1062" s="14">
        <f t="shared" si="2"/>
        <v>180.864</v>
      </c>
      <c r="Q1062" s="14">
        <v>44.86</v>
      </c>
    </row>
    <row r="1063">
      <c r="A1063" s="12">
        <v>42476.0</v>
      </c>
      <c r="B1063" s="12"/>
      <c r="C1063" s="12" t="s">
        <v>2332</v>
      </c>
      <c r="D1063" s="1" t="s">
        <v>1777</v>
      </c>
      <c r="E1063" s="15" t="str">
        <f t="shared" si="1"/>
        <v>Apr</v>
      </c>
      <c r="F1063" s="13" t="s">
        <v>41</v>
      </c>
      <c r="G1063" s="13" t="s">
        <v>2873</v>
      </c>
      <c r="H1063" s="13" t="s">
        <v>2874</v>
      </c>
      <c r="I1063" s="13" t="s">
        <v>34</v>
      </c>
      <c r="J1063" s="13">
        <v>4.0</v>
      </c>
      <c r="K1063" s="13" t="s">
        <v>1598</v>
      </c>
      <c r="L1063" s="13" t="s">
        <v>304</v>
      </c>
      <c r="M1063" s="13" t="s">
        <v>100</v>
      </c>
      <c r="N1063" s="13" t="s">
        <v>38</v>
      </c>
      <c r="O1063" s="14">
        <v>10.416</v>
      </c>
      <c r="P1063" s="14">
        <f t="shared" si="2"/>
        <v>41.664</v>
      </c>
      <c r="Q1063" s="14">
        <v>10.07</v>
      </c>
    </row>
    <row r="1064">
      <c r="A1064" s="12">
        <v>42476.0</v>
      </c>
      <c r="B1064" s="12"/>
      <c r="C1064" s="12" t="s">
        <v>2332</v>
      </c>
      <c r="D1064" s="1" t="s">
        <v>1777</v>
      </c>
      <c r="E1064" s="15" t="str">
        <f t="shared" si="1"/>
        <v>Apr</v>
      </c>
      <c r="F1064" s="13" t="s">
        <v>41</v>
      </c>
      <c r="G1064" s="13" t="s">
        <v>2873</v>
      </c>
      <c r="H1064" s="13" t="s">
        <v>2874</v>
      </c>
      <c r="I1064" s="13" t="s">
        <v>34</v>
      </c>
      <c r="J1064" s="13">
        <v>4.0</v>
      </c>
      <c r="K1064" s="13" t="s">
        <v>1598</v>
      </c>
      <c r="L1064" s="13" t="s">
        <v>304</v>
      </c>
      <c r="M1064" s="13" t="s">
        <v>100</v>
      </c>
      <c r="N1064" s="13" t="s">
        <v>38</v>
      </c>
      <c r="O1064" s="14">
        <v>7.872</v>
      </c>
      <c r="P1064" s="14">
        <f t="shared" si="2"/>
        <v>31.488</v>
      </c>
      <c r="Q1064" s="14">
        <v>6.89</v>
      </c>
    </row>
    <row r="1065">
      <c r="A1065" s="12">
        <v>42476.0</v>
      </c>
      <c r="B1065" s="12"/>
      <c r="C1065" s="12" t="s">
        <v>2332</v>
      </c>
      <c r="D1065" s="1" t="s">
        <v>1777</v>
      </c>
      <c r="E1065" s="15" t="str">
        <f t="shared" si="1"/>
        <v>Apr</v>
      </c>
      <c r="F1065" s="13" t="s">
        <v>41</v>
      </c>
      <c r="G1065" s="13" t="s">
        <v>2873</v>
      </c>
      <c r="H1065" s="13" t="s">
        <v>2874</v>
      </c>
      <c r="I1065" s="13" t="s">
        <v>34</v>
      </c>
      <c r="J1065" s="13">
        <v>4.0</v>
      </c>
      <c r="K1065" s="13" t="s">
        <v>1598</v>
      </c>
      <c r="L1065" s="13" t="s">
        <v>304</v>
      </c>
      <c r="M1065" s="13" t="s">
        <v>100</v>
      </c>
      <c r="N1065" s="13" t="s">
        <v>51</v>
      </c>
      <c r="O1065" s="14">
        <v>118.782</v>
      </c>
      <c r="P1065" s="14">
        <f t="shared" si="2"/>
        <v>475.128</v>
      </c>
      <c r="Q1065" s="14">
        <v>117.94</v>
      </c>
    </row>
    <row r="1066">
      <c r="A1066" s="12">
        <v>42476.0</v>
      </c>
      <c r="B1066" s="12"/>
      <c r="C1066" s="12" t="s">
        <v>2332</v>
      </c>
      <c r="D1066" s="1" t="s">
        <v>1777</v>
      </c>
      <c r="E1066" s="15" t="str">
        <f t="shared" si="1"/>
        <v>Apr</v>
      </c>
      <c r="F1066" s="13" t="s">
        <v>41</v>
      </c>
      <c r="G1066" s="13" t="s">
        <v>2873</v>
      </c>
      <c r="H1066" s="13" t="s">
        <v>2874</v>
      </c>
      <c r="I1066" s="13" t="s">
        <v>34</v>
      </c>
      <c r="J1066" s="13">
        <v>4.0</v>
      </c>
      <c r="K1066" s="13" t="s">
        <v>1598</v>
      </c>
      <c r="L1066" s="13" t="s">
        <v>304</v>
      </c>
      <c r="M1066" s="13" t="s">
        <v>100</v>
      </c>
      <c r="N1066" s="13" t="s">
        <v>38</v>
      </c>
      <c r="O1066" s="14">
        <v>1.448</v>
      </c>
      <c r="P1066" s="14">
        <f t="shared" si="2"/>
        <v>5.792</v>
      </c>
      <c r="Q1066" s="14">
        <v>1.02</v>
      </c>
    </row>
    <row r="1067">
      <c r="A1067" s="12">
        <v>42476.0</v>
      </c>
      <c r="B1067" s="12"/>
      <c r="C1067" s="12" t="s">
        <v>2332</v>
      </c>
      <c r="D1067" s="1" t="s">
        <v>1777</v>
      </c>
      <c r="E1067" s="15" t="str">
        <f t="shared" si="1"/>
        <v>Apr</v>
      </c>
      <c r="F1067" s="13" t="s">
        <v>41</v>
      </c>
      <c r="G1067" s="13" t="s">
        <v>2873</v>
      </c>
      <c r="H1067" s="13" t="s">
        <v>2874</v>
      </c>
      <c r="I1067" s="13" t="s">
        <v>34</v>
      </c>
      <c r="J1067" s="13">
        <v>4.0</v>
      </c>
      <c r="K1067" s="13" t="s">
        <v>1598</v>
      </c>
      <c r="L1067" s="13" t="s">
        <v>304</v>
      </c>
      <c r="M1067" s="13" t="s">
        <v>100</v>
      </c>
      <c r="N1067" s="13" t="s">
        <v>38</v>
      </c>
      <c r="O1067" s="14">
        <v>55.47</v>
      </c>
      <c r="P1067" s="14">
        <f t="shared" si="2"/>
        <v>221.88</v>
      </c>
      <c r="Q1067" s="14">
        <v>55.24</v>
      </c>
    </row>
    <row r="1068">
      <c r="A1068" s="12">
        <v>42745.0</v>
      </c>
      <c r="B1068" s="12"/>
      <c r="C1068" s="12" t="s">
        <v>2353</v>
      </c>
      <c r="D1068" s="6">
        <v>42776.0</v>
      </c>
      <c r="E1068" s="15" t="str">
        <f t="shared" si="1"/>
        <v>Feb</v>
      </c>
      <c r="F1068" s="13" t="s">
        <v>121</v>
      </c>
      <c r="G1068" s="13" t="s">
        <v>2655</v>
      </c>
      <c r="H1068" s="13" t="s">
        <v>2875</v>
      </c>
      <c r="I1068" s="13" t="s">
        <v>23</v>
      </c>
      <c r="J1068" s="13">
        <v>9.0</v>
      </c>
      <c r="K1068" s="13" t="s">
        <v>87</v>
      </c>
      <c r="L1068" s="13" t="s">
        <v>52</v>
      </c>
      <c r="M1068" s="13" t="s">
        <v>37</v>
      </c>
      <c r="N1068" s="13" t="s">
        <v>27</v>
      </c>
      <c r="O1068" s="14">
        <v>194.848</v>
      </c>
      <c r="P1068" s="14">
        <f t="shared" si="2"/>
        <v>1753.632</v>
      </c>
      <c r="Q1068" s="14">
        <v>194.79</v>
      </c>
    </row>
    <row r="1069">
      <c r="A1069" s="12">
        <v>43371.0</v>
      </c>
      <c r="B1069" s="12"/>
      <c r="C1069" s="12" t="s">
        <v>2329</v>
      </c>
      <c r="D1069" s="1" t="s">
        <v>1784</v>
      </c>
      <c r="E1069" s="15" t="str">
        <f t="shared" si="1"/>
        <v>Sep</v>
      </c>
      <c r="F1069" s="13" t="s">
        <v>20</v>
      </c>
      <c r="G1069" s="13" t="s">
        <v>2686</v>
      </c>
      <c r="H1069" s="13" t="s">
        <v>2876</v>
      </c>
      <c r="I1069" s="13" t="s">
        <v>23</v>
      </c>
      <c r="J1069" s="13">
        <v>7.0</v>
      </c>
      <c r="K1069" s="13" t="s">
        <v>1787</v>
      </c>
      <c r="L1069" s="13" t="s">
        <v>70</v>
      </c>
      <c r="M1069" s="13" t="s">
        <v>71</v>
      </c>
      <c r="N1069" s="13" t="s">
        <v>38</v>
      </c>
      <c r="O1069" s="14">
        <v>1.744</v>
      </c>
      <c r="P1069" s="14">
        <f t="shared" si="2"/>
        <v>12.208</v>
      </c>
      <c r="Q1069" s="14">
        <v>0.85</v>
      </c>
    </row>
    <row r="1070">
      <c r="A1070" s="12">
        <v>42576.0</v>
      </c>
      <c r="B1070" s="12"/>
      <c r="C1070" s="12" t="s">
        <v>2348</v>
      </c>
      <c r="D1070" s="1" t="s">
        <v>1789</v>
      </c>
      <c r="E1070" s="15" t="str">
        <f t="shared" si="1"/>
        <v>Jul</v>
      </c>
      <c r="F1070" s="13" t="s">
        <v>41</v>
      </c>
      <c r="G1070" s="13" t="s">
        <v>2617</v>
      </c>
      <c r="H1070" s="13" t="s">
        <v>2618</v>
      </c>
      <c r="I1070" s="13" t="s">
        <v>68</v>
      </c>
      <c r="J1070" s="13">
        <v>1.0</v>
      </c>
      <c r="K1070" s="13" t="s">
        <v>98</v>
      </c>
      <c r="L1070" s="13" t="s">
        <v>99</v>
      </c>
      <c r="M1070" s="13" t="s">
        <v>100</v>
      </c>
      <c r="N1070" s="13" t="s">
        <v>38</v>
      </c>
      <c r="O1070" s="14">
        <v>25.176</v>
      </c>
      <c r="P1070" s="14">
        <f t="shared" si="2"/>
        <v>25.176</v>
      </c>
      <c r="Q1070" s="14">
        <v>24.35</v>
      </c>
    </row>
    <row r="1071">
      <c r="A1071" s="12">
        <v>42694.0</v>
      </c>
      <c r="B1071" s="12"/>
      <c r="C1071" s="12" t="s">
        <v>2326</v>
      </c>
      <c r="D1071" s="1" t="s">
        <v>65</v>
      </c>
      <c r="E1071" s="15" t="str">
        <f t="shared" si="1"/>
        <v>Nov</v>
      </c>
      <c r="F1071" s="13" t="s">
        <v>41</v>
      </c>
      <c r="G1071" s="13" t="s">
        <v>2877</v>
      </c>
      <c r="H1071" s="13" t="s">
        <v>2878</v>
      </c>
      <c r="I1071" s="13" t="s">
        <v>68</v>
      </c>
      <c r="J1071" s="13">
        <v>9.0</v>
      </c>
      <c r="K1071" s="13" t="s">
        <v>35</v>
      </c>
      <c r="L1071" s="13" t="s">
        <v>52</v>
      </c>
      <c r="M1071" s="13" t="s">
        <v>37</v>
      </c>
      <c r="N1071" s="13" t="s">
        <v>38</v>
      </c>
      <c r="O1071" s="14">
        <v>19.46</v>
      </c>
      <c r="P1071" s="14">
        <f t="shared" si="2"/>
        <v>175.14</v>
      </c>
      <c r="Q1071" s="14">
        <v>18.9</v>
      </c>
    </row>
    <row r="1072">
      <c r="A1072" s="12">
        <v>42853.0</v>
      </c>
      <c r="B1072" s="12"/>
      <c r="C1072" s="12" t="s">
        <v>2332</v>
      </c>
      <c r="D1072" s="6">
        <v>42771.0</v>
      </c>
      <c r="E1072" s="15" t="str">
        <f t="shared" si="1"/>
        <v>Feb</v>
      </c>
      <c r="F1072" s="13" t="s">
        <v>41</v>
      </c>
      <c r="G1072" s="13" t="s">
        <v>2786</v>
      </c>
      <c r="H1072" s="13" t="s">
        <v>2376</v>
      </c>
      <c r="I1072" s="13" t="s">
        <v>68</v>
      </c>
      <c r="J1072" s="13">
        <v>8.0</v>
      </c>
      <c r="K1072" s="13" t="s">
        <v>475</v>
      </c>
      <c r="L1072" s="13" t="s">
        <v>279</v>
      </c>
      <c r="M1072" s="13" t="s">
        <v>37</v>
      </c>
      <c r="N1072" s="13" t="s">
        <v>38</v>
      </c>
      <c r="O1072" s="14">
        <v>29.472</v>
      </c>
      <c r="P1072" s="14">
        <f t="shared" si="2"/>
        <v>235.776</v>
      </c>
      <c r="Q1072" s="14">
        <v>28.52</v>
      </c>
    </row>
    <row r="1073">
      <c r="A1073" s="12">
        <v>43418.0</v>
      </c>
      <c r="B1073" s="12"/>
      <c r="C1073" s="12" t="s">
        <v>2326</v>
      </c>
      <c r="D1073" s="1" t="s">
        <v>1641</v>
      </c>
      <c r="E1073" s="15" t="str">
        <f t="shared" si="1"/>
        <v>Nov</v>
      </c>
      <c r="F1073" s="13" t="s">
        <v>41</v>
      </c>
      <c r="G1073" s="13" t="s">
        <v>2483</v>
      </c>
      <c r="H1073" s="13" t="s">
        <v>2879</v>
      </c>
      <c r="I1073" s="13" t="s">
        <v>23</v>
      </c>
      <c r="J1073" s="13">
        <v>1.0</v>
      </c>
      <c r="K1073" s="13" t="s">
        <v>174</v>
      </c>
      <c r="L1073" s="13" t="s">
        <v>175</v>
      </c>
      <c r="M1073" s="13" t="s">
        <v>100</v>
      </c>
      <c r="N1073" s="13" t="s">
        <v>38</v>
      </c>
      <c r="O1073" s="14">
        <v>8.64</v>
      </c>
      <c r="P1073" s="14">
        <f t="shared" si="2"/>
        <v>8.64</v>
      </c>
      <c r="Q1073" s="14">
        <v>7.76</v>
      </c>
    </row>
    <row r="1074">
      <c r="A1074" s="12">
        <v>43080.0</v>
      </c>
      <c r="B1074" s="12"/>
      <c r="C1074" s="12" t="s">
        <v>2325</v>
      </c>
      <c r="D1074" s="1" t="s">
        <v>1800</v>
      </c>
      <c r="E1074" s="15" t="str">
        <f t="shared" si="1"/>
        <v>Nov</v>
      </c>
      <c r="F1074" s="13" t="s">
        <v>41</v>
      </c>
      <c r="G1074" s="13" t="s">
        <v>2880</v>
      </c>
      <c r="H1074" s="13" t="s">
        <v>2881</v>
      </c>
      <c r="I1074" s="13" t="s">
        <v>23</v>
      </c>
      <c r="J1074" s="13">
        <v>8.0</v>
      </c>
      <c r="K1074" s="13" t="s">
        <v>1009</v>
      </c>
      <c r="L1074" s="13" t="s">
        <v>193</v>
      </c>
      <c r="M1074" s="13" t="s">
        <v>37</v>
      </c>
      <c r="N1074" s="13" t="s">
        <v>38</v>
      </c>
      <c r="O1074" s="14">
        <v>6.27</v>
      </c>
      <c r="P1074" s="14">
        <f t="shared" si="2"/>
        <v>50.16</v>
      </c>
      <c r="Q1074" s="14">
        <v>5.54</v>
      </c>
    </row>
    <row r="1075">
      <c r="A1075" s="12">
        <v>43080.0</v>
      </c>
      <c r="B1075" s="12"/>
      <c r="C1075" s="12" t="s">
        <v>2325</v>
      </c>
      <c r="D1075" s="1" t="s">
        <v>1800</v>
      </c>
      <c r="E1075" s="15" t="str">
        <f t="shared" si="1"/>
        <v>Nov</v>
      </c>
      <c r="F1075" s="13" t="s">
        <v>41</v>
      </c>
      <c r="G1075" s="13" t="s">
        <v>2880</v>
      </c>
      <c r="H1075" s="13" t="s">
        <v>2881</v>
      </c>
      <c r="I1075" s="13" t="s">
        <v>23</v>
      </c>
      <c r="J1075" s="13">
        <v>8.0</v>
      </c>
      <c r="K1075" s="13" t="s">
        <v>1009</v>
      </c>
      <c r="L1075" s="13" t="s">
        <v>193</v>
      </c>
      <c r="M1075" s="13" t="s">
        <v>37</v>
      </c>
      <c r="N1075" s="13" t="s">
        <v>38</v>
      </c>
      <c r="O1075" s="14">
        <v>4.368</v>
      </c>
      <c r="P1075" s="14">
        <f t="shared" si="2"/>
        <v>34.944</v>
      </c>
      <c r="Q1075" s="14">
        <v>4.12</v>
      </c>
    </row>
    <row r="1076">
      <c r="A1076" s="12">
        <v>43080.0</v>
      </c>
      <c r="B1076" s="12"/>
      <c r="C1076" s="12" t="s">
        <v>2325</v>
      </c>
      <c r="D1076" s="1" t="s">
        <v>1800</v>
      </c>
      <c r="E1076" s="15" t="str">
        <f t="shared" si="1"/>
        <v>Nov</v>
      </c>
      <c r="F1076" s="13" t="s">
        <v>41</v>
      </c>
      <c r="G1076" s="13" t="s">
        <v>2880</v>
      </c>
      <c r="H1076" s="13" t="s">
        <v>2881</v>
      </c>
      <c r="I1076" s="13" t="s">
        <v>23</v>
      </c>
      <c r="J1076" s="13">
        <v>8.0</v>
      </c>
      <c r="K1076" s="13" t="s">
        <v>1009</v>
      </c>
      <c r="L1076" s="13" t="s">
        <v>193</v>
      </c>
      <c r="M1076" s="13" t="s">
        <v>37</v>
      </c>
      <c r="N1076" s="13" t="s">
        <v>51</v>
      </c>
      <c r="O1076" s="14">
        <v>31.984</v>
      </c>
      <c r="P1076" s="14">
        <f t="shared" si="2"/>
        <v>255.872</v>
      </c>
      <c r="Q1076" s="14">
        <v>31.32</v>
      </c>
    </row>
    <row r="1077">
      <c r="A1077" s="12">
        <v>43007.0</v>
      </c>
      <c r="B1077" s="12"/>
      <c r="C1077" s="12" t="s">
        <v>2329</v>
      </c>
      <c r="D1077" s="1" t="s">
        <v>1804</v>
      </c>
      <c r="E1077" s="15" t="str">
        <f t="shared" si="1"/>
        <v>Sep</v>
      </c>
      <c r="F1077" s="13" t="s">
        <v>121</v>
      </c>
      <c r="G1077" s="13" t="s">
        <v>2473</v>
      </c>
      <c r="H1077" s="13" t="s">
        <v>2882</v>
      </c>
      <c r="I1077" s="13" t="s">
        <v>68</v>
      </c>
      <c r="J1077" s="13">
        <v>4.0</v>
      </c>
      <c r="K1077" s="13" t="s">
        <v>303</v>
      </c>
      <c r="L1077" s="13" t="s">
        <v>169</v>
      </c>
      <c r="M1077" s="13" t="s">
        <v>71</v>
      </c>
      <c r="N1077" s="13" t="s">
        <v>38</v>
      </c>
      <c r="O1077" s="14">
        <v>40.88</v>
      </c>
      <c r="P1077" s="14">
        <f t="shared" si="2"/>
        <v>163.52</v>
      </c>
      <c r="Q1077" s="14">
        <v>40.83</v>
      </c>
    </row>
    <row r="1078">
      <c r="A1078" s="12">
        <v>43366.0</v>
      </c>
      <c r="B1078" s="12"/>
      <c r="C1078" s="12" t="s">
        <v>2329</v>
      </c>
      <c r="D1078" s="1" t="s">
        <v>1808</v>
      </c>
      <c r="E1078" s="15" t="str">
        <f t="shared" si="1"/>
        <v>Sep</v>
      </c>
      <c r="F1078" s="13" t="s">
        <v>20</v>
      </c>
      <c r="G1078" s="13" t="s">
        <v>2558</v>
      </c>
      <c r="H1078" s="13" t="s">
        <v>2641</v>
      </c>
      <c r="I1078" s="13" t="s">
        <v>23</v>
      </c>
      <c r="J1078" s="13">
        <v>9.0</v>
      </c>
      <c r="K1078" s="13" t="s">
        <v>62</v>
      </c>
      <c r="L1078" s="13" t="s">
        <v>63</v>
      </c>
      <c r="M1078" s="13" t="s">
        <v>37</v>
      </c>
      <c r="N1078" s="13" t="s">
        <v>38</v>
      </c>
      <c r="O1078" s="14">
        <v>119.96</v>
      </c>
      <c r="P1078" s="14">
        <f t="shared" si="2"/>
        <v>1079.64</v>
      </c>
      <c r="Q1078" s="14">
        <v>119.86</v>
      </c>
    </row>
    <row r="1079">
      <c r="A1079" s="12">
        <v>43366.0</v>
      </c>
      <c r="B1079" s="12"/>
      <c r="C1079" s="12" t="s">
        <v>2329</v>
      </c>
      <c r="D1079" s="1" t="s">
        <v>1808</v>
      </c>
      <c r="E1079" s="15" t="str">
        <f t="shared" si="1"/>
        <v>Sep</v>
      </c>
      <c r="F1079" s="13" t="s">
        <v>20</v>
      </c>
      <c r="G1079" s="13" t="s">
        <v>2558</v>
      </c>
      <c r="H1079" s="13" t="s">
        <v>2641</v>
      </c>
      <c r="I1079" s="13" t="s">
        <v>23</v>
      </c>
      <c r="J1079" s="13">
        <v>9.0</v>
      </c>
      <c r="K1079" s="13" t="s">
        <v>62</v>
      </c>
      <c r="L1079" s="13" t="s">
        <v>63</v>
      </c>
      <c r="M1079" s="13" t="s">
        <v>37</v>
      </c>
      <c r="N1079" s="13" t="s">
        <v>38</v>
      </c>
      <c r="O1079" s="14">
        <v>31.44</v>
      </c>
      <c r="P1079" s="14">
        <f t="shared" si="2"/>
        <v>282.96</v>
      </c>
      <c r="Q1079" s="14">
        <v>30.57</v>
      </c>
    </row>
    <row r="1080">
      <c r="A1080" s="12">
        <v>43366.0</v>
      </c>
      <c r="B1080" s="12"/>
      <c r="C1080" s="12" t="s">
        <v>2329</v>
      </c>
      <c r="D1080" s="1" t="s">
        <v>1808</v>
      </c>
      <c r="E1080" s="15" t="str">
        <f t="shared" si="1"/>
        <v>Sep</v>
      </c>
      <c r="F1080" s="13" t="s">
        <v>20</v>
      </c>
      <c r="G1080" s="13" t="s">
        <v>2558</v>
      </c>
      <c r="H1080" s="13" t="s">
        <v>2641</v>
      </c>
      <c r="I1080" s="13" t="s">
        <v>23</v>
      </c>
      <c r="J1080" s="13">
        <v>9.0</v>
      </c>
      <c r="K1080" s="13" t="s">
        <v>62</v>
      </c>
      <c r="L1080" s="13" t="s">
        <v>63</v>
      </c>
      <c r="M1080" s="13" t="s">
        <v>37</v>
      </c>
      <c r="N1080" s="13" t="s">
        <v>38</v>
      </c>
      <c r="O1080" s="14">
        <v>6.88</v>
      </c>
      <c r="P1080" s="14">
        <f t="shared" si="2"/>
        <v>61.92</v>
      </c>
      <c r="Q1080" s="14">
        <v>6.42</v>
      </c>
    </row>
    <row r="1081">
      <c r="A1081" s="12">
        <v>42703.0</v>
      </c>
      <c r="B1081" s="12"/>
      <c r="C1081" s="12" t="s">
        <v>2326</v>
      </c>
      <c r="D1081" s="6">
        <v>42472.0</v>
      </c>
      <c r="E1081" s="15" t="str">
        <f t="shared" si="1"/>
        <v>Apr</v>
      </c>
      <c r="F1081" s="13" t="s">
        <v>41</v>
      </c>
      <c r="G1081" s="13" t="s">
        <v>2670</v>
      </c>
      <c r="H1081" s="13" t="s">
        <v>1230</v>
      </c>
      <c r="I1081" s="13" t="s">
        <v>34</v>
      </c>
      <c r="J1081" s="13">
        <v>4.0</v>
      </c>
      <c r="K1081" s="13" t="s">
        <v>513</v>
      </c>
      <c r="L1081" s="13" t="s">
        <v>157</v>
      </c>
      <c r="M1081" s="13" t="s">
        <v>71</v>
      </c>
      <c r="N1081" s="13" t="s">
        <v>38</v>
      </c>
      <c r="O1081" s="14">
        <v>19.92</v>
      </c>
      <c r="P1081" s="14">
        <f t="shared" si="2"/>
        <v>79.68</v>
      </c>
      <c r="Q1081" s="14">
        <v>19.09</v>
      </c>
    </row>
    <row r="1082">
      <c r="A1082" s="12">
        <v>42703.0</v>
      </c>
      <c r="B1082" s="12"/>
      <c r="C1082" s="12" t="s">
        <v>2326</v>
      </c>
      <c r="D1082" s="6">
        <v>42472.0</v>
      </c>
      <c r="E1082" s="15" t="str">
        <f t="shared" si="1"/>
        <v>Apr</v>
      </c>
      <c r="F1082" s="13" t="s">
        <v>41</v>
      </c>
      <c r="G1082" s="13" t="s">
        <v>2670</v>
      </c>
      <c r="H1082" s="13" t="s">
        <v>1230</v>
      </c>
      <c r="I1082" s="13" t="s">
        <v>34</v>
      </c>
      <c r="J1082" s="13">
        <v>4.0</v>
      </c>
      <c r="K1082" s="13" t="s">
        <v>513</v>
      </c>
      <c r="L1082" s="13" t="s">
        <v>157</v>
      </c>
      <c r="M1082" s="13" t="s">
        <v>71</v>
      </c>
      <c r="N1082" s="13" t="s">
        <v>27</v>
      </c>
      <c r="O1082" s="14">
        <v>1106.91</v>
      </c>
      <c r="P1082" s="14">
        <f t="shared" si="2"/>
        <v>4427.64</v>
      </c>
      <c r="Q1082" s="14">
        <v>1106.48</v>
      </c>
    </row>
    <row r="1083">
      <c r="A1083" s="12">
        <v>42738.0</v>
      </c>
      <c r="B1083" s="12"/>
      <c r="C1083" s="12" t="s">
        <v>2353</v>
      </c>
      <c r="D1083" s="6">
        <v>42858.0</v>
      </c>
      <c r="E1083" s="15" t="str">
        <f t="shared" si="1"/>
        <v>May</v>
      </c>
      <c r="F1083" s="13" t="s">
        <v>41</v>
      </c>
      <c r="G1083" s="13" t="s">
        <v>2388</v>
      </c>
      <c r="H1083" s="13" t="s">
        <v>2389</v>
      </c>
      <c r="I1083" s="13" t="s">
        <v>23</v>
      </c>
      <c r="J1083" s="13">
        <v>1.0</v>
      </c>
      <c r="K1083" s="13" t="s">
        <v>1815</v>
      </c>
      <c r="L1083" s="13" t="s">
        <v>175</v>
      </c>
      <c r="M1083" s="13" t="s">
        <v>100</v>
      </c>
      <c r="N1083" s="13" t="s">
        <v>27</v>
      </c>
      <c r="O1083" s="14">
        <v>836.592</v>
      </c>
      <c r="P1083" s="14">
        <f t="shared" si="2"/>
        <v>836.592</v>
      </c>
      <c r="Q1083" s="14">
        <v>836.24</v>
      </c>
    </row>
    <row r="1084">
      <c r="A1084" s="12">
        <v>42738.0</v>
      </c>
      <c r="B1084" s="12"/>
      <c r="C1084" s="12" t="s">
        <v>2353</v>
      </c>
      <c r="D1084" s="6">
        <v>42858.0</v>
      </c>
      <c r="E1084" s="15" t="str">
        <f t="shared" si="1"/>
        <v>May</v>
      </c>
      <c r="F1084" s="13" t="s">
        <v>41</v>
      </c>
      <c r="G1084" s="13" t="s">
        <v>2388</v>
      </c>
      <c r="H1084" s="13" t="s">
        <v>2389</v>
      </c>
      <c r="I1084" s="13" t="s">
        <v>23</v>
      </c>
      <c r="J1084" s="13">
        <v>1.0</v>
      </c>
      <c r="K1084" s="13" t="s">
        <v>1815</v>
      </c>
      <c r="L1084" s="13" t="s">
        <v>175</v>
      </c>
      <c r="M1084" s="13" t="s">
        <v>100</v>
      </c>
      <c r="N1084" s="13" t="s">
        <v>38</v>
      </c>
      <c r="O1084" s="14">
        <v>26.38</v>
      </c>
      <c r="P1084" s="14">
        <f t="shared" si="2"/>
        <v>26.38</v>
      </c>
      <c r="Q1084" s="14">
        <v>26.13</v>
      </c>
    </row>
    <row r="1085">
      <c r="A1085" s="12">
        <v>42738.0</v>
      </c>
      <c r="B1085" s="12"/>
      <c r="C1085" s="12" t="s">
        <v>2353</v>
      </c>
      <c r="D1085" s="6">
        <v>42858.0</v>
      </c>
      <c r="E1085" s="15" t="str">
        <f t="shared" si="1"/>
        <v>May</v>
      </c>
      <c r="F1085" s="13" t="s">
        <v>41</v>
      </c>
      <c r="G1085" s="13" t="s">
        <v>2388</v>
      </c>
      <c r="H1085" s="13" t="s">
        <v>2389</v>
      </c>
      <c r="I1085" s="13" t="s">
        <v>23</v>
      </c>
      <c r="J1085" s="13">
        <v>1.0</v>
      </c>
      <c r="K1085" s="13" t="s">
        <v>1815</v>
      </c>
      <c r="L1085" s="13" t="s">
        <v>175</v>
      </c>
      <c r="M1085" s="13" t="s">
        <v>100</v>
      </c>
      <c r="N1085" s="13" t="s">
        <v>38</v>
      </c>
      <c r="O1085" s="14">
        <v>362.92</v>
      </c>
      <c r="P1085" s="14">
        <f t="shared" si="2"/>
        <v>362.92</v>
      </c>
      <c r="Q1085" s="14">
        <v>362.29</v>
      </c>
    </row>
    <row r="1086">
      <c r="A1086" s="12">
        <v>42738.0</v>
      </c>
      <c r="B1086" s="12"/>
      <c r="C1086" s="12" t="s">
        <v>2353</v>
      </c>
      <c r="D1086" s="6">
        <v>42858.0</v>
      </c>
      <c r="E1086" s="15" t="str">
        <f t="shared" si="1"/>
        <v>May</v>
      </c>
      <c r="F1086" s="13" t="s">
        <v>41</v>
      </c>
      <c r="G1086" s="13" t="s">
        <v>2388</v>
      </c>
      <c r="H1086" s="13" t="s">
        <v>2389</v>
      </c>
      <c r="I1086" s="13" t="s">
        <v>23</v>
      </c>
      <c r="J1086" s="13">
        <v>1.0</v>
      </c>
      <c r="K1086" s="13" t="s">
        <v>1815</v>
      </c>
      <c r="L1086" s="13" t="s">
        <v>175</v>
      </c>
      <c r="M1086" s="13" t="s">
        <v>100</v>
      </c>
      <c r="N1086" s="13" t="s">
        <v>51</v>
      </c>
      <c r="O1086" s="14">
        <v>4899.93</v>
      </c>
      <c r="P1086" s="14">
        <f t="shared" si="2"/>
        <v>4899.93</v>
      </c>
      <c r="Q1086" s="14">
        <v>4899.48</v>
      </c>
    </row>
    <row r="1087">
      <c r="A1087" s="12">
        <v>43077.0</v>
      </c>
      <c r="B1087" s="12"/>
      <c r="C1087" s="12" t="s">
        <v>2325</v>
      </c>
      <c r="D1087" s="6">
        <v>43077.0</v>
      </c>
      <c r="E1087" s="15" t="str">
        <f t="shared" si="1"/>
        <v>Dec</v>
      </c>
      <c r="F1087" s="13" t="s">
        <v>717</v>
      </c>
      <c r="G1087" s="13" t="s">
        <v>2375</v>
      </c>
      <c r="H1087" s="13" t="s">
        <v>2422</v>
      </c>
      <c r="I1087" s="13" t="s">
        <v>23</v>
      </c>
      <c r="J1087" s="13">
        <v>5.0</v>
      </c>
      <c r="K1087" s="13" t="s">
        <v>767</v>
      </c>
      <c r="L1087" s="13" t="s">
        <v>298</v>
      </c>
      <c r="M1087" s="13" t="s">
        <v>71</v>
      </c>
      <c r="N1087" s="13" t="s">
        <v>38</v>
      </c>
      <c r="O1087" s="14">
        <v>6.48</v>
      </c>
      <c r="P1087" s="14">
        <f t="shared" si="2"/>
        <v>32.4</v>
      </c>
      <c r="Q1087" s="14">
        <v>6.48</v>
      </c>
    </row>
    <row r="1088">
      <c r="A1088" s="12">
        <v>42962.0</v>
      </c>
      <c r="B1088" s="12"/>
      <c r="C1088" s="12" t="s">
        <v>2322</v>
      </c>
      <c r="D1088" s="1" t="s">
        <v>1818</v>
      </c>
      <c r="E1088" s="15" t="str">
        <f t="shared" si="1"/>
        <v>Aug</v>
      </c>
      <c r="F1088" s="13" t="s">
        <v>20</v>
      </c>
      <c r="G1088" s="13" t="s">
        <v>2523</v>
      </c>
      <c r="H1088" s="13" t="s">
        <v>2649</v>
      </c>
      <c r="I1088" s="13" t="s">
        <v>34</v>
      </c>
      <c r="J1088" s="13">
        <v>9.0</v>
      </c>
      <c r="K1088" s="13" t="s">
        <v>1821</v>
      </c>
      <c r="L1088" s="13" t="s">
        <v>52</v>
      </c>
      <c r="M1088" s="13" t="s">
        <v>37</v>
      </c>
      <c r="N1088" s="13" t="s">
        <v>51</v>
      </c>
      <c r="O1088" s="14">
        <v>71.976</v>
      </c>
      <c r="P1088" s="14">
        <f t="shared" si="2"/>
        <v>647.784</v>
      </c>
      <c r="Q1088" s="14">
        <v>71.17</v>
      </c>
    </row>
    <row r="1089">
      <c r="A1089" s="12">
        <v>42962.0</v>
      </c>
      <c r="B1089" s="12"/>
      <c r="C1089" s="12" t="s">
        <v>2322</v>
      </c>
      <c r="D1089" s="1" t="s">
        <v>1818</v>
      </c>
      <c r="E1089" s="15" t="str">
        <f t="shared" si="1"/>
        <v>Aug</v>
      </c>
      <c r="F1089" s="13" t="s">
        <v>20</v>
      </c>
      <c r="G1089" s="13" t="s">
        <v>2523</v>
      </c>
      <c r="H1089" s="13" t="s">
        <v>2649</v>
      </c>
      <c r="I1089" s="13" t="s">
        <v>34</v>
      </c>
      <c r="J1089" s="13">
        <v>9.0</v>
      </c>
      <c r="K1089" s="13" t="s">
        <v>1821</v>
      </c>
      <c r="L1089" s="13" t="s">
        <v>52</v>
      </c>
      <c r="M1089" s="13" t="s">
        <v>37</v>
      </c>
      <c r="N1089" s="13" t="s">
        <v>38</v>
      </c>
      <c r="O1089" s="14">
        <v>3.15</v>
      </c>
      <c r="P1089" s="14">
        <f t="shared" si="2"/>
        <v>28.35</v>
      </c>
      <c r="Q1089" s="14">
        <v>2.16</v>
      </c>
    </row>
    <row r="1090">
      <c r="A1090" s="12">
        <v>43196.0</v>
      </c>
      <c r="B1090" s="12"/>
      <c r="C1090" s="12" t="s">
        <v>2332</v>
      </c>
      <c r="D1090" s="6">
        <v>43379.0</v>
      </c>
      <c r="E1090" s="15" t="str">
        <f t="shared" si="1"/>
        <v>Oct</v>
      </c>
      <c r="F1090" s="13" t="s">
        <v>41</v>
      </c>
      <c r="G1090" s="13" t="s">
        <v>2443</v>
      </c>
      <c r="H1090" s="13" t="s">
        <v>2825</v>
      </c>
      <c r="I1090" s="13" t="s">
        <v>34</v>
      </c>
      <c r="J1090" s="13">
        <v>2.0</v>
      </c>
      <c r="K1090" s="13" t="s">
        <v>429</v>
      </c>
      <c r="L1090" s="13" t="s">
        <v>58</v>
      </c>
      <c r="M1090" s="13" t="s">
        <v>26</v>
      </c>
      <c r="N1090" s="13" t="s">
        <v>27</v>
      </c>
      <c r="O1090" s="14">
        <v>31.984</v>
      </c>
      <c r="P1090" s="14">
        <f t="shared" si="2"/>
        <v>63.968</v>
      </c>
      <c r="Q1090" s="14">
        <v>31.25</v>
      </c>
    </row>
    <row r="1091">
      <c r="A1091" s="12">
        <v>43196.0</v>
      </c>
      <c r="B1091" s="12"/>
      <c r="C1091" s="12" t="s">
        <v>2332</v>
      </c>
      <c r="D1091" s="6">
        <v>43379.0</v>
      </c>
      <c r="E1091" s="15" t="str">
        <f t="shared" si="1"/>
        <v>Oct</v>
      </c>
      <c r="F1091" s="13" t="s">
        <v>41</v>
      </c>
      <c r="G1091" s="13" t="s">
        <v>2443</v>
      </c>
      <c r="H1091" s="13" t="s">
        <v>2825</v>
      </c>
      <c r="I1091" s="13" t="s">
        <v>34</v>
      </c>
      <c r="J1091" s="13">
        <v>2.0</v>
      </c>
      <c r="K1091" s="13" t="s">
        <v>429</v>
      </c>
      <c r="L1091" s="13" t="s">
        <v>58</v>
      </c>
      <c r="M1091" s="13" t="s">
        <v>26</v>
      </c>
      <c r="N1091" s="13" t="s">
        <v>51</v>
      </c>
      <c r="O1091" s="14">
        <v>71.984</v>
      </c>
      <c r="P1091" s="14">
        <f t="shared" si="2"/>
        <v>143.968</v>
      </c>
      <c r="Q1091" s="14">
        <v>71.13</v>
      </c>
    </row>
    <row r="1092">
      <c r="A1092" s="12">
        <v>42533.0</v>
      </c>
      <c r="B1092" s="12"/>
      <c r="C1092" s="12" t="s">
        <v>2374</v>
      </c>
      <c r="D1092" s="1" t="s">
        <v>1824</v>
      </c>
      <c r="E1092" s="15" t="str">
        <f t="shared" si="1"/>
        <v>Dec</v>
      </c>
      <c r="F1092" s="13" t="s">
        <v>41</v>
      </c>
      <c r="G1092" s="13" t="s">
        <v>2743</v>
      </c>
      <c r="H1092" s="13" t="s">
        <v>2744</v>
      </c>
      <c r="I1092" s="13" t="s">
        <v>23</v>
      </c>
      <c r="J1092" s="13">
        <v>9.0</v>
      </c>
      <c r="K1092" s="13" t="s">
        <v>542</v>
      </c>
      <c r="L1092" s="13" t="s">
        <v>52</v>
      </c>
      <c r="M1092" s="13" t="s">
        <v>37</v>
      </c>
      <c r="N1092" s="13" t="s">
        <v>38</v>
      </c>
      <c r="O1092" s="14">
        <v>120.15</v>
      </c>
      <c r="P1092" s="14">
        <f t="shared" si="2"/>
        <v>1081.35</v>
      </c>
      <c r="Q1092" s="14">
        <v>119.85</v>
      </c>
    </row>
    <row r="1093">
      <c r="A1093" s="12">
        <v>42533.0</v>
      </c>
      <c r="B1093" s="12"/>
      <c r="C1093" s="12" t="s">
        <v>2374</v>
      </c>
      <c r="D1093" s="1" t="s">
        <v>1824</v>
      </c>
      <c r="E1093" s="15" t="str">
        <f t="shared" si="1"/>
        <v>Dec</v>
      </c>
      <c r="F1093" s="13" t="s">
        <v>41</v>
      </c>
      <c r="G1093" s="13" t="s">
        <v>2743</v>
      </c>
      <c r="H1093" s="13" t="s">
        <v>2744</v>
      </c>
      <c r="I1093" s="13" t="s">
        <v>23</v>
      </c>
      <c r="J1093" s="13">
        <v>9.0</v>
      </c>
      <c r="K1093" s="13" t="s">
        <v>542</v>
      </c>
      <c r="L1093" s="13" t="s">
        <v>52</v>
      </c>
      <c r="M1093" s="13" t="s">
        <v>37</v>
      </c>
      <c r="N1093" s="13" t="s">
        <v>51</v>
      </c>
      <c r="O1093" s="14">
        <v>219.184</v>
      </c>
      <c r="P1093" s="14">
        <f t="shared" si="2"/>
        <v>1972.656</v>
      </c>
      <c r="Q1093" s="14">
        <v>218.69</v>
      </c>
    </row>
    <row r="1094">
      <c r="A1094" s="12">
        <v>42731.0</v>
      </c>
      <c r="B1094" s="12"/>
      <c r="C1094" s="12" t="s">
        <v>2325</v>
      </c>
      <c r="D1094" s="1" t="s">
        <v>126</v>
      </c>
      <c r="E1094" s="15" t="str">
        <f t="shared" si="1"/>
        <v>Dec</v>
      </c>
      <c r="F1094" s="13" t="s">
        <v>41</v>
      </c>
      <c r="G1094" s="13" t="s">
        <v>2750</v>
      </c>
      <c r="H1094" s="13" t="s">
        <v>2548</v>
      </c>
      <c r="I1094" s="13" t="s">
        <v>68</v>
      </c>
      <c r="J1094" s="13">
        <v>2.0</v>
      </c>
      <c r="K1094" s="13" t="s">
        <v>1828</v>
      </c>
      <c r="L1094" s="13" t="s">
        <v>1542</v>
      </c>
      <c r="M1094" s="13" t="s">
        <v>100</v>
      </c>
      <c r="N1094" s="13" t="s">
        <v>38</v>
      </c>
      <c r="O1094" s="14">
        <v>28.9</v>
      </c>
      <c r="P1094" s="14">
        <f t="shared" si="2"/>
        <v>57.8</v>
      </c>
      <c r="Q1094" s="14">
        <v>27.9</v>
      </c>
    </row>
    <row r="1095">
      <c r="A1095" s="12">
        <v>42731.0</v>
      </c>
      <c r="B1095" s="12"/>
      <c r="C1095" s="12" t="s">
        <v>2325</v>
      </c>
      <c r="D1095" s="1" t="s">
        <v>126</v>
      </c>
      <c r="E1095" s="15" t="str">
        <f t="shared" si="1"/>
        <v>Dec</v>
      </c>
      <c r="F1095" s="13" t="s">
        <v>41</v>
      </c>
      <c r="G1095" s="13" t="s">
        <v>2750</v>
      </c>
      <c r="H1095" s="13" t="s">
        <v>2548</v>
      </c>
      <c r="I1095" s="13" t="s">
        <v>68</v>
      </c>
      <c r="J1095" s="13">
        <v>2.0</v>
      </c>
      <c r="K1095" s="13" t="s">
        <v>1828</v>
      </c>
      <c r="L1095" s="13" t="s">
        <v>1542</v>
      </c>
      <c r="M1095" s="13" t="s">
        <v>100</v>
      </c>
      <c r="N1095" s="13" t="s">
        <v>38</v>
      </c>
      <c r="O1095" s="14">
        <v>355.96</v>
      </c>
      <c r="P1095" s="14">
        <f t="shared" si="2"/>
        <v>711.92</v>
      </c>
      <c r="Q1095" s="14">
        <v>355.72</v>
      </c>
    </row>
    <row r="1096">
      <c r="A1096" s="12">
        <v>43121.0</v>
      </c>
      <c r="B1096" s="12"/>
      <c r="C1096" s="12" t="s">
        <v>2353</v>
      </c>
      <c r="D1096" s="1" t="s">
        <v>1830</v>
      </c>
      <c r="E1096" s="15" t="str">
        <f t="shared" si="1"/>
        <v>Jan</v>
      </c>
      <c r="F1096" s="13" t="s">
        <v>41</v>
      </c>
      <c r="G1096" s="13" t="s">
        <v>2883</v>
      </c>
      <c r="H1096" s="13" t="s">
        <v>2884</v>
      </c>
      <c r="I1096" s="13" t="s">
        <v>68</v>
      </c>
      <c r="J1096" s="13">
        <v>2.0</v>
      </c>
      <c r="K1096" s="13" t="s">
        <v>284</v>
      </c>
      <c r="L1096" s="13" t="s">
        <v>58</v>
      </c>
      <c r="M1096" s="13" t="s">
        <v>26</v>
      </c>
      <c r="N1096" s="13" t="s">
        <v>38</v>
      </c>
      <c r="O1096" s="14">
        <v>348.208</v>
      </c>
      <c r="P1096" s="14">
        <f t="shared" si="2"/>
        <v>696.416</v>
      </c>
      <c r="Q1096" s="14">
        <v>347.79</v>
      </c>
    </row>
    <row r="1097">
      <c r="A1097" s="12">
        <v>43121.0</v>
      </c>
      <c r="B1097" s="12"/>
      <c r="C1097" s="12" t="s">
        <v>2353</v>
      </c>
      <c r="D1097" s="1" t="s">
        <v>1830</v>
      </c>
      <c r="E1097" s="15" t="str">
        <f t="shared" si="1"/>
        <v>Jan</v>
      </c>
      <c r="F1097" s="13" t="s">
        <v>41</v>
      </c>
      <c r="G1097" s="13" t="s">
        <v>2883</v>
      </c>
      <c r="H1097" s="13" t="s">
        <v>2884</v>
      </c>
      <c r="I1097" s="13" t="s">
        <v>68</v>
      </c>
      <c r="J1097" s="13">
        <v>2.0</v>
      </c>
      <c r="K1097" s="13" t="s">
        <v>284</v>
      </c>
      <c r="L1097" s="13" t="s">
        <v>58</v>
      </c>
      <c r="M1097" s="13" t="s">
        <v>26</v>
      </c>
      <c r="N1097" s="13" t="s">
        <v>38</v>
      </c>
      <c r="O1097" s="14">
        <v>35.784</v>
      </c>
      <c r="P1097" s="14">
        <f t="shared" si="2"/>
        <v>71.568</v>
      </c>
      <c r="Q1097" s="14">
        <v>35.78</v>
      </c>
    </row>
    <row r="1098">
      <c r="A1098" s="12">
        <v>42180.0</v>
      </c>
      <c r="B1098" s="12"/>
      <c r="C1098" s="12" t="s">
        <v>2374</v>
      </c>
      <c r="D1098" s="1" t="s">
        <v>1834</v>
      </c>
      <c r="E1098" s="15" t="str">
        <f t="shared" si="1"/>
        <v>Jun</v>
      </c>
      <c r="F1098" s="13" t="s">
        <v>121</v>
      </c>
      <c r="G1098" s="13" t="s">
        <v>2866</v>
      </c>
      <c r="H1098" s="13" t="s">
        <v>2867</v>
      </c>
      <c r="I1098" s="13" t="s">
        <v>34</v>
      </c>
      <c r="J1098" s="13">
        <v>9.0</v>
      </c>
      <c r="K1098" s="13" t="s">
        <v>35</v>
      </c>
      <c r="L1098" s="13" t="s">
        <v>52</v>
      </c>
      <c r="M1098" s="13" t="s">
        <v>37</v>
      </c>
      <c r="N1098" s="13" t="s">
        <v>27</v>
      </c>
      <c r="O1098" s="14">
        <v>447.84</v>
      </c>
      <c r="P1098" s="14">
        <f t="shared" si="2"/>
        <v>4030.56</v>
      </c>
      <c r="Q1098" s="14">
        <v>447.43</v>
      </c>
    </row>
    <row r="1099">
      <c r="A1099" s="12">
        <v>42900.0</v>
      </c>
      <c r="B1099" s="12"/>
      <c r="C1099" s="12" t="s">
        <v>2374</v>
      </c>
      <c r="D1099" s="1" t="s">
        <v>1836</v>
      </c>
      <c r="E1099" s="15" t="str">
        <f t="shared" si="1"/>
        <v>Jun</v>
      </c>
      <c r="F1099" s="13" t="s">
        <v>121</v>
      </c>
      <c r="G1099" s="13" t="s">
        <v>1839</v>
      </c>
      <c r="H1099" s="13" t="s">
        <v>1840</v>
      </c>
      <c r="I1099" s="13" t="s">
        <v>68</v>
      </c>
      <c r="J1099" s="13">
        <v>9.0</v>
      </c>
      <c r="K1099" s="13" t="s">
        <v>87</v>
      </c>
      <c r="L1099" s="13" t="s">
        <v>52</v>
      </c>
      <c r="M1099" s="13" t="s">
        <v>37</v>
      </c>
      <c r="N1099" s="13" t="s">
        <v>38</v>
      </c>
      <c r="O1099" s="14">
        <v>7.04</v>
      </c>
      <c r="P1099" s="14">
        <f t="shared" si="2"/>
        <v>63.36</v>
      </c>
      <c r="Q1099" s="14">
        <v>6.24</v>
      </c>
    </row>
    <row r="1100">
      <c r="A1100" s="12">
        <v>42900.0</v>
      </c>
      <c r="B1100" s="12"/>
      <c r="C1100" s="12" t="s">
        <v>2374</v>
      </c>
      <c r="D1100" s="1" t="s">
        <v>1836</v>
      </c>
      <c r="E1100" s="15" t="str">
        <f t="shared" si="1"/>
        <v>Jun</v>
      </c>
      <c r="F1100" s="13" t="s">
        <v>121</v>
      </c>
      <c r="G1100" s="13" t="s">
        <v>1839</v>
      </c>
      <c r="H1100" s="13" t="s">
        <v>1840</v>
      </c>
      <c r="I1100" s="13" t="s">
        <v>68</v>
      </c>
      <c r="J1100" s="13">
        <v>9.0</v>
      </c>
      <c r="K1100" s="13" t="s">
        <v>87</v>
      </c>
      <c r="L1100" s="13" t="s">
        <v>52</v>
      </c>
      <c r="M1100" s="13" t="s">
        <v>37</v>
      </c>
      <c r="N1100" s="13" t="s">
        <v>27</v>
      </c>
      <c r="O1100" s="14">
        <v>8.73</v>
      </c>
      <c r="P1100" s="14">
        <f t="shared" si="2"/>
        <v>78.57</v>
      </c>
      <c r="Q1100" s="14">
        <v>7.75</v>
      </c>
    </row>
    <row r="1101">
      <c r="A1101" s="12">
        <v>42900.0</v>
      </c>
      <c r="B1101" s="12"/>
      <c r="C1101" s="12" t="s">
        <v>2374</v>
      </c>
      <c r="D1101" s="1" t="s">
        <v>1836</v>
      </c>
      <c r="E1101" s="15" t="str">
        <f t="shared" si="1"/>
        <v>Jun</v>
      </c>
      <c r="F1101" s="13" t="s">
        <v>121</v>
      </c>
      <c r="G1101" s="13" t="s">
        <v>1839</v>
      </c>
      <c r="H1101" s="13" t="s">
        <v>1840</v>
      </c>
      <c r="I1101" s="13" t="s">
        <v>68</v>
      </c>
      <c r="J1101" s="13">
        <v>9.0</v>
      </c>
      <c r="K1101" s="13" t="s">
        <v>87</v>
      </c>
      <c r="L1101" s="13" t="s">
        <v>52</v>
      </c>
      <c r="M1101" s="13" t="s">
        <v>37</v>
      </c>
      <c r="N1101" s="13" t="s">
        <v>51</v>
      </c>
      <c r="O1101" s="14">
        <v>29.29</v>
      </c>
      <c r="P1101" s="14">
        <f t="shared" si="2"/>
        <v>263.61</v>
      </c>
      <c r="Q1101" s="14">
        <v>29.09</v>
      </c>
    </row>
    <row r="1102">
      <c r="A1102" s="12">
        <v>42900.0</v>
      </c>
      <c r="B1102" s="12"/>
      <c r="C1102" s="12" t="s">
        <v>2374</v>
      </c>
      <c r="D1102" s="1" t="s">
        <v>1836</v>
      </c>
      <c r="E1102" s="15" t="str">
        <f t="shared" si="1"/>
        <v>Jun</v>
      </c>
      <c r="F1102" s="13" t="s">
        <v>121</v>
      </c>
      <c r="G1102" s="13" t="s">
        <v>1839</v>
      </c>
      <c r="H1102" s="13" t="s">
        <v>1840</v>
      </c>
      <c r="I1102" s="13" t="s">
        <v>68</v>
      </c>
      <c r="J1102" s="13">
        <v>9.0</v>
      </c>
      <c r="K1102" s="13" t="s">
        <v>87</v>
      </c>
      <c r="L1102" s="13" t="s">
        <v>52</v>
      </c>
      <c r="M1102" s="13" t="s">
        <v>37</v>
      </c>
      <c r="N1102" s="13" t="s">
        <v>38</v>
      </c>
      <c r="O1102" s="14">
        <v>8.64</v>
      </c>
      <c r="P1102" s="14">
        <f t="shared" si="2"/>
        <v>77.76</v>
      </c>
      <c r="Q1102" s="14">
        <v>7.79</v>
      </c>
    </row>
    <row r="1103">
      <c r="A1103" s="12">
        <v>43211.0</v>
      </c>
      <c r="B1103" s="12"/>
      <c r="C1103" s="12" t="s">
        <v>2332</v>
      </c>
      <c r="D1103" s="1" t="s">
        <v>1842</v>
      </c>
      <c r="E1103" s="15" t="str">
        <f t="shared" si="1"/>
        <v>Apr</v>
      </c>
      <c r="F1103" s="13" t="s">
        <v>41</v>
      </c>
      <c r="G1103" s="13" t="s">
        <v>2733</v>
      </c>
      <c r="H1103" s="13" t="s">
        <v>2734</v>
      </c>
      <c r="I1103" s="13" t="s">
        <v>23</v>
      </c>
      <c r="J1103" s="13">
        <v>7.0</v>
      </c>
      <c r="K1103" s="13" t="s">
        <v>129</v>
      </c>
      <c r="L1103" s="13" t="s">
        <v>70</v>
      </c>
      <c r="M1103" s="13" t="s">
        <v>71</v>
      </c>
      <c r="N1103" s="13" t="s">
        <v>38</v>
      </c>
      <c r="O1103" s="14">
        <v>2.694</v>
      </c>
      <c r="P1103" s="14">
        <f t="shared" si="2"/>
        <v>18.858</v>
      </c>
      <c r="Q1103" s="14">
        <v>2.64</v>
      </c>
    </row>
    <row r="1104">
      <c r="A1104" s="12">
        <v>43211.0</v>
      </c>
      <c r="B1104" s="12"/>
      <c r="C1104" s="12" t="s">
        <v>2332</v>
      </c>
      <c r="D1104" s="1" t="s">
        <v>1842</v>
      </c>
      <c r="E1104" s="15" t="str">
        <f t="shared" si="1"/>
        <v>Apr</v>
      </c>
      <c r="F1104" s="13" t="s">
        <v>41</v>
      </c>
      <c r="G1104" s="13" t="s">
        <v>2733</v>
      </c>
      <c r="H1104" s="13" t="s">
        <v>2734</v>
      </c>
      <c r="I1104" s="13" t="s">
        <v>23</v>
      </c>
      <c r="J1104" s="13">
        <v>7.0</v>
      </c>
      <c r="K1104" s="13" t="s">
        <v>129</v>
      </c>
      <c r="L1104" s="13" t="s">
        <v>70</v>
      </c>
      <c r="M1104" s="13" t="s">
        <v>71</v>
      </c>
      <c r="N1104" s="13" t="s">
        <v>38</v>
      </c>
      <c r="O1104" s="14">
        <v>2.934</v>
      </c>
      <c r="P1104" s="14">
        <f t="shared" si="2"/>
        <v>20.538</v>
      </c>
      <c r="Q1104" s="14">
        <v>2.77</v>
      </c>
    </row>
    <row r="1105">
      <c r="A1105" s="12">
        <v>43029.0</v>
      </c>
      <c r="B1105" s="12"/>
      <c r="C1105" s="12" t="s">
        <v>2358</v>
      </c>
      <c r="D1105" s="1" t="s">
        <v>1844</v>
      </c>
      <c r="E1105" s="15" t="str">
        <f t="shared" si="1"/>
        <v>Oct</v>
      </c>
      <c r="F1105" s="13" t="s">
        <v>41</v>
      </c>
      <c r="G1105" s="13" t="s">
        <v>2885</v>
      </c>
      <c r="H1105" s="13" t="s">
        <v>2075</v>
      </c>
      <c r="I1105" s="13" t="s">
        <v>23</v>
      </c>
      <c r="J1105" s="13">
        <v>9.0</v>
      </c>
      <c r="K1105" s="13" t="s">
        <v>1612</v>
      </c>
      <c r="L1105" s="13" t="s">
        <v>52</v>
      </c>
      <c r="M1105" s="13" t="s">
        <v>37</v>
      </c>
      <c r="N1105" s="13" t="s">
        <v>38</v>
      </c>
      <c r="O1105" s="14">
        <v>22.92</v>
      </c>
      <c r="P1105" s="14">
        <f t="shared" si="2"/>
        <v>206.28</v>
      </c>
      <c r="Q1105" s="14">
        <v>22.08</v>
      </c>
    </row>
    <row r="1106">
      <c r="A1106" s="12">
        <v>43058.0</v>
      </c>
      <c r="B1106" s="12"/>
      <c r="C1106" s="12" t="s">
        <v>2326</v>
      </c>
      <c r="D1106" s="1" t="s">
        <v>381</v>
      </c>
      <c r="E1106" s="15" t="str">
        <f t="shared" si="1"/>
        <v>Nov</v>
      </c>
      <c r="F1106" s="13" t="s">
        <v>41</v>
      </c>
      <c r="G1106" s="13" t="s">
        <v>2354</v>
      </c>
      <c r="H1106" s="13" t="s">
        <v>2355</v>
      </c>
      <c r="I1106" s="13" t="s">
        <v>23</v>
      </c>
      <c r="J1106" s="13">
        <v>7.0</v>
      </c>
      <c r="K1106" s="13" t="s">
        <v>129</v>
      </c>
      <c r="L1106" s="13" t="s">
        <v>70</v>
      </c>
      <c r="M1106" s="13" t="s">
        <v>71</v>
      </c>
      <c r="N1106" s="13" t="s">
        <v>38</v>
      </c>
      <c r="O1106" s="14">
        <v>100.704</v>
      </c>
      <c r="P1106" s="14">
        <f t="shared" si="2"/>
        <v>704.928</v>
      </c>
      <c r="Q1106" s="14">
        <v>100.68</v>
      </c>
    </row>
    <row r="1107">
      <c r="A1107" s="12">
        <v>43058.0</v>
      </c>
      <c r="B1107" s="12"/>
      <c r="C1107" s="12" t="s">
        <v>2326</v>
      </c>
      <c r="D1107" s="1" t="s">
        <v>381</v>
      </c>
      <c r="E1107" s="15" t="str">
        <f t="shared" si="1"/>
        <v>Nov</v>
      </c>
      <c r="F1107" s="13" t="s">
        <v>41</v>
      </c>
      <c r="G1107" s="13" t="s">
        <v>2354</v>
      </c>
      <c r="H1107" s="13" t="s">
        <v>2355</v>
      </c>
      <c r="I1107" s="13" t="s">
        <v>23</v>
      </c>
      <c r="J1107" s="13">
        <v>7.0</v>
      </c>
      <c r="K1107" s="13" t="s">
        <v>129</v>
      </c>
      <c r="L1107" s="13" t="s">
        <v>70</v>
      </c>
      <c r="M1107" s="13" t="s">
        <v>71</v>
      </c>
      <c r="N1107" s="13" t="s">
        <v>27</v>
      </c>
      <c r="O1107" s="14">
        <v>2.328</v>
      </c>
      <c r="P1107" s="14">
        <f t="shared" si="2"/>
        <v>16.296</v>
      </c>
      <c r="Q1107" s="14">
        <v>2.32</v>
      </c>
    </row>
    <row r="1108">
      <c r="A1108" s="12">
        <v>43058.0</v>
      </c>
      <c r="B1108" s="12"/>
      <c r="C1108" s="12" t="s">
        <v>2326</v>
      </c>
      <c r="D1108" s="1" t="s">
        <v>381</v>
      </c>
      <c r="E1108" s="15" t="str">
        <f t="shared" si="1"/>
        <v>Nov</v>
      </c>
      <c r="F1108" s="13" t="s">
        <v>41</v>
      </c>
      <c r="G1108" s="13" t="s">
        <v>2354</v>
      </c>
      <c r="H1108" s="13" t="s">
        <v>2355</v>
      </c>
      <c r="I1108" s="13" t="s">
        <v>23</v>
      </c>
      <c r="J1108" s="13">
        <v>7.0</v>
      </c>
      <c r="K1108" s="13" t="s">
        <v>129</v>
      </c>
      <c r="L1108" s="13" t="s">
        <v>70</v>
      </c>
      <c r="M1108" s="13" t="s">
        <v>71</v>
      </c>
      <c r="N1108" s="13" t="s">
        <v>38</v>
      </c>
      <c r="O1108" s="14">
        <v>10.78</v>
      </c>
      <c r="P1108" s="14">
        <f t="shared" si="2"/>
        <v>75.46</v>
      </c>
      <c r="Q1108" s="14">
        <v>9.9</v>
      </c>
    </row>
    <row r="1109">
      <c r="A1109" s="12">
        <v>43058.0</v>
      </c>
      <c r="B1109" s="12"/>
      <c r="C1109" s="12" t="s">
        <v>2326</v>
      </c>
      <c r="D1109" s="1" t="s">
        <v>381</v>
      </c>
      <c r="E1109" s="15" t="str">
        <f t="shared" si="1"/>
        <v>Nov</v>
      </c>
      <c r="F1109" s="13" t="s">
        <v>41</v>
      </c>
      <c r="G1109" s="13" t="s">
        <v>2354</v>
      </c>
      <c r="H1109" s="13" t="s">
        <v>2355</v>
      </c>
      <c r="I1109" s="13" t="s">
        <v>23</v>
      </c>
      <c r="J1109" s="13">
        <v>7.0</v>
      </c>
      <c r="K1109" s="13" t="s">
        <v>129</v>
      </c>
      <c r="L1109" s="13" t="s">
        <v>70</v>
      </c>
      <c r="M1109" s="13" t="s">
        <v>71</v>
      </c>
      <c r="N1109" s="13" t="s">
        <v>38</v>
      </c>
      <c r="O1109" s="14">
        <v>58.368</v>
      </c>
      <c r="P1109" s="14">
        <f t="shared" si="2"/>
        <v>408.576</v>
      </c>
      <c r="Q1109" s="14">
        <v>57.92</v>
      </c>
    </row>
    <row r="1110">
      <c r="A1110" s="12">
        <v>43058.0</v>
      </c>
      <c r="B1110" s="12"/>
      <c r="C1110" s="12" t="s">
        <v>2326</v>
      </c>
      <c r="D1110" s="1" t="s">
        <v>381</v>
      </c>
      <c r="E1110" s="15" t="str">
        <f t="shared" si="1"/>
        <v>Nov</v>
      </c>
      <c r="F1110" s="13" t="s">
        <v>41</v>
      </c>
      <c r="G1110" s="13" t="s">
        <v>2354</v>
      </c>
      <c r="H1110" s="13" t="s">
        <v>2355</v>
      </c>
      <c r="I1110" s="13" t="s">
        <v>23</v>
      </c>
      <c r="J1110" s="13">
        <v>7.0</v>
      </c>
      <c r="K1110" s="13" t="s">
        <v>129</v>
      </c>
      <c r="L1110" s="13" t="s">
        <v>70</v>
      </c>
      <c r="M1110" s="13" t="s">
        <v>71</v>
      </c>
      <c r="N1110" s="13" t="s">
        <v>38</v>
      </c>
      <c r="O1110" s="14">
        <v>40.968</v>
      </c>
      <c r="P1110" s="14">
        <f t="shared" si="2"/>
        <v>286.776</v>
      </c>
      <c r="Q1110" s="14">
        <v>40.93</v>
      </c>
    </row>
    <row r="1111">
      <c r="A1111" s="12">
        <v>43058.0</v>
      </c>
      <c r="B1111" s="12"/>
      <c r="C1111" s="12" t="s">
        <v>2326</v>
      </c>
      <c r="D1111" s="1" t="s">
        <v>381</v>
      </c>
      <c r="E1111" s="15" t="str">
        <f t="shared" si="1"/>
        <v>Nov</v>
      </c>
      <c r="F1111" s="13" t="s">
        <v>41</v>
      </c>
      <c r="G1111" s="13" t="s">
        <v>2354</v>
      </c>
      <c r="H1111" s="13" t="s">
        <v>2355</v>
      </c>
      <c r="I1111" s="13" t="s">
        <v>23</v>
      </c>
      <c r="J1111" s="13">
        <v>7.0</v>
      </c>
      <c r="K1111" s="13" t="s">
        <v>129</v>
      </c>
      <c r="L1111" s="13" t="s">
        <v>70</v>
      </c>
      <c r="M1111" s="13" t="s">
        <v>71</v>
      </c>
      <c r="N1111" s="13" t="s">
        <v>51</v>
      </c>
      <c r="O1111" s="14">
        <v>71.96</v>
      </c>
      <c r="P1111" s="14">
        <f t="shared" si="2"/>
        <v>503.72</v>
      </c>
      <c r="Q1111" s="14">
        <v>71.29</v>
      </c>
    </row>
    <row r="1112">
      <c r="A1112" s="12">
        <v>43058.0</v>
      </c>
      <c r="B1112" s="12"/>
      <c r="C1112" s="12" t="s">
        <v>2326</v>
      </c>
      <c r="D1112" s="1" t="s">
        <v>381</v>
      </c>
      <c r="E1112" s="15" t="str">
        <f t="shared" si="1"/>
        <v>Nov</v>
      </c>
      <c r="F1112" s="13" t="s">
        <v>41</v>
      </c>
      <c r="G1112" s="13" t="s">
        <v>2354</v>
      </c>
      <c r="H1112" s="13" t="s">
        <v>2355</v>
      </c>
      <c r="I1112" s="13" t="s">
        <v>23</v>
      </c>
      <c r="J1112" s="13">
        <v>7.0</v>
      </c>
      <c r="K1112" s="13" t="s">
        <v>129</v>
      </c>
      <c r="L1112" s="13" t="s">
        <v>70</v>
      </c>
      <c r="M1112" s="13" t="s">
        <v>71</v>
      </c>
      <c r="N1112" s="13" t="s">
        <v>38</v>
      </c>
      <c r="O1112" s="14">
        <v>10.368</v>
      </c>
      <c r="P1112" s="14">
        <f t="shared" si="2"/>
        <v>72.576</v>
      </c>
      <c r="Q1112" s="14">
        <v>9.6</v>
      </c>
    </row>
    <row r="1113">
      <c r="A1113" s="12">
        <v>43058.0</v>
      </c>
      <c r="B1113" s="12"/>
      <c r="C1113" s="12" t="s">
        <v>2326</v>
      </c>
      <c r="D1113" s="1" t="s">
        <v>381</v>
      </c>
      <c r="E1113" s="15" t="str">
        <f t="shared" si="1"/>
        <v>Nov</v>
      </c>
      <c r="F1113" s="13" t="s">
        <v>41</v>
      </c>
      <c r="G1113" s="13" t="s">
        <v>2354</v>
      </c>
      <c r="H1113" s="13" t="s">
        <v>2355</v>
      </c>
      <c r="I1113" s="13" t="s">
        <v>23</v>
      </c>
      <c r="J1113" s="13">
        <v>7.0</v>
      </c>
      <c r="K1113" s="13" t="s">
        <v>129</v>
      </c>
      <c r="L1113" s="13" t="s">
        <v>70</v>
      </c>
      <c r="M1113" s="13" t="s">
        <v>71</v>
      </c>
      <c r="N1113" s="13" t="s">
        <v>38</v>
      </c>
      <c r="O1113" s="14">
        <v>1.192</v>
      </c>
      <c r="P1113" s="14">
        <f t="shared" si="2"/>
        <v>8.344</v>
      </c>
      <c r="Q1113" s="14">
        <v>1.1</v>
      </c>
    </row>
    <row r="1114">
      <c r="A1114" s="12">
        <v>43452.0</v>
      </c>
      <c r="B1114" s="12"/>
      <c r="C1114" s="12" t="s">
        <v>2325</v>
      </c>
      <c r="D1114" s="1" t="s">
        <v>1526</v>
      </c>
      <c r="E1114" s="15" t="str">
        <f t="shared" si="1"/>
        <v>Dec</v>
      </c>
      <c r="F1114" s="13" t="s">
        <v>20</v>
      </c>
      <c r="G1114" s="13" t="s">
        <v>2583</v>
      </c>
      <c r="H1114" s="13" t="s">
        <v>2584</v>
      </c>
      <c r="I1114" s="13" t="s">
        <v>23</v>
      </c>
      <c r="J1114" s="13">
        <v>9.0</v>
      </c>
      <c r="K1114" s="13" t="s">
        <v>1849</v>
      </c>
      <c r="L1114" s="13" t="s">
        <v>52</v>
      </c>
      <c r="M1114" s="13" t="s">
        <v>37</v>
      </c>
      <c r="N1114" s="13" t="s">
        <v>38</v>
      </c>
      <c r="O1114" s="14">
        <v>46.672</v>
      </c>
      <c r="P1114" s="14">
        <f t="shared" si="2"/>
        <v>420.048</v>
      </c>
      <c r="Q1114" s="14">
        <v>46.01</v>
      </c>
    </row>
    <row r="1115">
      <c r="A1115" s="12">
        <v>43452.0</v>
      </c>
      <c r="B1115" s="12"/>
      <c r="C1115" s="12" t="s">
        <v>2325</v>
      </c>
      <c r="D1115" s="1" t="s">
        <v>1526</v>
      </c>
      <c r="E1115" s="15" t="str">
        <f t="shared" si="1"/>
        <v>Dec</v>
      </c>
      <c r="F1115" s="13" t="s">
        <v>20</v>
      </c>
      <c r="G1115" s="13" t="s">
        <v>2583</v>
      </c>
      <c r="H1115" s="13" t="s">
        <v>2584</v>
      </c>
      <c r="I1115" s="13" t="s">
        <v>23</v>
      </c>
      <c r="J1115" s="13">
        <v>9.0</v>
      </c>
      <c r="K1115" s="13" t="s">
        <v>1849</v>
      </c>
      <c r="L1115" s="13" t="s">
        <v>52</v>
      </c>
      <c r="M1115" s="13" t="s">
        <v>37</v>
      </c>
      <c r="N1115" s="13" t="s">
        <v>27</v>
      </c>
      <c r="O1115" s="14">
        <v>119.833</v>
      </c>
      <c r="P1115" s="14">
        <f t="shared" si="2"/>
        <v>1078.497</v>
      </c>
      <c r="Q1115" s="14">
        <v>119.49</v>
      </c>
    </row>
    <row r="1116">
      <c r="A1116" s="12">
        <v>43452.0</v>
      </c>
      <c r="B1116" s="12"/>
      <c r="C1116" s="12" t="s">
        <v>2325</v>
      </c>
      <c r="D1116" s="1" t="s">
        <v>1526</v>
      </c>
      <c r="E1116" s="15" t="str">
        <f t="shared" si="1"/>
        <v>Dec</v>
      </c>
      <c r="F1116" s="13" t="s">
        <v>20</v>
      </c>
      <c r="G1116" s="13" t="s">
        <v>2583</v>
      </c>
      <c r="H1116" s="13" t="s">
        <v>2584</v>
      </c>
      <c r="I1116" s="13" t="s">
        <v>23</v>
      </c>
      <c r="J1116" s="13">
        <v>9.0</v>
      </c>
      <c r="K1116" s="13" t="s">
        <v>1849</v>
      </c>
      <c r="L1116" s="13" t="s">
        <v>52</v>
      </c>
      <c r="M1116" s="13" t="s">
        <v>37</v>
      </c>
      <c r="N1116" s="13" t="s">
        <v>51</v>
      </c>
      <c r="O1116" s="14">
        <v>119.98</v>
      </c>
      <c r="P1116" s="14">
        <f t="shared" si="2"/>
        <v>1079.82</v>
      </c>
      <c r="Q1116" s="14">
        <v>119.77</v>
      </c>
    </row>
    <row r="1117">
      <c r="A1117" s="12">
        <v>42938.0</v>
      </c>
      <c r="B1117" s="12"/>
      <c r="C1117" s="12" t="s">
        <v>2348</v>
      </c>
      <c r="D1117" s="1" t="s">
        <v>1851</v>
      </c>
      <c r="E1117" s="15" t="str">
        <f t="shared" si="1"/>
        <v>Jul</v>
      </c>
      <c r="F1117" s="13" t="s">
        <v>20</v>
      </c>
      <c r="G1117" s="13" t="s">
        <v>2886</v>
      </c>
      <c r="H1117" s="13" t="s">
        <v>2887</v>
      </c>
      <c r="I1117" s="13" t="s">
        <v>34</v>
      </c>
      <c r="J1117" s="13">
        <v>9.0</v>
      </c>
      <c r="K1117" s="13" t="s">
        <v>87</v>
      </c>
      <c r="L1117" s="13" t="s">
        <v>52</v>
      </c>
      <c r="M1117" s="13" t="s">
        <v>37</v>
      </c>
      <c r="N1117" s="13" t="s">
        <v>38</v>
      </c>
      <c r="O1117" s="14">
        <v>6.3</v>
      </c>
      <c r="P1117" s="14">
        <f t="shared" si="2"/>
        <v>56.7</v>
      </c>
      <c r="Q1117" s="14">
        <v>6.14</v>
      </c>
    </row>
    <row r="1118">
      <c r="A1118" s="12">
        <v>42469.0</v>
      </c>
      <c r="B1118" s="12"/>
      <c r="C1118" s="12" t="s">
        <v>2332</v>
      </c>
      <c r="D1118" s="6">
        <v>42591.0</v>
      </c>
      <c r="E1118" s="15" t="str">
        <f t="shared" si="1"/>
        <v>Aug</v>
      </c>
      <c r="F1118" s="13" t="s">
        <v>41</v>
      </c>
      <c r="G1118" s="13" t="s">
        <v>2532</v>
      </c>
      <c r="H1118" s="13" t="s">
        <v>2631</v>
      </c>
      <c r="I1118" s="13" t="s">
        <v>23</v>
      </c>
      <c r="J1118" s="13">
        <v>3.0</v>
      </c>
      <c r="K1118" s="13" t="s">
        <v>1857</v>
      </c>
      <c r="L1118" s="13" t="s">
        <v>707</v>
      </c>
      <c r="M1118" s="13" t="s">
        <v>26</v>
      </c>
      <c r="N1118" s="13" t="s">
        <v>38</v>
      </c>
      <c r="O1118" s="14">
        <v>279.9</v>
      </c>
      <c r="P1118" s="14">
        <f t="shared" si="2"/>
        <v>839.7</v>
      </c>
      <c r="Q1118" s="14">
        <v>279.45</v>
      </c>
    </row>
    <row r="1119">
      <c r="A1119" s="12">
        <v>42469.0</v>
      </c>
      <c r="B1119" s="12"/>
      <c r="C1119" s="12" t="s">
        <v>2332</v>
      </c>
      <c r="D1119" s="6">
        <v>42591.0</v>
      </c>
      <c r="E1119" s="15" t="str">
        <f t="shared" si="1"/>
        <v>Aug</v>
      </c>
      <c r="F1119" s="13" t="s">
        <v>41</v>
      </c>
      <c r="G1119" s="13" t="s">
        <v>2532</v>
      </c>
      <c r="H1119" s="13" t="s">
        <v>2631</v>
      </c>
      <c r="I1119" s="13" t="s">
        <v>23</v>
      </c>
      <c r="J1119" s="13">
        <v>3.0</v>
      </c>
      <c r="K1119" s="13" t="s">
        <v>1857</v>
      </c>
      <c r="L1119" s="13" t="s">
        <v>707</v>
      </c>
      <c r="M1119" s="13" t="s">
        <v>26</v>
      </c>
      <c r="N1119" s="13" t="s">
        <v>51</v>
      </c>
      <c r="O1119" s="14">
        <v>619.95</v>
      </c>
      <c r="P1119" s="14">
        <f t="shared" si="2"/>
        <v>1859.85</v>
      </c>
      <c r="Q1119" s="14">
        <v>619.12</v>
      </c>
    </row>
    <row r="1120">
      <c r="A1120" s="12">
        <v>42469.0</v>
      </c>
      <c r="B1120" s="12"/>
      <c r="C1120" s="12" t="s">
        <v>2332</v>
      </c>
      <c r="D1120" s="6">
        <v>42591.0</v>
      </c>
      <c r="E1120" s="15" t="str">
        <f t="shared" si="1"/>
        <v>Aug</v>
      </c>
      <c r="F1120" s="13" t="s">
        <v>41</v>
      </c>
      <c r="G1120" s="13" t="s">
        <v>2532</v>
      </c>
      <c r="H1120" s="13" t="s">
        <v>2631</v>
      </c>
      <c r="I1120" s="13" t="s">
        <v>23</v>
      </c>
      <c r="J1120" s="13">
        <v>3.0</v>
      </c>
      <c r="K1120" s="13" t="s">
        <v>1857</v>
      </c>
      <c r="L1120" s="13" t="s">
        <v>707</v>
      </c>
      <c r="M1120" s="13" t="s">
        <v>26</v>
      </c>
      <c r="N1120" s="13" t="s">
        <v>38</v>
      </c>
      <c r="O1120" s="14">
        <v>4.36</v>
      </c>
      <c r="P1120" s="14">
        <f t="shared" si="2"/>
        <v>13.08</v>
      </c>
      <c r="Q1120" s="14">
        <v>3.73</v>
      </c>
    </row>
    <row r="1121">
      <c r="A1121" s="12">
        <v>42469.0</v>
      </c>
      <c r="B1121" s="12"/>
      <c r="C1121" s="12" t="s">
        <v>2332</v>
      </c>
      <c r="D1121" s="6">
        <v>42591.0</v>
      </c>
      <c r="E1121" s="15" t="str">
        <f t="shared" si="1"/>
        <v>Aug</v>
      </c>
      <c r="F1121" s="13" t="s">
        <v>41</v>
      </c>
      <c r="G1121" s="13" t="s">
        <v>2532</v>
      </c>
      <c r="H1121" s="13" t="s">
        <v>2631</v>
      </c>
      <c r="I1121" s="13" t="s">
        <v>23</v>
      </c>
      <c r="J1121" s="13">
        <v>3.0</v>
      </c>
      <c r="K1121" s="13" t="s">
        <v>1857</v>
      </c>
      <c r="L1121" s="13" t="s">
        <v>707</v>
      </c>
      <c r="M1121" s="13" t="s">
        <v>26</v>
      </c>
      <c r="N1121" s="13" t="s">
        <v>38</v>
      </c>
      <c r="O1121" s="14">
        <v>15.28</v>
      </c>
      <c r="P1121" s="14">
        <f t="shared" si="2"/>
        <v>45.84</v>
      </c>
      <c r="Q1121" s="14">
        <v>14.37</v>
      </c>
    </row>
    <row r="1122">
      <c r="A1122" s="12">
        <v>42024.0</v>
      </c>
      <c r="B1122" s="12"/>
      <c r="C1122" s="12" t="s">
        <v>2353</v>
      </c>
      <c r="D1122" s="1" t="s">
        <v>1859</v>
      </c>
      <c r="E1122" s="15" t="str">
        <f t="shared" si="1"/>
        <v>Jan</v>
      </c>
      <c r="F1122" s="13" t="s">
        <v>41</v>
      </c>
      <c r="G1122" s="13" t="s">
        <v>2819</v>
      </c>
      <c r="H1122" s="13" t="s">
        <v>2820</v>
      </c>
      <c r="I1122" s="13" t="s">
        <v>23</v>
      </c>
      <c r="J1122" s="13">
        <v>7.0</v>
      </c>
      <c r="K1122" s="13" t="s">
        <v>1860</v>
      </c>
      <c r="L1122" s="13" t="s">
        <v>944</v>
      </c>
      <c r="M1122" s="13" t="s">
        <v>26</v>
      </c>
      <c r="N1122" s="13" t="s">
        <v>51</v>
      </c>
      <c r="O1122" s="14">
        <v>699.93</v>
      </c>
      <c r="P1122" s="14">
        <f t="shared" si="2"/>
        <v>4899.51</v>
      </c>
      <c r="Q1122" s="14">
        <v>699.67</v>
      </c>
    </row>
    <row r="1123">
      <c r="A1123" s="12">
        <v>42024.0</v>
      </c>
      <c r="B1123" s="12"/>
      <c r="C1123" s="12" t="s">
        <v>2353</v>
      </c>
      <c r="D1123" s="1" t="s">
        <v>1859</v>
      </c>
      <c r="E1123" s="15" t="str">
        <f t="shared" si="1"/>
        <v>Jan</v>
      </c>
      <c r="F1123" s="13" t="s">
        <v>41</v>
      </c>
      <c r="G1123" s="13" t="s">
        <v>2819</v>
      </c>
      <c r="H1123" s="13" t="s">
        <v>2820</v>
      </c>
      <c r="I1123" s="13" t="s">
        <v>23</v>
      </c>
      <c r="J1123" s="13">
        <v>7.0</v>
      </c>
      <c r="K1123" s="13" t="s">
        <v>1860</v>
      </c>
      <c r="L1123" s="13" t="s">
        <v>944</v>
      </c>
      <c r="M1123" s="13" t="s">
        <v>26</v>
      </c>
      <c r="N1123" s="13" t="s">
        <v>38</v>
      </c>
      <c r="O1123" s="14">
        <v>22.96</v>
      </c>
      <c r="P1123" s="14">
        <f t="shared" si="2"/>
        <v>160.72</v>
      </c>
      <c r="Q1123" s="14">
        <v>22.2</v>
      </c>
    </row>
    <row r="1124">
      <c r="A1124" s="12">
        <v>42024.0</v>
      </c>
      <c r="B1124" s="12"/>
      <c r="C1124" s="12" t="s">
        <v>2353</v>
      </c>
      <c r="D1124" s="1" t="s">
        <v>1859</v>
      </c>
      <c r="E1124" s="15" t="str">
        <f t="shared" si="1"/>
        <v>Jan</v>
      </c>
      <c r="F1124" s="13" t="s">
        <v>41</v>
      </c>
      <c r="G1124" s="13" t="s">
        <v>2819</v>
      </c>
      <c r="H1124" s="13" t="s">
        <v>2820</v>
      </c>
      <c r="I1124" s="13" t="s">
        <v>23</v>
      </c>
      <c r="J1124" s="13">
        <v>7.0</v>
      </c>
      <c r="K1124" s="13" t="s">
        <v>1860</v>
      </c>
      <c r="L1124" s="13" t="s">
        <v>944</v>
      </c>
      <c r="M1124" s="13" t="s">
        <v>26</v>
      </c>
      <c r="N1124" s="13" t="s">
        <v>27</v>
      </c>
      <c r="O1124" s="14">
        <v>38.6</v>
      </c>
      <c r="P1124" s="14">
        <f t="shared" si="2"/>
        <v>270.2</v>
      </c>
      <c r="Q1124" s="14">
        <v>38.22</v>
      </c>
    </row>
    <row r="1125">
      <c r="A1125" s="12">
        <v>42024.0</v>
      </c>
      <c r="B1125" s="12"/>
      <c r="C1125" s="12" t="s">
        <v>2353</v>
      </c>
      <c r="D1125" s="1" t="s">
        <v>1859</v>
      </c>
      <c r="E1125" s="15" t="str">
        <f t="shared" si="1"/>
        <v>Jan</v>
      </c>
      <c r="F1125" s="13" t="s">
        <v>41</v>
      </c>
      <c r="G1125" s="13" t="s">
        <v>2819</v>
      </c>
      <c r="H1125" s="13" t="s">
        <v>2820</v>
      </c>
      <c r="I1125" s="13" t="s">
        <v>23</v>
      </c>
      <c r="J1125" s="13">
        <v>7.0</v>
      </c>
      <c r="K1125" s="13" t="s">
        <v>1860</v>
      </c>
      <c r="L1125" s="13" t="s">
        <v>944</v>
      </c>
      <c r="M1125" s="13" t="s">
        <v>26</v>
      </c>
      <c r="N1125" s="13" t="s">
        <v>38</v>
      </c>
      <c r="O1125" s="14">
        <v>6.63</v>
      </c>
      <c r="P1125" s="14">
        <f t="shared" si="2"/>
        <v>46.41</v>
      </c>
      <c r="Q1125" s="14">
        <v>6.15</v>
      </c>
    </row>
    <row r="1126">
      <c r="A1126" s="12">
        <v>42024.0</v>
      </c>
      <c r="B1126" s="12"/>
      <c r="C1126" s="12" t="s">
        <v>2353</v>
      </c>
      <c r="D1126" s="1" t="s">
        <v>1859</v>
      </c>
      <c r="E1126" s="15" t="str">
        <f t="shared" si="1"/>
        <v>Jan</v>
      </c>
      <c r="F1126" s="13" t="s">
        <v>41</v>
      </c>
      <c r="G1126" s="13" t="s">
        <v>2819</v>
      </c>
      <c r="H1126" s="13" t="s">
        <v>2820</v>
      </c>
      <c r="I1126" s="13" t="s">
        <v>23</v>
      </c>
      <c r="J1126" s="13">
        <v>7.0</v>
      </c>
      <c r="K1126" s="13" t="s">
        <v>1860</v>
      </c>
      <c r="L1126" s="13" t="s">
        <v>944</v>
      </c>
      <c r="M1126" s="13" t="s">
        <v>26</v>
      </c>
      <c r="N1126" s="13" t="s">
        <v>38</v>
      </c>
      <c r="O1126" s="14">
        <v>23.34</v>
      </c>
      <c r="P1126" s="14">
        <f t="shared" si="2"/>
        <v>163.38</v>
      </c>
      <c r="Q1126" s="14">
        <v>22.41</v>
      </c>
    </row>
    <row r="1127">
      <c r="A1127" s="12">
        <v>42024.0</v>
      </c>
      <c r="B1127" s="12"/>
      <c r="C1127" s="12" t="s">
        <v>2353</v>
      </c>
      <c r="D1127" s="1" t="s">
        <v>1859</v>
      </c>
      <c r="E1127" s="15" t="str">
        <f t="shared" si="1"/>
        <v>Jan</v>
      </c>
      <c r="F1127" s="13" t="s">
        <v>41</v>
      </c>
      <c r="G1127" s="13" t="s">
        <v>2819</v>
      </c>
      <c r="H1127" s="13" t="s">
        <v>2820</v>
      </c>
      <c r="I1127" s="13" t="s">
        <v>23</v>
      </c>
      <c r="J1127" s="13">
        <v>7.0</v>
      </c>
      <c r="K1127" s="13" t="s">
        <v>1860</v>
      </c>
      <c r="L1127" s="13" t="s">
        <v>944</v>
      </c>
      <c r="M1127" s="13" t="s">
        <v>26</v>
      </c>
      <c r="N1127" s="13" t="s">
        <v>27</v>
      </c>
      <c r="O1127" s="14">
        <v>1067.94</v>
      </c>
      <c r="P1127" s="14">
        <f t="shared" si="2"/>
        <v>7475.58</v>
      </c>
      <c r="Q1127" s="14">
        <v>1067.08</v>
      </c>
    </row>
    <row r="1128">
      <c r="A1128" s="12">
        <v>42403.0</v>
      </c>
      <c r="B1128" s="12"/>
      <c r="C1128" s="12" t="s">
        <v>2431</v>
      </c>
      <c r="D1128" s="6">
        <v>42554.0</v>
      </c>
      <c r="E1128" s="15" t="str">
        <f t="shared" si="1"/>
        <v>Jul</v>
      </c>
      <c r="F1128" s="13" t="s">
        <v>41</v>
      </c>
      <c r="G1128" s="13" t="s">
        <v>2340</v>
      </c>
      <c r="H1128" s="13" t="s">
        <v>2424</v>
      </c>
      <c r="I1128" s="13" t="s">
        <v>68</v>
      </c>
      <c r="J1128" s="13">
        <v>4.0</v>
      </c>
      <c r="K1128" s="13" t="s">
        <v>814</v>
      </c>
      <c r="L1128" s="13" t="s">
        <v>169</v>
      </c>
      <c r="M1128" s="13" t="s">
        <v>71</v>
      </c>
      <c r="N1128" s="13" t="s">
        <v>38</v>
      </c>
      <c r="O1128" s="14">
        <v>10.16</v>
      </c>
      <c r="P1128" s="14">
        <f t="shared" si="2"/>
        <v>40.64</v>
      </c>
      <c r="Q1128" s="14">
        <v>9.45</v>
      </c>
    </row>
    <row r="1129">
      <c r="A1129" s="12">
        <v>42403.0</v>
      </c>
      <c r="B1129" s="12"/>
      <c r="C1129" s="12" t="s">
        <v>2431</v>
      </c>
      <c r="D1129" s="6">
        <v>42554.0</v>
      </c>
      <c r="E1129" s="15" t="str">
        <f t="shared" si="1"/>
        <v>Jul</v>
      </c>
      <c r="F1129" s="13" t="s">
        <v>41</v>
      </c>
      <c r="G1129" s="13" t="s">
        <v>2340</v>
      </c>
      <c r="H1129" s="13" t="s">
        <v>2424</v>
      </c>
      <c r="I1129" s="13" t="s">
        <v>68</v>
      </c>
      <c r="J1129" s="13">
        <v>4.0</v>
      </c>
      <c r="K1129" s="13" t="s">
        <v>814</v>
      </c>
      <c r="L1129" s="13" t="s">
        <v>169</v>
      </c>
      <c r="M1129" s="13" t="s">
        <v>71</v>
      </c>
      <c r="N1129" s="13" t="s">
        <v>38</v>
      </c>
      <c r="O1129" s="14">
        <v>101.88</v>
      </c>
      <c r="P1129" s="14">
        <f t="shared" si="2"/>
        <v>407.52</v>
      </c>
      <c r="Q1129" s="14">
        <v>101.58</v>
      </c>
    </row>
    <row r="1130">
      <c r="A1130" s="12">
        <v>43073.0</v>
      </c>
      <c r="B1130" s="12"/>
      <c r="C1130" s="12" t="s">
        <v>2325</v>
      </c>
      <c r="D1130" s="1" t="s">
        <v>1863</v>
      </c>
      <c r="E1130" s="15" t="str">
        <f t="shared" si="1"/>
        <v>Apr</v>
      </c>
      <c r="F1130" s="13" t="s">
        <v>41</v>
      </c>
      <c r="G1130" s="13" t="s">
        <v>2655</v>
      </c>
      <c r="H1130" s="13" t="s">
        <v>2567</v>
      </c>
      <c r="I1130" s="13" t="s">
        <v>23</v>
      </c>
      <c r="J1130" s="13">
        <v>2.0</v>
      </c>
      <c r="K1130" s="13" t="s">
        <v>197</v>
      </c>
      <c r="L1130" s="13" t="s">
        <v>198</v>
      </c>
      <c r="M1130" s="13" t="s">
        <v>26</v>
      </c>
      <c r="N1130" s="13" t="s">
        <v>27</v>
      </c>
      <c r="O1130" s="14">
        <v>343.92</v>
      </c>
      <c r="P1130" s="14">
        <f t="shared" si="2"/>
        <v>687.84</v>
      </c>
      <c r="Q1130" s="14">
        <v>343.14</v>
      </c>
    </row>
    <row r="1131">
      <c r="A1131" s="12">
        <v>43073.0</v>
      </c>
      <c r="B1131" s="12"/>
      <c r="C1131" s="12" t="s">
        <v>2325</v>
      </c>
      <c r="D1131" s="1" t="s">
        <v>1863</v>
      </c>
      <c r="E1131" s="15" t="str">
        <f t="shared" si="1"/>
        <v>Apr</v>
      </c>
      <c r="F1131" s="13" t="s">
        <v>41</v>
      </c>
      <c r="G1131" s="13" t="s">
        <v>2655</v>
      </c>
      <c r="H1131" s="13" t="s">
        <v>2567</v>
      </c>
      <c r="I1131" s="13" t="s">
        <v>23</v>
      </c>
      <c r="J1131" s="13">
        <v>2.0</v>
      </c>
      <c r="K1131" s="13" t="s">
        <v>197</v>
      </c>
      <c r="L1131" s="13" t="s">
        <v>198</v>
      </c>
      <c r="M1131" s="13" t="s">
        <v>26</v>
      </c>
      <c r="N1131" s="13" t="s">
        <v>38</v>
      </c>
      <c r="O1131" s="14">
        <v>40.99</v>
      </c>
      <c r="P1131" s="14">
        <f t="shared" si="2"/>
        <v>81.98</v>
      </c>
      <c r="Q1131" s="14">
        <v>40.98</v>
      </c>
    </row>
    <row r="1132">
      <c r="A1132" s="12">
        <v>43073.0</v>
      </c>
      <c r="B1132" s="12"/>
      <c r="C1132" s="12" t="s">
        <v>2325</v>
      </c>
      <c r="D1132" s="1" t="s">
        <v>1863</v>
      </c>
      <c r="E1132" s="15" t="str">
        <f t="shared" si="1"/>
        <v>Apr</v>
      </c>
      <c r="F1132" s="13" t="s">
        <v>41</v>
      </c>
      <c r="G1132" s="13" t="s">
        <v>2655</v>
      </c>
      <c r="H1132" s="13" t="s">
        <v>2567</v>
      </c>
      <c r="I1132" s="13" t="s">
        <v>23</v>
      </c>
      <c r="J1132" s="13">
        <v>2.0</v>
      </c>
      <c r="K1132" s="13" t="s">
        <v>197</v>
      </c>
      <c r="L1132" s="13" t="s">
        <v>198</v>
      </c>
      <c r="M1132" s="13" t="s">
        <v>26</v>
      </c>
      <c r="N1132" s="13" t="s">
        <v>38</v>
      </c>
      <c r="O1132" s="14">
        <v>63.9</v>
      </c>
      <c r="P1132" s="14">
        <f t="shared" si="2"/>
        <v>127.8</v>
      </c>
      <c r="Q1132" s="14">
        <v>63.42</v>
      </c>
    </row>
    <row r="1133">
      <c r="A1133" s="12">
        <v>42898.0</v>
      </c>
      <c r="B1133" s="12"/>
      <c r="C1133" s="12" t="s">
        <v>2374</v>
      </c>
      <c r="D1133" s="6">
        <v>42928.0</v>
      </c>
      <c r="E1133" s="15" t="str">
        <f t="shared" si="1"/>
        <v>Jul</v>
      </c>
      <c r="F1133" s="13" t="s">
        <v>121</v>
      </c>
      <c r="G1133" s="13" t="s">
        <v>2434</v>
      </c>
      <c r="H1133" s="13" t="s">
        <v>2435</v>
      </c>
      <c r="I1133" s="13" t="s">
        <v>34</v>
      </c>
      <c r="J1133" s="13">
        <v>9.0</v>
      </c>
      <c r="K1133" s="13" t="s">
        <v>1865</v>
      </c>
      <c r="L1133" s="13" t="s">
        <v>52</v>
      </c>
      <c r="M1133" s="13" t="s">
        <v>37</v>
      </c>
      <c r="N1133" s="13" t="s">
        <v>38</v>
      </c>
      <c r="O1133" s="14">
        <v>19.44</v>
      </c>
      <c r="P1133" s="14">
        <f t="shared" si="2"/>
        <v>174.96</v>
      </c>
      <c r="Q1133" s="14">
        <v>18.98</v>
      </c>
    </row>
    <row r="1134">
      <c r="A1134" s="12">
        <v>42861.0</v>
      </c>
      <c r="B1134" s="12"/>
      <c r="C1134" s="12" t="s">
        <v>2335</v>
      </c>
      <c r="D1134" s="6">
        <v>42984.0</v>
      </c>
      <c r="E1134" s="15" t="str">
        <f t="shared" si="1"/>
        <v>Sep</v>
      </c>
      <c r="F1134" s="13" t="s">
        <v>41</v>
      </c>
      <c r="G1134" s="13" t="s">
        <v>2511</v>
      </c>
      <c r="H1134" s="13" t="s">
        <v>2631</v>
      </c>
      <c r="I1134" s="13" t="s">
        <v>68</v>
      </c>
      <c r="J1134" s="13">
        <v>1.0</v>
      </c>
      <c r="K1134" s="13" t="s">
        <v>98</v>
      </c>
      <c r="L1134" s="13" t="s">
        <v>99</v>
      </c>
      <c r="M1134" s="13" t="s">
        <v>100</v>
      </c>
      <c r="N1134" s="13" t="s">
        <v>38</v>
      </c>
      <c r="O1134" s="14">
        <v>124.608</v>
      </c>
      <c r="P1134" s="14">
        <f t="shared" si="2"/>
        <v>124.608</v>
      </c>
      <c r="Q1134" s="14">
        <v>124.07</v>
      </c>
    </row>
    <row r="1135">
      <c r="A1135" s="12">
        <v>42861.0</v>
      </c>
      <c r="B1135" s="12"/>
      <c r="C1135" s="12" t="s">
        <v>2335</v>
      </c>
      <c r="D1135" s="6">
        <v>42984.0</v>
      </c>
      <c r="E1135" s="15" t="str">
        <f t="shared" si="1"/>
        <v>Sep</v>
      </c>
      <c r="F1135" s="13" t="s">
        <v>41</v>
      </c>
      <c r="G1135" s="13" t="s">
        <v>2511</v>
      </c>
      <c r="H1135" s="13" t="s">
        <v>2631</v>
      </c>
      <c r="I1135" s="13" t="s">
        <v>68</v>
      </c>
      <c r="J1135" s="13">
        <v>1.0</v>
      </c>
      <c r="K1135" s="13" t="s">
        <v>98</v>
      </c>
      <c r="L1135" s="13" t="s">
        <v>99</v>
      </c>
      <c r="M1135" s="13" t="s">
        <v>100</v>
      </c>
      <c r="N1135" s="13" t="s">
        <v>38</v>
      </c>
      <c r="O1135" s="14">
        <v>7.56</v>
      </c>
      <c r="P1135" s="14">
        <f t="shared" si="2"/>
        <v>7.56</v>
      </c>
      <c r="Q1135" s="14">
        <v>6.98</v>
      </c>
    </row>
    <row r="1136">
      <c r="A1136" s="12">
        <v>43051.0</v>
      </c>
      <c r="B1136" s="12"/>
      <c r="C1136" s="12" t="s">
        <v>2326</v>
      </c>
      <c r="D1136" s="5">
        <v>43051.0</v>
      </c>
      <c r="E1136" s="15" t="str">
        <f t="shared" si="1"/>
        <v>Nov</v>
      </c>
      <c r="F1136" s="13" t="s">
        <v>717</v>
      </c>
      <c r="G1136" s="13" t="s">
        <v>2375</v>
      </c>
      <c r="H1136" s="13" t="s">
        <v>2692</v>
      </c>
      <c r="I1136" s="13" t="s">
        <v>23</v>
      </c>
      <c r="J1136" s="13">
        <v>3.0</v>
      </c>
      <c r="K1136" s="13" t="s">
        <v>1868</v>
      </c>
      <c r="L1136" s="13" t="s">
        <v>145</v>
      </c>
      <c r="M1136" s="13" t="s">
        <v>26</v>
      </c>
      <c r="N1136" s="13" t="s">
        <v>38</v>
      </c>
      <c r="O1136" s="14">
        <v>85.224</v>
      </c>
      <c r="P1136" s="14">
        <f t="shared" si="2"/>
        <v>255.672</v>
      </c>
      <c r="Q1136" s="14">
        <v>85.09</v>
      </c>
    </row>
    <row r="1137">
      <c r="A1137" s="12">
        <v>43080.0</v>
      </c>
      <c r="B1137" s="12"/>
      <c r="C1137" s="12" t="s">
        <v>2325</v>
      </c>
      <c r="D1137" s="1" t="s">
        <v>1870</v>
      </c>
      <c r="E1137" s="15" t="str">
        <f t="shared" si="1"/>
        <v>Nov</v>
      </c>
      <c r="F1137" s="13" t="s">
        <v>20</v>
      </c>
      <c r="G1137" s="13" t="s">
        <v>2483</v>
      </c>
      <c r="H1137" s="13" t="s">
        <v>2888</v>
      </c>
      <c r="I1137" s="13" t="s">
        <v>34</v>
      </c>
      <c r="J1137" s="13">
        <v>4.0</v>
      </c>
      <c r="K1137" s="13" t="s">
        <v>1873</v>
      </c>
      <c r="L1137" s="13" t="s">
        <v>169</v>
      </c>
      <c r="M1137" s="13" t="s">
        <v>71</v>
      </c>
      <c r="N1137" s="13" t="s">
        <v>38</v>
      </c>
      <c r="O1137" s="14">
        <v>287.52</v>
      </c>
      <c r="P1137" s="14">
        <f t="shared" si="2"/>
        <v>1150.08</v>
      </c>
      <c r="Q1137" s="14">
        <v>287.48</v>
      </c>
    </row>
    <row r="1138">
      <c r="A1138" s="12">
        <v>43080.0</v>
      </c>
      <c r="B1138" s="12"/>
      <c r="C1138" s="12" t="s">
        <v>2325</v>
      </c>
      <c r="D1138" s="1" t="s">
        <v>1870</v>
      </c>
      <c r="E1138" s="15" t="str">
        <f t="shared" si="1"/>
        <v>Nov</v>
      </c>
      <c r="F1138" s="13" t="s">
        <v>20</v>
      </c>
      <c r="G1138" s="13" t="s">
        <v>2483</v>
      </c>
      <c r="H1138" s="13" t="s">
        <v>2888</v>
      </c>
      <c r="I1138" s="13" t="s">
        <v>34</v>
      </c>
      <c r="J1138" s="13">
        <v>4.0</v>
      </c>
      <c r="K1138" s="13" t="s">
        <v>1873</v>
      </c>
      <c r="L1138" s="13" t="s">
        <v>169</v>
      </c>
      <c r="M1138" s="13" t="s">
        <v>71</v>
      </c>
      <c r="N1138" s="13" t="s">
        <v>38</v>
      </c>
      <c r="O1138" s="14">
        <v>37.68</v>
      </c>
      <c r="P1138" s="14">
        <f t="shared" si="2"/>
        <v>150.72</v>
      </c>
      <c r="Q1138" s="14">
        <v>37.68</v>
      </c>
    </row>
    <row r="1139">
      <c r="A1139" s="12">
        <v>43080.0</v>
      </c>
      <c r="B1139" s="12"/>
      <c r="C1139" s="12" t="s">
        <v>2325</v>
      </c>
      <c r="D1139" s="1" t="s">
        <v>1870</v>
      </c>
      <c r="E1139" s="15" t="str">
        <f t="shared" si="1"/>
        <v>Nov</v>
      </c>
      <c r="F1139" s="13" t="s">
        <v>20</v>
      </c>
      <c r="G1139" s="13" t="s">
        <v>2483</v>
      </c>
      <c r="H1139" s="13" t="s">
        <v>2888</v>
      </c>
      <c r="I1139" s="13" t="s">
        <v>34</v>
      </c>
      <c r="J1139" s="13">
        <v>4.0</v>
      </c>
      <c r="K1139" s="13" t="s">
        <v>1873</v>
      </c>
      <c r="L1139" s="13" t="s">
        <v>169</v>
      </c>
      <c r="M1139" s="13" t="s">
        <v>71</v>
      </c>
      <c r="N1139" s="13" t="s">
        <v>38</v>
      </c>
      <c r="O1139" s="14">
        <v>19.98</v>
      </c>
      <c r="P1139" s="14">
        <f t="shared" si="2"/>
        <v>79.92</v>
      </c>
      <c r="Q1139" s="14">
        <v>19.01</v>
      </c>
    </row>
    <row r="1140">
      <c r="A1140" s="12">
        <v>43080.0</v>
      </c>
      <c r="B1140" s="12"/>
      <c r="C1140" s="12" t="s">
        <v>2325</v>
      </c>
      <c r="D1140" s="1" t="s">
        <v>1870</v>
      </c>
      <c r="E1140" s="15" t="str">
        <f t="shared" si="1"/>
        <v>Nov</v>
      </c>
      <c r="F1140" s="13" t="s">
        <v>20</v>
      </c>
      <c r="G1140" s="13" t="s">
        <v>2483</v>
      </c>
      <c r="H1140" s="13" t="s">
        <v>2888</v>
      </c>
      <c r="I1140" s="13" t="s">
        <v>34</v>
      </c>
      <c r="J1140" s="13">
        <v>4.0</v>
      </c>
      <c r="K1140" s="13" t="s">
        <v>1873</v>
      </c>
      <c r="L1140" s="13" t="s">
        <v>169</v>
      </c>
      <c r="M1140" s="13" t="s">
        <v>71</v>
      </c>
      <c r="N1140" s="13" t="s">
        <v>38</v>
      </c>
      <c r="O1140" s="14">
        <v>20.58</v>
      </c>
      <c r="P1140" s="14">
        <f t="shared" si="2"/>
        <v>82.32</v>
      </c>
      <c r="Q1140" s="14">
        <v>20.44</v>
      </c>
    </row>
    <row r="1141">
      <c r="A1141" s="12">
        <v>43080.0</v>
      </c>
      <c r="B1141" s="12"/>
      <c r="C1141" s="12" t="s">
        <v>2325</v>
      </c>
      <c r="D1141" s="1" t="s">
        <v>1870</v>
      </c>
      <c r="E1141" s="15" t="str">
        <f t="shared" si="1"/>
        <v>Nov</v>
      </c>
      <c r="F1141" s="13" t="s">
        <v>20</v>
      </c>
      <c r="G1141" s="13" t="s">
        <v>2483</v>
      </c>
      <c r="H1141" s="13" t="s">
        <v>2888</v>
      </c>
      <c r="I1141" s="13" t="s">
        <v>34</v>
      </c>
      <c r="J1141" s="13">
        <v>4.0</v>
      </c>
      <c r="K1141" s="13" t="s">
        <v>1873</v>
      </c>
      <c r="L1141" s="13" t="s">
        <v>169</v>
      </c>
      <c r="M1141" s="13" t="s">
        <v>71</v>
      </c>
      <c r="N1141" s="13" t="s">
        <v>38</v>
      </c>
      <c r="O1141" s="14">
        <v>17.38</v>
      </c>
      <c r="P1141" s="14">
        <f t="shared" si="2"/>
        <v>69.52</v>
      </c>
      <c r="Q1141" s="14">
        <v>16.85</v>
      </c>
    </row>
    <row r="1142">
      <c r="A1142" s="12">
        <v>42276.0</v>
      </c>
      <c r="B1142" s="12"/>
      <c r="C1142" s="12" t="s">
        <v>2329</v>
      </c>
      <c r="D1142" s="6">
        <v>42073.0</v>
      </c>
      <c r="E1142" s="15" t="str">
        <f t="shared" si="1"/>
        <v>Mar</v>
      </c>
      <c r="F1142" s="13" t="s">
        <v>41</v>
      </c>
      <c r="G1142" s="13" t="s">
        <v>2578</v>
      </c>
      <c r="H1142" s="13" t="s">
        <v>2752</v>
      </c>
      <c r="I1142" s="13" t="s">
        <v>23</v>
      </c>
      <c r="J1142" s="13">
        <v>9.0</v>
      </c>
      <c r="K1142" s="13" t="s">
        <v>35</v>
      </c>
      <c r="L1142" s="13" t="s">
        <v>52</v>
      </c>
      <c r="M1142" s="13" t="s">
        <v>37</v>
      </c>
      <c r="N1142" s="13" t="s">
        <v>27</v>
      </c>
      <c r="O1142" s="14">
        <v>204.6</v>
      </c>
      <c r="P1142" s="14">
        <f t="shared" si="2"/>
        <v>1841.4</v>
      </c>
      <c r="Q1142" s="14">
        <v>203.77</v>
      </c>
    </row>
    <row r="1143">
      <c r="A1143" s="12">
        <v>42276.0</v>
      </c>
      <c r="B1143" s="12"/>
      <c r="C1143" s="12" t="s">
        <v>2329</v>
      </c>
      <c r="D1143" s="6">
        <v>42073.0</v>
      </c>
      <c r="E1143" s="15" t="str">
        <f t="shared" si="1"/>
        <v>Mar</v>
      </c>
      <c r="F1143" s="13" t="s">
        <v>41</v>
      </c>
      <c r="G1143" s="13" t="s">
        <v>2578</v>
      </c>
      <c r="H1143" s="13" t="s">
        <v>2752</v>
      </c>
      <c r="I1143" s="13" t="s">
        <v>23</v>
      </c>
      <c r="J1143" s="13">
        <v>9.0</v>
      </c>
      <c r="K1143" s="13" t="s">
        <v>35</v>
      </c>
      <c r="L1143" s="13" t="s">
        <v>52</v>
      </c>
      <c r="M1143" s="13" t="s">
        <v>37</v>
      </c>
      <c r="N1143" s="13" t="s">
        <v>38</v>
      </c>
      <c r="O1143" s="14">
        <v>8.72</v>
      </c>
      <c r="P1143" s="14">
        <f t="shared" si="2"/>
        <v>78.48</v>
      </c>
      <c r="Q1143" s="14">
        <v>7.97</v>
      </c>
    </row>
    <row r="1144">
      <c r="A1144" s="12">
        <v>42276.0</v>
      </c>
      <c r="B1144" s="12"/>
      <c r="C1144" s="12" t="s">
        <v>2329</v>
      </c>
      <c r="D1144" s="6">
        <v>42073.0</v>
      </c>
      <c r="E1144" s="15" t="str">
        <f t="shared" si="1"/>
        <v>Mar</v>
      </c>
      <c r="F1144" s="13" t="s">
        <v>41</v>
      </c>
      <c r="G1144" s="13" t="s">
        <v>2578</v>
      </c>
      <c r="H1144" s="13" t="s">
        <v>2752</v>
      </c>
      <c r="I1144" s="13" t="s">
        <v>23</v>
      </c>
      <c r="J1144" s="13">
        <v>9.0</v>
      </c>
      <c r="K1144" s="13" t="s">
        <v>35</v>
      </c>
      <c r="L1144" s="13" t="s">
        <v>52</v>
      </c>
      <c r="M1144" s="13" t="s">
        <v>37</v>
      </c>
      <c r="N1144" s="13" t="s">
        <v>38</v>
      </c>
      <c r="O1144" s="14">
        <v>6.48</v>
      </c>
      <c r="P1144" s="14">
        <f t="shared" si="2"/>
        <v>58.32</v>
      </c>
      <c r="Q1144" s="14">
        <v>6.2</v>
      </c>
    </row>
    <row r="1145">
      <c r="A1145" s="12">
        <v>42276.0</v>
      </c>
      <c r="B1145" s="12"/>
      <c r="C1145" s="12" t="s">
        <v>2329</v>
      </c>
      <c r="D1145" s="6">
        <v>42073.0</v>
      </c>
      <c r="E1145" s="15" t="str">
        <f t="shared" si="1"/>
        <v>Mar</v>
      </c>
      <c r="F1145" s="13" t="s">
        <v>41</v>
      </c>
      <c r="G1145" s="13" t="s">
        <v>2578</v>
      </c>
      <c r="H1145" s="13" t="s">
        <v>2752</v>
      </c>
      <c r="I1145" s="13" t="s">
        <v>23</v>
      </c>
      <c r="J1145" s="13">
        <v>9.0</v>
      </c>
      <c r="K1145" s="13" t="s">
        <v>35</v>
      </c>
      <c r="L1145" s="13" t="s">
        <v>52</v>
      </c>
      <c r="M1145" s="13" t="s">
        <v>37</v>
      </c>
      <c r="N1145" s="13" t="s">
        <v>51</v>
      </c>
      <c r="O1145" s="14">
        <v>686.32</v>
      </c>
      <c r="P1145" s="14">
        <f t="shared" si="2"/>
        <v>6176.88</v>
      </c>
      <c r="Q1145" s="14">
        <v>685.34</v>
      </c>
    </row>
    <row r="1146">
      <c r="A1146" s="12">
        <v>42276.0</v>
      </c>
      <c r="B1146" s="12"/>
      <c r="C1146" s="12" t="s">
        <v>2329</v>
      </c>
      <c r="D1146" s="6">
        <v>42073.0</v>
      </c>
      <c r="E1146" s="15" t="str">
        <f t="shared" si="1"/>
        <v>Mar</v>
      </c>
      <c r="F1146" s="13" t="s">
        <v>41</v>
      </c>
      <c r="G1146" s="13" t="s">
        <v>2578</v>
      </c>
      <c r="H1146" s="13" t="s">
        <v>2752</v>
      </c>
      <c r="I1146" s="13" t="s">
        <v>23</v>
      </c>
      <c r="J1146" s="13">
        <v>9.0</v>
      </c>
      <c r="K1146" s="13" t="s">
        <v>35</v>
      </c>
      <c r="L1146" s="13" t="s">
        <v>52</v>
      </c>
      <c r="M1146" s="13" t="s">
        <v>37</v>
      </c>
      <c r="N1146" s="13" t="s">
        <v>38</v>
      </c>
      <c r="O1146" s="14">
        <v>62.18</v>
      </c>
      <c r="P1146" s="14">
        <f t="shared" si="2"/>
        <v>559.62</v>
      </c>
      <c r="Q1146" s="14">
        <v>61.32</v>
      </c>
    </row>
    <row r="1147">
      <c r="A1147" s="12">
        <v>42464.0</v>
      </c>
      <c r="B1147" s="12"/>
      <c r="C1147" s="12" t="s">
        <v>2332</v>
      </c>
      <c r="D1147" s="6">
        <v>42464.0</v>
      </c>
      <c r="E1147" s="15" t="str">
        <f t="shared" si="1"/>
        <v>Apr</v>
      </c>
      <c r="F1147" s="13" t="s">
        <v>717</v>
      </c>
      <c r="G1147" s="13" t="s">
        <v>2705</v>
      </c>
      <c r="H1147" s="13" t="s">
        <v>2689</v>
      </c>
      <c r="I1147" s="13" t="s">
        <v>23</v>
      </c>
      <c r="J1147" s="13">
        <v>4.0</v>
      </c>
      <c r="K1147" s="13" t="s">
        <v>1878</v>
      </c>
      <c r="L1147" s="13" t="s">
        <v>157</v>
      </c>
      <c r="M1147" s="13" t="s">
        <v>71</v>
      </c>
      <c r="N1147" s="13" t="s">
        <v>38</v>
      </c>
      <c r="O1147" s="14">
        <v>644.076</v>
      </c>
      <c r="P1147" s="14">
        <f t="shared" si="2"/>
        <v>2576.304</v>
      </c>
      <c r="Q1147" s="14">
        <v>643.51</v>
      </c>
    </row>
    <row r="1148">
      <c r="A1148" s="12">
        <v>42464.0</v>
      </c>
      <c r="B1148" s="12"/>
      <c r="C1148" s="12" t="s">
        <v>2332</v>
      </c>
      <c r="D1148" s="6">
        <v>42464.0</v>
      </c>
      <c r="E1148" s="15" t="str">
        <f t="shared" si="1"/>
        <v>Apr</v>
      </c>
      <c r="F1148" s="13" t="s">
        <v>717</v>
      </c>
      <c r="G1148" s="13" t="s">
        <v>2705</v>
      </c>
      <c r="H1148" s="13" t="s">
        <v>2689</v>
      </c>
      <c r="I1148" s="13" t="s">
        <v>23</v>
      </c>
      <c r="J1148" s="13">
        <v>4.0</v>
      </c>
      <c r="K1148" s="13" t="s">
        <v>1878</v>
      </c>
      <c r="L1148" s="13" t="s">
        <v>157</v>
      </c>
      <c r="M1148" s="13" t="s">
        <v>71</v>
      </c>
      <c r="N1148" s="13" t="s">
        <v>38</v>
      </c>
      <c r="O1148" s="14">
        <v>5.84</v>
      </c>
      <c r="P1148" s="14">
        <f t="shared" si="2"/>
        <v>23.36</v>
      </c>
      <c r="Q1148" s="14">
        <v>4.95</v>
      </c>
    </row>
    <row r="1149">
      <c r="A1149" s="12">
        <v>42464.0</v>
      </c>
      <c r="B1149" s="12"/>
      <c r="C1149" s="12" t="s">
        <v>2332</v>
      </c>
      <c r="D1149" s="6">
        <v>42464.0</v>
      </c>
      <c r="E1149" s="15" t="str">
        <f t="shared" si="1"/>
        <v>Apr</v>
      </c>
      <c r="F1149" s="13" t="s">
        <v>717</v>
      </c>
      <c r="G1149" s="13" t="s">
        <v>2705</v>
      </c>
      <c r="H1149" s="13" t="s">
        <v>2689</v>
      </c>
      <c r="I1149" s="13" t="s">
        <v>23</v>
      </c>
      <c r="J1149" s="13">
        <v>4.0</v>
      </c>
      <c r="K1149" s="13" t="s">
        <v>1878</v>
      </c>
      <c r="L1149" s="13" t="s">
        <v>157</v>
      </c>
      <c r="M1149" s="13" t="s">
        <v>71</v>
      </c>
      <c r="N1149" s="13" t="s">
        <v>38</v>
      </c>
      <c r="O1149" s="14">
        <v>12.76</v>
      </c>
      <c r="P1149" s="14">
        <f t="shared" si="2"/>
        <v>51.04</v>
      </c>
      <c r="Q1149" s="14">
        <v>12.21</v>
      </c>
    </row>
    <row r="1150">
      <c r="A1150" s="12">
        <v>42464.0</v>
      </c>
      <c r="B1150" s="12"/>
      <c r="C1150" s="12" t="s">
        <v>2332</v>
      </c>
      <c r="D1150" s="6">
        <v>42464.0</v>
      </c>
      <c r="E1150" s="15" t="str">
        <f t="shared" si="1"/>
        <v>Apr</v>
      </c>
      <c r="F1150" s="13" t="s">
        <v>717</v>
      </c>
      <c r="G1150" s="13" t="s">
        <v>2705</v>
      </c>
      <c r="H1150" s="13" t="s">
        <v>2689</v>
      </c>
      <c r="I1150" s="13" t="s">
        <v>23</v>
      </c>
      <c r="J1150" s="13">
        <v>4.0</v>
      </c>
      <c r="K1150" s="13" t="s">
        <v>1878</v>
      </c>
      <c r="L1150" s="13" t="s">
        <v>157</v>
      </c>
      <c r="M1150" s="13" t="s">
        <v>71</v>
      </c>
      <c r="N1150" s="13" t="s">
        <v>51</v>
      </c>
      <c r="O1150" s="14">
        <v>10.95</v>
      </c>
      <c r="P1150" s="14">
        <f t="shared" si="2"/>
        <v>43.8</v>
      </c>
      <c r="Q1150" s="14">
        <v>10.18</v>
      </c>
    </row>
    <row r="1151">
      <c r="A1151" s="12">
        <v>42464.0</v>
      </c>
      <c r="B1151" s="12"/>
      <c r="C1151" s="12" t="s">
        <v>2332</v>
      </c>
      <c r="D1151" s="6">
        <v>42464.0</v>
      </c>
      <c r="E1151" s="15" t="str">
        <f t="shared" si="1"/>
        <v>Apr</v>
      </c>
      <c r="F1151" s="13" t="s">
        <v>717</v>
      </c>
      <c r="G1151" s="13" t="s">
        <v>2705</v>
      </c>
      <c r="H1151" s="13" t="s">
        <v>2689</v>
      </c>
      <c r="I1151" s="13" t="s">
        <v>23</v>
      </c>
      <c r="J1151" s="13">
        <v>4.0</v>
      </c>
      <c r="K1151" s="13" t="s">
        <v>1878</v>
      </c>
      <c r="L1151" s="13" t="s">
        <v>157</v>
      </c>
      <c r="M1151" s="13" t="s">
        <v>71</v>
      </c>
      <c r="N1151" s="13" t="s">
        <v>51</v>
      </c>
      <c r="O1151" s="14">
        <v>599.98</v>
      </c>
      <c r="P1151" s="14">
        <f t="shared" si="2"/>
        <v>2399.92</v>
      </c>
      <c r="Q1151" s="14">
        <v>599.61</v>
      </c>
    </row>
    <row r="1152">
      <c r="A1152" s="12">
        <v>42587.0</v>
      </c>
      <c r="B1152" s="12"/>
      <c r="C1152" s="12" t="s">
        <v>2322</v>
      </c>
      <c r="D1152" s="1" t="s">
        <v>1880</v>
      </c>
      <c r="E1152" s="15" t="str">
        <f t="shared" si="1"/>
        <v>May</v>
      </c>
      <c r="F1152" s="13" t="s">
        <v>41</v>
      </c>
      <c r="G1152" s="13" t="s">
        <v>2530</v>
      </c>
      <c r="H1152" s="13" t="s">
        <v>2531</v>
      </c>
      <c r="I1152" s="13" t="s">
        <v>34</v>
      </c>
      <c r="J1152" s="13">
        <v>4.0</v>
      </c>
      <c r="K1152" s="13" t="s">
        <v>1881</v>
      </c>
      <c r="L1152" s="13" t="s">
        <v>304</v>
      </c>
      <c r="M1152" s="13" t="s">
        <v>100</v>
      </c>
      <c r="N1152" s="13" t="s">
        <v>27</v>
      </c>
      <c r="O1152" s="14">
        <v>8.352</v>
      </c>
      <c r="P1152" s="14">
        <f t="shared" si="2"/>
        <v>33.408</v>
      </c>
      <c r="Q1152" s="14">
        <v>8.28</v>
      </c>
    </row>
    <row r="1153">
      <c r="A1153" s="12">
        <v>43100.0</v>
      </c>
      <c r="B1153" s="12"/>
      <c r="C1153" s="12" t="s">
        <v>2325</v>
      </c>
      <c r="D1153" s="6">
        <v>43252.0</v>
      </c>
      <c r="E1153" s="15" t="str">
        <f t="shared" si="1"/>
        <v>Jun</v>
      </c>
      <c r="F1153" s="13" t="s">
        <v>41</v>
      </c>
      <c r="G1153" s="13" t="s">
        <v>2517</v>
      </c>
      <c r="H1153" s="13" t="s">
        <v>2541</v>
      </c>
      <c r="I1153" s="13" t="s">
        <v>34</v>
      </c>
      <c r="J1153" s="13">
        <v>8.0</v>
      </c>
      <c r="K1153" s="13" t="s">
        <v>1883</v>
      </c>
      <c r="L1153" s="13" t="s">
        <v>776</v>
      </c>
      <c r="M1153" s="13" t="s">
        <v>37</v>
      </c>
      <c r="N1153" s="13" t="s">
        <v>38</v>
      </c>
      <c r="O1153" s="14">
        <v>3.64</v>
      </c>
      <c r="P1153" s="14">
        <f t="shared" si="2"/>
        <v>29.12</v>
      </c>
      <c r="Q1153" s="14">
        <v>3.56</v>
      </c>
    </row>
    <row r="1154">
      <c r="A1154" s="12">
        <v>43100.0</v>
      </c>
      <c r="B1154" s="12"/>
      <c r="C1154" s="12" t="s">
        <v>2325</v>
      </c>
      <c r="D1154" s="6">
        <v>43252.0</v>
      </c>
      <c r="E1154" s="15" t="str">
        <f t="shared" si="1"/>
        <v>Jun</v>
      </c>
      <c r="F1154" s="13" t="s">
        <v>41</v>
      </c>
      <c r="G1154" s="13" t="s">
        <v>2517</v>
      </c>
      <c r="H1154" s="13" t="s">
        <v>2541</v>
      </c>
      <c r="I1154" s="13" t="s">
        <v>34</v>
      </c>
      <c r="J1154" s="13">
        <v>8.0</v>
      </c>
      <c r="K1154" s="13" t="s">
        <v>1883</v>
      </c>
      <c r="L1154" s="13" t="s">
        <v>776</v>
      </c>
      <c r="M1154" s="13" t="s">
        <v>37</v>
      </c>
      <c r="N1154" s="13" t="s">
        <v>38</v>
      </c>
      <c r="O1154" s="14">
        <v>159.768</v>
      </c>
      <c r="P1154" s="14">
        <f t="shared" si="2"/>
        <v>1278.144</v>
      </c>
      <c r="Q1154" s="14">
        <v>158.89</v>
      </c>
    </row>
    <row r="1155">
      <c r="A1155" s="12">
        <v>42358.0</v>
      </c>
      <c r="B1155" s="12"/>
      <c r="C1155" s="12" t="s">
        <v>2325</v>
      </c>
      <c r="D1155" s="1" t="s">
        <v>1885</v>
      </c>
      <c r="E1155" s="15" t="str">
        <f t="shared" si="1"/>
        <v>Dec</v>
      </c>
      <c r="F1155" s="13" t="s">
        <v>121</v>
      </c>
      <c r="G1155" s="13" t="s">
        <v>2883</v>
      </c>
      <c r="H1155" s="13" t="s">
        <v>2884</v>
      </c>
      <c r="I1155" s="13" t="s">
        <v>68</v>
      </c>
      <c r="J1155" s="13">
        <v>2.0</v>
      </c>
      <c r="K1155" s="13" t="s">
        <v>1886</v>
      </c>
      <c r="L1155" s="13" t="s">
        <v>198</v>
      </c>
      <c r="M1155" s="13" t="s">
        <v>26</v>
      </c>
      <c r="N1155" s="13" t="s">
        <v>38</v>
      </c>
      <c r="O1155" s="14">
        <v>122.48</v>
      </c>
      <c r="P1155" s="14">
        <f t="shared" si="2"/>
        <v>244.96</v>
      </c>
      <c r="Q1155" s="14">
        <v>122.47</v>
      </c>
    </row>
    <row r="1156">
      <c r="A1156" s="12">
        <v>42358.0</v>
      </c>
      <c r="B1156" s="12"/>
      <c r="C1156" s="12" t="s">
        <v>2325</v>
      </c>
      <c r="D1156" s="1" t="s">
        <v>1885</v>
      </c>
      <c r="E1156" s="15" t="str">
        <f t="shared" si="1"/>
        <v>Dec</v>
      </c>
      <c r="F1156" s="13" t="s">
        <v>121</v>
      </c>
      <c r="G1156" s="13" t="s">
        <v>2883</v>
      </c>
      <c r="H1156" s="13" t="s">
        <v>2884</v>
      </c>
      <c r="I1156" s="13" t="s">
        <v>68</v>
      </c>
      <c r="J1156" s="13">
        <v>2.0</v>
      </c>
      <c r="K1156" s="13" t="s">
        <v>1886</v>
      </c>
      <c r="L1156" s="13" t="s">
        <v>198</v>
      </c>
      <c r="M1156" s="13" t="s">
        <v>26</v>
      </c>
      <c r="N1156" s="13" t="s">
        <v>27</v>
      </c>
      <c r="O1156" s="14">
        <v>2244.48</v>
      </c>
      <c r="P1156" s="14">
        <f t="shared" si="2"/>
        <v>4488.96</v>
      </c>
      <c r="Q1156" s="14">
        <v>2244.2</v>
      </c>
    </row>
    <row r="1157">
      <c r="A1157" s="12">
        <v>42358.0</v>
      </c>
      <c r="B1157" s="12"/>
      <c r="C1157" s="12" t="s">
        <v>2325</v>
      </c>
      <c r="D1157" s="1" t="s">
        <v>1885</v>
      </c>
      <c r="E1157" s="15" t="str">
        <f t="shared" si="1"/>
        <v>Dec</v>
      </c>
      <c r="F1157" s="13" t="s">
        <v>121</v>
      </c>
      <c r="G1157" s="13" t="s">
        <v>2883</v>
      </c>
      <c r="H1157" s="13" t="s">
        <v>2884</v>
      </c>
      <c r="I1157" s="13" t="s">
        <v>68</v>
      </c>
      <c r="J1157" s="13">
        <v>2.0</v>
      </c>
      <c r="K1157" s="13" t="s">
        <v>1886</v>
      </c>
      <c r="L1157" s="13" t="s">
        <v>198</v>
      </c>
      <c r="M1157" s="13" t="s">
        <v>26</v>
      </c>
      <c r="N1157" s="13" t="s">
        <v>38</v>
      </c>
      <c r="O1157" s="14">
        <v>62.31</v>
      </c>
      <c r="P1157" s="14">
        <f t="shared" si="2"/>
        <v>124.62</v>
      </c>
      <c r="Q1157" s="14">
        <v>61.91</v>
      </c>
    </row>
    <row r="1158">
      <c r="A1158" s="12">
        <v>42358.0</v>
      </c>
      <c r="B1158" s="12"/>
      <c r="C1158" s="12" t="s">
        <v>2325</v>
      </c>
      <c r="D1158" s="1" t="s">
        <v>1885</v>
      </c>
      <c r="E1158" s="15" t="str">
        <f t="shared" si="1"/>
        <v>Dec</v>
      </c>
      <c r="F1158" s="13" t="s">
        <v>121</v>
      </c>
      <c r="G1158" s="13" t="s">
        <v>2883</v>
      </c>
      <c r="H1158" s="13" t="s">
        <v>2884</v>
      </c>
      <c r="I1158" s="13" t="s">
        <v>68</v>
      </c>
      <c r="J1158" s="13">
        <v>2.0</v>
      </c>
      <c r="K1158" s="13" t="s">
        <v>1886</v>
      </c>
      <c r="L1158" s="13" t="s">
        <v>198</v>
      </c>
      <c r="M1158" s="13" t="s">
        <v>26</v>
      </c>
      <c r="N1158" s="13" t="s">
        <v>27</v>
      </c>
      <c r="O1158" s="14">
        <v>455.1</v>
      </c>
      <c r="P1158" s="14">
        <f t="shared" si="2"/>
        <v>910.2</v>
      </c>
      <c r="Q1158" s="14">
        <v>454.7</v>
      </c>
    </row>
    <row r="1159">
      <c r="A1159" s="12">
        <v>42773.0</v>
      </c>
      <c r="B1159" s="12"/>
      <c r="C1159" s="12" t="s">
        <v>2431</v>
      </c>
      <c r="D1159" s="6">
        <v>42923.0</v>
      </c>
      <c r="E1159" s="15" t="str">
        <f t="shared" si="1"/>
        <v>Jul</v>
      </c>
      <c r="F1159" s="13" t="s">
        <v>20</v>
      </c>
      <c r="G1159" s="13" t="s">
        <v>2822</v>
      </c>
      <c r="H1159" s="13" t="s">
        <v>2823</v>
      </c>
      <c r="I1159" s="13" t="s">
        <v>34</v>
      </c>
      <c r="J1159" s="13">
        <v>9.0</v>
      </c>
      <c r="K1159" s="13" t="s">
        <v>35</v>
      </c>
      <c r="L1159" s="13" t="s">
        <v>52</v>
      </c>
      <c r="M1159" s="13" t="s">
        <v>37</v>
      </c>
      <c r="N1159" s="13" t="s">
        <v>27</v>
      </c>
      <c r="O1159" s="14">
        <v>195.184</v>
      </c>
      <c r="P1159" s="14">
        <f t="shared" si="2"/>
        <v>1756.656</v>
      </c>
      <c r="Q1159" s="14">
        <v>195.02</v>
      </c>
    </row>
    <row r="1160">
      <c r="A1160" s="12">
        <v>43280.0</v>
      </c>
      <c r="B1160" s="12"/>
      <c r="C1160" s="12" t="s">
        <v>2374</v>
      </c>
      <c r="D1160" s="6">
        <v>43197.0</v>
      </c>
      <c r="E1160" s="15" t="str">
        <f t="shared" si="1"/>
        <v>Apr</v>
      </c>
      <c r="F1160" s="13" t="s">
        <v>41</v>
      </c>
      <c r="G1160" s="13" t="s">
        <v>2889</v>
      </c>
      <c r="H1160" s="13" t="s">
        <v>2890</v>
      </c>
      <c r="I1160" s="13" t="s">
        <v>23</v>
      </c>
      <c r="J1160" s="13">
        <v>5.0</v>
      </c>
      <c r="K1160" s="13" t="s">
        <v>251</v>
      </c>
      <c r="L1160" s="13" t="s">
        <v>151</v>
      </c>
      <c r="M1160" s="13" t="s">
        <v>71</v>
      </c>
      <c r="N1160" s="13" t="s">
        <v>38</v>
      </c>
      <c r="O1160" s="14">
        <v>362.94</v>
      </c>
      <c r="P1160" s="14">
        <f t="shared" si="2"/>
        <v>1814.7</v>
      </c>
      <c r="Q1160" s="14">
        <v>362.7</v>
      </c>
    </row>
    <row r="1161">
      <c r="A1161" s="12">
        <v>43280.0</v>
      </c>
      <c r="B1161" s="12"/>
      <c r="C1161" s="12" t="s">
        <v>2374</v>
      </c>
      <c r="D1161" s="6">
        <v>43197.0</v>
      </c>
      <c r="E1161" s="15" t="str">
        <f t="shared" si="1"/>
        <v>Apr</v>
      </c>
      <c r="F1161" s="13" t="s">
        <v>41</v>
      </c>
      <c r="G1161" s="13" t="s">
        <v>2889</v>
      </c>
      <c r="H1161" s="13" t="s">
        <v>2890</v>
      </c>
      <c r="I1161" s="13" t="s">
        <v>23</v>
      </c>
      <c r="J1161" s="13">
        <v>5.0</v>
      </c>
      <c r="K1161" s="13" t="s">
        <v>251</v>
      </c>
      <c r="L1161" s="13" t="s">
        <v>151</v>
      </c>
      <c r="M1161" s="13" t="s">
        <v>71</v>
      </c>
      <c r="N1161" s="13" t="s">
        <v>38</v>
      </c>
      <c r="O1161" s="14">
        <v>11.54</v>
      </c>
      <c r="P1161" s="14">
        <f t="shared" si="2"/>
        <v>57.7</v>
      </c>
      <c r="Q1161" s="14">
        <v>10.84</v>
      </c>
    </row>
    <row r="1162">
      <c r="A1162" s="12">
        <v>42013.0</v>
      </c>
      <c r="B1162" s="12"/>
      <c r="C1162" s="12" t="s">
        <v>2353</v>
      </c>
      <c r="D1162" s="6">
        <v>42133.0</v>
      </c>
      <c r="E1162" s="15" t="str">
        <f t="shared" si="1"/>
        <v>May</v>
      </c>
      <c r="F1162" s="13" t="s">
        <v>20</v>
      </c>
      <c r="G1162" s="13" t="s">
        <v>2891</v>
      </c>
      <c r="H1162" s="13" t="s">
        <v>2892</v>
      </c>
      <c r="I1162" s="13" t="s">
        <v>23</v>
      </c>
      <c r="J1162" s="13">
        <v>9.0</v>
      </c>
      <c r="K1162" s="13" t="s">
        <v>1894</v>
      </c>
      <c r="L1162" s="13" t="s">
        <v>52</v>
      </c>
      <c r="M1162" s="13" t="s">
        <v>37</v>
      </c>
      <c r="N1162" s="13" t="s">
        <v>38</v>
      </c>
      <c r="O1162" s="14">
        <v>53.94</v>
      </c>
      <c r="P1162" s="14">
        <f t="shared" si="2"/>
        <v>485.46</v>
      </c>
      <c r="Q1162" s="14">
        <v>53.63</v>
      </c>
    </row>
    <row r="1163">
      <c r="A1163" s="12">
        <v>42066.0</v>
      </c>
      <c r="B1163" s="12"/>
      <c r="C1163" s="12" t="s">
        <v>2399</v>
      </c>
      <c r="D1163" s="6">
        <v>42219.0</v>
      </c>
      <c r="E1163" s="15" t="str">
        <f t="shared" si="1"/>
        <v>Aug</v>
      </c>
      <c r="F1163" s="13" t="s">
        <v>41</v>
      </c>
      <c r="G1163" s="13" t="s">
        <v>2893</v>
      </c>
      <c r="H1163" s="13" t="s">
        <v>2894</v>
      </c>
      <c r="I1163" s="13" t="s">
        <v>68</v>
      </c>
      <c r="J1163" s="13">
        <v>1.0</v>
      </c>
      <c r="K1163" s="13" t="s">
        <v>174</v>
      </c>
      <c r="L1163" s="13" t="s">
        <v>175</v>
      </c>
      <c r="M1163" s="13" t="s">
        <v>100</v>
      </c>
      <c r="N1163" s="13" t="s">
        <v>51</v>
      </c>
      <c r="O1163" s="14">
        <v>9.99</v>
      </c>
      <c r="P1163" s="14">
        <f t="shared" si="2"/>
        <v>9.99</v>
      </c>
      <c r="Q1163" s="14">
        <v>9.05</v>
      </c>
    </row>
    <row r="1164">
      <c r="A1164" s="12">
        <v>42066.0</v>
      </c>
      <c r="B1164" s="12"/>
      <c r="C1164" s="12" t="s">
        <v>2399</v>
      </c>
      <c r="D1164" s="6">
        <v>42219.0</v>
      </c>
      <c r="E1164" s="15" t="str">
        <f t="shared" si="1"/>
        <v>Aug</v>
      </c>
      <c r="F1164" s="13" t="s">
        <v>41</v>
      </c>
      <c r="G1164" s="13" t="s">
        <v>2893</v>
      </c>
      <c r="H1164" s="13" t="s">
        <v>2894</v>
      </c>
      <c r="I1164" s="13" t="s">
        <v>68</v>
      </c>
      <c r="J1164" s="13">
        <v>1.0</v>
      </c>
      <c r="K1164" s="13" t="s">
        <v>174</v>
      </c>
      <c r="L1164" s="13" t="s">
        <v>175</v>
      </c>
      <c r="M1164" s="13" t="s">
        <v>100</v>
      </c>
      <c r="N1164" s="13" t="s">
        <v>38</v>
      </c>
      <c r="O1164" s="14">
        <v>125.76</v>
      </c>
      <c r="P1164" s="14">
        <f t="shared" si="2"/>
        <v>125.76</v>
      </c>
      <c r="Q1164" s="14">
        <v>125.64</v>
      </c>
    </row>
    <row r="1165">
      <c r="A1165" s="12">
        <v>42066.0</v>
      </c>
      <c r="B1165" s="12"/>
      <c r="C1165" s="12" t="s">
        <v>2399</v>
      </c>
      <c r="D1165" s="6">
        <v>42219.0</v>
      </c>
      <c r="E1165" s="15" t="str">
        <f t="shared" si="1"/>
        <v>Aug</v>
      </c>
      <c r="F1165" s="13" t="s">
        <v>41</v>
      </c>
      <c r="G1165" s="13" t="s">
        <v>2893</v>
      </c>
      <c r="H1165" s="13" t="s">
        <v>2894</v>
      </c>
      <c r="I1165" s="13" t="s">
        <v>68</v>
      </c>
      <c r="J1165" s="13">
        <v>1.0</v>
      </c>
      <c r="K1165" s="13" t="s">
        <v>174</v>
      </c>
      <c r="L1165" s="13" t="s">
        <v>175</v>
      </c>
      <c r="M1165" s="13" t="s">
        <v>100</v>
      </c>
      <c r="N1165" s="13" t="s">
        <v>38</v>
      </c>
      <c r="O1165" s="14">
        <v>25.32</v>
      </c>
      <c r="P1165" s="14">
        <f t="shared" si="2"/>
        <v>25.32</v>
      </c>
      <c r="Q1165" s="14">
        <v>24.97</v>
      </c>
    </row>
    <row r="1166">
      <c r="A1166" s="12">
        <v>42099.0</v>
      </c>
      <c r="B1166" s="12"/>
      <c r="C1166" s="12" t="s">
        <v>2332</v>
      </c>
      <c r="D1166" s="6">
        <v>42221.0</v>
      </c>
      <c r="E1166" s="15" t="str">
        <f t="shared" si="1"/>
        <v>Aug</v>
      </c>
      <c r="F1166" s="13" t="s">
        <v>41</v>
      </c>
      <c r="G1166" s="13" t="s">
        <v>1839</v>
      </c>
      <c r="H1166" s="13" t="s">
        <v>2581</v>
      </c>
      <c r="I1166" s="13" t="s">
        <v>23</v>
      </c>
      <c r="J1166" s="13">
        <v>4.0</v>
      </c>
      <c r="K1166" s="13" t="s">
        <v>205</v>
      </c>
      <c r="L1166" s="13" t="s">
        <v>157</v>
      </c>
      <c r="M1166" s="13" t="s">
        <v>71</v>
      </c>
      <c r="N1166" s="13" t="s">
        <v>38</v>
      </c>
      <c r="O1166" s="14">
        <v>46.8</v>
      </c>
      <c r="P1166" s="14">
        <f t="shared" si="2"/>
        <v>187.2</v>
      </c>
      <c r="Q1166" s="14">
        <v>45.97</v>
      </c>
    </row>
    <row r="1167">
      <c r="A1167" s="12">
        <v>42411.0</v>
      </c>
      <c r="B1167" s="12"/>
      <c r="C1167" s="12" t="s">
        <v>2431</v>
      </c>
      <c r="D1167" s="6">
        <v>42411.0</v>
      </c>
      <c r="E1167" s="15" t="str">
        <f t="shared" si="1"/>
        <v>Feb</v>
      </c>
      <c r="F1167" s="13" t="s">
        <v>717</v>
      </c>
      <c r="G1167" s="13" t="s">
        <v>2517</v>
      </c>
      <c r="H1167" s="13" t="s">
        <v>2518</v>
      </c>
      <c r="I1167" s="13" t="s">
        <v>23</v>
      </c>
      <c r="J1167" s="13">
        <v>9.0</v>
      </c>
      <c r="K1167" s="13" t="s">
        <v>62</v>
      </c>
      <c r="L1167" s="13" t="s">
        <v>63</v>
      </c>
      <c r="M1167" s="13" t="s">
        <v>37</v>
      </c>
      <c r="N1167" s="13" t="s">
        <v>51</v>
      </c>
      <c r="O1167" s="14">
        <v>447.93</v>
      </c>
      <c r="P1167" s="14">
        <f t="shared" si="2"/>
        <v>4031.37</v>
      </c>
      <c r="Q1167" s="14">
        <v>447.17</v>
      </c>
    </row>
    <row r="1168">
      <c r="A1168" s="12">
        <v>43324.0</v>
      </c>
      <c r="B1168" s="12"/>
      <c r="C1168" s="12" t="s">
        <v>2322</v>
      </c>
      <c r="D1168" s="5">
        <v>43385.0</v>
      </c>
      <c r="E1168" s="15" t="str">
        <f t="shared" si="1"/>
        <v>Oct</v>
      </c>
      <c r="F1168" s="13" t="s">
        <v>20</v>
      </c>
      <c r="G1168" s="13" t="s">
        <v>2519</v>
      </c>
      <c r="H1168" s="13" t="s">
        <v>2520</v>
      </c>
      <c r="I1168" s="13" t="s">
        <v>23</v>
      </c>
      <c r="J1168" s="13">
        <v>1.0</v>
      </c>
      <c r="K1168" s="13" t="s">
        <v>174</v>
      </c>
      <c r="L1168" s="13" t="s">
        <v>175</v>
      </c>
      <c r="M1168" s="13" t="s">
        <v>100</v>
      </c>
      <c r="N1168" s="13" t="s">
        <v>27</v>
      </c>
      <c r="O1168" s="14">
        <v>109.48</v>
      </c>
      <c r="P1168" s="14">
        <f t="shared" si="2"/>
        <v>109.48</v>
      </c>
      <c r="Q1168" s="14">
        <v>109.47</v>
      </c>
    </row>
    <row r="1169">
      <c r="A1169" s="12">
        <v>43324.0</v>
      </c>
      <c r="B1169" s="12"/>
      <c r="C1169" s="12" t="s">
        <v>2322</v>
      </c>
      <c r="D1169" s="5">
        <v>43385.0</v>
      </c>
      <c r="E1169" s="15" t="str">
        <f t="shared" si="1"/>
        <v>Oct</v>
      </c>
      <c r="F1169" s="13" t="s">
        <v>20</v>
      </c>
      <c r="G1169" s="13" t="s">
        <v>2519</v>
      </c>
      <c r="H1169" s="13" t="s">
        <v>2520</v>
      </c>
      <c r="I1169" s="13" t="s">
        <v>23</v>
      </c>
      <c r="J1169" s="13">
        <v>1.0</v>
      </c>
      <c r="K1169" s="13" t="s">
        <v>174</v>
      </c>
      <c r="L1169" s="13" t="s">
        <v>175</v>
      </c>
      <c r="M1169" s="13" t="s">
        <v>100</v>
      </c>
      <c r="N1169" s="13" t="s">
        <v>38</v>
      </c>
      <c r="O1169" s="14">
        <v>272.94</v>
      </c>
      <c r="P1169" s="14">
        <f t="shared" si="2"/>
        <v>272.94</v>
      </c>
      <c r="Q1169" s="14">
        <v>272.66</v>
      </c>
    </row>
    <row r="1170">
      <c r="A1170" s="12">
        <v>43324.0</v>
      </c>
      <c r="B1170" s="12"/>
      <c r="C1170" s="12" t="s">
        <v>2322</v>
      </c>
      <c r="D1170" s="5">
        <v>43385.0</v>
      </c>
      <c r="E1170" s="15" t="str">
        <f t="shared" si="1"/>
        <v>Oct</v>
      </c>
      <c r="F1170" s="13" t="s">
        <v>20</v>
      </c>
      <c r="G1170" s="13" t="s">
        <v>2519</v>
      </c>
      <c r="H1170" s="13" t="s">
        <v>2520</v>
      </c>
      <c r="I1170" s="13" t="s">
        <v>23</v>
      </c>
      <c r="J1170" s="13">
        <v>1.0</v>
      </c>
      <c r="K1170" s="13" t="s">
        <v>174</v>
      </c>
      <c r="L1170" s="13" t="s">
        <v>175</v>
      </c>
      <c r="M1170" s="13" t="s">
        <v>100</v>
      </c>
      <c r="N1170" s="13" t="s">
        <v>38</v>
      </c>
      <c r="O1170" s="14">
        <v>19.44</v>
      </c>
      <c r="P1170" s="14">
        <f t="shared" si="2"/>
        <v>19.44</v>
      </c>
      <c r="Q1170" s="14">
        <v>19.4</v>
      </c>
    </row>
    <row r="1171">
      <c r="A1171" s="12">
        <v>43324.0</v>
      </c>
      <c r="B1171" s="12"/>
      <c r="C1171" s="12" t="s">
        <v>2322</v>
      </c>
      <c r="D1171" s="5">
        <v>43385.0</v>
      </c>
      <c r="E1171" s="15" t="str">
        <f t="shared" si="1"/>
        <v>Oct</v>
      </c>
      <c r="F1171" s="13" t="s">
        <v>20</v>
      </c>
      <c r="G1171" s="13" t="s">
        <v>2519</v>
      </c>
      <c r="H1171" s="13" t="s">
        <v>2520</v>
      </c>
      <c r="I1171" s="13" t="s">
        <v>23</v>
      </c>
      <c r="J1171" s="13">
        <v>1.0</v>
      </c>
      <c r="K1171" s="13" t="s">
        <v>174</v>
      </c>
      <c r="L1171" s="13" t="s">
        <v>175</v>
      </c>
      <c r="M1171" s="13" t="s">
        <v>100</v>
      </c>
      <c r="N1171" s="13" t="s">
        <v>38</v>
      </c>
      <c r="O1171" s="14">
        <v>31.92</v>
      </c>
      <c r="P1171" s="14">
        <f t="shared" si="2"/>
        <v>31.92</v>
      </c>
      <c r="Q1171" s="14">
        <v>31.49</v>
      </c>
    </row>
    <row r="1172">
      <c r="A1172" s="12">
        <v>42280.0</v>
      </c>
      <c r="B1172" s="12"/>
      <c r="C1172" s="12" t="s">
        <v>2358</v>
      </c>
      <c r="D1172" s="1" t="s">
        <v>1904</v>
      </c>
      <c r="E1172" s="15" t="str">
        <f t="shared" si="1"/>
        <v>Mar</v>
      </c>
      <c r="F1172" s="13" t="s">
        <v>41</v>
      </c>
      <c r="G1172" s="13" t="s">
        <v>2836</v>
      </c>
      <c r="H1172" s="13" t="s">
        <v>2837</v>
      </c>
      <c r="I1172" s="13" t="s">
        <v>23</v>
      </c>
      <c r="J1172" s="13">
        <v>4.0</v>
      </c>
      <c r="K1172" s="13" t="s">
        <v>1905</v>
      </c>
      <c r="L1172" s="13" t="s">
        <v>157</v>
      </c>
      <c r="M1172" s="13" t="s">
        <v>71</v>
      </c>
      <c r="N1172" s="13" t="s">
        <v>38</v>
      </c>
      <c r="O1172" s="14">
        <v>22.38</v>
      </c>
      <c r="P1172" s="14">
        <f t="shared" si="2"/>
        <v>89.52</v>
      </c>
      <c r="Q1172" s="14">
        <v>21.6</v>
      </c>
    </row>
    <row r="1173">
      <c r="A1173" s="12">
        <v>42115.0</v>
      </c>
      <c r="B1173" s="12"/>
      <c r="C1173" s="12" t="s">
        <v>2332</v>
      </c>
      <c r="D1173" s="1" t="s">
        <v>1907</v>
      </c>
      <c r="E1173" s="15" t="str">
        <f t="shared" si="1"/>
        <v>Apr</v>
      </c>
      <c r="F1173" s="13" t="s">
        <v>41</v>
      </c>
      <c r="G1173" s="13" t="s">
        <v>2334</v>
      </c>
      <c r="H1173" s="13" t="s">
        <v>2662</v>
      </c>
      <c r="I1173" s="13" t="s">
        <v>23</v>
      </c>
      <c r="J1173" s="13">
        <v>9.0</v>
      </c>
      <c r="K1173" s="13" t="s">
        <v>35</v>
      </c>
      <c r="L1173" s="13" t="s">
        <v>52</v>
      </c>
      <c r="M1173" s="13" t="s">
        <v>37</v>
      </c>
      <c r="N1173" s="13" t="s">
        <v>38</v>
      </c>
      <c r="O1173" s="14">
        <v>16.52</v>
      </c>
      <c r="P1173" s="14">
        <f t="shared" si="2"/>
        <v>148.68</v>
      </c>
      <c r="Q1173" s="14">
        <v>15.79</v>
      </c>
    </row>
    <row r="1174">
      <c r="A1174" s="12">
        <v>42665.0</v>
      </c>
      <c r="B1174" s="12"/>
      <c r="C1174" s="12" t="s">
        <v>2358</v>
      </c>
      <c r="D1174" s="1" t="s">
        <v>1909</v>
      </c>
      <c r="E1174" s="15" t="str">
        <f t="shared" si="1"/>
        <v>Oct</v>
      </c>
      <c r="F1174" s="13" t="s">
        <v>41</v>
      </c>
      <c r="G1174" s="13" t="s">
        <v>2666</v>
      </c>
      <c r="H1174" s="13" t="s">
        <v>2783</v>
      </c>
      <c r="I1174" s="13" t="s">
        <v>23</v>
      </c>
      <c r="J1174" s="13">
        <v>6.0</v>
      </c>
      <c r="K1174" s="13" t="s">
        <v>324</v>
      </c>
      <c r="L1174" s="13" t="s">
        <v>135</v>
      </c>
      <c r="M1174" s="13" t="s">
        <v>71</v>
      </c>
      <c r="N1174" s="13" t="s">
        <v>38</v>
      </c>
      <c r="O1174" s="14">
        <v>5.176</v>
      </c>
      <c r="P1174" s="14">
        <f t="shared" si="2"/>
        <v>31.056</v>
      </c>
      <c r="Q1174" s="14">
        <v>4.95</v>
      </c>
    </row>
    <row r="1175">
      <c r="A1175" s="12">
        <v>42604.0</v>
      </c>
      <c r="B1175" s="12"/>
      <c r="C1175" s="12" t="s">
        <v>2322</v>
      </c>
      <c r="D1175" s="1" t="s">
        <v>1911</v>
      </c>
      <c r="E1175" s="15" t="str">
        <f t="shared" si="1"/>
        <v>Aug</v>
      </c>
      <c r="F1175" s="13" t="s">
        <v>121</v>
      </c>
      <c r="G1175" s="13" t="s">
        <v>2432</v>
      </c>
      <c r="H1175" s="13" t="s">
        <v>2804</v>
      </c>
      <c r="I1175" s="13" t="s">
        <v>34</v>
      </c>
      <c r="J1175" s="13">
        <v>1.0</v>
      </c>
      <c r="K1175" s="13" t="s">
        <v>174</v>
      </c>
      <c r="L1175" s="13" t="s">
        <v>175</v>
      </c>
      <c r="M1175" s="13" t="s">
        <v>100</v>
      </c>
      <c r="N1175" s="13" t="s">
        <v>38</v>
      </c>
      <c r="O1175" s="14">
        <v>50.112</v>
      </c>
      <c r="P1175" s="14">
        <f t="shared" si="2"/>
        <v>50.112</v>
      </c>
      <c r="Q1175" s="14">
        <v>49.33</v>
      </c>
    </row>
    <row r="1176">
      <c r="A1176" s="12">
        <v>42976.0</v>
      </c>
      <c r="B1176" s="12"/>
      <c r="C1176" s="12" t="s">
        <v>2322</v>
      </c>
      <c r="D1176" s="6">
        <v>42803.0</v>
      </c>
      <c r="E1176" s="15" t="str">
        <f t="shared" si="1"/>
        <v>Mar</v>
      </c>
      <c r="F1176" s="13" t="s">
        <v>41</v>
      </c>
      <c r="G1176" s="13" t="s">
        <v>2568</v>
      </c>
      <c r="H1176" s="13" t="s">
        <v>2569</v>
      </c>
      <c r="I1176" s="13" t="s">
        <v>68</v>
      </c>
      <c r="J1176" s="13">
        <v>3.0</v>
      </c>
      <c r="K1176" s="13" t="s">
        <v>57</v>
      </c>
      <c r="L1176" s="13" t="s">
        <v>1510</v>
      </c>
      <c r="M1176" s="13" t="s">
        <v>100</v>
      </c>
      <c r="N1176" s="13" t="s">
        <v>38</v>
      </c>
      <c r="O1176" s="14">
        <v>27.93</v>
      </c>
      <c r="P1176" s="14">
        <f t="shared" si="2"/>
        <v>83.79</v>
      </c>
      <c r="Q1176" s="14">
        <v>27.54</v>
      </c>
    </row>
    <row r="1177">
      <c r="A1177" s="12">
        <v>42365.0</v>
      </c>
      <c r="B1177" s="12"/>
      <c r="C1177" s="12" t="s">
        <v>2325</v>
      </c>
      <c r="D1177" s="1" t="s">
        <v>644</v>
      </c>
      <c r="E1177" s="15" t="str">
        <f t="shared" si="1"/>
        <v>Dec</v>
      </c>
      <c r="F1177" s="13" t="s">
        <v>20</v>
      </c>
      <c r="G1177" s="13" t="s">
        <v>2564</v>
      </c>
      <c r="H1177" s="13" t="s">
        <v>2895</v>
      </c>
      <c r="I1177" s="13" t="s">
        <v>68</v>
      </c>
      <c r="J1177" s="13">
        <v>9.0</v>
      </c>
      <c r="K1177" s="13" t="s">
        <v>35</v>
      </c>
      <c r="L1177" s="13" t="s">
        <v>52</v>
      </c>
      <c r="M1177" s="13" t="s">
        <v>37</v>
      </c>
      <c r="N1177" s="13" t="s">
        <v>38</v>
      </c>
      <c r="O1177" s="14">
        <v>11.56</v>
      </c>
      <c r="P1177" s="14">
        <f t="shared" si="2"/>
        <v>104.04</v>
      </c>
      <c r="Q1177" s="14">
        <v>11.38</v>
      </c>
    </row>
    <row r="1178">
      <c r="A1178" s="12">
        <v>42747.0</v>
      </c>
      <c r="B1178" s="12"/>
      <c r="C1178" s="12" t="s">
        <v>2353</v>
      </c>
      <c r="D1178" s="6">
        <v>42867.0</v>
      </c>
      <c r="E1178" s="15" t="str">
        <f t="shared" si="1"/>
        <v>May</v>
      </c>
      <c r="F1178" s="13" t="s">
        <v>41</v>
      </c>
      <c r="G1178" s="13" t="s">
        <v>2392</v>
      </c>
      <c r="H1178" s="13" t="s">
        <v>2393</v>
      </c>
      <c r="I1178" s="13" t="s">
        <v>23</v>
      </c>
      <c r="J1178" s="13">
        <v>2.0</v>
      </c>
      <c r="K1178" s="13" t="s">
        <v>1917</v>
      </c>
      <c r="L1178" s="13" t="s">
        <v>1542</v>
      </c>
      <c r="M1178" s="13" t="s">
        <v>100</v>
      </c>
      <c r="N1178" s="13" t="s">
        <v>27</v>
      </c>
      <c r="O1178" s="14">
        <v>172.5</v>
      </c>
      <c r="P1178" s="14">
        <f t="shared" si="2"/>
        <v>345</v>
      </c>
      <c r="Q1178" s="14">
        <v>172.39</v>
      </c>
    </row>
    <row r="1179">
      <c r="A1179" s="12">
        <v>42747.0</v>
      </c>
      <c r="B1179" s="12"/>
      <c r="C1179" s="12" t="s">
        <v>2353</v>
      </c>
      <c r="D1179" s="6">
        <v>42867.0</v>
      </c>
      <c r="E1179" s="15" t="str">
        <f t="shared" si="1"/>
        <v>May</v>
      </c>
      <c r="F1179" s="13" t="s">
        <v>41</v>
      </c>
      <c r="G1179" s="13" t="s">
        <v>2392</v>
      </c>
      <c r="H1179" s="13" t="s">
        <v>2393</v>
      </c>
      <c r="I1179" s="13" t="s">
        <v>23</v>
      </c>
      <c r="J1179" s="13">
        <v>2.0</v>
      </c>
      <c r="K1179" s="13" t="s">
        <v>1917</v>
      </c>
      <c r="L1179" s="13" t="s">
        <v>1542</v>
      </c>
      <c r="M1179" s="13" t="s">
        <v>100</v>
      </c>
      <c r="N1179" s="13" t="s">
        <v>51</v>
      </c>
      <c r="O1179" s="14">
        <v>179.97</v>
      </c>
      <c r="P1179" s="14">
        <f t="shared" si="2"/>
        <v>359.94</v>
      </c>
      <c r="Q1179" s="14">
        <v>179.22</v>
      </c>
    </row>
    <row r="1180">
      <c r="A1180" s="12">
        <v>42849.0</v>
      </c>
      <c r="B1180" s="12"/>
      <c r="C1180" s="12" t="s">
        <v>2332</v>
      </c>
      <c r="D1180" s="1" t="s">
        <v>656</v>
      </c>
      <c r="E1180" s="15" t="str">
        <f t="shared" si="1"/>
        <v>Apr</v>
      </c>
      <c r="F1180" s="13" t="s">
        <v>20</v>
      </c>
      <c r="G1180" s="13" t="s">
        <v>2896</v>
      </c>
      <c r="H1180" s="13" t="s">
        <v>2424</v>
      </c>
      <c r="I1180" s="13" t="s">
        <v>68</v>
      </c>
      <c r="J1180" s="13">
        <v>7.0</v>
      </c>
      <c r="K1180" s="13" t="s">
        <v>129</v>
      </c>
      <c r="L1180" s="13" t="s">
        <v>70</v>
      </c>
      <c r="M1180" s="13" t="s">
        <v>71</v>
      </c>
      <c r="N1180" s="13" t="s">
        <v>51</v>
      </c>
      <c r="O1180" s="14">
        <v>258.696</v>
      </c>
      <c r="P1180" s="14">
        <f t="shared" si="2"/>
        <v>1810.872</v>
      </c>
      <c r="Q1180" s="14">
        <v>257.79</v>
      </c>
    </row>
    <row r="1181">
      <c r="A1181" s="12">
        <v>42176.0</v>
      </c>
      <c r="B1181" s="12"/>
      <c r="C1181" s="12" t="s">
        <v>2374</v>
      </c>
      <c r="D1181" s="1" t="s">
        <v>817</v>
      </c>
      <c r="E1181" s="15" t="str">
        <f t="shared" si="1"/>
        <v>Jun</v>
      </c>
      <c r="F1181" s="13" t="s">
        <v>41</v>
      </c>
      <c r="G1181" s="13" t="s">
        <v>2432</v>
      </c>
      <c r="H1181" s="13" t="s">
        <v>2464</v>
      </c>
      <c r="I1181" s="13" t="s">
        <v>23</v>
      </c>
      <c r="J1181" s="13">
        <v>8.0</v>
      </c>
      <c r="K1181" s="13" t="s">
        <v>623</v>
      </c>
      <c r="L1181" s="13" t="s">
        <v>462</v>
      </c>
      <c r="M1181" s="13" t="s">
        <v>100</v>
      </c>
      <c r="N1181" s="13" t="s">
        <v>51</v>
      </c>
      <c r="O1181" s="14">
        <v>1322.93</v>
      </c>
      <c r="P1181" s="14">
        <f t="shared" si="2"/>
        <v>10583.44</v>
      </c>
      <c r="Q1181" s="14">
        <v>1322.42</v>
      </c>
    </row>
    <row r="1182">
      <c r="A1182" s="12">
        <v>42176.0</v>
      </c>
      <c r="B1182" s="12"/>
      <c r="C1182" s="12" t="s">
        <v>2374</v>
      </c>
      <c r="D1182" s="1" t="s">
        <v>817</v>
      </c>
      <c r="E1182" s="15" t="str">
        <f t="shared" si="1"/>
        <v>Jun</v>
      </c>
      <c r="F1182" s="13" t="s">
        <v>41</v>
      </c>
      <c r="G1182" s="13" t="s">
        <v>2432</v>
      </c>
      <c r="H1182" s="13" t="s">
        <v>2464</v>
      </c>
      <c r="I1182" s="13" t="s">
        <v>23</v>
      </c>
      <c r="J1182" s="13">
        <v>8.0</v>
      </c>
      <c r="K1182" s="13" t="s">
        <v>623</v>
      </c>
      <c r="L1182" s="13" t="s">
        <v>462</v>
      </c>
      <c r="M1182" s="13" t="s">
        <v>100</v>
      </c>
      <c r="N1182" s="13" t="s">
        <v>38</v>
      </c>
      <c r="O1182" s="14">
        <v>3.76</v>
      </c>
      <c r="P1182" s="14">
        <f t="shared" si="2"/>
        <v>30.08</v>
      </c>
      <c r="Q1182" s="14">
        <v>3.22</v>
      </c>
    </row>
    <row r="1183">
      <c r="A1183" s="12">
        <v>43114.0</v>
      </c>
      <c r="B1183" s="12"/>
      <c r="C1183" s="12" t="s">
        <v>2353</v>
      </c>
      <c r="D1183" s="1" t="s">
        <v>1923</v>
      </c>
      <c r="E1183" s="15" t="str">
        <f t="shared" si="1"/>
        <v>Jan</v>
      </c>
      <c r="F1183" s="13" t="s">
        <v>121</v>
      </c>
      <c r="G1183" s="13" t="s">
        <v>2661</v>
      </c>
      <c r="H1183" s="13" t="s">
        <v>2735</v>
      </c>
      <c r="I1183" s="13" t="s">
        <v>23</v>
      </c>
      <c r="J1183" s="13">
        <v>2.0</v>
      </c>
      <c r="K1183" s="13" t="s">
        <v>849</v>
      </c>
      <c r="L1183" s="13" t="s">
        <v>58</v>
      </c>
      <c r="M1183" s="13" t="s">
        <v>26</v>
      </c>
      <c r="N1183" s="13" t="s">
        <v>38</v>
      </c>
      <c r="O1183" s="14">
        <v>21.744</v>
      </c>
      <c r="P1183" s="14">
        <f t="shared" si="2"/>
        <v>43.488</v>
      </c>
      <c r="Q1183" s="14">
        <v>21.04</v>
      </c>
    </row>
    <row r="1184">
      <c r="A1184" s="12">
        <v>43114.0</v>
      </c>
      <c r="B1184" s="12"/>
      <c r="C1184" s="12" t="s">
        <v>2353</v>
      </c>
      <c r="D1184" s="1" t="s">
        <v>1923</v>
      </c>
      <c r="E1184" s="15" t="str">
        <f t="shared" si="1"/>
        <v>Jan</v>
      </c>
      <c r="F1184" s="13" t="s">
        <v>121</v>
      </c>
      <c r="G1184" s="13" t="s">
        <v>2661</v>
      </c>
      <c r="H1184" s="13" t="s">
        <v>2735</v>
      </c>
      <c r="I1184" s="13" t="s">
        <v>23</v>
      </c>
      <c r="J1184" s="13">
        <v>2.0</v>
      </c>
      <c r="K1184" s="13" t="s">
        <v>849</v>
      </c>
      <c r="L1184" s="13" t="s">
        <v>58</v>
      </c>
      <c r="M1184" s="13" t="s">
        <v>26</v>
      </c>
      <c r="N1184" s="13" t="s">
        <v>51</v>
      </c>
      <c r="O1184" s="14">
        <v>7.92</v>
      </c>
      <c r="P1184" s="14">
        <f t="shared" si="2"/>
        <v>15.84</v>
      </c>
      <c r="Q1184" s="14">
        <v>7.42</v>
      </c>
    </row>
    <row r="1185">
      <c r="A1185" s="12">
        <v>42332.0</v>
      </c>
      <c r="B1185" s="12"/>
      <c r="C1185" s="12" t="s">
        <v>2326</v>
      </c>
      <c r="D1185" s="1" t="s">
        <v>1925</v>
      </c>
      <c r="E1185" s="15" t="str">
        <f t="shared" si="1"/>
        <v>Nov</v>
      </c>
      <c r="F1185" s="13" t="s">
        <v>41</v>
      </c>
      <c r="G1185" s="13" t="s">
        <v>2338</v>
      </c>
      <c r="H1185" s="13" t="s">
        <v>2429</v>
      </c>
      <c r="I1185" s="13" t="s">
        <v>34</v>
      </c>
      <c r="J1185" s="13">
        <v>9.0</v>
      </c>
      <c r="K1185" s="13" t="s">
        <v>62</v>
      </c>
      <c r="L1185" s="13" t="s">
        <v>63</v>
      </c>
      <c r="M1185" s="13" t="s">
        <v>37</v>
      </c>
      <c r="N1185" s="13" t="s">
        <v>38</v>
      </c>
      <c r="O1185" s="14">
        <v>12.096</v>
      </c>
      <c r="P1185" s="14">
        <f t="shared" si="2"/>
        <v>108.864</v>
      </c>
      <c r="Q1185" s="14">
        <v>11.47</v>
      </c>
    </row>
    <row r="1186">
      <c r="A1186" s="12">
        <v>42332.0</v>
      </c>
      <c r="B1186" s="12"/>
      <c r="C1186" s="12" t="s">
        <v>2326</v>
      </c>
      <c r="D1186" s="1" t="s">
        <v>1925</v>
      </c>
      <c r="E1186" s="15" t="str">
        <f t="shared" si="1"/>
        <v>Nov</v>
      </c>
      <c r="F1186" s="13" t="s">
        <v>41</v>
      </c>
      <c r="G1186" s="13" t="s">
        <v>2338</v>
      </c>
      <c r="H1186" s="13" t="s">
        <v>2429</v>
      </c>
      <c r="I1186" s="13" t="s">
        <v>34</v>
      </c>
      <c r="J1186" s="13">
        <v>9.0</v>
      </c>
      <c r="K1186" s="13" t="s">
        <v>62</v>
      </c>
      <c r="L1186" s="13" t="s">
        <v>63</v>
      </c>
      <c r="M1186" s="13" t="s">
        <v>37</v>
      </c>
      <c r="N1186" s="13" t="s">
        <v>38</v>
      </c>
      <c r="O1186" s="14">
        <v>485.88</v>
      </c>
      <c r="P1186" s="14">
        <f t="shared" si="2"/>
        <v>4372.92</v>
      </c>
      <c r="Q1186" s="14">
        <v>485.56</v>
      </c>
    </row>
    <row r="1187">
      <c r="A1187" s="12">
        <v>42332.0</v>
      </c>
      <c r="B1187" s="12"/>
      <c r="C1187" s="12" t="s">
        <v>2326</v>
      </c>
      <c r="D1187" s="1" t="s">
        <v>1925</v>
      </c>
      <c r="E1187" s="15" t="str">
        <f t="shared" si="1"/>
        <v>Nov</v>
      </c>
      <c r="F1187" s="13" t="s">
        <v>41</v>
      </c>
      <c r="G1187" s="13" t="s">
        <v>2338</v>
      </c>
      <c r="H1187" s="13" t="s">
        <v>2429</v>
      </c>
      <c r="I1187" s="13" t="s">
        <v>34</v>
      </c>
      <c r="J1187" s="13">
        <v>9.0</v>
      </c>
      <c r="K1187" s="13" t="s">
        <v>62</v>
      </c>
      <c r="L1187" s="13" t="s">
        <v>63</v>
      </c>
      <c r="M1187" s="13" t="s">
        <v>37</v>
      </c>
      <c r="N1187" s="13" t="s">
        <v>38</v>
      </c>
      <c r="O1187" s="14">
        <v>25.92</v>
      </c>
      <c r="P1187" s="14">
        <f t="shared" si="2"/>
        <v>233.28</v>
      </c>
      <c r="Q1187" s="14">
        <v>25.58</v>
      </c>
    </row>
    <row r="1188">
      <c r="A1188" s="12">
        <v>42332.0</v>
      </c>
      <c r="B1188" s="12"/>
      <c r="C1188" s="12" t="s">
        <v>2326</v>
      </c>
      <c r="D1188" s="1" t="s">
        <v>1925</v>
      </c>
      <c r="E1188" s="15" t="str">
        <f t="shared" si="1"/>
        <v>Nov</v>
      </c>
      <c r="F1188" s="13" t="s">
        <v>41</v>
      </c>
      <c r="G1188" s="13" t="s">
        <v>2338</v>
      </c>
      <c r="H1188" s="13" t="s">
        <v>2429</v>
      </c>
      <c r="I1188" s="13" t="s">
        <v>34</v>
      </c>
      <c r="J1188" s="13">
        <v>9.0</v>
      </c>
      <c r="K1188" s="13" t="s">
        <v>62</v>
      </c>
      <c r="L1188" s="13" t="s">
        <v>63</v>
      </c>
      <c r="M1188" s="13" t="s">
        <v>37</v>
      </c>
      <c r="N1188" s="13" t="s">
        <v>38</v>
      </c>
      <c r="O1188" s="14">
        <v>197.58</v>
      </c>
      <c r="P1188" s="14">
        <f t="shared" si="2"/>
        <v>1778.22</v>
      </c>
      <c r="Q1188" s="14">
        <v>197.53</v>
      </c>
    </row>
    <row r="1189">
      <c r="A1189" s="12">
        <v>43157.0</v>
      </c>
      <c r="B1189" s="12"/>
      <c r="C1189" s="12" t="s">
        <v>2431</v>
      </c>
      <c r="D1189" s="1" t="s">
        <v>1929</v>
      </c>
      <c r="E1189" s="15" t="str">
        <f t="shared" si="1"/>
        <v>Feb</v>
      </c>
      <c r="F1189" s="13" t="s">
        <v>20</v>
      </c>
      <c r="G1189" s="13" t="s">
        <v>2652</v>
      </c>
      <c r="H1189" s="13" t="s">
        <v>2897</v>
      </c>
      <c r="I1189" s="13" t="s">
        <v>68</v>
      </c>
      <c r="J1189" s="13">
        <v>9.0</v>
      </c>
      <c r="K1189" s="13" t="s">
        <v>35</v>
      </c>
      <c r="L1189" s="13" t="s">
        <v>52</v>
      </c>
      <c r="M1189" s="13" t="s">
        <v>37</v>
      </c>
      <c r="N1189" s="13" t="s">
        <v>38</v>
      </c>
      <c r="O1189" s="14">
        <v>81.92</v>
      </c>
      <c r="P1189" s="14">
        <f t="shared" si="2"/>
        <v>737.28</v>
      </c>
      <c r="Q1189" s="14">
        <v>81.69</v>
      </c>
    </row>
    <row r="1190">
      <c r="A1190" s="12">
        <v>43157.0</v>
      </c>
      <c r="B1190" s="12"/>
      <c r="C1190" s="12" t="s">
        <v>2431</v>
      </c>
      <c r="D1190" s="1" t="s">
        <v>1929</v>
      </c>
      <c r="E1190" s="15" t="str">
        <f t="shared" si="1"/>
        <v>Feb</v>
      </c>
      <c r="F1190" s="13" t="s">
        <v>20</v>
      </c>
      <c r="G1190" s="13" t="s">
        <v>2652</v>
      </c>
      <c r="H1190" s="13" t="s">
        <v>2897</v>
      </c>
      <c r="I1190" s="13" t="s">
        <v>68</v>
      </c>
      <c r="J1190" s="13">
        <v>9.0</v>
      </c>
      <c r="K1190" s="13" t="s">
        <v>35</v>
      </c>
      <c r="L1190" s="13" t="s">
        <v>52</v>
      </c>
      <c r="M1190" s="13" t="s">
        <v>37</v>
      </c>
      <c r="N1190" s="13" t="s">
        <v>51</v>
      </c>
      <c r="O1190" s="14">
        <v>889.536</v>
      </c>
      <c r="P1190" s="14">
        <f t="shared" si="2"/>
        <v>8005.824</v>
      </c>
      <c r="Q1190" s="14">
        <v>889.08</v>
      </c>
    </row>
    <row r="1191">
      <c r="A1191" s="12">
        <v>43157.0</v>
      </c>
      <c r="B1191" s="12"/>
      <c r="C1191" s="12" t="s">
        <v>2431</v>
      </c>
      <c r="D1191" s="1" t="s">
        <v>1929</v>
      </c>
      <c r="E1191" s="15" t="str">
        <f t="shared" si="1"/>
        <v>Feb</v>
      </c>
      <c r="F1191" s="13" t="s">
        <v>20</v>
      </c>
      <c r="G1191" s="13" t="s">
        <v>2652</v>
      </c>
      <c r="H1191" s="13" t="s">
        <v>2897</v>
      </c>
      <c r="I1191" s="13" t="s">
        <v>68</v>
      </c>
      <c r="J1191" s="13">
        <v>9.0</v>
      </c>
      <c r="K1191" s="13" t="s">
        <v>35</v>
      </c>
      <c r="L1191" s="13" t="s">
        <v>52</v>
      </c>
      <c r="M1191" s="13" t="s">
        <v>37</v>
      </c>
      <c r="N1191" s="13" t="s">
        <v>27</v>
      </c>
      <c r="O1191" s="14">
        <v>892.224</v>
      </c>
      <c r="P1191" s="14">
        <f t="shared" si="2"/>
        <v>8030.016</v>
      </c>
      <c r="Q1191" s="14">
        <v>891.53</v>
      </c>
    </row>
    <row r="1192">
      <c r="A1192" s="12">
        <v>43157.0</v>
      </c>
      <c r="B1192" s="12"/>
      <c r="C1192" s="12" t="s">
        <v>2431</v>
      </c>
      <c r="D1192" s="1" t="s">
        <v>1929</v>
      </c>
      <c r="E1192" s="15" t="str">
        <f t="shared" si="1"/>
        <v>Feb</v>
      </c>
      <c r="F1192" s="13" t="s">
        <v>20</v>
      </c>
      <c r="G1192" s="13" t="s">
        <v>2652</v>
      </c>
      <c r="H1192" s="13" t="s">
        <v>2897</v>
      </c>
      <c r="I1192" s="13" t="s">
        <v>68</v>
      </c>
      <c r="J1192" s="13">
        <v>9.0</v>
      </c>
      <c r="K1192" s="13" t="s">
        <v>35</v>
      </c>
      <c r="L1192" s="13" t="s">
        <v>52</v>
      </c>
      <c r="M1192" s="13" t="s">
        <v>37</v>
      </c>
      <c r="N1192" s="13" t="s">
        <v>38</v>
      </c>
      <c r="O1192" s="14">
        <v>223.92</v>
      </c>
      <c r="P1192" s="14">
        <f t="shared" si="2"/>
        <v>2015.28</v>
      </c>
      <c r="Q1192" s="14">
        <v>223.32</v>
      </c>
    </row>
    <row r="1193">
      <c r="A1193" s="12">
        <v>43157.0</v>
      </c>
      <c r="B1193" s="12"/>
      <c r="C1193" s="12" t="s">
        <v>2431</v>
      </c>
      <c r="D1193" s="1" t="s">
        <v>1929</v>
      </c>
      <c r="E1193" s="15" t="str">
        <f t="shared" si="1"/>
        <v>Feb</v>
      </c>
      <c r="F1193" s="13" t="s">
        <v>20</v>
      </c>
      <c r="G1193" s="13" t="s">
        <v>2652</v>
      </c>
      <c r="H1193" s="13" t="s">
        <v>2897</v>
      </c>
      <c r="I1193" s="13" t="s">
        <v>68</v>
      </c>
      <c r="J1193" s="13">
        <v>9.0</v>
      </c>
      <c r="K1193" s="13" t="s">
        <v>35</v>
      </c>
      <c r="L1193" s="13" t="s">
        <v>52</v>
      </c>
      <c r="M1193" s="13" t="s">
        <v>37</v>
      </c>
      <c r="N1193" s="13" t="s">
        <v>38</v>
      </c>
      <c r="O1193" s="14">
        <v>23.12</v>
      </c>
      <c r="P1193" s="14">
        <f t="shared" si="2"/>
        <v>208.08</v>
      </c>
      <c r="Q1193" s="14">
        <v>22.75</v>
      </c>
    </row>
    <row r="1194">
      <c r="A1194" s="12">
        <v>42628.0</v>
      </c>
      <c r="B1194" s="12"/>
      <c r="C1194" s="12" t="s">
        <v>2329</v>
      </c>
      <c r="D1194" s="1" t="s">
        <v>1933</v>
      </c>
      <c r="E1194" s="15" t="str">
        <f t="shared" si="1"/>
        <v>Sep</v>
      </c>
      <c r="F1194" s="13" t="s">
        <v>717</v>
      </c>
      <c r="G1194" s="13" t="s">
        <v>2705</v>
      </c>
      <c r="H1194" s="13" t="s">
        <v>2706</v>
      </c>
      <c r="I1194" s="13" t="s">
        <v>34</v>
      </c>
      <c r="J1194" s="13">
        <v>3.0</v>
      </c>
      <c r="K1194" s="13" t="s">
        <v>1934</v>
      </c>
      <c r="L1194" s="13" t="s">
        <v>145</v>
      </c>
      <c r="M1194" s="13" t="s">
        <v>26</v>
      </c>
      <c r="N1194" s="13" t="s">
        <v>38</v>
      </c>
      <c r="O1194" s="14">
        <v>15.552</v>
      </c>
      <c r="P1194" s="14">
        <f t="shared" si="2"/>
        <v>46.656</v>
      </c>
      <c r="Q1194" s="14">
        <v>15.53</v>
      </c>
    </row>
    <row r="1195">
      <c r="A1195" s="12">
        <v>42628.0</v>
      </c>
      <c r="B1195" s="12"/>
      <c r="C1195" s="12" t="s">
        <v>2329</v>
      </c>
      <c r="D1195" s="1" t="s">
        <v>1933</v>
      </c>
      <c r="E1195" s="15" t="str">
        <f t="shared" si="1"/>
        <v>Sep</v>
      </c>
      <c r="F1195" s="13" t="s">
        <v>717</v>
      </c>
      <c r="G1195" s="13" t="s">
        <v>2705</v>
      </c>
      <c r="H1195" s="13" t="s">
        <v>2706</v>
      </c>
      <c r="I1195" s="13" t="s">
        <v>34</v>
      </c>
      <c r="J1195" s="13">
        <v>3.0</v>
      </c>
      <c r="K1195" s="13" t="s">
        <v>1934</v>
      </c>
      <c r="L1195" s="13" t="s">
        <v>145</v>
      </c>
      <c r="M1195" s="13" t="s">
        <v>26</v>
      </c>
      <c r="N1195" s="13" t="s">
        <v>27</v>
      </c>
      <c r="O1195" s="14">
        <v>15.712</v>
      </c>
      <c r="P1195" s="14">
        <f t="shared" si="2"/>
        <v>47.136</v>
      </c>
      <c r="Q1195" s="14">
        <v>15.71</v>
      </c>
    </row>
    <row r="1196">
      <c r="A1196" s="12">
        <v>42628.0</v>
      </c>
      <c r="B1196" s="12"/>
      <c r="C1196" s="12" t="s">
        <v>2329</v>
      </c>
      <c r="D1196" s="1" t="s">
        <v>1933</v>
      </c>
      <c r="E1196" s="15" t="str">
        <f t="shared" si="1"/>
        <v>Sep</v>
      </c>
      <c r="F1196" s="13" t="s">
        <v>717</v>
      </c>
      <c r="G1196" s="13" t="s">
        <v>2705</v>
      </c>
      <c r="H1196" s="13" t="s">
        <v>2706</v>
      </c>
      <c r="I1196" s="13" t="s">
        <v>34</v>
      </c>
      <c r="J1196" s="13">
        <v>3.0</v>
      </c>
      <c r="K1196" s="13" t="s">
        <v>1934</v>
      </c>
      <c r="L1196" s="13" t="s">
        <v>145</v>
      </c>
      <c r="M1196" s="13" t="s">
        <v>26</v>
      </c>
      <c r="N1196" s="13" t="s">
        <v>38</v>
      </c>
      <c r="O1196" s="14">
        <v>24.672</v>
      </c>
      <c r="P1196" s="14">
        <f t="shared" si="2"/>
        <v>74.016</v>
      </c>
      <c r="Q1196" s="14">
        <v>23.88</v>
      </c>
    </row>
    <row r="1197">
      <c r="A1197" s="12">
        <v>42628.0</v>
      </c>
      <c r="B1197" s="12"/>
      <c r="C1197" s="12" t="s">
        <v>2329</v>
      </c>
      <c r="D1197" s="1" t="s">
        <v>1933</v>
      </c>
      <c r="E1197" s="15" t="str">
        <f t="shared" si="1"/>
        <v>Sep</v>
      </c>
      <c r="F1197" s="13" t="s">
        <v>717</v>
      </c>
      <c r="G1197" s="13" t="s">
        <v>2705</v>
      </c>
      <c r="H1197" s="13" t="s">
        <v>2706</v>
      </c>
      <c r="I1197" s="13" t="s">
        <v>34</v>
      </c>
      <c r="J1197" s="13">
        <v>3.0</v>
      </c>
      <c r="K1197" s="13" t="s">
        <v>1934</v>
      </c>
      <c r="L1197" s="13" t="s">
        <v>145</v>
      </c>
      <c r="M1197" s="13" t="s">
        <v>26</v>
      </c>
      <c r="N1197" s="13" t="s">
        <v>27</v>
      </c>
      <c r="O1197" s="14">
        <v>55.968</v>
      </c>
      <c r="P1197" s="14">
        <f t="shared" si="2"/>
        <v>167.904</v>
      </c>
      <c r="Q1197" s="14">
        <v>55.91</v>
      </c>
    </row>
    <row r="1198">
      <c r="A1198" s="12">
        <v>42951.0</v>
      </c>
      <c r="B1198" s="12"/>
      <c r="C1198" s="12" t="s">
        <v>2322</v>
      </c>
      <c r="D1198" s="6">
        <v>43073.0</v>
      </c>
      <c r="E1198" s="15" t="str">
        <f t="shared" si="1"/>
        <v>Dec</v>
      </c>
      <c r="F1198" s="13" t="s">
        <v>41</v>
      </c>
      <c r="G1198" s="13" t="s">
        <v>2344</v>
      </c>
      <c r="H1198" s="13" t="s">
        <v>2689</v>
      </c>
      <c r="I1198" s="13" t="s">
        <v>23</v>
      </c>
      <c r="J1198" s="13">
        <v>7.0</v>
      </c>
      <c r="K1198" s="13" t="s">
        <v>129</v>
      </c>
      <c r="L1198" s="13" t="s">
        <v>70</v>
      </c>
      <c r="M1198" s="13" t="s">
        <v>71</v>
      </c>
      <c r="N1198" s="13" t="s">
        <v>51</v>
      </c>
      <c r="O1198" s="14">
        <v>431.928</v>
      </c>
      <c r="P1198" s="14">
        <f t="shared" si="2"/>
        <v>3023.496</v>
      </c>
      <c r="Q1198" s="14">
        <v>431.21</v>
      </c>
    </row>
    <row r="1199">
      <c r="A1199" s="12">
        <v>42951.0</v>
      </c>
      <c r="B1199" s="12"/>
      <c r="C1199" s="12" t="s">
        <v>2322</v>
      </c>
      <c r="D1199" s="6">
        <v>43073.0</v>
      </c>
      <c r="E1199" s="15" t="str">
        <f t="shared" si="1"/>
        <v>Dec</v>
      </c>
      <c r="F1199" s="13" t="s">
        <v>41</v>
      </c>
      <c r="G1199" s="13" t="s">
        <v>2344</v>
      </c>
      <c r="H1199" s="13" t="s">
        <v>2689</v>
      </c>
      <c r="I1199" s="13" t="s">
        <v>23</v>
      </c>
      <c r="J1199" s="13">
        <v>7.0</v>
      </c>
      <c r="K1199" s="13" t="s">
        <v>129</v>
      </c>
      <c r="L1199" s="13" t="s">
        <v>70</v>
      </c>
      <c r="M1199" s="13" t="s">
        <v>71</v>
      </c>
      <c r="N1199" s="13" t="s">
        <v>27</v>
      </c>
      <c r="O1199" s="14">
        <v>95.984</v>
      </c>
      <c r="P1199" s="14">
        <f t="shared" si="2"/>
        <v>671.888</v>
      </c>
      <c r="Q1199" s="14">
        <v>95.48</v>
      </c>
    </row>
    <row r="1200">
      <c r="A1200" s="12">
        <v>42951.0</v>
      </c>
      <c r="B1200" s="12"/>
      <c r="C1200" s="12" t="s">
        <v>2322</v>
      </c>
      <c r="D1200" s="6">
        <v>43073.0</v>
      </c>
      <c r="E1200" s="15" t="str">
        <f t="shared" si="1"/>
        <v>Dec</v>
      </c>
      <c r="F1200" s="13" t="s">
        <v>41</v>
      </c>
      <c r="G1200" s="13" t="s">
        <v>2344</v>
      </c>
      <c r="H1200" s="13" t="s">
        <v>2689</v>
      </c>
      <c r="I1200" s="13" t="s">
        <v>23</v>
      </c>
      <c r="J1200" s="13">
        <v>7.0</v>
      </c>
      <c r="K1200" s="13" t="s">
        <v>129</v>
      </c>
      <c r="L1200" s="13" t="s">
        <v>70</v>
      </c>
      <c r="M1200" s="13" t="s">
        <v>71</v>
      </c>
      <c r="N1200" s="13" t="s">
        <v>38</v>
      </c>
      <c r="O1200" s="14">
        <v>1088.792</v>
      </c>
      <c r="P1200" s="14">
        <f t="shared" si="2"/>
        <v>7621.544</v>
      </c>
      <c r="Q1200" s="14">
        <v>1088.07</v>
      </c>
    </row>
    <row r="1201">
      <c r="A1201" s="12">
        <v>42934.0</v>
      </c>
      <c r="B1201" s="12"/>
      <c r="C1201" s="12" t="s">
        <v>2348</v>
      </c>
      <c r="D1201" s="1" t="s">
        <v>1851</v>
      </c>
      <c r="E1201" s="15" t="str">
        <f t="shared" si="1"/>
        <v>Jul</v>
      </c>
      <c r="F1201" s="13" t="s">
        <v>41</v>
      </c>
      <c r="G1201" s="13" t="s">
        <v>2365</v>
      </c>
      <c r="H1201" s="13" t="s">
        <v>2808</v>
      </c>
      <c r="I1201" s="13" t="s">
        <v>34</v>
      </c>
      <c r="J1201" s="13">
        <v>8.0</v>
      </c>
      <c r="K1201" s="13" t="s">
        <v>475</v>
      </c>
      <c r="L1201" s="13" t="s">
        <v>279</v>
      </c>
      <c r="M1201" s="13" t="s">
        <v>37</v>
      </c>
      <c r="N1201" s="13" t="s">
        <v>27</v>
      </c>
      <c r="O1201" s="14">
        <v>544.008</v>
      </c>
      <c r="P1201" s="14">
        <f t="shared" si="2"/>
        <v>4352.064</v>
      </c>
      <c r="Q1201" s="14">
        <v>543.35</v>
      </c>
    </row>
    <row r="1202">
      <c r="A1202" s="12">
        <v>42934.0</v>
      </c>
      <c r="B1202" s="12"/>
      <c r="C1202" s="12" t="s">
        <v>2348</v>
      </c>
      <c r="D1202" s="1" t="s">
        <v>1851</v>
      </c>
      <c r="E1202" s="15" t="str">
        <f t="shared" si="1"/>
        <v>Jul</v>
      </c>
      <c r="F1202" s="13" t="s">
        <v>41</v>
      </c>
      <c r="G1202" s="13" t="s">
        <v>2365</v>
      </c>
      <c r="H1202" s="13" t="s">
        <v>2808</v>
      </c>
      <c r="I1202" s="13" t="s">
        <v>34</v>
      </c>
      <c r="J1202" s="13">
        <v>8.0</v>
      </c>
      <c r="K1202" s="13" t="s">
        <v>475</v>
      </c>
      <c r="L1202" s="13" t="s">
        <v>279</v>
      </c>
      <c r="M1202" s="13" t="s">
        <v>37</v>
      </c>
      <c r="N1202" s="13" t="s">
        <v>38</v>
      </c>
      <c r="O1202" s="14">
        <v>1.872</v>
      </c>
      <c r="P1202" s="14">
        <f t="shared" si="2"/>
        <v>14.976</v>
      </c>
      <c r="Q1202" s="14">
        <v>1.18</v>
      </c>
    </row>
    <row r="1203">
      <c r="A1203" s="12">
        <v>42934.0</v>
      </c>
      <c r="B1203" s="12"/>
      <c r="C1203" s="12" t="s">
        <v>2348</v>
      </c>
      <c r="D1203" s="1" t="s">
        <v>1851</v>
      </c>
      <c r="E1203" s="15" t="str">
        <f t="shared" si="1"/>
        <v>Jul</v>
      </c>
      <c r="F1203" s="13" t="s">
        <v>41</v>
      </c>
      <c r="G1203" s="13" t="s">
        <v>2365</v>
      </c>
      <c r="H1203" s="13" t="s">
        <v>2808</v>
      </c>
      <c r="I1203" s="13" t="s">
        <v>34</v>
      </c>
      <c r="J1203" s="13">
        <v>8.0</v>
      </c>
      <c r="K1203" s="13" t="s">
        <v>475</v>
      </c>
      <c r="L1203" s="13" t="s">
        <v>279</v>
      </c>
      <c r="M1203" s="13" t="s">
        <v>37</v>
      </c>
      <c r="N1203" s="13" t="s">
        <v>27</v>
      </c>
      <c r="O1203" s="14">
        <v>854.352</v>
      </c>
      <c r="P1203" s="14">
        <f t="shared" si="2"/>
        <v>6834.816</v>
      </c>
      <c r="Q1203" s="14">
        <v>853.99</v>
      </c>
    </row>
    <row r="1204">
      <c r="A1204" s="12">
        <v>42934.0</v>
      </c>
      <c r="B1204" s="12"/>
      <c r="C1204" s="12" t="s">
        <v>2348</v>
      </c>
      <c r="D1204" s="1" t="s">
        <v>1851</v>
      </c>
      <c r="E1204" s="15" t="str">
        <f t="shared" si="1"/>
        <v>Jul</v>
      </c>
      <c r="F1204" s="13" t="s">
        <v>41</v>
      </c>
      <c r="G1204" s="13" t="s">
        <v>2365</v>
      </c>
      <c r="H1204" s="13" t="s">
        <v>2808</v>
      </c>
      <c r="I1204" s="13" t="s">
        <v>34</v>
      </c>
      <c r="J1204" s="13">
        <v>8.0</v>
      </c>
      <c r="K1204" s="13" t="s">
        <v>475</v>
      </c>
      <c r="L1204" s="13" t="s">
        <v>279</v>
      </c>
      <c r="M1204" s="13" t="s">
        <v>37</v>
      </c>
      <c r="N1204" s="13" t="s">
        <v>38</v>
      </c>
      <c r="O1204" s="14">
        <v>593.568</v>
      </c>
      <c r="P1204" s="14">
        <f t="shared" si="2"/>
        <v>4748.544</v>
      </c>
      <c r="Q1204" s="14">
        <v>593.18</v>
      </c>
    </row>
    <row r="1205">
      <c r="A1205" s="12">
        <v>42934.0</v>
      </c>
      <c r="B1205" s="12"/>
      <c r="C1205" s="12" t="s">
        <v>2348</v>
      </c>
      <c r="D1205" s="1" t="s">
        <v>1851</v>
      </c>
      <c r="E1205" s="15" t="str">
        <f t="shared" si="1"/>
        <v>Jul</v>
      </c>
      <c r="F1205" s="13" t="s">
        <v>41</v>
      </c>
      <c r="G1205" s="13" t="s">
        <v>2365</v>
      </c>
      <c r="H1205" s="13" t="s">
        <v>2808</v>
      </c>
      <c r="I1205" s="13" t="s">
        <v>34</v>
      </c>
      <c r="J1205" s="13">
        <v>8.0</v>
      </c>
      <c r="K1205" s="13" t="s">
        <v>475</v>
      </c>
      <c r="L1205" s="13" t="s">
        <v>279</v>
      </c>
      <c r="M1205" s="13" t="s">
        <v>37</v>
      </c>
      <c r="N1205" s="13" t="s">
        <v>38</v>
      </c>
      <c r="O1205" s="14">
        <v>338.04</v>
      </c>
      <c r="P1205" s="14">
        <f t="shared" si="2"/>
        <v>2704.32</v>
      </c>
      <c r="Q1205" s="14">
        <v>337.21</v>
      </c>
    </row>
    <row r="1206">
      <c r="A1206" s="12">
        <v>43108.0</v>
      </c>
      <c r="B1206" s="12"/>
      <c r="C1206" s="12" t="s">
        <v>2353</v>
      </c>
      <c r="D1206" s="6">
        <v>43198.0</v>
      </c>
      <c r="E1206" s="15" t="str">
        <f t="shared" si="1"/>
        <v>Apr</v>
      </c>
      <c r="F1206" s="13" t="s">
        <v>121</v>
      </c>
      <c r="G1206" s="13" t="s">
        <v>2891</v>
      </c>
      <c r="H1206" s="13" t="s">
        <v>2835</v>
      </c>
      <c r="I1206" s="13" t="s">
        <v>23</v>
      </c>
      <c r="J1206" s="13">
        <v>2.0</v>
      </c>
      <c r="K1206" s="13" t="s">
        <v>284</v>
      </c>
      <c r="L1206" s="13" t="s">
        <v>58</v>
      </c>
      <c r="M1206" s="13" t="s">
        <v>26</v>
      </c>
      <c r="N1206" s="13" t="s">
        <v>51</v>
      </c>
      <c r="O1206" s="14">
        <v>271.96</v>
      </c>
      <c r="P1206" s="14">
        <f t="shared" si="2"/>
        <v>543.92</v>
      </c>
      <c r="Q1206" s="14">
        <v>271.26</v>
      </c>
    </row>
    <row r="1207">
      <c r="A1207" s="12">
        <v>42930.0</v>
      </c>
      <c r="B1207" s="12"/>
      <c r="C1207" s="12" t="s">
        <v>2348</v>
      </c>
      <c r="D1207" s="1" t="s">
        <v>1941</v>
      </c>
      <c r="E1207" s="15" t="str">
        <f t="shared" si="1"/>
        <v>Jul</v>
      </c>
      <c r="F1207" s="13" t="s">
        <v>20</v>
      </c>
      <c r="G1207" s="13" t="s">
        <v>2436</v>
      </c>
      <c r="H1207" s="13" t="s">
        <v>2898</v>
      </c>
      <c r="I1207" s="13" t="s">
        <v>34</v>
      </c>
      <c r="J1207" s="13">
        <v>1.0</v>
      </c>
      <c r="K1207" s="13" t="s">
        <v>174</v>
      </c>
      <c r="L1207" s="13" t="s">
        <v>175</v>
      </c>
      <c r="M1207" s="13" t="s">
        <v>100</v>
      </c>
      <c r="N1207" s="13" t="s">
        <v>38</v>
      </c>
      <c r="O1207" s="14">
        <v>11.21</v>
      </c>
      <c r="P1207" s="14">
        <f t="shared" si="2"/>
        <v>11.21</v>
      </c>
      <c r="Q1207" s="14">
        <v>10.64</v>
      </c>
    </row>
    <row r="1208">
      <c r="A1208" s="12">
        <v>42930.0</v>
      </c>
      <c r="B1208" s="12"/>
      <c r="C1208" s="12" t="s">
        <v>2348</v>
      </c>
      <c r="D1208" s="1" t="s">
        <v>1941</v>
      </c>
      <c r="E1208" s="15" t="str">
        <f t="shared" si="1"/>
        <v>Jul</v>
      </c>
      <c r="F1208" s="13" t="s">
        <v>20</v>
      </c>
      <c r="G1208" s="13" t="s">
        <v>2436</v>
      </c>
      <c r="H1208" s="13" t="s">
        <v>2898</v>
      </c>
      <c r="I1208" s="13" t="s">
        <v>34</v>
      </c>
      <c r="J1208" s="13">
        <v>1.0</v>
      </c>
      <c r="K1208" s="13" t="s">
        <v>174</v>
      </c>
      <c r="L1208" s="13" t="s">
        <v>175</v>
      </c>
      <c r="M1208" s="13" t="s">
        <v>100</v>
      </c>
      <c r="N1208" s="13" t="s">
        <v>38</v>
      </c>
      <c r="O1208" s="14">
        <v>9.144</v>
      </c>
      <c r="P1208" s="14">
        <f t="shared" si="2"/>
        <v>9.144</v>
      </c>
      <c r="Q1208" s="14">
        <v>8.57</v>
      </c>
    </row>
    <row r="1209">
      <c r="A1209" s="12">
        <v>42930.0</v>
      </c>
      <c r="B1209" s="12"/>
      <c r="C1209" s="12" t="s">
        <v>2348</v>
      </c>
      <c r="D1209" s="1" t="s">
        <v>1941</v>
      </c>
      <c r="E1209" s="15" t="str">
        <f t="shared" si="1"/>
        <v>Jul</v>
      </c>
      <c r="F1209" s="13" t="s">
        <v>20</v>
      </c>
      <c r="G1209" s="13" t="s">
        <v>2436</v>
      </c>
      <c r="H1209" s="13" t="s">
        <v>2898</v>
      </c>
      <c r="I1209" s="13" t="s">
        <v>34</v>
      </c>
      <c r="J1209" s="13">
        <v>1.0</v>
      </c>
      <c r="K1209" s="13" t="s">
        <v>174</v>
      </c>
      <c r="L1209" s="13" t="s">
        <v>175</v>
      </c>
      <c r="M1209" s="13" t="s">
        <v>100</v>
      </c>
      <c r="N1209" s="13" t="s">
        <v>38</v>
      </c>
      <c r="O1209" s="14">
        <v>14.07</v>
      </c>
      <c r="P1209" s="14">
        <f t="shared" si="2"/>
        <v>14.07</v>
      </c>
      <c r="Q1209" s="14">
        <v>13.85</v>
      </c>
    </row>
    <row r="1210">
      <c r="A1210" s="12">
        <v>42930.0</v>
      </c>
      <c r="B1210" s="12"/>
      <c r="C1210" s="12" t="s">
        <v>2348</v>
      </c>
      <c r="D1210" s="1" t="s">
        <v>1941</v>
      </c>
      <c r="E1210" s="15" t="str">
        <f t="shared" si="1"/>
        <v>Jul</v>
      </c>
      <c r="F1210" s="13" t="s">
        <v>20</v>
      </c>
      <c r="G1210" s="13" t="s">
        <v>2436</v>
      </c>
      <c r="H1210" s="13" t="s">
        <v>2898</v>
      </c>
      <c r="I1210" s="13" t="s">
        <v>34</v>
      </c>
      <c r="J1210" s="13">
        <v>1.0</v>
      </c>
      <c r="K1210" s="13" t="s">
        <v>174</v>
      </c>
      <c r="L1210" s="13" t="s">
        <v>175</v>
      </c>
      <c r="M1210" s="13" t="s">
        <v>100</v>
      </c>
      <c r="N1210" s="13" t="s">
        <v>38</v>
      </c>
      <c r="O1210" s="14">
        <v>41.86</v>
      </c>
      <c r="P1210" s="14">
        <f t="shared" si="2"/>
        <v>41.86</v>
      </c>
      <c r="Q1210" s="14">
        <v>41.19</v>
      </c>
    </row>
    <row r="1211">
      <c r="A1211" s="12">
        <v>42930.0</v>
      </c>
      <c r="B1211" s="12"/>
      <c r="C1211" s="12" t="s">
        <v>2348</v>
      </c>
      <c r="D1211" s="1" t="s">
        <v>1941</v>
      </c>
      <c r="E1211" s="15" t="str">
        <f t="shared" si="1"/>
        <v>Jul</v>
      </c>
      <c r="F1211" s="13" t="s">
        <v>20</v>
      </c>
      <c r="G1211" s="13" t="s">
        <v>2436</v>
      </c>
      <c r="H1211" s="13" t="s">
        <v>2898</v>
      </c>
      <c r="I1211" s="13" t="s">
        <v>34</v>
      </c>
      <c r="J1211" s="13">
        <v>1.0</v>
      </c>
      <c r="K1211" s="13" t="s">
        <v>174</v>
      </c>
      <c r="L1211" s="13" t="s">
        <v>175</v>
      </c>
      <c r="M1211" s="13" t="s">
        <v>100</v>
      </c>
      <c r="N1211" s="13" t="s">
        <v>38</v>
      </c>
      <c r="O1211" s="14">
        <v>8.544</v>
      </c>
      <c r="P1211" s="14">
        <f t="shared" si="2"/>
        <v>8.544</v>
      </c>
      <c r="Q1211" s="14">
        <v>8.39</v>
      </c>
    </row>
    <row r="1212">
      <c r="A1212" s="12">
        <v>42930.0</v>
      </c>
      <c r="B1212" s="12"/>
      <c r="C1212" s="12" t="s">
        <v>2348</v>
      </c>
      <c r="D1212" s="1" t="s">
        <v>1941</v>
      </c>
      <c r="E1212" s="15" t="str">
        <f t="shared" si="1"/>
        <v>Jul</v>
      </c>
      <c r="F1212" s="13" t="s">
        <v>20</v>
      </c>
      <c r="G1212" s="13" t="s">
        <v>2436</v>
      </c>
      <c r="H1212" s="13" t="s">
        <v>2898</v>
      </c>
      <c r="I1212" s="13" t="s">
        <v>34</v>
      </c>
      <c r="J1212" s="13">
        <v>1.0</v>
      </c>
      <c r="K1212" s="13" t="s">
        <v>174</v>
      </c>
      <c r="L1212" s="13" t="s">
        <v>175</v>
      </c>
      <c r="M1212" s="13" t="s">
        <v>100</v>
      </c>
      <c r="N1212" s="13" t="s">
        <v>27</v>
      </c>
      <c r="O1212" s="14">
        <v>579.136</v>
      </c>
      <c r="P1212" s="14">
        <f t="shared" si="2"/>
        <v>579.136</v>
      </c>
      <c r="Q1212" s="14">
        <v>578.55</v>
      </c>
    </row>
    <row r="1213">
      <c r="A1213" s="12">
        <v>43352.0</v>
      </c>
      <c r="B1213" s="12"/>
      <c r="C1213" s="12" t="s">
        <v>2329</v>
      </c>
      <c r="D1213" s="1" t="s">
        <v>1945</v>
      </c>
      <c r="E1213" s="15" t="str">
        <f t="shared" si="1"/>
        <v>Sep</v>
      </c>
      <c r="F1213" s="13" t="s">
        <v>41</v>
      </c>
      <c r="G1213" s="13" t="s">
        <v>2899</v>
      </c>
      <c r="H1213" s="13" t="s">
        <v>2900</v>
      </c>
      <c r="I1213" s="13" t="s">
        <v>34</v>
      </c>
      <c r="J1213" s="13">
        <v>1.0</v>
      </c>
      <c r="K1213" s="13" t="s">
        <v>98</v>
      </c>
      <c r="L1213" s="13" t="s">
        <v>99</v>
      </c>
      <c r="M1213" s="13" t="s">
        <v>100</v>
      </c>
      <c r="N1213" s="13" t="s">
        <v>27</v>
      </c>
      <c r="O1213" s="14">
        <v>141.372</v>
      </c>
      <c r="P1213" s="14">
        <f t="shared" si="2"/>
        <v>141.372</v>
      </c>
      <c r="Q1213" s="14">
        <v>141.09</v>
      </c>
    </row>
    <row r="1214">
      <c r="A1214" s="12">
        <v>43352.0</v>
      </c>
      <c r="B1214" s="12"/>
      <c r="C1214" s="12" t="s">
        <v>2329</v>
      </c>
      <c r="D1214" s="1" t="s">
        <v>1945</v>
      </c>
      <c r="E1214" s="15" t="str">
        <f t="shared" si="1"/>
        <v>Sep</v>
      </c>
      <c r="F1214" s="13" t="s">
        <v>41</v>
      </c>
      <c r="G1214" s="13" t="s">
        <v>2899</v>
      </c>
      <c r="H1214" s="13" t="s">
        <v>2900</v>
      </c>
      <c r="I1214" s="13" t="s">
        <v>34</v>
      </c>
      <c r="J1214" s="13">
        <v>1.0</v>
      </c>
      <c r="K1214" s="13" t="s">
        <v>98</v>
      </c>
      <c r="L1214" s="13" t="s">
        <v>99</v>
      </c>
      <c r="M1214" s="13" t="s">
        <v>100</v>
      </c>
      <c r="N1214" s="13" t="s">
        <v>38</v>
      </c>
      <c r="O1214" s="14">
        <v>3.036</v>
      </c>
      <c r="P1214" s="14">
        <f t="shared" si="2"/>
        <v>3.036</v>
      </c>
      <c r="Q1214" s="14">
        <v>2.63</v>
      </c>
    </row>
    <row r="1215">
      <c r="A1215" s="12">
        <v>43352.0</v>
      </c>
      <c r="B1215" s="12"/>
      <c r="C1215" s="12" t="s">
        <v>2329</v>
      </c>
      <c r="D1215" s="1" t="s">
        <v>1945</v>
      </c>
      <c r="E1215" s="15" t="str">
        <f t="shared" si="1"/>
        <v>Sep</v>
      </c>
      <c r="F1215" s="13" t="s">
        <v>41</v>
      </c>
      <c r="G1215" s="13" t="s">
        <v>2899</v>
      </c>
      <c r="H1215" s="13" t="s">
        <v>2900</v>
      </c>
      <c r="I1215" s="13" t="s">
        <v>34</v>
      </c>
      <c r="J1215" s="13">
        <v>1.0</v>
      </c>
      <c r="K1215" s="13" t="s">
        <v>98</v>
      </c>
      <c r="L1215" s="13" t="s">
        <v>99</v>
      </c>
      <c r="M1215" s="13" t="s">
        <v>100</v>
      </c>
      <c r="N1215" s="13" t="s">
        <v>38</v>
      </c>
      <c r="O1215" s="14">
        <v>4.503</v>
      </c>
      <c r="P1215" s="14">
        <f t="shared" si="2"/>
        <v>4.503</v>
      </c>
      <c r="Q1215" s="14">
        <v>4.08</v>
      </c>
    </row>
    <row r="1216">
      <c r="A1216" s="12">
        <v>43352.0</v>
      </c>
      <c r="B1216" s="12"/>
      <c r="C1216" s="12" t="s">
        <v>2329</v>
      </c>
      <c r="D1216" s="1" t="s">
        <v>1945</v>
      </c>
      <c r="E1216" s="15" t="str">
        <f t="shared" si="1"/>
        <v>Sep</v>
      </c>
      <c r="F1216" s="13" t="s">
        <v>41</v>
      </c>
      <c r="G1216" s="13" t="s">
        <v>2899</v>
      </c>
      <c r="H1216" s="13" t="s">
        <v>2900</v>
      </c>
      <c r="I1216" s="13" t="s">
        <v>34</v>
      </c>
      <c r="J1216" s="13">
        <v>1.0</v>
      </c>
      <c r="K1216" s="13" t="s">
        <v>98</v>
      </c>
      <c r="L1216" s="13" t="s">
        <v>99</v>
      </c>
      <c r="M1216" s="13" t="s">
        <v>100</v>
      </c>
      <c r="N1216" s="13" t="s">
        <v>38</v>
      </c>
      <c r="O1216" s="14">
        <v>4.672</v>
      </c>
      <c r="P1216" s="14">
        <f t="shared" si="2"/>
        <v>4.672</v>
      </c>
      <c r="Q1216" s="14">
        <v>4.15</v>
      </c>
    </row>
    <row r="1217">
      <c r="A1217" s="12">
        <v>43352.0</v>
      </c>
      <c r="B1217" s="12"/>
      <c r="C1217" s="12" t="s">
        <v>2329</v>
      </c>
      <c r="D1217" s="1" t="s">
        <v>1945</v>
      </c>
      <c r="E1217" s="15" t="str">
        <f t="shared" si="1"/>
        <v>Sep</v>
      </c>
      <c r="F1217" s="13" t="s">
        <v>41</v>
      </c>
      <c r="G1217" s="13" t="s">
        <v>2899</v>
      </c>
      <c r="H1217" s="13" t="s">
        <v>2900</v>
      </c>
      <c r="I1217" s="13" t="s">
        <v>34</v>
      </c>
      <c r="J1217" s="13">
        <v>1.0</v>
      </c>
      <c r="K1217" s="13" t="s">
        <v>98</v>
      </c>
      <c r="L1217" s="13" t="s">
        <v>99</v>
      </c>
      <c r="M1217" s="13" t="s">
        <v>100</v>
      </c>
      <c r="N1217" s="13" t="s">
        <v>51</v>
      </c>
      <c r="O1217" s="14">
        <v>95.88</v>
      </c>
      <c r="P1217" s="14">
        <f t="shared" si="2"/>
        <v>95.88</v>
      </c>
      <c r="Q1217" s="14">
        <v>95.3</v>
      </c>
    </row>
    <row r="1218">
      <c r="A1218" s="12">
        <v>43352.0</v>
      </c>
      <c r="B1218" s="12"/>
      <c r="C1218" s="12" t="s">
        <v>2329</v>
      </c>
      <c r="D1218" s="1" t="s">
        <v>1945</v>
      </c>
      <c r="E1218" s="15" t="str">
        <f t="shared" si="1"/>
        <v>Sep</v>
      </c>
      <c r="F1218" s="13" t="s">
        <v>41</v>
      </c>
      <c r="G1218" s="13" t="s">
        <v>2899</v>
      </c>
      <c r="H1218" s="13" t="s">
        <v>2900</v>
      </c>
      <c r="I1218" s="13" t="s">
        <v>34</v>
      </c>
      <c r="J1218" s="13">
        <v>1.0</v>
      </c>
      <c r="K1218" s="13" t="s">
        <v>98</v>
      </c>
      <c r="L1218" s="13" t="s">
        <v>99</v>
      </c>
      <c r="M1218" s="13" t="s">
        <v>100</v>
      </c>
      <c r="N1218" s="13" t="s">
        <v>27</v>
      </c>
      <c r="O1218" s="14">
        <v>17.024</v>
      </c>
      <c r="P1218" s="14">
        <f t="shared" si="2"/>
        <v>17.024</v>
      </c>
      <c r="Q1218" s="14">
        <v>16.98</v>
      </c>
    </row>
    <row r="1219">
      <c r="A1219" s="12">
        <v>43352.0</v>
      </c>
      <c r="B1219" s="12"/>
      <c r="C1219" s="12" t="s">
        <v>2329</v>
      </c>
      <c r="D1219" s="1" t="s">
        <v>1945</v>
      </c>
      <c r="E1219" s="15" t="str">
        <f t="shared" si="1"/>
        <v>Sep</v>
      </c>
      <c r="F1219" s="13" t="s">
        <v>41</v>
      </c>
      <c r="G1219" s="13" t="s">
        <v>2899</v>
      </c>
      <c r="H1219" s="13" t="s">
        <v>2900</v>
      </c>
      <c r="I1219" s="13" t="s">
        <v>34</v>
      </c>
      <c r="J1219" s="13">
        <v>1.0</v>
      </c>
      <c r="K1219" s="13" t="s">
        <v>98</v>
      </c>
      <c r="L1219" s="13" t="s">
        <v>99</v>
      </c>
      <c r="M1219" s="13" t="s">
        <v>100</v>
      </c>
      <c r="N1219" s="13" t="s">
        <v>51</v>
      </c>
      <c r="O1219" s="14">
        <v>258.696</v>
      </c>
      <c r="P1219" s="14">
        <f t="shared" si="2"/>
        <v>258.696</v>
      </c>
      <c r="Q1219" s="14">
        <v>258.27</v>
      </c>
    </row>
    <row r="1220">
      <c r="A1220" s="12">
        <v>43352.0</v>
      </c>
      <c r="B1220" s="12"/>
      <c r="C1220" s="12" t="s">
        <v>2329</v>
      </c>
      <c r="D1220" s="1" t="s">
        <v>1945</v>
      </c>
      <c r="E1220" s="15" t="str">
        <f t="shared" si="1"/>
        <v>Sep</v>
      </c>
      <c r="F1220" s="13" t="s">
        <v>41</v>
      </c>
      <c r="G1220" s="13" t="s">
        <v>2899</v>
      </c>
      <c r="H1220" s="13" t="s">
        <v>2900</v>
      </c>
      <c r="I1220" s="13" t="s">
        <v>34</v>
      </c>
      <c r="J1220" s="13">
        <v>1.0</v>
      </c>
      <c r="K1220" s="13" t="s">
        <v>98</v>
      </c>
      <c r="L1220" s="13" t="s">
        <v>99</v>
      </c>
      <c r="M1220" s="13" t="s">
        <v>100</v>
      </c>
      <c r="N1220" s="13" t="s">
        <v>51</v>
      </c>
      <c r="O1220" s="14">
        <v>1931.958</v>
      </c>
      <c r="P1220" s="14">
        <f t="shared" si="2"/>
        <v>1931.958</v>
      </c>
      <c r="Q1220" s="14">
        <v>1931.76</v>
      </c>
    </row>
    <row r="1221">
      <c r="A1221" s="12">
        <v>42345.0</v>
      </c>
      <c r="B1221" s="12"/>
      <c r="C1221" s="12" t="s">
        <v>2325</v>
      </c>
      <c r="D1221" s="1" t="s">
        <v>1949</v>
      </c>
      <c r="E1221" s="15" t="str">
        <f t="shared" si="1"/>
        <v>Jul</v>
      </c>
      <c r="F1221" s="13" t="s">
        <v>41</v>
      </c>
      <c r="G1221" s="13" t="s">
        <v>2546</v>
      </c>
      <c r="H1221" s="13" t="s">
        <v>2901</v>
      </c>
      <c r="I1221" s="13" t="s">
        <v>68</v>
      </c>
      <c r="J1221" s="13">
        <v>9.0</v>
      </c>
      <c r="K1221" s="13" t="s">
        <v>35</v>
      </c>
      <c r="L1221" s="13" t="s">
        <v>52</v>
      </c>
      <c r="M1221" s="13" t="s">
        <v>37</v>
      </c>
      <c r="N1221" s="13" t="s">
        <v>38</v>
      </c>
      <c r="O1221" s="14">
        <v>249.75</v>
      </c>
      <c r="P1221" s="14">
        <f t="shared" si="2"/>
        <v>2247.75</v>
      </c>
      <c r="Q1221" s="14">
        <v>249.31</v>
      </c>
    </row>
    <row r="1222">
      <c r="A1222" s="12">
        <v>42345.0</v>
      </c>
      <c r="B1222" s="12"/>
      <c r="C1222" s="12" t="s">
        <v>2325</v>
      </c>
      <c r="D1222" s="1" t="s">
        <v>1949</v>
      </c>
      <c r="E1222" s="15" t="str">
        <f t="shared" si="1"/>
        <v>Jul</v>
      </c>
      <c r="F1222" s="13" t="s">
        <v>41</v>
      </c>
      <c r="G1222" s="13" t="s">
        <v>2546</v>
      </c>
      <c r="H1222" s="13" t="s">
        <v>2901</v>
      </c>
      <c r="I1222" s="13" t="s">
        <v>68</v>
      </c>
      <c r="J1222" s="13">
        <v>9.0</v>
      </c>
      <c r="K1222" s="13" t="s">
        <v>35</v>
      </c>
      <c r="L1222" s="13" t="s">
        <v>52</v>
      </c>
      <c r="M1222" s="13" t="s">
        <v>37</v>
      </c>
      <c r="N1222" s="13" t="s">
        <v>51</v>
      </c>
      <c r="O1222" s="14">
        <v>255.936</v>
      </c>
      <c r="P1222" s="14">
        <f t="shared" si="2"/>
        <v>2303.424</v>
      </c>
      <c r="Q1222" s="14">
        <v>255.44</v>
      </c>
    </row>
    <row r="1223">
      <c r="A1223" s="12">
        <v>42837.0</v>
      </c>
      <c r="B1223" s="12"/>
      <c r="C1223" s="12" t="s">
        <v>2332</v>
      </c>
      <c r="D1223" s="6">
        <v>42867.0</v>
      </c>
      <c r="E1223" s="15" t="str">
        <f t="shared" si="1"/>
        <v>May</v>
      </c>
      <c r="F1223" s="13" t="s">
        <v>121</v>
      </c>
      <c r="G1223" s="13" t="s">
        <v>2472</v>
      </c>
      <c r="H1223" s="13" t="s">
        <v>2423</v>
      </c>
      <c r="I1223" s="13" t="s">
        <v>23</v>
      </c>
      <c r="J1223" s="13">
        <v>1.0</v>
      </c>
      <c r="K1223" s="13" t="s">
        <v>174</v>
      </c>
      <c r="L1223" s="13" t="s">
        <v>175</v>
      </c>
      <c r="M1223" s="13" t="s">
        <v>100</v>
      </c>
      <c r="N1223" s="13" t="s">
        <v>27</v>
      </c>
      <c r="O1223" s="14">
        <v>113.79</v>
      </c>
      <c r="P1223" s="14">
        <f t="shared" si="2"/>
        <v>113.79</v>
      </c>
      <c r="Q1223" s="14">
        <v>113.62</v>
      </c>
    </row>
    <row r="1224">
      <c r="A1224" s="12">
        <v>42837.0</v>
      </c>
      <c r="B1224" s="12"/>
      <c r="C1224" s="12" t="s">
        <v>2332</v>
      </c>
      <c r="D1224" s="6">
        <v>42867.0</v>
      </c>
      <c r="E1224" s="15" t="str">
        <f t="shared" si="1"/>
        <v>May</v>
      </c>
      <c r="F1224" s="13" t="s">
        <v>121</v>
      </c>
      <c r="G1224" s="13" t="s">
        <v>2472</v>
      </c>
      <c r="H1224" s="13" t="s">
        <v>2423</v>
      </c>
      <c r="I1224" s="13" t="s">
        <v>23</v>
      </c>
      <c r="J1224" s="13">
        <v>1.0</v>
      </c>
      <c r="K1224" s="13" t="s">
        <v>174</v>
      </c>
      <c r="L1224" s="13" t="s">
        <v>175</v>
      </c>
      <c r="M1224" s="13" t="s">
        <v>100</v>
      </c>
      <c r="N1224" s="13" t="s">
        <v>51</v>
      </c>
      <c r="O1224" s="14">
        <v>78.15</v>
      </c>
      <c r="P1224" s="14">
        <f t="shared" si="2"/>
        <v>78.15</v>
      </c>
      <c r="Q1224" s="14">
        <v>77.92</v>
      </c>
    </row>
    <row r="1225">
      <c r="A1225" s="12">
        <v>42837.0</v>
      </c>
      <c r="B1225" s="12"/>
      <c r="C1225" s="12" t="s">
        <v>2332</v>
      </c>
      <c r="D1225" s="6">
        <v>42867.0</v>
      </c>
      <c r="E1225" s="15" t="str">
        <f t="shared" si="1"/>
        <v>May</v>
      </c>
      <c r="F1225" s="13" t="s">
        <v>121</v>
      </c>
      <c r="G1225" s="13" t="s">
        <v>2472</v>
      </c>
      <c r="H1225" s="13" t="s">
        <v>2423</v>
      </c>
      <c r="I1225" s="13" t="s">
        <v>23</v>
      </c>
      <c r="J1225" s="13">
        <v>1.0</v>
      </c>
      <c r="K1225" s="13" t="s">
        <v>174</v>
      </c>
      <c r="L1225" s="13" t="s">
        <v>175</v>
      </c>
      <c r="M1225" s="13" t="s">
        <v>100</v>
      </c>
      <c r="N1225" s="13" t="s">
        <v>38</v>
      </c>
      <c r="O1225" s="14">
        <v>1.728</v>
      </c>
      <c r="P1225" s="14">
        <f t="shared" si="2"/>
        <v>1.728</v>
      </c>
      <c r="Q1225" s="14">
        <v>1.33</v>
      </c>
    </row>
    <row r="1226">
      <c r="A1226" s="12">
        <v>42837.0</v>
      </c>
      <c r="B1226" s="12"/>
      <c r="C1226" s="12" t="s">
        <v>2332</v>
      </c>
      <c r="D1226" s="6">
        <v>42867.0</v>
      </c>
      <c r="E1226" s="15" t="str">
        <f t="shared" si="1"/>
        <v>May</v>
      </c>
      <c r="F1226" s="13" t="s">
        <v>121</v>
      </c>
      <c r="G1226" s="13" t="s">
        <v>2472</v>
      </c>
      <c r="H1226" s="13" t="s">
        <v>2423</v>
      </c>
      <c r="I1226" s="13" t="s">
        <v>23</v>
      </c>
      <c r="J1226" s="13">
        <v>1.0</v>
      </c>
      <c r="K1226" s="13" t="s">
        <v>174</v>
      </c>
      <c r="L1226" s="13" t="s">
        <v>175</v>
      </c>
      <c r="M1226" s="13" t="s">
        <v>100</v>
      </c>
      <c r="N1226" s="13" t="s">
        <v>38</v>
      </c>
      <c r="O1226" s="14">
        <v>40.56</v>
      </c>
      <c r="P1226" s="14">
        <f t="shared" si="2"/>
        <v>40.56</v>
      </c>
      <c r="Q1226" s="14">
        <v>40.05</v>
      </c>
    </row>
    <row r="1227">
      <c r="A1227" s="12">
        <v>42837.0</v>
      </c>
      <c r="B1227" s="12"/>
      <c r="C1227" s="12" t="s">
        <v>2332</v>
      </c>
      <c r="D1227" s="6">
        <v>42867.0</v>
      </c>
      <c r="E1227" s="15" t="str">
        <f t="shared" si="1"/>
        <v>May</v>
      </c>
      <c r="F1227" s="13" t="s">
        <v>121</v>
      </c>
      <c r="G1227" s="13" t="s">
        <v>2472</v>
      </c>
      <c r="H1227" s="13" t="s">
        <v>2423</v>
      </c>
      <c r="I1227" s="13" t="s">
        <v>23</v>
      </c>
      <c r="J1227" s="13">
        <v>1.0</v>
      </c>
      <c r="K1227" s="13" t="s">
        <v>174</v>
      </c>
      <c r="L1227" s="13" t="s">
        <v>175</v>
      </c>
      <c r="M1227" s="13" t="s">
        <v>100</v>
      </c>
      <c r="N1227" s="13" t="s">
        <v>38</v>
      </c>
      <c r="O1227" s="14">
        <v>182.94</v>
      </c>
      <c r="P1227" s="14">
        <f t="shared" si="2"/>
        <v>182.94</v>
      </c>
      <c r="Q1227" s="14">
        <v>182.91</v>
      </c>
    </row>
    <row r="1228">
      <c r="A1228" s="12">
        <v>42837.0</v>
      </c>
      <c r="B1228" s="12"/>
      <c r="C1228" s="12" t="s">
        <v>2332</v>
      </c>
      <c r="D1228" s="6">
        <v>42867.0</v>
      </c>
      <c r="E1228" s="15" t="str">
        <f t="shared" si="1"/>
        <v>May</v>
      </c>
      <c r="F1228" s="13" t="s">
        <v>121</v>
      </c>
      <c r="G1228" s="13" t="s">
        <v>2472</v>
      </c>
      <c r="H1228" s="13" t="s">
        <v>2423</v>
      </c>
      <c r="I1228" s="13" t="s">
        <v>23</v>
      </c>
      <c r="J1228" s="13">
        <v>1.0</v>
      </c>
      <c r="K1228" s="13" t="s">
        <v>174</v>
      </c>
      <c r="L1228" s="13" t="s">
        <v>175</v>
      </c>
      <c r="M1228" s="13" t="s">
        <v>100</v>
      </c>
      <c r="N1228" s="13" t="s">
        <v>38</v>
      </c>
      <c r="O1228" s="14">
        <v>193.86</v>
      </c>
      <c r="P1228" s="14">
        <f t="shared" si="2"/>
        <v>193.86</v>
      </c>
      <c r="Q1228" s="14">
        <v>193.73</v>
      </c>
    </row>
    <row r="1229">
      <c r="A1229" s="12">
        <v>43262.0</v>
      </c>
      <c r="B1229" s="12"/>
      <c r="C1229" s="12" t="s">
        <v>2374</v>
      </c>
      <c r="D1229" s="5">
        <v>43415.0</v>
      </c>
      <c r="E1229" s="15" t="str">
        <f t="shared" si="1"/>
        <v>Nov</v>
      </c>
      <c r="F1229" s="13" t="s">
        <v>41</v>
      </c>
      <c r="G1229" s="13" t="s">
        <v>2344</v>
      </c>
      <c r="H1229" s="13" t="s">
        <v>2689</v>
      </c>
      <c r="I1229" s="13" t="s">
        <v>23</v>
      </c>
      <c r="J1229" s="13">
        <v>9.0</v>
      </c>
      <c r="K1229" s="13" t="s">
        <v>35</v>
      </c>
      <c r="L1229" s="13" t="s">
        <v>52</v>
      </c>
      <c r="M1229" s="13" t="s">
        <v>37</v>
      </c>
      <c r="N1229" s="13" t="s">
        <v>38</v>
      </c>
      <c r="O1229" s="14">
        <v>15.28</v>
      </c>
      <c r="P1229" s="14">
        <f t="shared" si="2"/>
        <v>137.52</v>
      </c>
      <c r="Q1229" s="14">
        <v>14.86</v>
      </c>
    </row>
    <row r="1230">
      <c r="A1230" s="12">
        <v>43262.0</v>
      </c>
      <c r="B1230" s="12"/>
      <c r="C1230" s="12" t="s">
        <v>2374</v>
      </c>
      <c r="D1230" s="5">
        <v>43415.0</v>
      </c>
      <c r="E1230" s="15" t="str">
        <f t="shared" si="1"/>
        <v>Nov</v>
      </c>
      <c r="F1230" s="13" t="s">
        <v>41</v>
      </c>
      <c r="G1230" s="13" t="s">
        <v>2344</v>
      </c>
      <c r="H1230" s="13" t="s">
        <v>2689</v>
      </c>
      <c r="I1230" s="13" t="s">
        <v>23</v>
      </c>
      <c r="J1230" s="13">
        <v>9.0</v>
      </c>
      <c r="K1230" s="13" t="s">
        <v>35</v>
      </c>
      <c r="L1230" s="13" t="s">
        <v>52</v>
      </c>
      <c r="M1230" s="13" t="s">
        <v>37</v>
      </c>
      <c r="N1230" s="13" t="s">
        <v>27</v>
      </c>
      <c r="O1230" s="14">
        <v>8.73</v>
      </c>
      <c r="P1230" s="14">
        <f t="shared" si="2"/>
        <v>78.57</v>
      </c>
      <c r="Q1230" s="14">
        <v>8.27</v>
      </c>
    </row>
    <row r="1231">
      <c r="A1231" s="12">
        <v>43262.0</v>
      </c>
      <c r="B1231" s="12"/>
      <c r="C1231" s="12" t="s">
        <v>2374</v>
      </c>
      <c r="D1231" s="5">
        <v>43415.0</v>
      </c>
      <c r="E1231" s="15" t="str">
        <f t="shared" si="1"/>
        <v>Nov</v>
      </c>
      <c r="F1231" s="13" t="s">
        <v>41</v>
      </c>
      <c r="G1231" s="13" t="s">
        <v>2344</v>
      </c>
      <c r="H1231" s="13" t="s">
        <v>2689</v>
      </c>
      <c r="I1231" s="13" t="s">
        <v>23</v>
      </c>
      <c r="J1231" s="13">
        <v>9.0</v>
      </c>
      <c r="K1231" s="13" t="s">
        <v>35</v>
      </c>
      <c r="L1231" s="13" t="s">
        <v>52</v>
      </c>
      <c r="M1231" s="13" t="s">
        <v>37</v>
      </c>
      <c r="N1231" s="13" t="s">
        <v>38</v>
      </c>
      <c r="O1231" s="14">
        <v>5.68</v>
      </c>
      <c r="P1231" s="14">
        <f t="shared" si="2"/>
        <v>51.12</v>
      </c>
      <c r="Q1231" s="14">
        <v>4.83</v>
      </c>
    </row>
    <row r="1232">
      <c r="A1232" s="12">
        <v>42674.0</v>
      </c>
      <c r="B1232" s="12"/>
      <c r="C1232" s="12" t="s">
        <v>2358</v>
      </c>
      <c r="D1232" s="6">
        <v>42411.0</v>
      </c>
      <c r="E1232" s="15" t="str">
        <f t="shared" si="1"/>
        <v>Feb</v>
      </c>
      <c r="F1232" s="13" t="s">
        <v>20</v>
      </c>
      <c r="G1232" s="13" t="s">
        <v>2902</v>
      </c>
      <c r="H1232" s="13" t="s">
        <v>2577</v>
      </c>
      <c r="I1232" s="13" t="s">
        <v>23</v>
      </c>
      <c r="J1232" s="13">
        <v>1.0</v>
      </c>
      <c r="K1232" s="13" t="s">
        <v>1957</v>
      </c>
      <c r="L1232" s="13" t="s">
        <v>175</v>
      </c>
      <c r="M1232" s="13" t="s">
        <v>100</v>
      </c>
      <c r="N1232" s="13" t="s">
        <v>38</v>
      </c>
      <c r="O1232" s="14">
        <v>2.78</v>
      </c>
      <c r="P1232" s="14">
        <f t="shared" si="2"/>
        <v>2.78</v>
      </c>
      <c r="Q1232" s="14">
        <v>2.6</v>
      </c>
    </row>
    <row r="1233">
      <c r="A1233" s="12">
        <v>42674.0</v>
      </c>
      <c r="B1233" s="12"/>
      <c r="C1233" s="12" t="s">
        <v>2358</v>
      </c>
      <c r="D1233" s="6">
        <v>42411.0</v>
      </c>
      <c r="E1233" s="15" t="str">
        <f t="shared" si="1"/>
        <v>Feb</v>
      </c>
      <c r="F1233" s="13" t="s">
        <v>20</v>
      </c>
      <c r="G1233" s="13" t="s">
        <v>2902</v>
      </c>
      <c r="H1233" s="13" t="s">
        <v>2577</v>
      </c>
      <c r="I1233" s="13" t="s">
        <v>23</v>
      </c>
      <c r="J1233" s="13">
        <v>1.0</v>
      </c>
      <c r="K1233" s="13" t="s">
        <v>1957</v>
      </c>
      <c r="L1233" s="13" t="s">
        <v>175</v>
      </c>
      <c r="M1233" s="13" t="s">
        <v>100</v>
      </c>
      <c r="N1233" s="13" t="s">
        <v>38</v>
      </c>
      <c r="O1233" s="14">
        <v>79.96</v>
      </c>
      <c r="P1233" s="14">
        <f t="shared" si="2"/>
        <v>79.96</v>
      </c>
      <c r="Q1233" s="14">
        <v>79.32</v>
      </c>
    </row>
    <row r="1234">
      <c r="A1234" s="12">
        <v>42885.0</v>
      </c>
      <c r="B1234" s="12"/>
      <c r="C1234" s="12" t="s">
        <v>2335</v>
      </c>
      <c r="D1234" s="6">
        <v>42741.0</v>
      </c>
      <c r="E1234" s="15" t="str">
        <f t="shared" si="1"/>
        <v>Jan</v>
      </c>
      <c r="F1234" s="13" t="s">
        <v>121</v>
      </c>
      <c r="G1234" s="13" t="s">
        <v>2903</v>
      </c>
      <c r="H1234" s="13" t="s">
        <v>2904</v>
      </c>
      <c r="I1234" s="13" t="s">
        <v>34</v>
      </c>
      <c r="J1234" s="13">
        <v>4.0</v>
      </c>
      <c r="K1234" s="13" t="s">
        <v>579</v>
      </c>
      <c r="L1234" s="13" t="s">
        <v>304</v>
      </c>
      <c r="M1234" s="13" t="s">
        <v>100</v>
      </c>
      <c r="N1234" s="13" t="s">
        <v>51</v>
      </c>
      <c r="O1234" s="14">
        <v>839.988</v>
      </c>
      <c r="P1234" s="14">
        <f t="shared" si="2"/>
        <v>3359.952</v>
      </c>
      <c r="Q1234" s="14">
        <v>839.61</v>
      </c>
    </row>
    <row r="1235">
      <c r="A1235" s="12">
        <v>43036.0</v>
      </c>
      <c r="B1235" s="12"/>
      <c r="C1235" s="12" t="s">
        <v>2358</v>
      </c>
      <c r="D1235" s="1" t="s">
        <v>1962</v>
      </c>
      <c r="E1235" s="15" t="str">
        <f t="shared" si="1"/>
        <v>Oct</v>
      </c>
      <c r="F1235" s="13" t="s">
        <v>717</v>
      </c>
      <c r="G1235" s="13" t="s">
        <v>2373</v>
      </c>
      <c r="H1235" s="13" t="s">
        <v>2796</v>
      </c>
      <c r="I1235" s="13" t="s">
        <v>23</v>
      </c>
      <c r="J1235" s="13">
        <v>3.0</v>
      </c>
      <c r="K1235" s="13" t="s">
        <v>1963</v>
      </c>
      <c r="L1235" s="13" t="s">
        <v>145</v>
      </c>
      <c r="M1235" s="13" t="s">
        <v>26</v>
      </c>
      <c r="N1235" s="13" t="s">
        <v>27</v>
      </c>
      <c r="O1235" s="14">
        <v>47.952</v>
      </c>
      <c r="P1235" s="14">
        <f t="shared" si="2"/>
        <v>143.856</v>
      </c>
      <c r="Q1235" s="14">
        <v>47.56</v>
      </c>
    </row>
    <row r="1236">
      <c r="A1236" s="12">
        <v>43036.0</v>
      </c>
      <c r="B1236" s="12"/>
      <c r="C1236" s="12" t="s">
        <v>2358</v>
      </c>
      <c r="D1236" s="1" t="s">
        <v>1962</v>
      </c>
      <c r="E1236" s="15" t="str">
        <f t="shared" si="1"/>
        <v>Oct</v>
      </c>
      <c r="F1236" s="13" t="s">
        <v>717</v>
      </c>
      <c r="G1236" s="13" t="s">
        <v>2373</v>
      </c>
      <c r="H1236" s="13" t="s">
        <v>2796</v>
      </c>
      <c r="I1236" s="13" t="s">
        <v>23</v>
      </c>
      <c r="J1236" s="13">
        <v>3.0</v>
      </c>
      <c r="K1236" s="13" t="s">
        <v>1963</v>
      </c>
      <c r="L1236" s="13" t="s">
        <v>145</v>
      </c>
      <c r="M1236" s="13" t="s">
        <v>26</v>
      </c>
      <c r="N1236" s="13" t="s">
        <v>38</v>
      </c>
      <c r="O1236" s="14">
        <v>37.425</v>
      </c>
      <c r="P1236" s="14">
        <f t="shared" si="2"/>
        <v>112.275</v>
      </c>
      <c r="Q1236" s="14">
        <v>36.86</v>
      </c>
    </row>
    <row r="1237">
      <c r="A1237" s="12">
        <v>43036.0</v>
      </c>
      <c r="B1237" s="12"/>
      <c r="C1237" s="12" t="s">
        <v>2358</v>
      </c>
      <c r="D1237" s="1" t="s">
        <v>1962</v>
      </c>
      <c r="E1237" s="15" t="str">
        <f t="shared" si="1"/>
        <v>Oct</v>
      </c>
      <c r="F1237" s="13" t="s">
        <v>717</v>
      </c>
      <c r="G1237" s="13" t="s">
        <v>2373</v>
      </c>
      <c r="H1237" s="13" t="s">
        <v>2796</v>
      </c>
      <c r="I1237" s="13" t="s">
        <v>23</v>
      </c>
      <c r="J1237" s="13">
        <v>3.0</v>
      </c>
      <c r="K1237" s="13" t="s">
        <v>1963</v>
      </c>
      <c r="L1237" s="13" t="s">
        <v>145</v>
      </c>
      <c r="M1237" s="13" t="s">
        <v>26</v>
      </c>
      <c r="N1237" s="13" t="s">
        <v>27</v>
      </c>
      <c r="O1237" s="14">
        <v>63.968</v>
      </c>
      <c r="P1237" s="14">
        <f t="shared" si="2"/>
        <v>191.904</v>
      </c>
      <c r="Q1237" s="14">
        <v>63.54</v>
      </c>
    </row>
    <row r="1238">
      <c r="A1238" s="12">
        <v>43036.0</v>
      </c>
      <c r="B1238" s="12"/>
      <c r="C1238" s="12" t="s">
        <v>2358</v>
      </c>
      <c r="D1238" s="1" t="s">
        <v>1962</v>
      </c>
      <c r="E1238" s="15" t="str">
        <f t="shared" si="1"/>
        <v>Oct</v>
      </c>
      <c r="F1238" s="13" t="s">
        <v>717</v>
      </c>
      <c r="G1238" s="13" t="s">
        <v>2373</v>
      </c>
      <c r="H1238" s="13" t="s">
        <v>2796</v>
      </c>
      <c r="I1238" s="13" t="s">
        <v>23</v>
      </c>
      <c r="J1238" s="13">
        <v>3.0</v>
      </c>
      <c r="K1238" s="13" t="s">
        <v>1963</v>
      </c>
      <c r="L1238" s="13" t="s">
        <v>145</v>
      </c>
      <c r="M1238" s="13" t="s">
        <v>26</v>
      </c>
      <c r="N1238" s="13" t="s">
        <v>27</v>
      </c>
      <c r="O1238" s="14">
        <v>165.048</v>
      </c>
      <c r="P1238" s="14">
        <f t="shared" si="2"/>
        <v>495.144</v>
      </c>
      <c r="Q1238" s="14">
        <v>164.12</v>
      </c>
    </row>
    <row r="1239">
      <c r="A1239" s="12">
        <v>42316.0</v>
      </c>
      <c r="B1239" s="12"/>
      <c r="C1239" s="12" t="s">
        <v>2326</v>
      </c>
      <c r="D1239" s="1" t="s">
        <v>1102</v>
      </c>
      <c r="E1239" s="15" t="str">
        <f t="shared" si="1"/>
        <v>Aug</v>
      </c>
      <c r="F1239" s="13" t="s">
        <v>41</v>
      </c>
      <c r="G1239" s="13" t="s">
        <v>2434</v>
      </c>
      <c r="H1239" s="13" t="s">
        <v>2810</v>
      </c>
      <c r="I1239" s="13" t="s">
        <v>23</v>
      </c>
      <c r="J1239" s="13">
        <v>9.0</v>
      </c>
      <c r="K1239" s="13" t="s">
        <v>62</v>
      </c>
      <c r="L1239" s="13" t="s">
        <v>63</v>
      </c>
      <c r="M1239" s="13" t="s">
        <v>37</v>
      </c>
      <c r="N1239" s="13" t="s">
        <v>27</v>
      </c>
      <c r="O1239" s="14">
        <v>12.35</v>
      </c>
      <c r="P1239" s="14">
        <f t="shared" si="2"/>
        <v>111.15</v>
      </c>
      <c r="Q1239" s="14">
        <v>11.66</v>
      </c>
    </row>
    <row r="1240">
      <c r="A1240" s="12">
        <v>42316.0</v>
      </c>
      <c r="B1240" s="12"/>
      <c r="C1240" s="12" t="s">
        <v>2326</v>
      </c>
      <c r="D1240" s="1" t="s">
        <v>1102</v>
      </c>
      <c r="E1240" s="15" t="str">
        <f t="shared" si="1"/>
        <v>Aug</v>
      </c>
      <c r="F1240" s="13" t="s">
        <v>41</v>
      </c>
      <c r="G1240" s="13" t="s">
        <v>2434</v>
      </c>
      <c r="H1240" s="13" t="s">
        <v>2810</v>
      </c>
      <c r="I1240" s="13" t="s">
        <v>23</v>
      </c>
      <c r="J1240" s="13">
        <v>9.0</v>
      </c>
      <c r="K1240" s="13" t="s">
        <v>62</v>
      </c>
      <c r="L1240" s="13" t="s">
        <v>63</v>
      </c>
      <c r="M1240" s="13" t="s">
        <v>37</v>
      </c>
      <c r="N1240" s="13" t="s">
        <v>38</v>
      </c>
      <c r="O1240" s="14">
        <v>40.97</v>
      </c>
      <c r="P1240" s="14">
        <f t="shared" si="2"/>
        <v>368.73</v>
      </c>
      <c r="Q1240" s="14">
        <v>40.24</v>
      </c>
    </row>
    <row r="1241">
      <c r="A1241" s="12">
        <v>42316.0</v>
      </c>
      <c r="B1241" s="12"/>
      <c r="C1241" s="12" t="s">
        <v>2326</v>
      </c>
      <c r="D1241" s="1" t="s">
        <v>1102</v>
      </c>
      <c r="E1241" s="15" t="str">
        <f t="shared" si="1"/>
        <v>Aug</v>
      </c>
      <c r="F1241" s="13" t="s">
        <v>41</v>
      </c>
      <c r="G1241" s="13" t="s">
        <v>2434</v>
      </c>
      <c r="H1241" s="13" t="s">
        <v>2810</v>
      </c>
      <c r="I1241" s="13" t="s">
        <v>23</v>
      </c>
      <c r="J1241" s="13">
        <v>9.0</v>
      </c>
      <c r="K1241" s="13" t="s">
        <v>62</v>
      </c>
      <c r="L1241" s="13" t="s">
        <v>63</v>
      </c>
      <c r="M1241" s="13" t="s">
        <v>37</v>
      </c>
      <c r="N1241" s="13" t="s">
        <v>38</v>
      </c>
      <c r="O1241" s="14">
        <v>22.96</v>
      </c>
      <c r="P1241" s="14">
        <f t="shared" si="2"/>
        <v>206.64</v>
      </c>
      <c r="Q1241" s="14">
        <v>22.13</v>
      </c>
    </row>
    <row r="1242">
      <c r="A1242" s="12">
        <v>42976.0</v>
      </c>
      <c r="B1242" s="12"/>
      <c r="C1242" s="12" t="s">
        <v>2322</v>
      </c>
      <c r="D1242" s="6">
        <v>42834.0</v>
      </c>
      <c r="E1242" s="15" t="str">
        <f t="shared" si="1"/>
        <v>Apr</v>
      </c>
      <c r="F1242" s="13" t="s">
        <v>41</v>
      </c>
      <c r="G1242" s="13" t="s">
        <v>2711</v>
      </c>
      <c r="H1242" s="13" t="s">
        <v>2712</v>
      </c>
      <c r="I1242" s="13" t="s">
        <v>68</v>
      </c>
      <c r="J1242" s="13">
        <v>1.0</v>
      </c>
      <c r="K1242" s="13" t="s">
        <v>174</v>
      </c>
      <c r="L1242" s="13" t="s">
        <v>175</v>
      </c>
      <c r="M1242" s="13" t="s">
        <v>100</v>
      </c>
      <c r="N1242" s="13" t="s">
        <v>51</v>
      </c>
      <c r="O1242" s="14">
        <v>22.0</v>
      </c>
      <c r="P1242" s="14">
        <f t="shared" si="2"/>
        <v>22</v>
      </c>
      <c r="Q1242" s="14">
        <v>21.27</v>
      </c>
    </row>
    <row r="1243">
      <c r="A1243" s="12">
        <v>42781.0</v>
      </c>
      <c r="B1243" s="12"/>
      <c r="C1243" s="12" t="s">
        <v>2431</v>
      </c>
      <c r="D1243" s="1" t="s">
        <v>1969</v>
      </c>
      <c r="E1243" s="15" t="str">
        <f t="shared" si="1"/>
        <v>Feb</v>
      </c>
      <c r="F1243" s="13" t="s">
        <v>41</v>
      </c>
      <c r="G1243" s="13" t="s">
        <v>2373</v>
      </c>
      <c r="H1243" s="13" t="s">
        <v>2796</v>
      </c>
      <c r="I1243" s="13" t="s">
        <v>23</v>
      </c>
      <c r="J1243" s="13">
        <v>1.0</v>
      </c>
      <c r="K1243" s="13" t="s">
        <v>174</v>
      </c>
      <c r="L1243" s="13" t="s">
        <v>175</v>
      </c>
      <c r="M1243" s="13" t="s">
        <v>100</v>
      </c>
      <c r="N1243" s="13" t="s">
        <v>38</v>
      </c>
      <c r="O1243" s="14">
        <v>398.352</v>
      </c>
      <c r="P1243" s="14">
        <f t="shared" si="2"/>
        <v>398.352</v>
      </c>
      <c r="Q1243" s="14">
        <v>397.73</v>
      </c>
    </row>
    <row r="1244">
      <c r="A1244" s="12">
        <v>42781.0</v>
      </c>
      <c r="B1244" s="12"/>
      <c r="C1244" s="12" t="s">
        <v>2431</v>
      </c>
      <c r="D1244" s="1" t="s">
        <v>1969</v>
      </c>
      <c r="E1244" s="15" t="str">
        <f t="shared" si="1"/>
        <v>Feb</v>
      </c>
      <c r="F1244" s="13" t="s">
        <v>41</v>
      </c>
      <c r="G1244" s="13" t="s">
        <v>2373</v>
      </c>
      <c r="H1244" s="13" t="s">
        <v>2796</v>
      </c>
      <c r="I1244" s="13" t="s">
        <v>23</v>
      </c>
      <c r="J1244" s="13">
        <v>1.0</v>
      </c>
      <c r="K1244" s="13" t="s">
        <v>174</v>
      </c>
      <c r="L1244" s="13" t="s">
        <v>175</v>
      </c>
      <c r="M1244" s="13" t="s">
        <v>100</v>
      </c>
      <c r="N1244" s="13" t="s">
        <v>38</v>
      </c>
      <c r="O1244" s="14">
        <v>8.72</v>
      </c>
      <c r="P1244" s="14">
        <f t="shared" si="2"/>
        <v>8.72</v>
      </c>
      <c r="Q1244" s="14">
        <v>8.58</v>
      </c>
    </row>
    <row r="1245">
      <c r="A1245" s="12">
        <v>43234.0</v>
      </c>
      <c r="B1245" s="12"/>
      <c r="C1245" s="12" t="s">
        <v>2335</v>
      </c>
      <c r="D1245" s="1" t="s">
        <v>1971</v>
      </c>
      <c r="E1245" s="15" t="str">
        <f t="shared" si="1"/>
        <v>May</v>
      </c>
      <c r="F1245" s="13" t="s">
        <v>41</v>
      </c>
      <c r="G1245" s="13" t="s">
        <v>2905</v>
      </c>
      <c r="H1245" s="13" t="s">
        <v>2738</v>
      </c>
      <c r="I1245" s="13" t="s">
        <v>23</v>
      </c>
      <c r="J1245" s="13">
        <v>3.0</v>
      </c>
      <c r="K1245" s="13" t="s">
        <v>1974</v>
      </c>
      <c r="L1245" s="13" t="s">
        <v>827</v>
      </c>
      <c r="M1245" s="13" t="s">
        <v>26</v>
      </c>
      <c r="N1245" s="13" t="s">
        <v>38</v>
      </c>
      <c r="O1245" s="14">
        <v>48.69</v>
      </c>
      <c r="P1245" s="14">
        <f t="shared" si="2"/>
        <v>146.07</v>
      </c>
      <c r="Q1245" s="14">
        <v>48.2</v>
      </c>
    </row>
    <row r="1246">
      <c r="A1246" s="12">
        <v>42350.0</v>
      </c>
      <c r="B1246" s="12"/>
      <c r="C1246" s="12" t="s">
        <v>2325</v>
      </c>
      <c r="D1246" s="1" t="s">
        <v>1976</v>
      </c>
      <c r="E1246" s="15" t="str">
        <f t="shared" si="1"/>
        <v>Dec</v>
      </c>
      <c r="F1246" s="13" t="s">
        <v>20</v>
      </c>
      <c r="G1246" s="13" t="s">
        <v>2465</v>
      </c>
      <c r="H1246" s="13" t="s">
        <v>2599</v>
      </c>
      <c r="I1246" s="13" t="s">
        <v>23</v>
      </c>
      <c r="J1246" s="13">
        <v>9.0</v>
      </c>
      <c r="K1246" s="13" t="s">
        <v>1979</v>
      </c>
      <c r="L1246" s="13" t="s">
        <v>52</v>
      </c>
      <c r="M1246" s="13" t="s">
        <v>37</v>
      </c>
      <c r="N1246" s="13" t="s">
        <v>27</v>
      </c>
      <c r="O1246" s="14">
        <v>764.688</v>
      </c>
      <c r="P1246" s="14">
        <f t="shared" si="2"/>
        <v>6882.192</v>
      </c>
      <c r="Q1246" s="14">
        <v>764.45</v>
      </c>
    </row>
    <row r="1247">
      <c r="A1247" s="12">
        <v>42350.0</v>
      </c>
      <c r="B1247" s="12"/>
      <c r="C1247" s="12" t="s">
        <v>2325</v>
      </c>
      <c r="D1247" s="1" t="s">
        <v>1976</v>
      </c>
      <c r="E1247" s="15" t="str">
        <f t="shared" si="1"/>
        <v>Dec</v>
      </c>
      <c r="F1247" s="13" t="s">
        <v>20</v>
      </c>
      <c r="G1247" s="13" t="s">
        <v>2465</v>
      </c>
      <c r="H1247" s="13" t="s">
        <v>2599</v>
      </c>
      <c r="I1247" s="13" t="s">
        <v>23</v>
      </c>
      <c r="J1247" s="13">
        <v>9.0</v>
      </c>
      <c r="K1247" s="13" t="s">
        <v>1979</v>
      </c>
      <c r="L1247" s="13" t="s">
        <v>52</v>
      </c>
      <c r="M1247" s="13" t="s">
        <v>37</v>
      </c>
      <c r="N1247" s="13" t="s">
        <v>27</v>
      </c>
      <c r="O1247" s="14">
        <v>3610.848</v>
      </c>
      <c r="P1247" s="14">
        <f t="shared" si="2"/>
        <v>32497.632</v>
      </c>
      <c r="Q1247" s="14">
        <v>3610.76</v>
      </c>
    </row>
    <row r="1248">
      <c r="A1248" s="12">
        <v>42350.0</v>
      </c>
      <c r="B1248" s="12"/>
      <c r="C1248" s="12" t="s">
        <v>2325</v>
      </c>
      <c r="D1248" s="1" t="s">
        <v>1976</v>
      </c>
      <c r="E1248" s="15" t="str">
        <f t="shared" si="1"/>
        <v>Dec</v>
      </c>
      <c r="F1248" s="13" t="s">
        <v>20</v>
      </c>
      <c r="G1248" s="13" t="s">
        <v>2465</v>
      </c>
      <c r="H1248" s="13" t="s">
        <v>2599</v>
      </c>
      <c r="I1248" s="13" t="s">
        <v>23</v>
      </c>
      <c r="J1248" s="13">
        <v>9.0</v>
      </c>
      <c r="K1248" s="13" t="s">
        <v>1979</v>
      </c>
      <c r="L1248" s="13" t="s">
        <v>52</v>
      </c>
      <c r="M1248" s="13" t="s">
        <v>37</v>
      </c>
      <c r="N1248" s="13" t="s">
        <v>27</v>
      </c>
      <c r="O1248" s="14">
        <v>254.9745</v>
      </c>
      <c r="P1248" s="14">
        <f t="shared" si="2"/>
        <v>2294.7705</v>
      </c>
      <c r="Q1248" s="14">
        <v>254.54</v>
      </c>
    </row>
    <row r="1249">
      <c r="A1249" s="12">
        <v>43452.0</v>
      </c>
      <c r="B1249" s="12"/>
      <c r="C1249" s="12" t="s">
        <v>2325</v>
      </c>
      <c r="D1249" s="1" t="s">
        <v>1981</v>
      </c>
      <c r="E1249" s="15" t="str">
        <f t="shared" si="1"/>
        <v>Dec</v>
      </c>
      <c r="F1249" s="13" t="s">
        <v>41</v>
      </c>
      <c r="G1249" s="13" t="s">
        <v>2562</v>
      </c>
      <c r="H1249" s="13" t="s">
        <v>2738</v>
      </c>
      <c r="I1249" s="13" t="s">
        <v>23</v>
      </c>
      <c r="J1249" s="13">
        <v>1.0</v>
      </c>
      <c r="K1249" s="13" t="s">
        <v>174</v>
      </c>
      <c r="L1249" s="13" t="s">
        <v>175</v>
      </c>
      <c r="M1249" s="13" t="s">
        <v>100</v>
      </c>
      <c r="N1249" s="13" t="s">
        <v>38</v>
      </c>
      <c r="O1249" s="14">
        <v>38.82</v>
      </c>
      <c r="P1249" s="14">
        <f t="shared" si="2"/>
        <v>38.82</v>
      </c>
      <c r="Q1249" s="14">
        <v>37.87</v>
      </c>
    </row>
    <row r="1250">
      <c r="A1250" s="12">
        <v>43452.0</v>
      </c>
      <c r="B1250" s="12"/>
      <c r="C1250" s="12" t="s">
        <v>2325</v>
      </c>
      <c r="D1250" s="1" t="s">
        <v>1981</v>
      </c>
      <c r="E1250" s="15" t="str">
        <f t="shared" si="1"/>
        <v>Dec</v>
      </c>
      <c r="F1250" s="13" t="s">
        <v>41</v>
      </c>
      <c r="G1250" s="13" t="s">
        <v>2562</v>
      </c>
      <c r="H1250" s="13" t="s">
        <v>2738</v>
      </c>
      <c r="I1250" s="13" t="s">
        <v>23</v>
      </c>
      <c r="J1250" s="13">
        <v>1.0</v>
      </c>
      <c r="K1250" s="13" t="s">
        <v>174</v>
      </c>
      <c r="L1250" s="13" t="s">
        <v>175</v>
      </c>
      <c r="M1250" s="13" t="s">
        <v>100</v>
      </c>
      <c r="N1250" s="13" t="s">
        <v>27</v>
      </c>
      <c r="O1250" s="14">
        <v>1141.938</v>
      </c>
      <c r="P1250" s="14">
        <f t="shared" si="2"/>
        <v>1141.938</v>
      </c>
      <c r="Q1250" s="14">
        <v>1140.99</v>
      </c>
    </row>
    <row r="1251">
      <c r="A1251" s="12">
        <v>43452.0</v>
      </c>
      <c r="B1251" s="12"/>
      <c r="C1251" s="12" t="s">
        <v>2325</v>
      </c>
      <c r="D1251" s="1" t="s">
        <v>1981</v>
      </c>
      <c r="E1251" s="15" t="str">
        <f t="shared" si="1"/>
        <v>Dec</v>
      </c>
      <c r="F1251" s="13" t="s">
        <v>41</v>
      </c>
      <c r="G1251" s="13" t="s">
        <v>2562</v>
      </c>
      <c r="H1251" s="13" t="s">
        <v>2738</v>
      </c>
      <c r="I1251" s="13" t="s">
        <v>23</v>
      </c>
      <c r="J1251" s="13">
        <v>1.0</v>
      </c>
      <c r="K1251" s="13" t="s">
        <v>174</v>
      </c>
      <c r="L1251" s="13" t="s">
        <v>175</v>
      </c>
      <c r="M1251" s="13" t="s">
        <v>100</v>
      </c>
      <c r="N1251" s="13" t="s">
        <v>38</v>
      </c>
      <c r="O1251" s="14">
        <v>1704.56</v>
      </c>
      <c r="P1251" s="14">
        <f t="shared" si="2"/>
        <v>1704.56</v>
      </c>
      <c r="Q1251" s="14">
        <v>1703.65</v>
      </c>
    </row>
    <row r="1252">
      <c r="A1252" s="12">
        <v>43452.0</v>
      </c>
      <c r="B1252" s="12"/>
      <c r="C1252" s="12" t="s">
        <v>2325</v>
      </c>
      <c r="D1252" s="1" t="s">
        <v>1981</v>
      </c>
      <c r="E1252" s="15" t="str">
        <f t="shared" si="1"/>
        <v>Dec</v>
      </c>
      <c r="F1252" s="13" t="s">
        <v>41</v>
      </c>
      <c r="G1252" s="13" t="s">
        <v>2562</v>
      </c>
      <c r="H1252" s="13" t="s">
        <v>2738</v>
      </c>
      <c r="I1252" s="13" t="s">
        <v>23</v>
      </c>
      <c r="J1252" s="13">
        <v>1.0</v>
      </c>
      <c r="K1252" s="13" t="s">
        <v>174</v>
      </c>
      <c r="L1252" s="13" t="s">
        <v>175</v>
      </c>
      <c r="M1252" s="13" t="s">
        <v>100</v>
      </c>
      <c r="N1252" s="13" t="s">
        <v>38</v>
      </c>
      <c r="O1252" s="14">
        <v>3.2</v>
      </c>
      <c r="P1252" s="14">
        <f t="shared" si="2"/>
        <v>3.2</v>
      </c>
      <c r="Q1252" s="14">
        <v>2.62</v>
      </c>
    </row>
    <row r="1253">
      <c r="A1253" s="12">
        <v>42467.0</v>
      </c>
      <c r="B1253" s="12"/>
      <c r="C1253" s="12" t="s">
        <v>2332</v>
      </c>
      <c r="D1253" s="6">
        <v>42620.0</v>
      </c>
      <c r="E1253" s="15" t="str">
        <f t="shared" si="1"/>
        <v>Sep</v>
      </c>
      <c r="F1253" s="13" t="s">
        <v>41</v>
      </c>
      <c r="G1253" s="13" t="s">
        <v>2336</v>
      </c>
      <c r="H1253" s="13" t="s">
        <v>2337</v>
      </c>
      <c r="I1253" s="13" t="s">
        <v>23</v>
      </c>
      <c r="J1253" s="13">
        <v>5.0</v>
      </c>
      <c r="K1253" s="13" t="s">
        <v>1436</v>
      </c>
      <c r="L1253" s="13" t="s">
        <v>77</v>
      </c>
      <c r="M1253" s="13" t="s">
        <v>71</v>
      </c>
      <c r="N1253" s="13" t="s">
        <v>51</v>
      </c>
      <c r="O1253" s="14">
        <v>1099.96</v>
      </c>
      <c r="P1253" s="14">
        <f t="shared" si="2"/>
        <v>5499.8</v>
      </c>
      <c r="Q1253" s="14">
        <v>1099.13</v>
      </c>
    </row>
    <row r="1254">
      <c r="A1254" s="12">
        <v>43376.0</v>
      </c>
      <c r="B1254" s="12"/>
      <c r="C1254" s="12" t="s">
        <v>2358</v>
      </c>
      <c r="D1254" s="1" t="s">
        <v>1984</v>
      </c>
      <c r="E1254" s="15" t="str">
        <f t="shared" si="1"/>
        <v>Mar</v>
      </c>
      <c r="F1254" s="13" t="s">
        <v>41</v>
      </c>
      <c r="G1254" s="13" t="s">
        <v>2906</v>
      </c>
      <c r="H1254" s="13" t="s">
        <v>2376</v>
      </c>
      <c r="I1254" s="13" t="s">
        <v>68</v>
      </c>
      <c r="J1254" s="13">
        <v>1.0</v>
      </c>
      <c r="K1254" s="13" t="s">
        <v>1256</v>
      </c>
      <c r="L1254" s="13" t="s">
        <v>99</v>
      </c>
      <c r="M1254" s="13" t="s">
        <v>100</v>
      </c>
      <c r="N1254" s="13" t="s">
        <v>38</v>
      </c>
      <c r="O1254" s="14">
        <v>5.248</v>
      </c>
      <c r="P1254" s="14">
        <f t="shared" si="2"/>
        <v>5.248</v>
      </c>
      <c r="Q1254" s="14">
        <v>4.52</v>
      </c>
    </row>
    <row r="1255">
      <c r="A1255" s="12">
        <v>43376.0</v>
      </c>
      <c r="B1255" s="12"/>
      <c r="C1255" s="12" t="s">
        <v>2358</v>
      </c>
      <c r="D1255" s="1" t="s">
        <v>1984</v>
      </c>
      <c r="E1255" s="15" t="str">
        <f t="shared" si="1"/>
        <v>Mar</v>
      </c>
      <c r="F1255" s="13" t="s">
        <v>41</v>
      </c>
      <c r="G1255" s="13" t="s">
        <v>2906</v>
      </c>
      <c r="H1255" s="13" t="s">
        <v>2376</v>
      </c>
      <c r="I1255" s="13" t="s">
        <v>68</v>
      </c>
      <c r="J1255" s="13">
        <v>1.0</v>
      </c>
      <c r="K1255" s="13" t="s">
        <v>1256</v>
      </c>
      <c r="L1255" s="13" t="s">
        <v>99</v>
      </c>
      <c r="M1255" s="13" t="s">
        <v>100</v>
      </c>
      <c r="N1255" s="13" t="s">
        <v>51</v>
      </c>
      <c r="O1255" s="14">
        <v>35.91</v>
      </c>
      <c r="P1255" s="14">
        <f t="shared" si="2"/>
        <v>35.91</v>
      </c>
      <c r="Q1255" s="14">
        <v>35.48</v>
      </c>
    </row>
    <row r="1256">
      <c r="A1256" s="12">
        <v>43376.0</v>
      </c>
      <c r="B1256" s="12"/>
      <c r="C1256" s="12" t="s">
        <v>2358</v>
      </c>
      <c r="D1256" s="1" t="s">
        <v>1984</v>
      </c>
      <c r="E1256" s="15" t="str">
        <f t="shared" si="1"/>
        <v>Mar</v>
      </c>
      <c r="F1256" s="13" t="s">
        <v>41</v>
      </c>
      <c r="G1256" s="13" t="s">
        <v>2906</v>
      </c>
      <c r="H1256" s="13" t="s">
        <v>2376</v>
      </c>
      <c r="I1256" s="13" t="s">
        <v>68</v>
      </c>
      <c r="J1256" s="13">
        <v>1.0</v>
      </c>
      <c r="K1256" s="13" t="s">
        <v>1256</v>
      </c>
      <c r="L1256" s="13" t="s">
        <v>99</v>
      </c>
      <c r="M1256" s="13" t="s">
        <v>100</v>
      </c>
      <c r="N1256" s="13" t="s">
        <v>27</v>
      </c>
      <c r="O1256" s="14">
        <v>6.696</v>
      </c>
      <c r="P1256" s="14">
        <f t="shared" si="2"/>
        <v>6.696</v>
      </c>
      <c r="Q1256" s="14">
        <v>5.86</v>
      </c>
    </row>
    <row r="1257">
      <c r="A1257" s="12">
        <v>43376.0</v>
      </c>
      <c r="B1257" s="12"/>
      <c r="C1257" s="12" t="s">
        <v>2358</v>
      </c>
      <c r="D1257" s="1" t="s">
        <v>1984</v>
      </c>
      <c r="E1257" s="15" t="str">
        <f t="shared" si="1"/>
        <v>Mar</v>
      </c>
      <c r="F1257" s="13" t="s">
        <v>41</v>
      </c>
      <c r="G1257" s="13" t="s">
        <v>2906</v>
      </c>
      <c r="H1257" s="13" t="s">
        <v>2376</v>
      </c>
      <c r="I1257" s="13" t="s">
        <v>68</v>
      </c>
      <c r="J1257" s="13">
        <v>1.0</v>
      </c>
      <c r="K1257" s="13" t="s">
        <v>1256</v>
      </c>
      <c r="L1257" s="13" t="s">
        <v>99</v>
      </c>
      <c r="M1257" s="13" t="s">
        <v>100</v>
      </c>
      <c r="N1257" s="13" t="s">
        <v>27</v>
      </c>
      <c r="O1257" s="14">
        <v>43.872</v>
      </c>
      <c r="P1257" s="14">
        <f t="shared" si="2"/>
        <v>43.872</v>
      </c>
      <c r="Q1257" s="14">
        <v>43.2</v>
      </c>
    </row>
    <row r="1258">
      <c r="A1258" s="12">
        <v>43093.0</v>
      </c>
      <c r="B1258" s="12"/>
      <c r="C1258" s="12" t="s">
        <v>2325</v>
      </c>
      <c r="D1258" s="1" t="s">
        <v>1988</v>
      </c>
      <c r="E1258" s="15" t="str">
        <f t="shared" si="1"/>
        <v>Dec</v>
      </c>
      <c r="F1258" s="13" t="s">
        <v>20</v>
      </c>
      <c r="G1258" s="13" t="s">
        <v>2617</v>
      </c>
      <c r="H1258" s="13" t="s">
        <v>2618</v>
      </c>
      <c r="I1258" s="13" t="s">
        <v>68</v>
      </c>
      <c r="J1258" s="13">
        <v>2.0</v>
      </c>
      <c r="K1258" s="13" t="s">
        <v>284</v>
      </c>
      <c r="L1258" s="13" t="s">
        <v>58</v>
      </c>
      <c r="M1258" s="13" t="s">
        <v>26</v>
      </c>
      <c r="N1258" s="13" t="s">
        <v>38</v>
      </c>
      <c r="O1258" s="14">
        <v>27.882</v>
      </c>
      <c r="P1258" s="14">
        <f t="shared" si="2"/>
        <v>55.764</v>
      </c>
      <c r="Q1258" s="14">
        <v>27.08</v>
      </c>
    </row>
    <row r="1259">
      <c r="A1259" s="12">
        <v>43093.0</v>
      </c>
      <c r="B1259" s="12"/>
      <c r="C1259" s="12" t="s">
        <v>2325</v>
      </c>
      <c r="D1259" s="1" t="s">
        <v>1988</v>
      </c>
      <c r="E1259" s="15" t="str">
        <f t="shared" si="1"/>
        <v>Dec</v>
      </c>
      <c r="F1259" s="13" t="s">
        <v>20</v>
      </c>
      <c r="G1259" s="13" t="s">
        <v>2617</v>
      </c>
      <c r="H1259" s="13" t="s">
        <v>2618</v>
      </c>
      <c r="I1259" s="13" t="s">
        <v>68</v>
      </c>
      <c r="J1259" s="13">
        <v>2.0</v>
      </c>
      <c r="K1259" s="13" t="s">
        <v>284</v>
      </c>
      <c r="L1259" s="13" t="s">
        <v>58</v>
      </c>
      <c r="M1259" s="13" t="s">
        <v>26</v>
      </c>
      <c r="N1259" s="13" t="s">
        <v>38</v>
      </c>
      <c r="O1259" s="14">
        <v>540.048</v>
      </c>
      <c r="P1259" s="14">
        <f t="shared" si="2"/>
        <v>1080.096</v>
      </c>
      <c r="Q1259" s="14">
        <v>539.46</v>
      </c>
    </row>
    <row r="1260">
      <c r="A1260" s="12">
        <v>43093.0</v>
      </c>
      <c r="B1260" s="12"/>
      <c r="C1260" s="12" t="s">
        <v>2325</v>
      </c>
      <c r="D1260" s="1" t="s">
        <v>1988</v>
      </c>
      <c r="E1260" s="15" t="str">
        <f t="shared" si="1"/>
        <v>Dec</v>
      </c>
      <c r="F1260" s="13" t="s">
        <v>20</v>
      </c>
      <c r="G1260" s="13" t="s">
        <v>2617</v>
      </c>
      <c r="H1260" s="13" t="s">
        <v>2618</v>
      </c>
      <c r="I1260" s="13" t="s">
        <v>68</v>
      </c>
      <c r="J1260" s="13">
        <v>2.0</v>
      </c>
      <c r="K1260" s="13" t="s">
        <v>284</v>
      </c>
      <c r="L1260" s="13" t="s">
        <v>58</v>
      </c>
      <c r="M1260" s="13" t="s">
        <v>26</v>
      </c>
      <c r="N1260" s="13" t="s">
        <v>51</v>
      </c>
      <c r="O1260" s="14">
        <v>255.68</v>
      </c>
      <c r="P1260" s="14">
        <f t="shared" si="2"/>
        <v>511.36</v>
      </c>
      <c r="Q1260" s="14">
        <v>255.03</v>
      </c>
    </row>
    <row r="1261">
      <c r="A1261" s="12">
        <v>43396.0</v>
      </c>
      <c r="B1261" s="12"/>
      <c r="C1261" s="12" t="s">
        <v>2358</v>
      </c>
      <c r="D1261" s="1" t="s">
        <v>1990</v>
      </c>
      <c r="E1261" s="15" t="str">
        <f t="shared" si="1"/>
        <v>Oct</v>
      </c>
      <c r="F1261" s="13" t="s">
        <v>41</v>
      </c>
      <c r="G1261" s="13" t="s">
        <v>2907</v>
      </c>
      <c r="H1261" s="13" t="s">
        <v>2908</v>
      </c>
      <c r="I1261" s="13" t="s">
        <v>23</v>
      </c>
      <c r="J1261" s="13">
        <v>3.0</v>
      </c>
      <c r="K1261" s="13" t="s">
        <v>849</v>
      </c>
      <c r="L1261" s="13" t="s">
        <v>145</v>
      </c>
      <c r="M1261" s="13" t="s">
        <v>26</v>
      </c>
      <c r="N1261" s="13" t="s">
        <v>51</v>
      </c>
      <c r="O1261" s="14">
        <v>863.88</v>
      </c>
      <c r="P1261" s="14">
        <f t="shared" si="2"/>
        <v>2591.64</v>
      </c>
      <c r="Q1261" s="14">
        <v>863.17</v>
      </c>
    </row>
    <row r="1262">
      <c r="A1262" s="12">
        <v>43036.0</v>
      </c>
      <c r="B1262" s="12"/>
      <c r="C1262" s="12" t="s">
        <v>2358</v>
      </c>
      <c r="D1262" s="6">
        <v>42836.0</v>
      </c>
      <c r="E1262" s="15" t="str">
        <f t="shared" si="1"/>
        <v>Apr</v>
      </c>
      <c r="F1262" s="13" t="s">
        <v>41</v>
      </c>
      <c r="G1262" s="13" t="s">
        <v>2909</v>
      </c>
      <c r="H1262" s="13" t="s">
        <v>2910</v>
      </c>
      <c r="I1262" s="13" t="s">
        <v>34</v>
      </c>
      <c r="J1262" s="13">
        <v>2.0</v>
      </c>
      <c r="K1262" s="13" t="s">
        <v>1996</v>
      </c>
      <c r="L1262" s="13" t="s">
        <v>58</v>
      </c>
      <c r="M1262" s="13" t="s">
        <v>26</v>
      </c>
      <c r="N1262" s="13" t="s">
        <v>38</v>
      </c>
      <c r="O1262" s="14">
        <v>17.616</v>
      </c>
      <c r="P1262" s="14">
        <f t="shared" si="2"/>
        <v>35.232</v>
      </c>
      <c r="Q1262" s="14">
        <v>16.71</v>
      </c>
    </row>
    <row r="1263">
      <c r="A1263" s="12">
        <v>43288.0</v>
      </c>
      <c r="B1263" s="12"/>
      <c r="C1263" s="12" t="s">
        <v>2348</v>
      </c>
      <c r="D1263" s="6">
        <v>43350.0</v>
      </c>
      <c r="E1263" s="15" t="str">
        <f t="shared" si="1"/>
        <v>Sep</v>
      </c>
      <c r="F1263" s="13" t="s">
        <v>20</v>
      </c>
      <c r="G1263" s="13" t="s">
        <v>2532</v>
      </c>
      <c r="H1263" s="13" t="s">
        <v>2631</v>
      </c>
      <c r="I1263" s="13" t="s">
        <v>23</v>
      </c>
      <c r="J1263" s="13">
        <v>1.0</v>
      </c>
      <c r="K1263" s="13" t="s">
        <v>654</v>
      </c>
      <c r="L1263" s="13" t="s">
        <v>175</v>
      </c>
      <c r="M1263" s="13" t="s">
        <v>100</v>
      </c>
      <c r="N1263" s="13" t="s">
        <v>38</v>
      </c>
      <c r="O1263" s="14">
        <v>17.472</v>
      </c>
      <c r="P1263" s="14">
        <f t="shared" si="2"/>
        <v>17.472</v>
      </c>
      <c r="Q1263" s="14">
        <v>17.28</v>
      </c>
    </row>
    <row r="1264">
      <c r="A1264" s="12">
        <v>42745.0</v>
      </c>
      <c r="B1264" s="12"/>
      <c r="C1264" s="12" t="s">
        <v>2353</v>
      </c>
      <c r="D1264" s="6">
        <v>42776.0</v>
      </c>
      <c r="E1264" s="15" t="str">
        <f t="shared" si="1"/>
        <v>Feb</v>
      </c>
      <c r="F1264" s="13" t="s">
        <v>121</v>
      </c>
      <c r="G1264" s="13" t="s">
        <v>2775</v>
      </c>
      <c r="H1264" s="13" t="s">
        <v>2911</v>
      </c>
      <c r="I1264" s="13" t="s">
        <v>23</v>
      </c>
      <c r="J1264" s="13">
        <v>4.0</v>
      </c>
      <c r="K1264" s="13" t="s">
        <v>1873</v>
      </c>
      <c r="L1264" s="13" t="s">
        <v>169</v>
      </c>
      <c r="M1264" s="13" t="s">
        <v>71</v>
      </c>
      <c r="N1264" s="13" t="s">
        <v>51</v>
      </c>
      <c r="O1264" s="14">
        <v>69.9</v>
      </c>
      <c r="P1264" s="14">
        <f t="shared" si="2"/>
        <v>279.6</v>
      </c>
      <c r="Q1264" s="14">
        <v>69.37</v>
      </c>
    </row>
    <row r="1265">
      <c r="A1265" s="12">
        <v>42745.0</v>
      </c>
      <c r="B1265" s="12"/>
      <c r="C1265" s="12" t="s">
        <v>2353</v>
      </c>
      <c r="D1265" s="6">
        <v>42776.0</v>
      </c>
      <c r="E1265" s="15" t="str">
        <f t="shared" si="1"/>
        <v>Feb</v>
      </c>
      <c r="F1265" s="13" t="s">
        <v>121</v>
      </c>
      <c r="G1265" s="13" t="s">
        <v>2775</v>
      </c>
      <c r="H1265" s="13" t="s">
        <v>2911</v>
      </c>
      <c r="I1265" s="13" t="s">
        <v>23</v>
      </c>
      <c r="J1265" s="13">
        <v>4.0</v>
      </c>
      <c r="K1265" s="13" t="s">
        <v>1873</v>
      </c>
      <c r="L1265" s="13" t="s">
        <v>169</v>
      </c>
      <c r="M1265" s="13" t="s">
        <v>71</v>
      </c>
      <c r="N1265" s="13" t="s">
        <v>27</v>
      </c>
      <c r="O1265" s="14">
        <v>41.85</v>
      </c>
      <c r="P1265" s="14">
        <f t="shared" si="2"/>
        <v>167.4</v>
      </c>
      <c r="Q1265" s="14">
        <v>41.21</v>
      </c>
    </row>
    <row r="1266">
      <c r="A1266" s="12">
        <v>43140.0</v>
      </c>
      <c r="B1266" s="12"/>
      <c r="C1266" s="12" t="s">
        <v>2431</v>
      </c>
      <c r="D1266" s="6">
        <v>43290.0</v>
      </c>
      <c r="E1266" s="15" t="str">
        <f t="shared" si="1"/>
        <v>Jul</v>
      </c>
      <c r="F1266" s="13" t="s">
        <v>41</v>
      </c>
      <c r="G1266" s="13" t="s">
        <v>2912</v>
      </c>
      <c r="H1266" s="13" t="s">
        <v>2913</v>
      </c>
      <c r="I1266" s="13" t="s">
        <v>23</v>
      </c>
      <c r="J1266" s="13">
        <v>9.0</v>
      </c>
      <c r="K1266" s="13" t="s">
        <v>87</v>
      </c>
      <c r="L1266" s="13" t="s">
        <v>52</v>
      </c>
      <c r="M1266" s="13" t="s">
        <v>37</v>
      </c>
      <c r="N1266" s="13" t="s">
        <v>38</v>
      </c>
      <c r="O1266" s="14">
        <v>6.57</v>
      </c>
      <c r="P1266" s="14">
        <f t="shared" si="2"/>
        <v>59.13</v>
      </c>
      <c r="Q1266" s="14">
        <v>6.47</v>
      </c>
    </row>
    <row r="1267">
      <c r="A1267" s="12">
        <v>42362.0</v>
      </c>
      <c r="B1267" s="12"/>
      <c r="C1267" s="12" t="s">
        <v>2325</v>
      </c>
      <c r="D1267" s="1" t="s">
        <v>2005</v>
      </c>
      <c r="E1267" s="15" t="str">
        <f t="shared" si="1"/>
        <v>Dec</v>
      </c>
      <c r="F1267" s="13" t="s">
        <v>41</v>
      </c>
      <c r="G1267" s="13" t="s">
        <v>2400</v>
      </c>
      <c r="H1267" s="13" t="s">
        <v>2401</v>
      </c>
      <c r="I1267" s="13" t="s">
        <v>34</v>
      </c>
      <c r="J1267" s="13">
        <v>9.0</v>
      </c>
      <c r="K1267" s="13" t="s">
        <v>35</v>
      </c>
      <c r="L1267" s="13" t="s">
        <v>52</v>
      </c>
      <c r="M1267" s="13" t="s">
        <v>37</v>
      </c>
      <c r="N1267" s="13" t="s">
        <v>38</v>
      </c>
      <c r="O1267" s="14">
        <v>142.86</v>
      </c>
      <c r="P1267" s="14">
        <f t="shared" si="2"/>
        <v>1285.74</v>
      </c>
      <c r="Q1267" s="14">
        <v>142.19</v>
      </c>
    </row>
    <row r="1268">
      <c r="A1268" s="12">
        <v>42362.0</v>
      </c>
      <c r="B1268" s="12"/>
      <c r="C1268" s="12" t="s">
        <v>2325</v>
      </c>
      <c r="D1268" s="1" t="s">
        <v>2005</v>
      </c>
      <c r="E1268" s="15" t="str">
        <f t="shared" si="1"/>
        <v>Dec</v>
      </c>
      <c r="F1268" s="13" t="s">
        <v>41</v>
      </c>
      <c r="G1268" s="13" t="s">
        <v>2400</v>
      </c>
      <c r="H1268" s="13" t="s">
        <v>2401</v>
      </c>
      <c r="I1268" s="13" t="s">
        <v>34</v>
      </c>
      <c r="J1268" s="13">
        <v>9.0</v>
      </c>
      <c r="K1268" s="13" t="s">
        <v>35</v>
      </c>
      <c r="L1268" s="13" t="s">
        <v>52</v>
      </c>
      <c r="M1268" s="13" t="s">
        <v>37</v>
      </c>
      <c r="N1268" s="13" t="s">
        <v>27</v>
      </c>
      <c r="O1268" s="14">
        <v>292.272</v>
      </c>
      <c r="P1268" s="14">
        <f t="shared" si="2"/>
        <v>2630.448</v>
      </c>
      <c r="Q1268" s="14">
        <v>291.82</v>
      </c>
    </row>
    <row r="1269">
      <c r="A1269" s="12">
        <v>43366.0</v>
      </c>
      <c r="B1269" s="12"/>
      <c r="C1269" s="12" t="s">
        <v>2329</v>
      </c>
      <c r="D1269" s="1" t="s">
        <v>2007</v>
      </c>
      <c r="E1269" s="15" t="str">
        <f t="shared" si="1"/>
        <v>Sep</v>
      </c>
      <c r="F1269" s="13" t="s">
        <v>41</v>
      </c>
      <c r="G1269" s="13" t="s">
        <v>2903</v>
      </c>
      <c r="H1269" s="13" t="s">
        <v>2904</v>
      </c>
      <c r="I1269" s="13" t="s">
        <v>34</v>
      </c>
      <c r="J1269" s="13">
        <v>8.0</v>
      </c>
      <c r="K1269" s="13" t="s">
        <v>818</v>
      </c>
      <c r="L1269" s="13" t="s">
        <v>279</v>
      </c>
      <c r="M1269" s="13" t="s">
        <v>37</v>
      </c>
      <c r="N1269" s="13" t="s">
        <v>27</v>
      </c>
      <c r="O1269" s="14">
        <v>29.328</v>
      </c>
      <c r="P1269" s="14">
        <f t="shared" si="2"/>
        <v>234.624</v>
      </c>
      <c r="Q1269" s="14">
        <v>28.51</v>
      </c>
    </row>
    <row r="1270">
      <c r="A1270" s="12">
        <v>43196.0</v>
      </c>
      <c r="B1270" s="12"/>
      <c r="C1270" s="12" t="s">
        <v>2332</v>
      </c>
      <c r="D1270" s="6">
        <v>43318.0</v>
      </c>
      <c r="E1270" s="15" t="str">
        <f t="shared" si="1"/>
        <v>Aug</v>
      </c>
      <c r="F1270" s="13" t="s">
        <v>41</v>
      </c>
      <c r="G1270" s="13" t="s">
        <v>2521</v>
      </c>
      <c r="H1270" s="13" t="s">
        <v>2914</v>
      </c>
      <c r="I1270" s="13" t="s">
        <v>23</v>
      </c>
      <c r="J1270" s="13">
        <v>3.0</v>
      </c>
      <c r="K1270" s="13" t="s">
        <v>1450</v>
      </c>
      <c r="L1270" s="13" t="s">
        <v>220</v>
      </c>
      <c r="M1270" s="13" t="s">
        <v>26</v>
      </c>
      <c r="N1270" s="13" t="s">
        <v>38</v>
      </c>
      <c r="O1270" s="14">
        <v>12.48</v>
      </c>
      <c r="P1270" s="14">
        <f t="shared" si="2"/>
        <v>37.44</v>
      </c>
      <c r="Q1270" s="14">
        <v>11.51</v>
      </c>
    </row>
    <row r="1271">
      <c r="A1271" s="12">
        <v>42846.0</v>
      </c>
      <c r="B1271" s="12"/>
      <c r="C1271" s="12" t="s">
        <v>2332</v>
      </c>
      <c r="D1271" s="1" t="s">
        <v>1738</v>
      </c>
      <c r="E1271" s="15" t="str">
        <f t="shared" si="1"/>
        <v>Apr</v>
      </c>
      <c r="F1271" s="13" t="s">
        <v>41</v>
      </c>
      <c r="G1271" s="13" t="s">
        <v>2729</v>
      </c>
      <c r="H1271" s="13" t="s">
        <v>2730</v>
      </c>
      <c r="I1271" s="13" t="s">
        <v>34</v>
      </c>
      <c r="J1271" s="13">
        <v>6.0</v>
      </c>
      <c r="K1271" s="13" t="s">
        <v>188</v>
      </c>
      <c r="L1271" s="13" t="s">
        <v>135</v>
      </c>
      <c r="M1271" s="13" t="s">
        <v>71</v>
      </c>
      <c r="N1271" s="13" t="s">
        <v>38</v>
      </c>
      <c r="O1271" s="14">
        <v>102.336</v>
      </c>
      <c r="P1271" s="14">
        <f t="shared" si="2"/>
        <v>614.016</v>
      </c>
      <c r="Q1271" s="14">
        <v>102.03</v>
      </c>
    </row>
    <row r="1272">
      <c r="A1272" s="12">
        <v>42846.0</v>
      </c>
      <c r="B1272" s="12"/>
      <c r="C1272" s="12" t="s">
        <v>2332</v>
      </c>
      <c r="D1272" s="1" t="s">
        <v>1738</v>
      </c>
      <c r="E1272" s="15" t="str">
        <f t="shared" si="1"/>
        <v>Apr</v>
      </c>
      <c r="F1272" s="13" t="s">
        <v>41</v>
      </c>
      <c r="G1272" s="13" t="s">
        <v>2729</v>
      </c>
      <c r="H1272" s="13" t="s">
        <v>2730</v>
      </c>
      <c r="I1272" s="13" t="s">
        <v>34</v>
      </c>
      <c r="J1272" s="13">
        <v>6.0</v>
      </c>
      <c r="K1272" s="13" t="s">
        <v>188</v>
      </c>
      <c r="L1272" s="13" t="s">
        <v>135</v>
      </c>
      <c r="M1272" s="13" t="s">
        <v>71</v>
      </c>
      <c r="N1272" s="13" t="s">
        <v>38</v>
      </c>
      <c r="O1272" s="14">
        <v>48.792</v>
      </c>
      <c r="P1272" s="14">
        <f t="shared" si="2"/>
        <v>292.752</v>
      </c>
      <c r="Q1272" s="14">
        <v>48.47</v>
      </c>
    </row>
    <row r="1273">
      <c r="A1273" s="12">
        <v>42846.0</v>
      </c>
      <c r="B1273" s="12"/>
      <c r="C1273" s="12" t="s">
        <v>2332</v>
      </c>
      <c r="D1273" s="1" t="s">
        <v>1738</v>
      </c>
      <c r="E1273" s="15" t="str">
        <f t="shared" si="1"/>
        <v>Apr</v>
      </c>
      <c r="F1273" s="13" t="s">
        <v>41</v>
      </c>
      <c r="G1273" s="13" t="s">
        <v>2729</v>
      </c>
      <c r="H1273" s="13" t="s">
        <v>2730</v>
      </c>
      <c r="I1273" s="13" t="s">
        <v>34</v>
      </c>
      <c r="J1273" s="13">
        <v>6.0</v>
      </c>
      <c r="K1273" s="13" t="s">
        <v>188</v>
      </c>
      <c r="L1273" s="13" t="s">
        <v>135</v>
      </c>
      <c r="M1273" s="13" t="s">
        <v>71</v>
      </c>
      <c r="N1273" s="13" t="s">
        <v>38</v>
      </c>
      <c r="O1273" s="14">
        <v>44.848</v>
      </c>
      <c r="P1273" s="14">
        <f t="shared" si="2"/>
        <v>269.088</v>
      </c>
      <c r="Q1273" s="14">
        <v>44.72</v>
      </c>
    </row>
    <row r="1274">
      <c r="A1274" s="12">
        <v>42881.0</v>
      </c>
      <c r="B1274" s="12"/>
      <c r="C1274" s="12" t="s">
        <v>2335</v>
      </c>
      <c r="D1274" s="1" t="s">
        <v>2013</v>
      </c>
      <c r="E1274" s="15" t="str">
        <f t="shared" si="1"/>
        <v>May</v>
      </c>
      <c r="F1274" s="13" t="s">
        <v>717</v>
      </c>
      <c r="G1274" s="13" t="s">
        <v>2880</v>
      </c>
      <c r="H1274" s="13" t="s">
        <v>2881</v>
      </c>
      <c r="I1274" s="13" t="s">
        <v>23</v>
      </c>
      <c r="J1274" s="13">
        <v>7.0</v>
      </c>
      <c r="K1274" s="13" t="s">
        <v>69</v>
      </c>
      <c r="L1274" s="13" t="s">
        <v>70</v>
      </c>
      <c r="M1274" s="13" t="s">
        <v>71</v>
      </c>
      <c r="N1274" s="13" t="s">
        <v>38</v>
      </c>
      <c r="O1274" s="14">
        <v>10.368</v>
      </c>
      <c r="P1274" s="14">
        <f t="shared" si="2"/>
        <v>72.576</v>
      </c>
      <c r="Q1274" s="14">
        <v>9.44</v>
      </c>
    </row>
    <row r="1275">
      <c r="A1275" s="12">
        <v>42881.0</v>
      </c>
      <c r="B1275" s="12"/>
      <c r="C1275" s="12" t="s">
        <v>2335</v>
      </c>
      <c r="D1275" s="1" t="s">
        <v>2013</v>
      </c>
      <c r="E1275" s="15" t="str">
        <f t="shared" si="1"/>
        <v>May</v>
      </c>
      <c r="F1275" s="13" t="s">
        <v>717</v>
      </c>
      <c r="G1275" s="13" t="s">
        <v>2880</v>
      </c>
      <c r="H1275" s="13" t="s">
        <v>2881</v>
      </c>
      <c r="I1275" s="13" t="s">
        <v>23</v>
      </c>
      <c r="J1275" s="13">
        <v>7.0</v>
      </c>
      <c r="K1275" s="13" t="s">
        <v>69</v>
      </c>
      <c r="L1275" s="13" t="s">
        <v>70</v>
      </c>
      <c r="M1275" s="13" t="s">
        <v>71</v>
      </c>
      <c r="N1275" s="13" t="s">
        <v>27</v>
      </c>
      <c r="O1275" s="14">
        <v>388.43</v>
      </c>
      <c r="P1275" s="14">
        <f t="shared" si="2"/>
        <v>2719.01</v>
      </c>
      <c r="Q1275" s="14">
        <v>388.36</v>
      </c>
    </row>
    <row r="1276">
      <c r="A1276" s="12">
        <v>42881.0</v>
      </c>
      <c r="B1276" s="12"/>
      <c r="C1276" s="12" t="s">
        <v>2335</v>
      </c>
      <c r="D1276" s="1" t="s">
        <v>2013</v>
      </c>
      <c r="E1276" s="15" t="str">
        <f t="shared" si="1"/>
        <v>May</v>
      </c>
      <c r="F1276" s="13" t="s">
        <v>717</v>
      </c>
      <c r="G1276" s="13" t="s">
        <v>2880</v>
      </c>
      <c r="H1276" s="13" t="s">
        <v>2881</v>
      </c>
      <c r="I1276" s="13" t="s">
        <v>23</v>
      </c>
      <c r="J1276" s="13">
        <v>7.0</v>
      </c>
      <c r="K1276" s="13" t="s">
        <v>69</v>
      </c>
      <c r="L1276" s="13" t="s">
        <v>70</v>
      </c>
      <c r="M1276" s="13" t="s">
        <v>71</v>
      </c>
      <c r="N1276" s="13" t="s">
        <v>38</v>
      </c>
      <c r="O1276" s="14">
        <v>14.352</v>
      </c>
      <c r="P1276" s="14">
        <f t="shared" si="2"/>
        <v>100.464</v>
      </c>
      <c r="Q1276" s="14">
        <v>13.52</v>
      </c>
    </row>
    <row r="1277">
      <c r="A1277" s="12">
        <v>42881.0</v>
      </c>
      <c r="B1277" s="12"/>
      <c r="C1277" s="12" t="s">
        <v>2335</v>
      </c>
      <c r="D1277" s="1" t="s">
        <v>2013</v>
      </c>
      <c r="E1277" s="15" t="str">
        <f t="shared" si="1"/>
        <v>May</v>
      </c>
      <c r="F1277" s="13" t="s">
        <v>717</v>
      </c>
      <c r="G1277" s="13" t="s">
        <v>2880</v>
      </c>
      <c r="H1277" s="13" t="s">
        <v>2881</v>
      </c>
      <c r="I1277" s="13" t="s">
        <v>23</v>
      </c>
      <c r="J1277" s="13">
        <v>7.0</v>
      </c>
      <c r="K1277" s="13" t="s">
        <v>69</v>
      </c>
      <c r="L1277" s="13" t="s">
        <v>70</v>
      </c>
      <c r="M1277" s="13" t="s">
        <v>71</v>
      </c>
      <c r="N1277" s="13" t="s">
        <v>51</v>
      </c>
      <c r="O1277" s="14">
        <v>63.992</v>
      </c>
      <c r="P1277" s="14">
        <f t="shared" si="2"/>
        <v>447.944</v>
      </c>
      <c r="Q1277" s="14">
        <v>63.77</v>
      </c>
    </row>
    <row r="1278">
      <c r="A1278" s="12">
        <v>42771.0</v>
      </c>
      <c r="B1278" s="12"/>
      <c r="C1278" s="12" t="s">
        <v>2431</v>
      </c>
      <c r="D1278" s="6">
        <v>42921.0</v>
      </c>
      <c r="E1278" s="15" t="str">
        <f t="shared" si="1"/>
        <v>Jul</v>
      </c>
      <c r="F1278" s="13" t="s">
        <v>41</v>
      </c>
      <c r="G1278" s="13" t="s">
        <v>2781</v>
      </c>
      <c r="H1278" s="13" t="s">
        <v>2915</v>
      </c>
      <c r="I1278" s="13" t="s">
        <v>23</v>
      </c>
      <c r="J1278" s="13">
        <v>7.0</v>
      </c>
      <c r="K1278" s="13" t="s">
        <v>129</v>
      </c>
      <c r="L1278" s="13" t="s">
        <v>70</v>
      </c>
      <c r="M1278" s="13" t="s">
        <v>71</v>
      </c>
      <c r="N1278" s="13" t="s">
        <v>38</v>
      </c>
      <c r="O1278" s="14">
        <v>86.352</v>
      </c>
      <c r="P1278" s="14">
        <f t="shared" si="2"/>
        <v>604.464</v>
      </c>
      <c r="Q1278" s="14">
        <v>85.45</v>
      </c>
    </row>
    <row r="1279">
      <c r="A1279" s="12">
        <v>42225.0</v>
      </c>
      <c r="B1279" s="12"/>
      <c r="C1279" s="12" t="s">
        <v>2322</v>
      </c>
      <c r="D1279" s="6">
        <v>42317.0</v>
      </c>
      <c r="E1279" s="15" t="str">
        <f t="shared" si="1"/>
        <v>Nov</v>
      </c>
      <c r="F1279" s="13" t="s">
        <v>121</v>
      </c>
      <c r="G1279" s="13" t="s">
        <v>2388</v>
      </c>
      <c r="H1279" s="13" t="s">
        <v>2834</v>
      </c>
      <c r="I1279" s="13" t="s">
        <v>34</v>
      </c>
      <c r="J1279" s="13">
        <v>3.0</v>
      </c>
      <c r="K1279" s="13" t="s">
        <v>2018</v>
      </c>
      <c r="L1279" s="13" t="s">
        <v>707</v>
      </c>
      <c r="M1279" s="13" t="s">
        <v>26</v>
      </c>
      <c r="N1279" s="13" t="s">
        <v>51</v>
      </c>
      <c r="O1279" s="14">
        <v>32.97</v>
      </c>
      <c r="P1279" s="14">
        <f t="shared" si="2"/>
        <v>98.91</v>
      </c>
      <c r="Q1279" s="14">
        <v>32.51</v>
      </c>
    </row>
    <row r="1280">
      <c r="A1280" s="12">
        <v>42225.0</v>
      </c>
      <c r="B1280" s="12"/>
      <c r="C1280" s="12" t="s">
        <v>2322</v>
      </c>
      <c r="D1280" s="6">
        <v>42317.0</v>
      </c>
      <c r="E1280" s="15" t="str">
        <f t="shared" si="1"/>
        <v>Nov</v>
      </c>
      <c r="F1280" s="13" t="s">
        <v>121</v>
      </c>
      <c r="G1280" s="13" t="s">
        <v>2388</v>
      </c>
      <c r="H1280" s="13" t="s">
        <v>2834</v>
      </c>
      <c r="I1280" s="13" t="s">
        <v>34</v>
      </c>
      <c r="J1280" s="13">
        <v>3.0</v>
      </c>
      <c r="K1280" s="13" t="s">
        <v>2018</v>
      </c>
      <c r="L1280" s="13" t="s">
        <v>707</v>
      </c>
      <c r="M1280" s="13" t="s">
        <v>26</v>
      </c>
      <c r="N1280" s="13" t="s">
        <v>51</v>
      </c>
      <c r="O1280" s="14">
        <v>83.88</v>
      </c>
      <c r="P1280" s="14">
        <f t="shared" si="2"/>
        <v>251.64</v>
      </c>
      <c r="Q1280" s="14">
        <v>83.08</v>
      </c>
    </row>
    <row r="1281">
      <c r="A1281" s="12">
        <v>42864.0</v>
      </c>
      <c r="B1281" s="12"/>
      <c r="C1281" s="12" t="s">
        <v>2335</v>
      </c>
      <c r="D1281" s="6">
        <v>42895.0</v>
      </c>
      <c r="E1281" s="15" t="str">
        <f t="shared" si="1"/>
        <v>Jun</v>
      </c>
      <c r="F1281" s="13" t="s">
        <v>121</v>
      </c>
      <c r="G1281" s="13" t="s">
        <v>2794</v>
      </c>
      <c r="H1281" s="13" t="s">
        <v>2795</v>
      </c>
      <c r="I1281" s="13" t="s">
        <v>23</v>
      </c>
      <c r="J1281" s="13">
        <v>5.0</v>
      </c>
      <c r="K1281" s="13" t="s">
        <v>2020</v>
      </c>
      <c r="L1281" s="13" t="s">
        <v>298</v>
      </c>
      <c r="M1281" s="13" t="s">
        <v>71</v>
      </c>
      <c r="N1281" s="13" t="s">
        <v>51</v>
      </c>
      <c r="O1281" s="14">
        <v>278.4</v>
      </c>
      <c r="P1281" s="14">
        <f t="shared" si="2"/>
        <v>1392</v>
      </c>
      <c r="Q1281" s="14">
        <v>278.21</v>
      </c>
    </row>
    <row r="1282">
      <c r="A1282" s="12">
        <v>43347.0</v>
      </c>
      <c r="B1282" s="12"/>
      <c r="C1282" s="12" t="s">
        <v>2329</v>
      </c>
      <c r="D1282" s="6">
        <v>43408.0</v>
      </c>
      <c r="E1282" s="15" t="str">
        <f t="shared" si="1"/>
        <v>Nov</v>
      </c>
      <c r="F1282" s="13" t="s">
        <v>121</v>
      </c>
      <c r="G1282" s="13" t="s">
        <v>2916</v>
      </c>
      <c r="H1282" s="13" t="s">
        <v>923</v>
      </c>
      <c r="I1282" s="13" t="s">
        <v>23</v>
      </c>
      <c r="J1282" s="13">
        <v>3.0</v>
      </c>
      <c r="K1282" s="13" t="s">
        <v>849</v>
      </c>
      <c r="L1282" s="13" t="s">
        <v>145</v>
      </c>
      <c r="M1282" s="13" t="s">
        <v>26</v>
      </c>
      <c r="N1282" s="13" t="s">
        <v>38</v>
      </c>
      <c r="O1282" s="14">
        <v>15.12</v>
      </c>
      <c r="P1282" s="14">
        <f t="shared" si="2"/>
        <v>45.36</v>
      </c>
      <c r="Q1282" s="14">
        <v>14.77</v>
      </c>
    </row>
    <row r="1283">
      <c r="A1283" s="12">
        <v>43347.0</v>
      </c>
      <c r="B1283" s="12"/>
      <c r="C1283" s="12" t="s">
        <v>2329</v>
      </c>
      <c r="D1283" s="6">
        <v>43408.0</v>
      </c>
      <c r="E1283" s="15" t="str">
        <f t="shared" si="1"/>
        <v>Nov</v>
      </c>
      <c r="F1283" s="13" t="s">
        <v>121</v>
      </c>
      <c r="G1283" s="13" t="s">
        <v>2916</v>
      </c>
      <c r="H1283" s="16" t="s">
        <v>923</v>
      </c>
      <c r="I1283" s="13" t="s">
        <v>23</v>
      </c>
      <c r="J1283" s="13">
        <v>3.0</v>
      </c>
      <c r="K1283" s="13" t="s">
        <v>849</v>
      </c>
      <c r="L1283" s="13" t="s">
        <v>145</v>
      </c>
      <c r="M1283" s="13" t="s">
        <v>26</v>
      </c>
      <c r="N1283" s="13" t="s">
        <v>38</v>
      </c>
      <c r="O1283" s="14">
        <v>17.43</v>
      </c>
      <c r="P1283" s="14">
        <f t="shared" si="2"/>
        <v>52.29</v>
      </c>
      <c r="Q1283" s="14">
        <v>17.32</v>
      </c>
    </row>
    <row r="1284">
      <c r="A1284" s="12">
        <v>43347.0</v>
      </c>
      <c r="B1284" s="12"/>
      <c r="C1284" s="12" t="s">
        <v>2329</v>
      </c>
      <c r="D1284" s="6">
        <v>43408.0</v>
      </c>
      <c r="E1284" s="15" t="str">
        <f t="shared" si="1"/>
        <v>Nov</v>
      </c>
      <c r="F1284" s="13" t="s">
        <v>121</v>
      </c>
      <c r="G1284" s="13" t="s">
        <v>2916</v>
      </c>
      <c r="H1284" s="13" t="s">
        <v>923</v>
      </c>
      <c r="I1284" s="13" t="s">
        <v>23</v>
      </c>
      <c r="J1284" s="13">
        <v>3.0</v>
      </c>
      <c r="K1284" s="13" t="s">
        <v>849</v>
      </c>
      <c r="L1284" s="13" t="s">
        <v>145</v>
      </c>
      <c r="M1284" s="13" t="s">
        <v>26</v>
      </c>
      <c r="N1284" s="13" t="s">
        <v>38</v>
      </c>
      <c r="O1284" s="14">
        <v>251.64</v>
      </c>
      <c r="P1284" s="14">
        <f t="shared" si="2"/>
        <v>754.92</v>
      </c>
      <c r="Q1284" s="14">
        <v>251.01</v>
      </c>
    </row>
    <row r="1285">
      <c r="A1285" s="12">
        <v>42533.0</v>
      </c>
      <c r="B1285" s="12"/>
      <c r="C1285" s="12" t="s">
        <v>2374</v>
      </c>
      <c r="D1285" s="5">
        <v>42716.0</v>
      </c>
      <c r="E1285" s="15" t="str">
        <f t="shared" si="1"/>
        <v>Dec</v>
      </c>
      <c r="F1285" s="13" t="s">
        <v>41</v>
      </c>
      <c r="G1285" s="13" t="s">
        <v>2571</v>
      </c>
      <c r="H1285" s="13" t="s">
        <v>2572</v>
      </c>
      <c r="I1285" s="13" t="s">
        <v>23</v>
      </c>
      <c r="J1285" s="13">
        <v>7.0</v>
      </c>
      <c r="K1285" s="13" t="s">
        <v>685</v>
      </c>
      <c r="L1285" s="13" t="s">
        <v>70</v>
      </c>
      <c r="M1285" s="13" t="s">
        <v>71</v>
      </c>
      <c r="N1285" s="13" t="s">
        <v>38</v>
      </c>
      <c r="O1285" s="14">
        <v>2.772</v>
      </c>
      <c r="P1285" s="14">
        <f t="shared" si="2"/>
        <v>19.404</v>
      </c>
      <c r="Q1285" s="14">
        <v>2.43</v>
      </c>
    </row>
    <row r="1286">
      <c r="A1286" s="12">
        <v>42912.0</v>
      </c>
      <c r="B1286" s="12"/>
      <c r="C1286" s="12" t="s">
        <v>2374</v>
      </c>
      <c r="D1286" s="6">
        <v>42801.0</v>
      </c>
      <c r="E1286" s="15" t="str">
        <f t="shared" si="1"/>
        <v>Mar</v>
      </c>
      <c r="F1286" s="13" t="s">
        <v>41</v>
      </c>
      <c r="G1286" s="13" t="s">
        <v>2361</v>
      </c>
      <c r="H1286" s="13" t="s">
        <v>2917</v>
      </c>
      <c r="I1286" s="13" t="s">
        <v>23</v>
      </c>
      <c r="J1286" s="13">
        <v>2.0</v>
      </c>
      <c r="K1286" s="13" t="s">
        <v>2026</v>
      </c>
      <c r="L1286" s="13" t="s">
        <v>782</v>
      </c>
      <c r="M1286" s="13" t="s">
        <v>100</v>
      </c>
      <c r="N1286" s="13" t="s">
        <v>38</v>
      </c>
      <c r="O1286" s="14">
        <v>14.9</v>
      </c>
      <c r="P1286" s="14">
        <f t="shared" si="2"/>
        <v>29.8</v>
      </c>
      <c r="Q1286" s="14">
        <v>14.79</v>
      </c>
    </row>
    <row r="1287">
      <c r="A1287" s="12">
        <v>42467.0</v>
      </c>
      <c r="B1287" s="12"/>
      <c r="C1287" s="12" t="s">
        <v>2332</v>
      </c>
      <c r="D1287" s="6">
        <v>42589.0</v>
      </c>
      <c r="E1287" s="15" t="str">
        <f t="shared" si="1"/>
        <v>Aug</v>
      </c>
      <c r="F1287" s="13" t="s">
        <v>41</v>
      </c>
      <c r="G1287" s="13" t="s">
        <v>2438</v>
      </c>
      <c r="H1287" s="13" t="s">
        <v>2439</v>
      </c>
      <c r="I1287" s="13" t="s">
        <v>68</v>
      </c>
      <c r="J1287" s="13">
        <v>1.0</v>
      </c>
      <c r="K1287" s="13" t="s">
        <v>174</v>
      </c>
      <c r="L1287" s="13" t="s">
        <v>175</v>
      </c>
      <c r="M1287" s="13" t="s">
        <v>100</v>
      </c>
      <c r="N1287" s="13" t="s">
        <v>38</v>
      </c>
      <c r="O1287" s="14">
        <v>15.48</v>
      </c>
      <c r="P1287" s="14">
        <f t="shared" si="2"/>
        <v>15.48</v>
      </c>
      <c r="Q1287" s="14">
        <v>14.59</v>
      </c>
    </row>
    <row r="1288">
      <c r="A1288" s="12">
        <v>43061.0</v>
      </c>
      <c r="B1288" s="12"/>
      <c r="C1288" s="12" t="s">
        <v>2326</v>
      </c>
      <c r="D1288" s="1" t="s">
        <v>2029</v>
      </c>
      <c r="E1288" s="15" t="str">
        <f t="shared" si="1"/>
        <v>Nov</v>
      </c>
      <c r="F1288" s="13" t="s">
        <v>41</v>
      </c>
      <c r="G1288" s="13" t="s">
        <v>2918</v>
      </c>
      <c r="H1288" s="13" t="s">
        <v>2919</v>
      </c>
      <c r="I1288" s="13" t="s">
        <v>34</v>
      </c>
      <c r="J1288" s="13">
        <v>1.0</v>
      </c>
      <c r="K1288" s="13" t="s">
        <v>174</v>
      </c>
      <c r="L1288" s="13" t="s">
        <v>175</v>
      </c>
      <c r="M1288" s="13" t="s">
        <v>100</v>
      </c>
      <c r="N1288" s="13" t="s">
        <v>27</v>
      </c>
      <c r="O1288" s="14">
        <v>39.88</v>
      </c>
      <c r="P1288" s="14">
        <f t="shared" si="2"/>
        <v>39.88</v>
      </c>
      <c r="Q1288" s="14">
        <v>39.11</v>
      </c>
    </row>
    <row r="1289">
      <c r="A1289" s="12">
        <v>43061.0</v>
      </c>
      <c r="B1289" s="12"/>
      <c r="C1289" s="12" t="s">
        <v>2326</v>
      </c>
      <c r="D1289" s="1" t="s">
        <v>2029</v>
      </c>
      <c r="E1289" s="15" t="str">
        <f t="shared" si="1"/>
        <v>Nov</v>
      </c>
      <c r="F1289" s="13" t="s">
        <v>41</v>
      </c>
      <c r="G1289" s="13" t="s">
        <v>2918</v>
      </c>
      <c r="H1289" s="13" t="s">
        <v>2919</v>
      </c>
      <c r="I1289" s="13" t="s">
        <v>34</v>
      </c>
      <c r="J1289" s="13">
        <v>1.0</v>
      </c>
      <c r="K1289" s="13" t="s">
        <v>174</v>
      </c>
      <c r="L1289" s="13" t="s">
        <v>175</v>
      </c>
      <c r="M1289" s="13" t="s">
        <v>100</v>
      </c>
      <c r="N1289" s="13" t="s">
        <v>38</v>
      </c>
      <c r="O1289" s="14">
        <v>12.192</v>
      </c>
      <c r="P1289" s="14">
        <f t="shared" si="2"/>
        <v>12.192</v>
      </c>
      <c r="Q1289" s="14">
        <v>11.29</v>
      </c>
    </row>
    <row r="1290">
      <c r="A1290" s="12">
        <v>43061.0</v>
      </c>
      <c r="B1290" s="12"/>
      <c r="C1290" s="12" t="s">
        <v>2326</v>
      </c>
      <c r="D1290" s="1" t="s">
        <v>2029</v>
      </c>
      <c r="E1290" s="15" t="str">
        <f t="shared" si="1"/>
        <v>Nov</v>
      </c>
      <c r="F1290" s="13" t="s">
        <v>41</v>
      </c>
      <c r="G1290" s="13" t="s">
        <v>2918</v>
      </c>
      <c r="H1290" s="13" t="s">
        <v>2919</v>
      </c>
      <c r="I1290" s="13" t="s">
        <v>34</v>
      </c>
      <c r="J1290" s="13">
        <v>1.0</v>
      </c>
      <c r="K1290" s="13" t="s">
        <v>174</v>
      </c>
      <c r="L1290" s="13" t="s">
        <v>175</v>
      </c>
      <c r="M1290" s="13" t="s">
        <v>100</v>
      </c>
      <c r="N1290" s="13" t="s">
        <v>38</v>
      </c>
      <c r="O1290" s="14">
        <v>20.82</v>
      </c>
      <c r="P1290" s="14">
        <f t="shared" si="2"/>
        <v>20.82</v>
      </c>
      <c r="Q1290" s="14">
        <v>20.78</v>
      </c>
    </row>
    <row r="1291">
      <c r="A1291" s="12">
        <v>43019.0</v>
      </c>
      <c r="B1291" s="12"/>
      <c r="C1291" s="12" t="s">
        <v>2358</v>
      </c>
      <c r="D1291" s="5">
        <v>43080.0</v>
      </c>
      <c r="E1291" s="15" t="str">
        <f t="shared" si="1"/>
        <v>Dec</v>
      </c>
      <c r="F1291" s="13" t="s">
        <v>121</v>
      </c>
      <c r="G1291" s="13" t="s">
        <v>2721</v>
      </c>
      <c r="H1291" s="13" t="s">
        <v>2722</v>
      </c>
      <c r="I1291" s="13" t="s">
        <v>68</v>
      </c>
      <c r="J1291" s="13">
        <v>9.0</v>
      </c>
      <c r="K1291" s="13" t="s">
        <v>87</v>
      </c>
      <c r="L1291" s="13" t="s">
        <v>52</v>
      </c>
      <c r="M1291" s="13" t="s">
        <v>37</v>
      </c>
      <c r="N1291" s="13" t="s">
        <v>38</v>
      </c>
      <c r="O1291" s="14">
        <v>13.216</v>
      </c>
      <c r="P1291" s="14">
        <f t="shared" si="2"/>
        <v>118.944</v>
      </c>
      <c r="Q1291" s="14">
        <v>13.11</v>
      </c>
    </row>
    <row r="1292">
      <c r="A1292" s="12">
        <v>43019.0</v>
      </c>
      <c r="B1292" s="12"/>
      <c r="C1292" s="12" t="s">
        <v>2358</v>
      </c>
      <c r="D1292" s="5">
        <v>43080.0</v>
      </c>
      <c r="E1292" s="15" t="str">
        <f t="shared" si="1"/>
        <v>Dec</v>
      </c>
      <c r="F1292" s="13" t="s">
        <v>121</v>
      </c>
      <c r="G1292" s="13" t="s">
        <v>2721</v>
      </c>
      <c r="H1292" s="13" t="s">
        <v>2722</v>
      </c>
      <c r="I1292" s="13" t="s">
        <v>68</v>
      </c>
      <c r="J1292" s="13">
        <v>9.0</v>
      </c>
      <c r="K1292" s="13" t="s">
        <v>87</v>
      </c>
      <c r="L1292" s="13" t="s">
        <v>52</v>
      </c>
      <c r="M1292" s="13" t="s">
        <v>37</v>
      </c>
      <c r="N1292" s="13" t="s">
        <v>38</v>
      </c>
      <c r="O1292" s="14">
        <v>32.4</v>
      </c>
      <c r="P1292" s="14">
        <f t="shared" si="2"/>
        <v>291.6</v>
      </c>
      <c r="Q1292" s="14">
        <v>32.35</v>
      </c>
    </row>
    <row r="1293">
      <c r="A1293" s="12">
        <v>42609.0</v>
      </c>
      <c r="B1293" s="12"/>
      <c r="C1293" s="12" t="s">
        <v>2322</v>
      </c>
      <c r="D1293" s="6">
        <v>42378.0</v>
      </c>
      <c r="E1293" s="15" t="str">
        <f t="shared" si="1"/>
        <v>Jan</v>
      </c>
      <c r="F1293" s="13" t="s">
        <v>41</v>
      </c>
      <c r="G1293" s="13" t="s">
        <v>2440</v>
      </c>
      <c r="H1293" s="13" t="s">
        <v>2441</v>
      </c>
      <c r="I1293" s="13" t="s">
        <v>23</v>
      </c>
      <c r="J1293" s="13">
        <v>9.0</v>
      </c>
      <c r="K1293" s="13" t="s">
        <v>542</v>
      </c>
      <c r="L1293" s="13" t="s">
        <v>52</v>
      </c>
      <c r="M1293" s="13" t="s">
        <v>37</v>
      </c>
      <c r="N1293" s="13" t="s">
        <v>38</v>
      </c>
      <c r="O1293" s="14">
        <v>32.94</v>
      </c>
      <c r="P1293" s="14">
        <f t="shared" si="2"/>
        <v>296.46</v>
      </c>
      <c r="Q1293" s="14">
        <v>32.26</v>
      </c>
    </row>
    <row r="1294">
      <c r="A1294" s="12">
        <v>42609.0</v>
      </c>
      <c r="B1294" s="12"/>
      <c r="C1294" s="12" t="s">
        <v>2322</v>
      </c>
      <c r="D1294" s="6">
        <v>42378.0</v>
      </c>
      <c r="E1294" s="15" t="str">
        <f t="shared" si="1"/>
        <v>Jan</v>
      </c>
      <c r="F1294" s="13" t="s">
        <v>41</v>
      </c>
      <c r="G1294" s="13" t="s">
        <v>2440</v>
      </c>
      <c r="H1294" s="13" t="s">
        <v>2441</v>
      </c>
      <c r="I1294" s="13" t="s">
        <v>23</v>
      </c>
      <c r="J1294" s="13">
        <v>9.0</v>
      </c>
      <c r="K1294" s="13" t="s">
        <v>542</v>
      </c>
      <c r="L1294" s="13" t="s">
        <v>52</v>
      </c>
      <c r="M1294" s="13" t="s">
        <v>37</v>
      </c>
      <c r="N1294" s="13" t="s">
        <v>38</v>
      </c>
      <c r="O1294" s="14">
        <v>114.2</v>
      </c>
      <c r="P1294" s="14">
        <f t="shared" si="2"/>
        <v>1027.8</v>
      </c>
      <c r="Q1294" s="14">
        <v>113.35</v>
      </c>
    </row>
    <row r="1295">
      <c r="A1295" s="12">
        <v>42609.0</v>
      </c>
      <c r="B1295" s="12"/>
      <c r="C1295" s="12" t="s">
        <v>2322</v>
      </c>
      <c r="D1295" s="6">
        <v>42378.0</v>
      </c>
      <c r="E1295" s="15" t="str">
        <f t="shared" si="1"/>
        <v>Jan</v>
      </c>
      <c r="F1295" s="13" t="s">
        <v>41</v>
      </c>
      <c r="G1295" s="13" t="s">
        <v>2440</v>
      </c>
      <c r="H1295" s="13" t="s">
        <v>2441</v>
      </c>
      <c r="I1295" s="13" t="s">
        <v>23</v>
      </c>
      <c r="J1295" s="13">
        <v>9.0</v>
      </c>
      <c r="K1295" s="13" t="s">
        <v>542</v>
      </c>
      <c r="L1295" s="13" t="s">
        <v>52</v>
      </c>
      <c r="M1295" s="13" t="s">
        <v>37</v>
      </c>
      <c r="N1295" s="13" t="s">
        <v>38</v>
      </c>
      <c r="O1295" s="14">
        <v>3.08</v>
      </c>
      <c r="P1295" s="14">
        <f t="shared" si="2"/>
        <v>27.72</v>
      </c>
      <c r="Q1295" s="14">
        <v>3.07</v>
      </c>
    </row>
    <row r="1296">
      <c r="A1296" s="12">
        <v>42515.0</v>
      </c>
      <c r="B1296" s="12"/>
      <c r="C1296" s="12" t="s">
        <v>2335</v>
      </c>
      <c r="D1296" s="1" t="s">
        <v>2035</v>
      </c>
      <c r="E1296" s="15" t="str">
        <f t="shared" si="1"/>
        <v>May</v>
      </c>
      <c r="F1296" s="13" t="s">
        <v>41</v>
      </c>
      <c r="G1296" s="13" t="s">
        <v>2456</v>
      </c>
      <c r="H1296" s="13" t="s">
        <v>2920</v>
      </c>
      <c r="I1296" s="13" t="s">
        <v>23</v>
      </c>
      <c r="J1296" s="13">
        <v>8.0</v>
      </c>
      <c r="K1296" s="13" t="s">
        <v>2038</v>
      </c>
      <c r="L1296" s="13" t="s">
        <v>279</v>
      </c>
      <c r="M1296" s="13" t="s">
        <v>37</v>
      </c>
      <c r="N1296" s="13" t="s">
        <v>38</v>
      </c>
      <c r="O1296" s="14">
        <v>845.728</v>
      </c>
      <c r="P1296" s="14">
        <f t="shared" si="2"/>
        <v>6765.824</v>
      </c>
      <c r="Q1296" s="14">
        <v>844.99</v>
      </c>
    </row>
    <row r="1297">
      <c r="A1297" s="12">
        <v>43464.0</v>
      </c>
      <c r="B1297" s="12"/>
      <c r="C1297" s="12" t="s">
        <v>2325</v>
      </c>
      <c r="D1297" s="6">
        <v>43525.0</v>
      </c>
      <c r="E1297" s="15" t="str">
        <f t="shared" si="1"/>
        <v>Mar</v>
      </c>
      <c r="F1297" s="13" t="s">
        <v>41</v>
      </c>
      <c r="G1297" s="13" t="s">
        <v>2786</v>
      </c>
      <c r="H1297" s="13" t="s">
        <v>2659</v>
      </c>
      <c r="I1297" s="13" t="s">
        <v>34</v>
      </c>
      <c r="J1297" s="13">
        <v>9.0</v>
      </c>
      <c r="K1297" s="13" t="s">
        <v>434</v>
      </c>
      <c r="L1297" s="13" t="s">
        <v>52</v>
      </c>
      <c r="M1297" s="13" t="s">
        <v>37</v>
      </c>
      <c r="N1297" s="13" t="s">
        <v>38</v>
      </c>
      <c r="O1297" s="14">
        <v>13.904</v>
      </c>
      <c r="P1297" s="14">
        <f t="shared" si="2"/>
        <v>125.136</v>
      </c>
      <c r="Q1297" s="14">
        <v>13.62</v>
      </c>
    </row>
    <row r="1298">
      <c r="A1298" s="12">
        <v>43464.0</v>
      </c>
      <c r="B1298" s="12"/>
      <c r="C1298" s="12" t="s">
        <v>2325</v>
      </c>
      <c r="D1298" s="6">
        <v>43525.0</v>
      </c>
      <c r="E1298" s="15" t="str">
        <f t="shared" si="1"/>
        <v>Mar</v>
      </c>
      <c r="F1298" s="13" t="s">
        <v>41</v>
      </c>
      <c r="G1298" s="13" t="s">
        <v>2786</v>
      </c>
      <c r="H1298" s="13" t="s">
        <v>2659</v>
      </c>
      <c r="I1298" s="13" t="s">
        <v>34</v>
      </c>
      <c r="J1298" s="13">
        <v>9.0</v>
      </c>
      <c r="K1298" s="13" t="s">
        <v>434</v>
      </c>
      <c r="L1298" s="13" t="s">
        <v>52</v>
      </c>
      <c r="M1298" s="13" t="s">
        <v>37</v>
      </c>
      <c r="N1298" s="13" t="s">
        <v>38</v>
      </c>
      <c r="O1298" s="14">
        <v>20.72</v>
      </c>
      <c r="P1298" s="14">
        <f t="shared" si="2"/>
        <v>186.48</v>
      </c>
      <c r="Q1298" s="14">
        <v>19.89</v>
      </c>
    </row>
    <row r="1299">
      <c r="A1299" s="12">
        <v>42959.0</v>
      </c>
      <c r="B1299" s="12"/>
      <c r="C1299" s="12" t="s">
        <v>2322</v>
      </c>
      <c r="D1299" s="5">
        <v>43081.0</v>
      </c>
      <c r="E1299" s="15" t="str">
        <f t="shared" si="1"/>
        <v>Dec</v>
      </c>
      <c r="F1299" s="13" t="s">
        <v>20</v>
      </c>
      <c r="G1299" s="13" t="s">
        <v>733</v>
      </c>
      <c r="H1299" s="13" t="s">
        <v>2471</v>
      </c>
      <c r="I1299" s="13" t="s">
        <v>34</v>
      </c>
      <c r="J1299" s="13">
        <v>5.0</v>
      </c>
      <c r="K1299" s="13" t="s">
        <v>267</v>
      </c>
      <c r="L1299" s="13" t="s">
        <v>151</v>
      </c>
      <c r="M1299" s="13" t="s">
        <v>71</v>
      </c>
      <c r="N1299" s="13" t="s">
        <v>51</v>
      </c>
      <c r="O1299" s="14">
        <v>114.95</v>
      </c>
      <c r="P1299" s="14">
        <f t="shared" si="2"/>
        <v>574.75</v>
      </c>
      <c r="Q1299" s="14">
        <v>113.97</v>
      </c>
    </row>
    <row r="1300">
      <c r="A1300" s="12">
        <v>42470.0</v>
      </c>
      <c r="B1300" s="12"/>
      <c r="C1300" s="12" t="s">
        <v>2332</v>
      </c>
      <c r="D1300" s="6">
        <v>42561.0</v>
      </c>
      <c r="E1300" s="15" t="str">
        <f t="shared" si="1"/>
        <v>Jul</v>
      </c>
      <c r="F1300" s="13" t="s">
        <v>121</v>
      </c>
      <c r="G1300" s="13" t="s">
        <v>2889</v>
      </c>
      <c r="H1300" s="13" t="s">
        <v>2890</v>
      </c>
      <c r="I1300" s="13" t="s">
        <v>23</v>
      </c>
      <c r="J1300" s="13">
        <v>9.0</v>
      </c>
      <c r="K1300" s="13" t="s">
        <v>87</v>
      </c>
      <c r="L1300" s="13" t="s">
        <v>52</v>
      </c>
      <c r="M1300" s="13" t="s">
        <v>37</v>
      </c>
      <c r="N1300" s="13" t="s">
        <v>38</v>
      </c>
      <c r="O1300" s="14">
        <v>26.96</v>
      </c>
      <c r="P1300" s="14">
        <f t="shared" si="2"/>
        <v>242.64</v>
      </c>
      <c r="Q1300" s="14">
        <v>26.06</v>
      </c>
    </row>
    <row r="1301">
      <c r="A1301" s="12">
        <v>43092.0</v>
      </c>
      <c r="B1301" s="12"/>
      <c r="C1301" s="12" t="s">
        <v>2325</v>
      </c>
      <c r="D1301" s="1" t="s">
        <v>2047</v>
      </c>
      <c r="E1301" s="15" t="str">
        <f t="shared" si="1"/>
        <v>Dec</v>
      </c>
      <c r="F1301" s="13" t="s">
        <v>20</v>
      </c>
      <c r="G1301" s="13" t="s">
        <v>2499</v>
      </c>
      <c r="H1301" s="13" t="s">
        <v>2500</v>
      </c>
      <c r="I1301" s="13" t="s">
        <v>23</v>
      </c>
      <c r="J1301" s="13">
        <v>2.0</v>
      </c>
      <c r="K1301" s="13" t="s">
        <v>197</v>
      </c>
      <c r="L1301" s="13" t="s">
        <v>198</v>
      </c>
      <c r="M1301" s="13" t="s">
        <v>26</v>
      </c>
      <c r="N1301" s="13" t="s">
        <v>27</v>
      </c>
      <c r="O1301" s="14">
        <v>572.76</v>
      </c>
      <c r="P1301" s="14">
        <f t="shared" si="2"/>
        <v>1145.52</v>
      </c>
      <c r="Q1301" s="14">
        <v>572.23</v>
      </c>
    </row>
    <row r="1302">
      <c r="A1302" s="12">
        <v>43092.0</v>
      </c>
      <c r="B1302" s="12"/>
      <c r="C1302" s="12" t="s">
        <v>2325</v>
      </c>
      <c r="D1302" s="1" t="s">
        <v>2047</v>
      </c>
      <c r="E1302" s="15" t="str">
        <f t="shared" si="1"/>
        <v>Dec</v>
      </c>
      <c r="F1302" s="13" t="s">
        <v>20</v>
      </c>
      <c r="G1302" s="13" t="s">
        <v>2499</v>
      </c>
      <c r="H1302" s="13" t="s">
        <v>2500</v>
      </c>
      <c r="I1302" s="13" t="s">
        <v>23</v>
      </c>
      <c r="J1302" s="13">
        <v>2.0</v>
      </c>
      <c r="K1302" s="13" t="s">
        <v>197</v>
      </c>
      <c r="L1302" s="13" t="s">
        <v>198</v>
      </c>
      <c r="M1302" s="13" t="s">
        <v>26</v>
      </c>
      <c r="N1302" s="13" t="s">
        <v>27</v>
      </c>
      <c r="O1302" s="14">
        <v>286.38</v>
      </c>
      <c r="P1302" s="14">
        <f t="shared" si="2"/>
        <v>572.76</v>
      </c>
      <c r="Q1302" s="14">
        <v>285.56</v>
      </c>
    </row>
    <row r="1303">
      <c r="A1303" s="12">
        <v>42632.0</v>
      </c>
      <c r="B1303" s="12"/>
      <c r="C1303" s="12" t="s">
        <v>2329</v>
      </c>
      <c r="D1303" s="1" t="s">
        <v>2049</v>
      </c>
      <c r="E1303" s="15" t="str">
        <f t="shared" si="1"/>
        <v>Sep</v>
      </c>
      <c r="F1303" s="13" t="s">
        <v>20</v>
      </c>
      <c r="G1303" s="13" t="s">
        <v>2356</v>
      </c>
      <c r="H1303" s="13" t="s">
        <v>2528</v>
      </c>
      <c r="I1303" s="13" t="s">
        <v>68</v>
      </c>
      <c r="J1303" s="13">
        <v>2.0</v>
      </c>
      <c r="K1303" s="13" t="s">
        <v>628</v>
      </c>
      <c r="L1303" s="13" t="s">
        <v>198</v>
      </c>
      <c r="M1303" s="13" t="s">
        <v>26</v>
      </c>
      <c r="N1303" s="13" t="s">
        <v>27</v>
      </c>
      <c r="O1303" s="14">
        <v>61.96</v>
      </c>
      <c r="P1303" s="14">
        <f t="shared" si="2"/>
        <v>123.92</v>
      </c>
      <c r="Q1303" s="14">
        <v>61.66</v>
      </c>
    </row>
    <row r="1304">
      <c r="A1304" s="12">
        <v>43166.0</v>
      </c>
      <c r="B1304" s="12"/>
      <c r="C1304" s="12" t="s">
        <v>2399</v>
      </c>
      <c r="D1304" s="6">
        <v>43288.0</v>
      </c>
      <c r="E1304" s="15" t="str">
        <f t="shared" si="1"/>
        <v>Jul</v>
      </c>
      <c r="F1304" s="13" t="s">
        <v>41</v>
      </c>
      <c r="G1304" s="13" t="s">
        <v>2721</v>
      </c>
      <c r="H1304" s="13" t="s">
        <v>2921</v>
      </c>
      <c r="I1304" s="13" t="s">
        <v>23</v>
      </c>
      <c r="J1304" s="13">
        <v>3.0</v>
      </c>
      <c r="K1304" s="13" t="s">
        <v>303</v>
      </c>
      <c r="L1304" s="13" t="s">
        <v>707</v>
      </c>
      <c r="M1304" s="13" t="s">
        <v>26</v>
      </c>
      <c r="N1304" s="13" t="s">
        <v>27</v>
      </c>
      <c r="O1304" s="14">
        <v>23.99</v>
      </c>
      <c r="P1304" s="14">
        <f t="shared" si="2"/>
        <v>71.97</v>
      </c>
      <c r="Q1304" s="14">
        <v>23.25</v>
      </c>
    </row>
    <row r="1305">
      <c r="A1305" s="12">
        <v>43166.0</v>
      </c>
      <c r="B1305" s="12"/>
      <c r="C1305" s="12" t="s">
        <v>2399</v>
      </c>
      <c r="D1305" s="6">
        <v>43288.0</v>
      </c>
      <c r="E1305" s="15" t="str">
        <f t="shared" si="1"/>
        <v>Jul</v>
      </c>
      <c r="F1305" s="13" t="s">
        <v>41</v>
      </c>
      <c r="G1305" s="13" t="s">
        <v>2721</v>
      </c>
      <c r="H1305" s="13" t="s">
        <v>2921</v>
      </c>
      <c r="I1305" s="13" t="s">
        <v>23</v>
      </c>
      <c r="J1305" s="13">
        <v>3.0</v>
      </c>
      <c r="K1305" s="13" t="s">
        <v>303</v>
      </c>
      <c r="L1305" s="13" t="s">
        <v>707</v>
      </c>
      <c r="M1305" s="13" t="s">
        <v>26</v>
      </c>
      <c r="N1305" s="13" t="s">
        <v>51</v>
      </c>
      <c r="O1305" s="14">
        <v>287.97</v>
      </c>
      <c r="P1305" s="14">
        <f t="shared" si="2"/>
        <v>863.91</v>
      </c>
      <c r="Q1305" s="14">
        <v>287.78</v>
      </c>
    </row>
    <row r="1306">
      <c r="A1306" s="12">
        <v>42930.0</v>
      </c>
      <c r="B1306" s="12"/>
      <c r="C1306" s="12" t="s">
        <v>2348</v>
      </c>
      <c r="D1306" s="1" t="s">
        <v>1006</v>
      </c>
      <c r="E1306" s="15" t="str">
        <f t="shared" si="1"/>
        <v>Jul</v>
      </c>
      <c r="F1306" s="13" t="s">
        <v>20</v>
      </c>
      <c r="G1306" s="13" t="s">
        <v>2781</v>
      </c>
      <c r="H1306" s="13" t="s">
        <v>2782</v>
      </c>
      <c r="I1306" s="13" t="s">
        <v>23</v>
      </c>
      <c r="J1306" s="13">
        <v>7.0</v>
      </c>
      <c r="K1306" s="13" t="s">
        <v>129</v>
      </c>
      <c r="L1306" s="13" t="s">
        <v>70</v>
      </c>
      <c r="M1306" s="13" t="s">
        <v>71</v>
      </c>
      <c r="N1306" s="13" t="s">
        <v>51</v>
      </c>
      <c r="O1306" s="14">
        <v>419.944</v>
      </c>
      <c r="P1306" s="14">
        <f t="shared" si="2"/>
        <v>2939.608</v>
      </c>
      <c r="Q1306" s="14">
        <v>419.72</v>
      </c>
    </row>
    <row r="1307">
      <c r="A1307" s="12">
        <v>42906.0</v>
      </c>
      <c r="B1307" s="12"/>
      <c r="C1307" s="12" t="s">
        <v>2374</v>
      </c>
      <c r="D1307" s="1" t="s">
        <v>2057</v>
      </c>
      <c r="E1307" s="15" t="str">
        <f t="shared" si="1"/>
        <v>Jun</v>
      </c>
      <c r="F1307" s="13" t="s">
        <v>121</v>
      </c>
      <c r="G1307" s="13" t="s">
        <v>2527</v>
      </c>
      <c r="H1307" s="13" t="s">
        <v>2528</v>
      </c>
      <c r="I1307" s="13" t="s">
        <v>23</v>
      </c>
      <c r="J1307" s="13">
        <v>9.0</v>
      </c>
      <c r="K1307" s="13" t="s">
        <v>355</v>
      </c>
      <c r="L1307" s="13" t="s">
        <v>52</v>
      </c>
      <c r="M1307" s="13" t="s">
        <v>37</v>
      </c>
      <c r="N1307" s="13" t="s">
        <v>38</v>
      </c>
      <c r="O1307" s="14">
        <v>46.76</v>
      </c>
      <c r="P1307" s="14">
        <f t="shared" si="2"/>
        <v>420.84</v>
      </c>
      <c r="Q1307" s="14">
        <v>46.62</v>
      </c>
    </row>
    <row r="1308">
      <c r="A1308" s="12">
        <v>42906.0</v>
      </c>
      <c r="B1308" s="12"/>
      <c r="C1308" s="12" t="s">
        <v>2374</v>
      </c>
      <c r="D1308" s="1" t="s">
        <v>2057</v>
      </c>
      <c r="E1308" s="15" t="str">
        <f t="shared" si="1"/>
        <v>Jun</v>
      </c>
      <c r="F1308" s="13" t="s">
        <v>121</v>
      </c>
      <c r="G1308" s="13" t="s">
        <v>2527</v>
      </c>
      <c r="H1308" s="13" t="s">
        <v>2528</v>
      </c>
      <c r="I1308" s="13" t="s">
        <v>23</v>
      </c>
      <c r="J1308" s="13">
        <v>9.0</v>
      </c>
      <c r="K1308" s="13" t="s">
        <v>355</v>
      </c>
      <c r="L1308" s="13" t="s">
        <v>52</v>
      </c>
      <c r="M1308" s="13" t="s">
        <v>37</v>
      </c>
      <c r="N1308" s="13" t="s">
        <v>38</v>
      </c>
      <c r="O1308" s="14">
        <v>17.712</v>
      </c>
      <c r="P1308" s="14">
        <f t="shared" si="2"/>
        <v>159.408</v>
      </c>
      <c r="Q1308" s="14">
        <v>17.71</v>
      </c>
    </row>
    <row r="1309">
      <c r="A1309" s="12">
        <v>42906.0</v>
      </c>
      <c r="B1309" s="12"/>
      <c r="C1309" s="12" t="s">
        <v>2374</v>
      </c>
      <c r="D1309" s="1" t="s">
        <v>2057</v>
      </c>
      <c r="E1309" s="15" t="str">
        <f t="shared" si="1"/>
        <v>Jun</v>
      </c>
      <c r="F1309" s="13" t="s">
        <v>121</v>
      </c>
      <c r="G1309" s="13" t="s">
        <v>2527</v>
      </c>
      <c r="H1309" s="13" t="s">
        <v>2528</v>
      </c>
      <c r="I1309" s="13" t="s">
        <v>23</v>
      </c>
      <c r="J1309" s="13">
        <v>9.0</v>
      </c>
      <c r="K1309" s="13" t="s">
        <v>355</v>
      </c>
      <c r="L1309" s="13" t="s">
        <v>52</v>
      </c>
      <c r="M1309" s="13" t="s">
        <v>37</v>
      </c>
      <c r="N1309" s="13" t="s">
        <v>38</v>
      </c>
      <c r="O1309" s="14">
        <v>21.78</v>
      </c>
      <c r="P1309" s="14">
        <f t="shared" si="2"/>
        <v>196.02</v>
      </c>
      <c r="Q1309" s="14">
        <v>21.26</v>
      </c>
    </row>
    <row r="1310">
      <c r="A1310" s="12">
        <v>42906.0</v>
      </c>
      <c r="B1310" s="12"/>
      <c r="C1310" s="12" t="s">
        <v>2374</v>
      </c>
      <c r="D1310" s="1" t="s">
        <v>2057</v>
      </c>
      <c r="E1310" s="15" t="str">
        <f t="shared" si="1"/>
        <v>Jun</v>
      </c>
      <c r="F1310" s="13" t="s">
        <v>121</v>
      </c>
      <c r="G1310" s="13" t="s">
        <v>2527</v>
      </c>
      <c r="H1310" s="13" t="s">
        <v>2528</v>
      </c>
      <c r="I1310" s="13" t="s">
        <v>23</v>
      </c>
      <c r="J1310" s="13">
        <v>9.0</v>
      </c>
      <c r="K1310" s="13" t="s">
        <v>355</v>
      </c>
      <c r="L1310" s="13" t="s">
        <v>52</v>
      </c>
      <c r="M1310" s="13" t="s">
        <v>37</v>
      </c>
      <c r="N1310" s="13" t="s">
        <v>38</v>
      </c>
      <c r="O1310" s="14">
        <v>161.94</v>
      </c>
      <c r="P1310" s="14">
        <f t="shared" si="2"/>
        <v>1457.46</v>
      </c>
      <c r="Q1310" s="14">
        <v>161.45</v>
      </c>
    </row>
    <row r="1311">
      <c r="A1311" s="12">
        <v>42906.0</v>
      </c>
      <c r="B1311" s="12"/>
      <c r="C1311" s="12" t="s">
        <v>2374</v>
      </c>
      <c r="D1311" s="1" t="s">
        <v>2057</v>
      </c>
      <c r="E1311" s="15" t="str">
        <f t="shared" si="1"/>
        <v>Jun</v>
      </c>
      <c r="F1311" s="13" t="s">
        <v>121</v>
      </c>
      <c r="G1311" s="13" t="s">
        <v>2527</v>
      </c>
      <c r="H1311" s="13" t="s">
        <v>2528</v>
      </c>
      <c r="I1311" s="13" t="s">
        <v>23</v>
      </c>
      <c r="J1311" s="13">
        <v>9.0</v>
      </c>
      <c r="K1311" s="13" t="s">
        <v>355</v>
      </c>
      <c r="L1311" s="13" t="s">
        <v>52</v>
      </c>
      <c r="M1311" s="13" t="s">
        <v>37</v>
      </c>
      <c r="N1311" s="13" t="s">
        <v>27</v>
      </c>
      <c r="O1311" s="14">
        <v>161.568</v>
      </c>
      <c r="P1311" s="14">
        <f t="shared" si="2"/>
        <v>1454.112</v>
      </c>
      <c r="Q1311" s="14">
        <v>161.22</v>
      </c>
    </row>
    <row r="1312">
      <c r="A1312" s="12">
        <v>42990.0</v>
      </c>
      <c r="B1312" s="12"/>
      <c r="C1312" s="12" t="s">
        <v>2329</v>
      </c>
      <c r="D1312" s="1" t="s">
        <v>89</v>
      </c>
      <c r="E1312" s="15" t="str">
        <f t="shared" si="1"/>
        <v>Dec</v>
      </c>
      <c r="F1312" s="13" t="s">
        <v>41</v>
      </c>
      <c r="G1312" s="13" t="s">
        <v>2494</v>
      </c>
      <c r="H1312" s="13" t="s">
        <v>2715</v>
      </c>
      <c r="I1312" s="13" t="s">
        <v>23</v>
      </c>
      <c r="J1312" s="13">
        <v>1.0</v>
      </c>
      <c r="K1312" s="13" t="s">
        <v>822</v>
      </c>
      <c r="L1312" s="13" t="s">
        <v>694</v>
      </c>
      <c r="M1312" s="13" t="s">
        <v>100</v>
      </c>
      <c r="N1312" s="13" t="s">
        <v>38</v>
      </c>
      <c r="O1312" s="14">
        <v>3.69</v>
      </c>
      <c r="P1312" s="14">
        <f t="shared" si="2"/>
        <v>3.69</v>
      </c>
      <c r="Q1312" s="14">
        <v>2.7</v>
      </c>
    </row>
    <row r="1313">
      <c r="A1313" s="12">
        <v>42990.0</v>
      </c>
      <c r="B1313" s="12"/>
      <c r="C1313" s="12" t="s">
        <v>2329</v>
      </c>
      <c r="D1313" s="1" t="s">
        <v>89</v>
      </c>
      <c r="E1313" s="15" t="str">
        <f t="shared" si="1"/>
        <v>Dec</v>
      </c>
      <c r="F1313" s="13" t="s">
        <v>41</v>
      </c>
      <c r="G1313" s="13" t="s">
        <v>2494</v>
      </c>
      <c r="H1313" s="13" t="s">
        <v>2715</v>
      </c>
      <c r="I1313" s="13" t="s">
        <v>23</v>
      </c>
      <c r="J1313" s="13">
        <v>1.0</v>
      </c>
      <c r="K1313" s="13" t="s">
        <v>822</v>
      </c>
      <c r="L1313" s="13" t="s">
        <v>694</v>
      </c>
      <c r="M1313" s="13" t="s">
        <v>100</v>
      </c>
      <c r="N1313" s="13" t="s">
        <v>38</v>
      </c>
      <c r="O1313" s="14">
        <v>122.12</v>
      </c>
      <c r="P1313" s="14">
        <f t="shared" si="2"/>
        <v>122.12</v>
      </c>
      <c r="Q1313" s="14">
        <v>121.37</v>
      </c>
    </row>
    <row r="1314">
      <c r="A1314" s="12">
        <v>43002.0</v>
      </c>
      <c r="B1314" s="12"/>
      <c r="C1314" s="12" t="s">
        <v>2329</v>
      </c>
      <c r="D1314" s="6">
        <v>42745.0</v>
      </c>
      <c r="E1314" s="15" t="str">
        <f t="shared" si="1"/>
        <v>Jan</v>
      </c>
      <c r="F1314" s="13" t="s">
        <v>41</v>
      </c>
      <c r="G1314" s="13" t="s">
        <v>2340</v>
      </c>
      <c r="H1314" s="13" t="s">
        <v>2341</v>
      </c>
      <c r="I1314" s="13" t="s">
        <v>23</v>
      </c>
      <c r="J1314" s="13">
        <v>4.0</v>
      </c>
      <c r="K1314" s="13" t="s">
        <v>303</v>
      </c>
      <c r="L1314" s="13" t="s">
        <v>304</v>
      </c>
      <c r="M1314" s="13" t="s">
        <v>100</v>
      </c>
      <c r="N1314" s="13" t="s">
        <v>27</v>
      </c>
      <c r="O1314" s="14">
        <v>155.372</v>
      </c>
      <c r="P1314" s="14">
        <f t="shared" si="2"/>
        <v>621.488</v>
      </c>
      <c r="Q1314" s="14">
        <v>154.79</v>
      </c>
    </row>
    <row r="1315">
      <c r="A1315" s="12">
        <v>43087.0</v>
      </c>
      <c r="B1315" s="12"/>
      <c r="C1315" s="12" t="s">
        <v>2325</v>
      </c>
      <c r="D1315" s="1" t="s">
        <v>2061</v>
      </c>
      <c r="E1315" s="15" t="str">
        <f t="shared" si="1"/>
        <v>Dec</v>
      </c>
      <c r="F1315" s="13" t="s">
        <v>41</v>
      </c>
      <c r="G1315" s="13" t="s">
        <v>2390</v>
      </c>
      <c r="H1315" s="13" t="s">
        <v>2922</v>
      </c>
      <c r="I1315" s="13" t="s">
        <v>34</v>
      </c>
      <c r="J1315" s="13">
        <v>9.0</v>
      </c>
      <c r="K1315" s="13" t="s">
        <v>35</v>
      </c>
      <c r="L1315" s="13" t="s">
        <v>52</v>
      </c>
      <c r="M1315" s="13" t="s">
        <v>37</v>
      </c>
      <c r="N1315" s="13" t="s">
        <v>38</v>
      </c>
      <c r="O1315" s="14">
        <v>38.88</v>
      </c>
      <c r="P1315" s="14">
        <f t="shared" si="2"/>
        <v>349.92</v>
      </c>
      <c r="Q1315" s="14">
        <v>38.0</v>
      </c>
    </row>
    <row r="1316">
      <c r="A1316" s="12">
        <v>43087.0</v>
      </c>
      <c r="B1316" s="12"/>
      <c r="C1316" s="12" t="s">
        <v>2325</v>
      </c>
      <c r="D1316" s="1" t="s">
        <v>2061</v>
      </c>
      <c r="E1316" s="15" t="str">
        <f t="shared" si="1"/>
        <v>Dec</v>
      </c>
      <c r="F1316" s="13" t="s">
        <v>41</v>
      </c>
      <c r="G1316" s="13" t="s">
        <v>2390</v>
      </c>
      <c r="H1316" s="13" t="s">
        <v>2922</v>
      </c>
      <c r="I1316" s="13" t="s">
        <v>34</v>
      </c>
      <c r="J1316" s="13">
        <v>9.0</v>
      </c>
      <c r="K1316" s="13" t="s">
        <v>35</v>
      </c>
      <c r="L1316" s="13" t="s">
        <v>52</v>
      </c>
      <c r="M1316" s="13" t="s">
        <v>37</v>
      </c>
      <c r="N1316" s="13" t="s">
        <v>27</v>
      </c>
      <c r="O1316" s="14">
        <v>183.84</v>
      </c>
      <c r="P1316" s="14">
        <f t="shared" si="2"/>
        <v>1654.56</v>
      </c>
      <c r="Q1316" s="14">
        <v>183.21</v>
      </c>
    </row>
    <row r="1317">
      <c r="A1317" s="12">
        <v>43087.0</v>
      </c>
      <c r="B1317" s="12"/>
      <c r="C1317" s="12" t="s">
        <v>2325</v>
      </c>
      <c r="D1317" s="1" t="s">
        <v>2061</v>
      </c>
      <c r="E1317" s="15" t="str">
        <f t="shared" si="1"/>
        <v>Dec</v>
      </c>
      <c r="F1317" s="13" t="s">
        <v>41</v>
      </c>
      <c r="G1317" s="13" t="s">
        <v>2390</v>
      </c>
      <c r="H1317" s="13" t="s">
        <v>2922</v>
      </c>
      <c r="I1317" s="13" t="s">
        <v>34</v>
      </c>
      <c r="J1317" s="13">
        <v>9.0</v>
      </c>
      <c r="K1317" s="13" t="s">
        <v>35</v>
      </c>
      <c r="L1317" s="13" t="s">
        <v>52</v>
      </c>
      <c r="M1317" s="13" t="s">
        <v>37</v>
      </c>
      <c r="N1317" s="13" t="s">
        <v>38</v>
      </c>
      <c r="O1317" s="14">
        <v>579.3</v>
      </c>
      <c r="P1317" s="14">
        <f t="shared" si="2"/>
        <v>5213.7</v>
      </c>
      <c r="Q1317" s="14">
        <v>579.25</v>
      </c>
    </row>
    <row r="1318">
      <c r="A1318" s="12">
        <v>43385.0</v>
      </c>
      <c r="B1318" s="12"/>
      <c r="C1318" s="12" t="s">
        <v>2358</v>
      </c>
      <c r="D1318" s="1" t="s">
        <v>485</v>
      </c>
      <c r="E1318" s="15" t="str">
        <f t="shared" si="1"/>
        <v>Dec</v>
      </c>
      <c r="F1318" s="13" t="s">
        <v>41</v>
      </c>
      <c r="G1318" s="13" t="s">
        <v>2452</v>
      </c>
      <c r="H1318" s="13" t="s">
        <v>2453</v>
      </c>
      <c r="I1318" s="13" t="s">
        <v>23</v>
      </c>
      <c r="J1318" s="13">
        <v>1.0</v>
      </c>
      <c r="K1318" s="13" t="s">
        <v>98</v>
      </c>
      <c r="L1318" s="13" t="s">
        <v>99</v>
      </c>
      <c r="M1318" s="13" t="s">
        <v>100</v>
      </c>
      <c r="N1318" s="13" t="s">
        <v>51</v>
      </c>
      <c r="O1318" s="14">
        <v>14.2</v>
      </c>
      <c r="P1318" s="14">
        <f t="shared" si="2"/>
        <v>14.2</v>
      </c>
      <c r="Q1318" s="14">
        <v>13.64</v>
      </c>
    </row>
    <row r="1319">
      <c r="A1319" s="12">
        <v>42011.0</v>
      </c>
      <c r="B1319" s="12"/>
      <c r="C1319" s="12" t="s">
        <v>2353</v>
      </c>
      <c r="D1319" s="6">
        <v>42131.0</v>
      </c>
      <c r="E1319" s="15" t="str">
        <f t="shared" si="1"/>
        <v>May</v>
      </c>
      <c r="F1319" s="13" t="s">
        <v>41</v>
      </c>
      <c r="G1319" s="13" t="s">
        <v>2503</v>
      </c>
      <c r="H1319" s="13" t="s">
        <v>2923</v>
      </c>
      <c r="I1319" s="13" t="s">
        <v>34</v>
      </c>
      <c r="J1319" s="13">
        <v>3.0</v>
      </c>
      <c r="K1319" s="13" t="s">
        <v>2068</v>
      </c>
      <c r="L1319" s="13" t="s">
        <v>145</v>
      </c>
      <c r="M1319" s="13" t="s">
        <v>26</v>
      </c>
      <c r="N1319" s="13" t="s">
        <v>51</v>
      </c>
      <c r="O1319" s="14">
        <v>575.92</v>
      </c>
      <c r="P1319" s="14">
        <f t="shared" si="2"/>
        <v>1727.76</v>
      </c>
      <c r="Q1319" s="14">
        <v>574.96</v>
      </c>
    </row>
    <row r="1320">
      <c r="A1320" s="12">
        <v>42011.0</v>
      </c>
      <c r="B1320" s="12"/>
      <c r="C1320" s="12" t="s">
        <v>2353</v>
      </c>
      <c r="D1320" s="6">
        <v>42131.0</v>
      </c>
      <c r="E1320" s="15" t="str">
        <f t="shared" si="1"/>
        <v>May</v>
      </c>
      <c r="F1320" s="13" t="s">
        <v>41</v>
      </c>
      <c r="G1320" s="13" t="s">
        <v>2503</v>
      </c>
      <c r="H1320" s="13" t="s">
        <v>2923</v>
      </c>
      <c r="I1320" s="13" t="s">
        <v>34</v>
      </c>
      <c r="J1320" s="13">
        <v>3.0</v>
      </c>
      <c r="K1320" s="13" t="s">
        <v>2068</v>
      </c>
      <c r="L1320" s="13" t="s">
        <v>145</v>
      </c>
      <c r="M1320" s="13" t="s">
        <v>26</v>
      </c>
      <c r="N1320" s="13" t="s">
        <v>38</v>
      </c>
      <c r="O1320" s="14">
        <v>5.184</v>
      </c>
      <c r="P1320" s="14">
        <f t="shared" si="2"/>
        <v>15.552</v>
      </c>
      <c r="Q1320" s="14">
        <v>4.82</v>
      </c>
    </row>
    <row r="1321">
      <c r="A1321" s="12">
        <v>43161.0</v>
      </c>
      <c r="B1321" s="12"/>
      <c r="C1321" s="12" t="s">
        <v>2399</v>
      </c>
      <c r="D1321" s="6">
        <v>43314.0</v>
      </c>
      <c r="E1321" s="15" t="str">
        <f t="shared" si="1"/>
        <v>Aug</v>
      </c>
      <c r="F1321" s="13" t="s">
        <v>41</v>
      </c>
      <c r="G1321" s="13" t="s">
        <v>2359</v>
      </c>
      <c r="H1321" s="13" t="s">
        <v>2528</v>
      </c>
      <c r="I1321" s="13" t="s">
        <v>23</v>
      </c>
      <c r="J1321" s="13">
        <v>4.0</v>
      </c>
      <c r="K1321" s="13" t="s">
        <v>579</v>
      </c>
      <c r="L1321" s="13" t="s">
        <v>304</v>
      </c>
      <c r="M1321" s="13" t="s">
        <v>100</v>
      </c>
      <c r="N1321" s="13" t="s">
        <v>38</v>
      </c>
      <c r="O1321" s="14">
        <v>5.229</v>
      </c>
      <c r="P1321" s="14">
        <f t="shared" si="2"/>
        <v>20.916</v>
      </c>
      <c r="Q1321" s="14">
        <v>4.59</v>
      </c>
    </row>
    <row r="1322">
      <c r="A1322" s="12">
        <v>43161.0</v>
      </c>
      <c r="B1322" s="12"/>
      <c r="C1322" s="12" t="s">
        <v>2399</v>
      </c>
      <c r="D1322" s="6">
        <v>43314.0</v>
      </c>
      <c r="E1322" s="15" t="str">
        <f t="shared" si="1"/>
        <v>Aug</v>
      </c>
      <c r="F1322" s="13" t="s">
        <v>41</v>
      </c>
      <c r="G1322" s="13" t="s">
        <v>2359</v>
      </c>
      <c r="H1322" s="13" t="s">
        <v>2528</v>
      </c>
      <c r="I1322" s="13" t="s">
        <v>23</v>
      </c>
      <c r="J1322" s="13">
        <v>4.0</v>
      </c>
      <c r="K1322" s="13" t="s">
        <v>579</v>
      </c>
      <c r="L1322" s="13" t="s">
        <v>304</v>
      </c>
      <c r="M1322" s="13" t="s">
        <v>100</v>
      </c>
      <c r="N1322" s="13" t="s">
        <v>38</v>
      </c>
      <c r="O1322" s="14">
        <v>285.552</v>
      </c>
      <c r="P1322" s="14">
        <f t="shared" si="2"/>
        <v>1142.208</v>
      </c>
      <c r="Q1322" s="14">
        <v>285.41</v>
      </c>
    </row>
    <row r="1323">
      <c r="A1323" s="12">
        <v>43162.0</v>
      </c>
      <c r="B1323" s="12"/>
      <c r="C1323" s="12" t="s">
        <v>2399</v>
      </c>
      <c r="D1323" s="6">
        <v>43315.0</v>
      </c>
      <c r="E1323" s="15" t="str">
        <f t="shared" si="1"/>
        <v>Aug</v>
      </c>
      <c r="F1323" s="13" t="s">
        <v>41</v>
      </c>
      <c r="G1323" s="13" t="s">
        <v>2666</v>
      </c>
      <c r="H1323" s="13" t="s">
        <v>2599</v>
      </c>
      <c r="I1323" s="13" t="s">
        <v>23</v>
      </c>
      <c r="J1323" s="13">
        <v>4.0</v>
      </c>
      <c r="K1323" s="13" t="s">
        <v>2075</v>
      </c>
      <c r="L1323" s="13" t="s">
        <v>25</v>
      </c>
      <c r="M1323" s="13" t="s">
        <v>26</v>
      </c>
      <c r="N1323" s="13" t="s">
        <v>38</v>
      </c>
      <c r="O1323" s="14">
        <v>72.8</v>
      </c>
      <c r="P1323" s="14">
        <f t="shared" si="2"/>
        <v>291.2</v>
      </c>
      <c r="Q1323" s="14">
        <v>72.63</v>
      </c>
    </row>
    <row r="1324">
      <c r="A1324" s="12">
        <v>43353.0</v>
      </c>
      <c r="B1324" s="12"/>
      <c r="C1324" s="12" t="s">
        <v>2329</v>
      </c>
      <c r="D1324" s="5">
        <v>43383.0</v>
      </c>
      <c r="E1324" s="15" t="str">
        <f t="shared" si="1"/>
        <v>Oct</v>
      </c>
      <c r="F1324" s="13" t="s">
        <v>121</v>
      </c>
      <c r="G1324" s="13" t="s">
        <v>2924</v>
      </c>
      <c r="H1324" s="13" t="s">
        <v>2925</v>
      </c>
      <c r="I1324" s="13" t="s">
        <v>23</v>
      </c>
      <c r="J1324" s="13">
        <v>2.0</v>
      </c>
      <c r="K1324" s="13" t="s">
        <v>315</v>
      </c>
      <c r="L1324" s="13" t="s">
        <v>58</v>
      </c>
      <c r="M1324" s="13" t="s">
        <v>26</v>
      </c>
      <c r="N1324" s="13" t="s">
        <v>38</v>
      </c>
      <c r="O1324" s="14">
        <v>10.816</v>
      </c>
      <c r="P1324" s="14">
        <f t="shared" si="2"/>
        <v>21.632</v>
      </c>
      <c r="Q1324" s="14">
        <v>10.77</v>
      </c>
    </row>
    <row r="1325">
      <c r="A1325" s="12">
        <v>42275.0</v>
      </c>
      <c r="B1325" s="12"/>
      <c r="C1325" s="12" t="s">
        <v>2329</v>
      </c>
      <c r="D1325" s="6">
        <v>42073.0</v>
      </c>
      <c r="E1325" s="15" t="str">
        <f t="shared" si="1"/>
        <v>Mar</v>
      </c>
      <c r="F1325" s="13" t="s">
        <v>41</v>
      </c>
      <c r="G1325" s="13" t="s">
        <v>2822</v>
      </c>
      <c r="H1325" s="13" t="s">
        <v>2926</v>
      </c>
      <c r="I1325" s="13" t="s">
        <v>34</v>
      </c>
      <c r="J1325" s="13">
        <v>1.0</v>
      </c>
      <c r="K1325" s="13" t="s">
        <v>822</v>
      </c>
      <c r="L1325" s="13" t="s">
        <v>694</v>
      </c>
      <c r="M1325" s="13" t="s">
        <v>100</v>
      </c>
      <c r="N1325" s="13" t="s">
        <v>38</v>
      </c>
      <c r="O1325" s="14">
        <v>46.26</v>
      </c>
      <c r="P1325" s="14">
        <f t="shared" si="2"/>
        <v>46.26</v>
      </c>
      <c r="Q1325" s="14">
        <v>45.29</v>
      </c>
    </row>
    <row r="1326">
      <c r="A1326" s="12">
        <v>42151.0</v>
      </c>
      <c r="B1326" s="12"/>
      <c r="C1326" s="12" t="s">
        <v>2335</v>
      </c>
      <c r="D1326" s="1" t="s">
        <v>2083</v>
      </c>
      <c r="E1326" s="15" t="str">
        <f t="shared" si="1"/>
        <v>May</v>
      </c>
      <c r="F1326" s="13" t="s">
        <v>121</v>
      </c>
      <c r="G1326" s="13" t="s">
        <v>2503</v>
      </c>
      <c r="H1326" s="13" t="s">
        <v>2504</v>
      </c>
      <c r="I1326" s="13" t="s">
        <v>23</v>
      </c>
      <c r="J1326" s="13">
        <v>6.0</v>
      </c>
      <c r="K1326" s="13" t="s">
        <v>188</v>
      </c>
      <c r="L1326" s="13" t="s">
        <v>135</v>
      </c>
      <c r="M1326" s="13" t="s">
        <v>71</v>
      </c>
      <c r="N1326" s="13" t="s">
        <v>38</v>
      </c>
      <c r="O1326" s="14">
        <v>17.46</v>
      </c>
      <c r="P1326" s="14">
        <f t="shared" si="2"/>
        <v>104.76</v>
      </c>
      <c r="Q1326" s="14">
        <v>16.75</v>
      </c>
    </row>
    <row r="1327">
      <c r="A1327" s="12">
        <v>42535.0</v>
      </c>
      <c r="B1327" s="12"/>
      <c r="C1327" s="12" t="s">
        <v>2374</v>
      </c>
      <c r="D1327" s="1" t="s">
        <v>2085</v>
      </c>
      <c r="E1327" s="15" t="str">
        <f t="shared" si="1"/>
        <v>Jun</v>
      </c>
      <c r="F1327" s="13" t="s">
        <v>41</v>
      </c>
      <c r="G1327" s="13" t="s">
        <v>2438</v>
      </c>
      <c r="H1327" s="13" t="s">
        <v>2439</v>
      </c>
      <c r="I1327" s="13" t="s">
        <v>68</v>
      </c>
      <c r="J1327" s="13">
        <v>1.0</v>
      </c>
      <c r="K1327" s="13" t="s">
        <v>98</v>
      </c>
      <c r="L1327" s="13" t="s">
        <v>99</v>
      </c>
      <c r="M1327" s="13" t="s">
        <v>100</v>
      </c>
      <c r="N1327" s="13" t="s">
        <v>27</v>
      </c>
      <c r="O1327" s="14">
        <v>51.072</v>
      </c>
      <c r="P1327" s="14">
        <f t="shared" si="2"/>
        <v>51.072</v>
      </c>
      <c r="Q1327" s="14">
        <v>50.77</v>
      </c>
    </row>
    <row r="1328">
      <c r="A1328" s="12">
        <v>42824.0</v>
      </c>
      <c r="B1328" s="12"/>
      <c r="C1328" s="12" t="s">
        <v>2399</v>
      </c>
      <c r="D1328" s="6">
        <v>42739.0</v>
      </c>
      <c r="E1328" s="15" t="str">
        <f t="shared" si="1"/>
        <v>Jan</v>
      </c>
      <c r="F1328" s="13" t="s">
        <v>121</v>
      </c>
      <c r="G1328" s="13" t="s">
        <v>2896</v>
      </c>
      <c r="H1328" s="13" t="s">
        <v>2927</v>
      </c>
      <c r="I1328" s="13" t="s">
        <v>34</v>
      </c>
      <c r="J1328" s="13">
        <v>6.0</v>
      </c>
      <c r="K1328" s="13" t="s">
        <v>2089</v>
      </c>
      <c r="L1328" s="13" t="s">
        <v>435</v>
      </c>
      <c r="M1328" s="13" t="s">
        <v>100</v>
      </c>
      <c r="N1328" s="13" t="s">
        <v>38</v>
      </c>
      <c r="O1328" s="14">
        <v>11.34</v>
      </c>
      <c r="P1328" s="14">
        <f t="shared" si="2"/>
        <v>68.04</v>
      </c>
      <c r="Q1328" s="14">
        <v>11.27</v>
      </c>
    </row>
    <row r="1329">
      <c r="A1329" s="12">
        <v>43388.0</v>
      </c>
      <c r="B1329" s="12"/>
      <c r="C1329" s="12" t="s">
        <v>2358</v>
      </c>
      <c r="D1329" s="1" t="s">
        <v>2091</v>
      </c>
      <c r="E1329" s="15" t="str">
        <f t="shared" si="1"/>
        <v>Oct</v>
      </c>
      <c r="F1329" s="13" t="s">
        <v>20</v>
      </c>
      <c r="G1329" s="13" t="s">
        <v>2483</v>
      </c>
      <c r="H1329" s="13" t="s">
        <v>2455</v>
      </c>
      <c r="I1329" s="13" t="s">
        <v>68</v>
      </c>
      <c r="J1329" s="13">
        <v>9.0</v>
      </c>
      <c r="K1329" s="13" t="s">
        <v>87</v>
      </c>
      <c r="L1329" s="13" t="s">
        <v>52</v>
      </c>
      <c r="M1329" s="13" t="s">
        <v>37</v>
      </c>
      <c r="N1329" s="13" t="s">
        <v>38</v>
      </c>
      <c r="O1329" s="14">
        <v>87.92</v>
      </c>
      <c r="P1329" s="14">
        <f t="shared" si="2"/>
        <v>791.28</v>
      </c>
      <c r="Q1329" s="14">
        <v>87.9</v>
      </c>
    </row>
    <row r="1330">
      <c r="A1330" s="12">
        <v>42878.0</v>
      </c>
      <c r="B1330" s="12"/>
      <c r="C1330" s="12" t="s">
        <v>2335</v>
      </c>
      <c r="D1330" s="1" t="s">
        <v>2095</v>
      </c>
      <c r="E1330" s="15" t="str">
        <f t="shared" si="1"/>
        <v>May</v>
      </c>
      <c r="F1330" s="13" t="s">
        <v>41</v>
      </c>
      <c r="G1330" s="13" t="s">
        <v>2773</v>
      </c>
      <c r="H1330" s="13" t="s">
        <v>2875</v>
      </c>
      <c r="I1330" s="13" t="s">
        <v>23</v>
      </c>
      <c r="J1330" s="13">
        <v>9.0</v>
      </c>
      <c r="K1330" s="13" t="s">
        <v>87</v>
      </c>
      <c r="L1330" s="13" t="s">
        <v>52</v>
      </c>
      <c r="M1330" s="13" t="s">
        <v>37</v>
      </c>
      <c r="N1330" s="13" t="s">
        <v>27</v>
      </c>
      <c r="O1330" s="14">
        <v>37.05</v>
      </c>
      <c r="P1330" s="14">
        <f t="shared" si="2"/>
        <v>333.45</v>
      </c>
      <c r="Q1330" s="14">
        <v>36.89</v>
      </c>
    </row>
    <row r="1331">
      <c r="A1331" s="12">
        <v>43137.0</v>
      </c>
      <c r="B1331" s="12"/>
      <c r="C1331" s="12" t="s">
        <v>2431</v>
      </c>
      <c r="D1331" s="6">
        <v>43257.0</v>
      </c>
      <c r="E1331" s="15" t="str">
        <f t="shared" si="1"/>
        <v>Jun</v>
      </c>
      <c r="F1331" s="13" t="s">
        <v>41</v>
      </c>
      <c r="G1331" s="13" t="s">
        <v>2342</v>
      </c>
      <c r="H1331" s="13" t="s">
        <v>2928</v>
      </c>
      <c r="I1331" s="13" t="s">
        <v>68</v>
      </c>
      <c r="J1331" s="13">
        <v>4.0</v>
      </c>
      <c r="K1331" s="13" t="s">
        <v>1472</v>
      </c>
      <c r="L1331" s="13" t="s">
        <v>304</v>
      </c>
      <c r="M1331" s="13" t="s">
        <v>100</v>
      </c>
      <c r="N1331" s="13" t="s">
        <v>51</v>
      </c>
      <c r="O1331" s="14">
        <v>2.97</v>
      </c>
      <c r="P1331" s="14">
        <f t="shared" si="2"/>
        <v>11.88</v>
      </c>
      <c r="Q1331" s="14">
        <v>2.87</v>
      </c>
    </row>
    <row r="1332">
      <c r="A1332" s="12">
        <v>43137.0</v>
      </c>
      <c r="B1332" s="12"/>
      <c r="C1332" s="12" t="s">
        <v>2431</v>
      </c>
      <c r="D1332" s="6">
        <v>43257.0</v>
      </c>
      <c r="E1332" s="15" t="str">
        <f t="shared" si="1"/>
        <v>Jun</v>
      </c>
      <c r="F1332" s="13" t="s">
        <v>41</v>
      </c>
      <c r="G1332" s="13" t="s">
        <v>2342</v>
      </c>
      <c r="H1332" s="13" t="s">
        <v>2928</v>
      </c>
      <c r="I1332" s="13" t="s">
        <v>68</v>
      </c>
      <c r="J1332" s="13">
        <v>4.0</v>
      </c>
      <c r="K1332" s="13" t="s">
        <v>1472</v>
      </c>
      <c r="L1332" s="13" t="s">
        <v>304</v>
      </c>
      <c r="M1332" s="13" t="s">
        <v>100</v>
      </c>
      <c r="N1332" s="13" t="s">
        <v>38</v>
      </c>
      <c r="O1332" s="14">
        <v>27.44</v>
      </c>
      <c r="P1332" s="14">
        <f t="shared" si="2"/>
        <v>109.76</v>
      </c>
      <c r="Q1332" s="14">
        <v>27.29</v>
      </c>
    </row>
    <row r="1333">
      <c r="A1333" s="12">
        <v>42051.0</v>
      </c>
      <c r="B1333" s="12"/>
      <c r="C1333" s="12" t="s">
        <v>2431</v>
      </c>
      <c r="D1333" s="1" t="s">
        <v>2102</v>
      </c>
      <c r="E1333" s="15" t="str">
        <f t="shared" si="1"/>
        <v>Feb</v>
      </c>
      <c r="F1333" s="13" t="s">
        <v>41</v>
      </c>
      <c r="G1333" s="13" t="s">
        <v>2507</v>
      </c>
      <c r="H1333" s="13" t="s">
        <v>2364</v>
      </c>
      <c r="I1333" s="13" t="s">
        <v>23</v>
      </c>
      <c r="J1333" s="13">
        <v>7.0</v>
      </c>
      <c r="K1333" s="13" t="s">
        <v>480</v>
      </c>
      <c r="L1333" s="13" t="s">
        <v>70</v>
      </c>
      <c r="M1333" s="13" t="s">
        <v>71</v>
      </c>
      <c r="N1333" s="13" t="s">
        <v>38</v>
      </c>
      <c r="O1333" s="14">
        <v>1.08</v>
      </c>
      <c r="P1333" s="14">
        <f t="shared" si="2"/>
        <v>7.56</v>
      </c>
      <c r="Q1333" s="14">
        <v>0.93</v>
      </c>
    </row>
    <row r="1334">
      <c r="A1334" s="12">
        <v>42051.0</v>
      </c>
      <c r="B1334" s="12"/>
      <c r="C1334" s="12" t="s">
        <v>2431</v>
      </c>
      <c r="D1334" s="1" t="s">
        <v>2102</v>
      </c>
      <c r="E1334" s="15" t="str">
        <f t="shared" si="1"/>
        <v>Feb</v>
      </c>
      <c r="F1334" s="13" t="s">
        <v>41</v>
      </c>
      <c r="G1334" s="13" t="s">
        <v>2507</v>
      </c>
      <c r="H1334" s="13" t="s">
        <v>2364</v>
      </c>
      <c r="I1334" s="13" t="s">
        <v>23</v>
      </c>
      <c r="J1334" s="13">
        <v>7.0</v>
      </c>
      <c r="K1334" s="13" t="s">
        <v>480</v>
      </c>
      <c r="L1334" s="13" t="s">
        <v>70</v>
      </c>
      <c r="M1334" s="13" t="s">
        <v>71</v>
      </c>
      <c r="N1334" s="13" t="s">
        <v>38</v>
      </c>
      <c r="O1334" s="14">
        <v>7.96</v>
      </c>
      <c r="P1334" s="14">
        <f t="shared" si="2"/>
        <v>55.72</v>
      </c>
      <c r="Q1334" s="14">
        <v>7.64</v>
      </c>
    </row>
    <row r="1335">
      <c r="A1335" s="12">
        <v>42160.0</v>
      </c>
      <c r="B1335" s="12"/>
      <c r="C1335" s="12" t="s">
        <v>2374</v>
      </c>
      <c r="D1335" s="6">
        <v>42282.0</v>
      </c>
      <c r="E1335" s="15" t="str">
        <f t="shared" si="1"/>
        <v>Oct</v>
      </c>
      <c r="F1335" s="13" t="s">
        <v>41</v>
      </c>
      <c r="G1335" s="13" t="s">
        <v>2338</v>
      </c>
      <c r="H1335" s="13" t="s">
        <v>2339</v>
      </c>
      <c r="I1335" s="13" t="s">
        <v>68</v>
      </c>
      <c r="J1335" s="13">
        <v>9.0</v>
      </c>
      <c r="K1335" s="13" t="s">
        <v>35</v>
      </c>
      <c r="L1335" s="13" t="s">
        <v>52</v>
      </c>
      <c r="M1335" s="13" t="s">
        <v>37</v>
      </c>
      <c r="N1335" s="13" t="s">
        <v>38</v>
      </c>
      <c r="O1335" s="14">
        <v>140.736</v>
      </c>
      <c r="P1335" s="14">
        <f t="shared" si="2"/>
        <v>1266.624</v>
      </c>
      <c r="Q1335" s="14">
        <v>139.83</v>
      </c>
    </row>
    <row r="1336">
      <c r="A1336" s="12">
        <v>42871.0</v>
      </c>
      <c r="B1336" s="12"/>
      <c r="C1336" s="12" t="s">
        <v>2335</v>
      </c>
      <c r="D1336" s="1" t="s">
        <v>983</v>
      </c>
      <c r="E1336" s="15" t="str">
        <f t="shared" si="1"/>
        <v>May</v>
      </c>
      <c r="F1336" s="13" t="s">
        <v>41</v>
      </c>
      <c r="G1336" s="13" t="s">
        <v>2407</v>
      </c>
      <c r="H1336" s="13" t="s">
        <v>2692</v>
      </c>
      <c r="I1336" s="13" t="s">
        <v>23</v>
      </c>
      <c r="J1336" s="13">
        <v>6.0</v>
      </c>
      <c r="K1336" s="13" t="s">
        <v>2109</v>
      </c>
      <c r="L1336" s="13" t="s">
        <v>435</v>
      </c>
      <c r="M1336" s="13" t="s">
        <v>100</v>
      </c>
      <c r="N1336" s="13" t="s">
        <v>38</v>
      </c>
      <c r="O1336" s="14">
        <v>552.56</v>
      </c>
      <c r="P1336" s="14">
        <f t="shared" si="2"/>
        <v>3315.36</v>
      </c>
      <c r="Q1336" s="14">
        <v>551.95</v>
      </c>
    </row>
    <row r="1337">
      <c r="A1337" s="12">
        <v>43135.0</v>
      </c>
      <c r="B1337" s="12"/>
      <c r="C1337" s="12" t="s">
        <v>2431</v>
      </c>
      <c r="D1337" s="6">
        <v>43285.0</v>
      </c>
      <c r="E1337" s="15" t="str">
        <f t="shared" si="1"/>
        <v>Jul</v>
      </c>
      <c r="F1337" s="13" t="s">
        <v>41</v>
      </c>
      <c r="G1337" s="13" t="s">
        <v>2929</v>
      </c>
      <c r="H1337" s="13" t="s">
        <v>2930</v>
      </c>
      <c r="I1337" s="13" t="s">
        <v>23</v>
      </c>
      <c r="J1337" s="13">
        <v>9.0</v>
      </c>
      <c r="K1337" s="13" t="s">
        <v>35</v>
      </c>
      <c r="L1337" s="13" t="s">
        <v>52</v>
      </c>
      <c r="M1337" s="13" t="s">
        <v>37</v>
      </c>
      <c r="N1337" s="13" t="s">
        <v>27</v>
      </c>
      <c r="O1337" s="14">
        <v>25.11</v>
      </c>
      <c r="P1337" s="14">
        <f t="shared" si="2"/>
        <v>225.99</v>
      </c>
      <c r="Q1337" s="14">
        <v>24.28</v>
      </c>
    </row>
    <row r="1338">
      <c r="A1338" s="12">
        <v>43190.0</v>
      </c>
      <c r="B1338" s="12"/>
      <c r="C1338" s="12" t="s">
        <v>2399</v>
      </c>
      <c r="D1338" s="6">
        <v>43135.0</v>
      </c>
      <c r="E1338" s="15" t="str">
        <f t="shared" si="1"/>
        <v>Feb</v>
      </c>
      <c r="F1338" s="13" t="s">
        <v>20</v>
      </c>
      <c r="G1338" s="13" t="s">
        <v>2473</v>
      </c>
      <c r="H1338" s="13" t="s">
        <v>2931</v>
      </c>
      <c r="I1338" s="13" t="s">
        <v>23</v>
      </c>
      <c r="J1338" s="13">
        <v>1.0</v>
      </c>
      <c r="K1338" s="13" t="s">
        <v>174</v>
      </c>
      <c r="L1338" s="13" t="s">
        <v>175</v>
      </c>
      <c r="M1338" s="13" t="s">
        <v>100</v>
      </c>
      <c r="N1338" s="13" t="s">
        <v>27</v>
      </c>
      <c r="O1338" s="14">
        <v>29.78</v>
      </c>
      <c r="P1338" s="14">
        <f t="shared" si="2"/>
        <v>29.78</v>
      </c>
      <c r="Q1338" s="14">
        <v>29.58</v>
      </c>
    </row>
    <row r="1339">
      <c r="A1339" s="12">
        <v>43190.0</v>
      </c>
      <c r="B1339" s="12"/>
      <c r="C1339" s="12" t="s">
        <v>2399</v>
      </c>
      <c r="D1339" s="6">
        <v>43135.0</v>
      </c>
      <c r="E1339" s="15" t="str">
        <f t="shared" si="1"/>
        <v>Feb</v>
      </c>
      <c r="F1339" s="13" t="s">
        <v>20</v>
      </c>
      <c r="G1339" s="13" t="s">
        <v>2473</v>
      </c>
      <c r="H1339" s="13" t="s">
        <v>2931</v>
      </c>
      <c r="I1339" s="13" t="s">
        <v>23</v>
      </c>
      <c r="J1339" s="13">
        <v>1.0</v>
      </c>
      <c r="K1339" s="13" t="s">
        <v>174</v>
      </c>
      <c r="L1339" s="13" t="s">
        <v>175</v>
      </c>
      <c r="M1339" s="13" t="s">
        <v>100</v>
      </c>
      <c r="N1339" s="13" t="s">
        <v>51</v>
      </c>
      <c r="O1339" s="14">
        <v>677.58</v>
      </c>
      <c r="P1339" s="14">
        <f t="shared" si="2"/>
        <v>677.58</v>
      </c>
      <c r="Q1339" s="14">
        <v>677.48</v>
      </c>
    </row>
    <row r="1340">
      <c r="A1340" s="12">
        <v>43190.0</v>
      </c>
      <c r="B1340" s="12"/>
      <c r="C1340" s="12" t="s">
        <v>2399</v>
      </c>
      <c r="D1340" s="6">
        <v>43135.0</v>
      </c>
      <c r="E1340" s="15" t="str">
        <f t="shared" si="1"/>
        <v>Feb</v>
      </c>
      <c r="F1340" s="13" t="s">
        <v>20</v>
      </c>
      <c r="G1340" s="13" t="s">
        <v>2473</v>
      </c>
      <c r="H1340" s="13" t="s">
        <v>2931</v>
      </c>
      <c r="I1340" s="13" t="s">
        <v>23</v>
      </c>
      <c r="J1340" s="13">
        <v>1.0</v>
      </c>
      <c r="K1340" s="13" t="s">
        <v>174</v>
      </c>
      <c r="L1340" s="13" t="s">
        <v>175</v>
      </c>
      <c r="M1340" s="13" t="s">
        <v>100</v>
      </c>
      <c r="N1340" s="13" t="s">
        <v>38</v>
      </c>
      <c r="O1340" s="14">
        <v>75.04</v>
      </c>
      <c r="P1340" s="14">
        <f t="shared" si="2"/>
        <v>75.04</v>
      </c>
      <c r="Q1340" s="14">
        <v>74.14</v>
      </c>
    </row>
    <row r="1341">
      <c r="A1341" s="12">
        <v>43132.0</v>
      </c>
      <c r="B1341" s="12"/>
      <c r="C1341" s="12" t="s">
        <v>2431</v>
      </c>
      <c r="D1341" s="6">
        <v>43191.0</v>
      </c>
      <c r="E1341" s="15" t="str">
        <f t="shared" si="1"/>
        <v>Apr</v>
      </c>
      <c r="F1341" s="13" t="s">
        <v>121</v>
      </c>
      <c r="G1341" s="13" t="s">
        <v>2932</v>
      </c>
      <c r="H1341" s="13" t="s">
        <v>2933</v>
      </c>
      <c r="I1341" s="13" t="s">
        <v>34</v>
      </c>
      <c r="J1341" s="13">
        <v>2.0</v>
      </c>
      <c r="K1341" s="13" t="s">
        <v>849</v>
      </c>
      <c r="L1341" s="13" t="s">
        <v>58</v>
      </c>
      <c r="M1341" s="13" t="s">
        <v>26</v>
      </c>
      <c r="N1341" s="13" t="s">
        <v>51</v>
      </c>
      <c r="O1341" s="14">
        <v>695.7</v>
      </c>
      <c r="P1341" s="14">
        <f t="shared" si="2"/>
        <v>1391.4</v>
      </c>
      <c r="Q1341" s="14">
        <v>695.28</v>
      </c>
    </row>
    <row r="1342">
      <c r="A1342" s="12">
        <v>43132.0</v>
      </c>
      <c r="B1342" s="12"/>
      <c r="C1342" s="12" t="s">
        <v>2431</v>
      </c>
      <c r="D1342" s="6">
        <v>43191.0</v>
      </c>
      <c r="E1342" s="15" t="str">
        <f t="shared" si="1"/>
        <v>Apr</v>
      </c>
      <c r="F1342" s="13" t="s">
        <v>121</v>
      </c>
      <c r="G1342" s="13" t="s">
        <v>2932</v>
      </c>
      <c r="H1342" s="13" t="s">
        <v>2933</v>
      </c>
      <c r="I1342" s="13" t="s">
        <v>34</v>
      </c>
      <c r="J1342" s="13">
        <v>2.0</v>
      </c>
      <c r="K1342" s="13" t="s">
        <v>849</v>
      </c>
      <c r="L1342" s="13" t="s">
        <v>58</v>
      </c>
      <c r="M1342" s="13" t="s">
        <v>26</v>
      </c>
      <c r="N1342" s="13" t="s">
        <v>38</v>
      </c>
      <c r="O1342" s="14">
        <v>15.66</v>
      </c>
      <c r="P1342" s="14">
        <f t="shared" si="2"/>
        <v>31.32</v>
      </c>
      <c r="Q1342" s="14">
        <v>14.93</v>
      </c>
    </row>
    <row r="1343">
      <c r="A1343" s="12">
        <v>43132.0</v>
      </c>
      <c r="B1343" s="12"/>
      <c r="C1343" s="12" t="s">
        <v>2431</v>
      </c>
      <c r="D1343" s="6">
        <v>43191.0</v>
      </c>
      <c r="E1343" s="15" t="str">
        <f t="shared" si="1"/>
        <v>Apr</v>
      </c>
      <c r="F1343" s="13" t="s">
        <v>121</v>
      </c>
      <c r="G1343" s="13" t="s">
        <v>2932</v>
      </c>
      <c r="H1343" s="13" t="s">
        <v>2933</v>
      </c>
      <c r="I1343" s="13" t="s">
        <v>34</v>
      </c>
      <c r="J1343" s="13">
        <v>2.0</v>
      </c>
      <c r="K1343" s="13" t="s">
        <v>849</v>
      </c>
      <c r="L1343" s="13" t="s">
        <v>58</v>
      </c>
      <c r="M1343" s="13" t="s">
        <v>26</v>
      </c>
      <c r="N1343" s="13" t="s">
        <v>38</v>
      </c>
      <c r="O1343" s="14">
        <v>28.854</v>
      </c>
      <c r="P1343" s="14">
        <f t="shared" si="2"/>
        <v>57.708</v>
      </c>
      <c r="Q1343" s="14">
        <v>28.41</v>
      </c>
    </row>
    <row r="1344">
      <c r="A1344" s="12">
        <v>42518.0</v>
      </c>
      <c r="B1344" s="12"/>
      <c r="C1344" s="12" t="s">
        <v>2335</v>
      </c>
      <c r="D1344" s="6">
        <v>42375.0</v>
      </c>
      <c r="E1344" s="15" t="str">
        <f t="shared" si="1"/>
        <v>Jan</v>
      </c>
      <c r="F1344" s="13" t="s">
        <v>41</v>
      </c>
      <c r="G1344" s="13" t="s">
        <v>2409</v>
      </c>
      <c r="H1344" s="13" t="s">
        <v>2410</v>
      </c>
      <c r="I1344" s="13" t="s">
        <v>23</v>
      </c>
      <c r="J1344" s="13">
        <v>1.0</v>
      </c>
      <c r="K1344" s="13" t="s">
        <v>2120</v>
      </c>
      <c r="L1344" s="13" t="s">
        <v>175</v>
      </c>
      <c r="M1344" s="13" t="s">
        <v>100</v>
      </c>
      <c r="N1344" s="13" t="s">
        <v>38</v>
      </c>
      <c r="O1344" s="14">
        <v>47.82</v>
      </c>
      <c r="P1344" s="14">
        <f t="shared" si="2"/>
        <v>47.82</v>
      </c>
      <c r="Q1344" s="14">
        <v>47.44</v>
      </c>
    </row>
    <row r="1345">
      <c r="A1345" s="12">
        <v>42518.0</v>
      </c>
      <c r="B1345" s="12"/>
      <c r="C1345" s="12" t="s">
        <v>2335</v>
      </c>
      <c r="D1345" s="6">
        <v>42375.0</v>
      </c>
      <c r="E1345" s="15" t="str">
        <f t="shared" si="1"/>
        <v>Jan</v>
      </c>
      <c r="F1345" s="13" t="s">
        <v>41</v>
      </c>
      <c r="G1345" s="13" t="s">
        <v>2409</v>
      </c>
      <c r="H1345" s="13" t="s">
        <v>2410</v>
      </c>
      <c r="I1345" s="13" t="s">
        <v>23</v>
      </c>
      <c r="J1345" s="13">
        <v>1.0</v>
      </c>
      <c r="K1345" s="13" t="s">
        <v>2120</v>
      </c>
      <c r="L1345" s="13" t="s">
        <v>175</v>
      </c>
      <c r="M1345" s="13" t="s">
        <v>100</v>
      </c>
      <c r="N1345" s="13" t="s">
        <v>38</v>
      </c>
      <c r="O1345" s="14">
        <v>13.05</v>
      </c>
      <c r="P1345" s="14">
        <f t="shared" si="2"/>
        <v>13.05</v>
      </c>
      <c r="Q1345" s="14">
        <v>12.85</v>
      </c>
    </row>
    <row r="1346">
      <c r="A1346" s="12">
        <v>42080.0</v>
      </c>
      <c r="B1346" s="12"/>
      <c r="C1346" s="12" t="s">
        <v>2399</v>
      </c>
      <c r="D1346" s="1" t="s">
        <v>2122</v>
      </c>
      <c r="E1346" s="15" t="str">
        <f t="shared" si="1"/>
        <v>Mar</v>
      </c>
      <c r="F1346" s="13" t="s">
        <v>41</v>
      </c>
      <c r="G1346" s="13" t="s">
        <v>2652</v>
      </c>
      <c r="H1346" s="13" t="s">
        <v>2364</v>
      </c>
      <c r="I1346" s="13" t="s">
        <v>23</v>
      </c>
      <c r="J1346" s="13">
        <v>5.0</v>
      </c>
      <c r="K1346" s="13" t="s">
        <v>533</v>
      </c>
      <c r="L1346" s="13" t="s">
        <v>151</v>
      </c>
      <c r="M1346" s="13" t="s">
        <v>71</v>
      </c>
      <c r="N1346" s="13" t="s">
        <v>38</v>
      </c>
      <c r="O1346" s="14">
        <v>93.78</v>
      </c>
      <c r="P1346" s="14">
        <f t="shared" si="2"/>
        <v>468.9</v>
      </c>
      <c r="Q1346" s="14">
        <v>93.01</v>
      </c>
    </row>
    <row r="1347">
      <c r="A1347" s="12">
        <v>42080.0</v>
      </c>
      <c r="B1347" s="12"/>
      <c r="C1347" s="12" t="s">
        <v>2399</v>
      </c>
      <c r="D1347" s="1" t="s">
        <v>2122</v>
      </c>
      <c r="E1347" s="15" t="str">
        <f t="shared" si="1"/>
        <v>Mar</v>
      </c>
      <c r="F1347" s="13" t="s">
        <v>41</v>
      </c>
      <c r="G1347" s="13" t="s">
        <v>2652</v>
      </c>
      <c r="H1347" s="13" t="s">
        <v>2364</v>
      </c>
      <c r="I1347" s="13" t="s">
        <v>23</v>
      </c>
      <c r="J1347" s="13">
        <v>5.0</v>
      </c>
      <c r="K1347" s="13" t="s">
        <v>533</v>
      </c>
      <c r="L1347" s="13" t="s">
        <v>151</v>
      </c>
      <c r="M1347" s="13" t="s">
        <v>71</v>
      </c>
      <c r="N1347" s="13" t="s">
        <v>38</v>
      </c>
      <c r="O1347" s="14">
        <v>47.18</v>
      </c>
      <c r="P1347" s="14">
        <f t="shared" si="2"/>
        <v>235.9</v>
      </c>
      <c r="Q1347" s="14">
        <v>46.28</v>
      </c>
    </row>
    <row r="1348">
      <c r="A1348" s="12">
        <v>42080.0</v>
      </c>
      <c r="B1348" s="12"/>
      <c r="C1348" s="12" t="s">
        <v>2399</v>
      </c>
      <c r="D1348" s="1" t="s">
        <v>2122</v>
      </c>
      <c r="E1348" s="15" t="str">
        <f t="shared" si="1"/>
        <v>Mar</v>
      </c>
      <c r="F1348" s="13" t="s">
        <v>41</v>
      </c>
      <c r="G1348" s="13" t="s">
        <v>2652</v>
      </c>
      <c r="H1348" s="13" t="s">
        <v>2364</v>
      </c>
      <c r="I1348" s="13" t="s">
        <v>23</v>
      </c>
      <c r="J1348" s="13">
        <v>5.0</v>
      </c>
      <c r="K1348" s="13" t="s">
        <v>533</v>
      </c>
      <c r="L1348" s="13" t="s">
        <v>151</v>
      </c>
      <c r="M1348" s="13" t="s">
        <v>71</v>
      </c>
      <c r="N1348" s="13" t="s">
        <v>38</v>
      </c>
      <c r="O1348" s="14">
        <v>19.68</v>
      </c>
      <c r="P1348" s="14">
        <f t="shared" si="2"/>
        <v>98.4</v>
      </c>
      <c r="Q1348" s="14">
        <v>19.03</v>
      </c>
    </row>
    <row r="1349">
      <c r="A1349" s="12">
        <v>42080.0</v>
      </c>
      <c r="B1349" s="12"/>
      <c r="C1349" s="12" t="s">
        <v>2399</v>
      </c>
      <c r="D1349" s="1" t="s">
        <v>2122</v>
      </c>
      <c r="E1349" s="15" t="str">
        <f t="shared" si="1"/>
        <v>Mar</v>
      </c>
      <c r="F1349" s="13" t="s">
        <v>41</v>
      </c>
      <c r="G1349" s="13" t="s">
        <v>2652</v>
      </c>
      <c r="H1349" s="13" t="s">
        <v>2364</v>
      </c>
      <c r="I1349" s="13" t="s">
        <v>23</v>
      </c>
      <c r="J1349" s="13">
        <v>5.0</v>
      </c>
      <c r="K1349" s="13" t="s">
        <v>533</v>
      </c>
      <c r="L1349" s="13" t="s">
        <v>151</v>
      </c>
      <c r="M1349" s="13" t="s">
        <v>71</v>
      </c>
      <c r="N1349" s="13" t="s">
        <v>38</v>
      </c>
      <c r="O1349" s="14">
        <v>53.4</v>
      </c>
      <c r="P1349" s="14">
        <f t="shared" si="2"/>
        <v>267</v>
      </c>
      <c r="Q1349" s="14">
        <v>52.76</v>
      </c>
    </row>
    <row r="1350">
      <c r="A1350" s="12">
        <v>42080.0</v>
      </c>
      <c r="B1350" s="12"/>
      <c r="C1350" s="12" t="s">
        <v>2399</v>
      </c>
      <c r="D1350" s="1" t="s">
        <v>2122</v>
      </c>
      <c r="E1350" s="15" t="str">
        <f t="shared" si="1"/>
        <v>Mar</v>
      </c>
      <c r="F1350" s="13" t="s">
        <v>41</v>
      </c>
      <c r="G1350" s="13" t="s">
        <v>2652</v>
      </c>
      <c r="H1350" s="13" t="s">
        <v>2364</v>
      </c>
      <c r="I1350" s="13" t="s">
        <v>23</v>
      </c>
      <c r="J1350" s="13">
        <v>5.0</v>
      </c>
      <c r="K1350" s="13" t="s">
        <v>533</v>
      </c>
      <c r="L1350" s="13" t="s">
        <v>151</v>
      </c>
      <c r="M1350" s="13" t="s">
        <v>71</v>
      </c>
      <c r="N1350" s="13" t="s">
        <v>38</v>
      </c>
      <c r="O1350" s="14">
        <v>35.88</v>
      </c>
      <c r="P1350" s="14">
        <f t="shared" si="2"/>
        <v>179.4</v>
      </c>
      <c r="Q1350" s="14">
        <v>35.3</v>
      </c>
    </row>
    <row r="1351">
      <c r="A1351" s="12">
        <v>42073.0</v>
      </c>
      <c r="B1351" s="12"/>
      <c r="C1351" s="12" t="s">
        <v>2399</v>
      </c>
      <c r="D1351" s="6">
        <v>42226.0</v>
      </c>
      <c r="E1351" s="15" t="str">
        <f t="shared" si="1"/>
        <v>Aug</v>
      </c>
      <c r="F1351" s="13" t="s">
        <v>20</v>
      </c>
      <c r="G1351" s="13" t="s">
        <v>2934</v>
      </c>
      <c r="H1351" s="13" t="s">
        <v>2466</v>
      </c>
      <c r="I1351" s="13" t="s">
        <v>23</v>
      </c>
      <c r="J1351" s="13">
        <v>6.0</v>
      </c>
      <c r="K1351" s="13" t="s">
        <v>1329</v>
      </c>
      <c r="L1351" s="13" t="s">
        <v>135</v>
      </c>
      <c r="M1351" s="13" t="s">
        <v>71</v>
      </c>
      <c r="N1351" s="13" t="s">
        <v>27</v>
      </c>
      <c r="O1351" s="14">
        <v>258.279</v>
      </c>
      <c r="P1351" s="14">
        <f t="shared" si="2"/>
        <v>1549.674</v>
      </c>
      <c r="Q1351" s="14">
        <v>257.86</v>
      </c>
    </row>
    <row r="1352">
      <c r="A1352" s="12">
        <v>42822.0</v>
      </c>
      <c r="B1352" s="12"/>
      <c r="C1352" s="12" t="s">
        <v>2399</v>
      </c>
      <c r="D1352" s="1" t="s">
        <v>2127</v>
      </c>
      <c r="E1352" s="15" t="str">
        <f t="shared" si="1"/>
        <v>Mar</v>
      </c>
      <c r="F1352" s="13" t="s">
        <v>121</v>
      </c>
      <c r="G1352" s="13" t="s">
        <v>2932</v>
      </c>
      <c r="H1352" s="13" t="s">
        <v>2933</v>
      </c>
      <c r="I1352" s="13" t="s">
        <v>34</v>
      </c>
      <c r="J1352" s="13">
        <v>2.0</v>
      </c>
      <c r="K1352" s="13" t="s">
        <v>628</v>
      </c>
      <c r="L1352" s="13" t="s">
        <v>198</v>
      </c>
      <c r="M1352" s="13" t="s">
        <v>26</v>
      </c>
      <c r="N1352" s="13" t="s">
        <v>38</v>
      </c>
      <c r="O1352" s="14">
        <v>31.4</v>
      </c>
      <c r="P1352" s="14">
        <f t="shared" si="2"/>
        <v>62.8</v>
      </c>
      <c r="Q1352" s="14">
        <v>30.72</v>
      </c>
    </row>
    <row r="1353">
      <c r="A1353" s="12">
        <v>43195.0</v>
      </c>
      <c r="B1353" s="12"/>
      <c r="C1353" s="12" t="s">
        <v>2332</v>
      </c>
      <c r="D1353" s="6">
        <v>43348.0</v>
      </c>
      <c r="E1353" s="15" t="str">
        <f t="shared" si="1"/>
        <v>Sep</v>
      </c>
      <c r="F1353" s="13" t="s">
        <v>41</v>
      </c>
      <c r="G1353" s="13" t="s">
        <v>2443</v>
      </c>
      <c r="H1353" s="13" t="s">
        <v>2825</v>
      </c>
      <c r="I1353" s="13" t="s">
        <v>34</v>
      </c>
      <c r="J1353" s="13">
        <v>9.0</v>
      </c>
      <c r="K1353" s="13" t="s">
        <v>87</v>
      </c>
      <c r="L1353" s="13" t="s">
        <v>52</v>
      </c>
      <c r="M1353" s="13" t="s">
        <v>37</v>
      </c>
      <c r="N1353" s="13" t="s">
        <v>51</v>
      </c>
      <c r="O1353" s="14">
        <v>183.96</v>
      </c>
      <c r="P1353" s="14">
        <f t="shared" si="2"/>
        <v>1655.64</v>
      </c>
      <c r="Q1353" s="14">
        <v>183.21</v>
      </c>
    </row>
    <row r="1354">
      <c r="A1354" s="12">
        <v>43195.0</v>
      </c>
      <c r="B1354" s="12"/>
      <c r="C1354" s="12" t="s">
        <v>2332</v>
      </c>
      <c r="D1354" s="6">
        <v>43348.0</v>
      </c>
      <c r="E1354" s="15" t="str">
        <f t="shared" si="1"/>
        <v>Sep</v>
      </c>
      <c r="F1354" s="13" t="s">
        <v>41</v>
      </c>
      <c r="G1354" s="13" t="s">
        <v>2443</v>
      </c>
      <c r="H1354" s="13" t="s">
        <v>2825</v>
      </c>
      <c r="I1354" s="13" t="s">
        <v>34</v>
      </c>
      <c r="J1354" s="13">
        <v>9.0</v>
      </c>
      <c r="K1354" s="13" t="s">
        <v>87</v>
      </c>
      <c r="L1354" s="13" t="s">
        <v>52</v>
      </c>
      <c r="M1354" s="13" t="s">
        <v>37</v>
      </c>
      <c r="N1354" s="13" t="s">
        <v>38</v>
      </c>
      <c r="O1354" s="14">
        <v>17.61</v>
      </c>
      <c r="P1354" s="14">
        <f t="shared" si="2"/>
        <v>158.49</v>
      </c>
      <c r="Q1354" s="14">
        <v>16.73</v>
      </c>
    </row>
    <row r="1355">
      <c r="A1355" s="12">
        <v>43195.0</v>
      </c>
      <c r="B1355" s="12"/>
      <c r="C1355" s="12" t="s">
        <v>2332</v>
      </c>
      <c r="D1355" s="6">
        <v>43348.0</v>
      </c>
      <c r="E1355" s="15" t="str">
        <f t="shared" si="1"/>
        <v>Sep</v>
      </c>
      <c r="F1355" s="13" t="s">
        <v>41</v>
      </c>
      <c r="G1355" s="13" t="s">
        <v>2443</v>
      </c>
      <c r="H1355" s="13" t="s">
        <v>2825</v>
      </c>
      <c r="I1355" s="13" t="s">
        <v>34</v>
      </c>
      <c r="J1355" s="13">
        <v>9.0</v>
      </c>
      <c r="K1355" s="13" t="s">
        <v>87</v>
      </c>
      <c r="L1355" s="13" t="s">
        <v>52</v>
      </c>
      <c r="M1355" s="13" t="s">
        <v>37</v>
      </c>
      <c r="N1355" s="13" t="s">
        <v>27</v>
      </c>
      <c r="O1355" s="14">
        <v>300.904</v>
      </c>
      <c r="P1355" s="14">
        <f t="shared" si="2"/>
        <v>2708.136</v>
      </c>
      <c r="Q1355" s="14">
        <v>299.98</v>
      </c>
    </row>
    <row r="1356">
      <c r="A1356" s="12">
        <v>42131.0</v>
      </c>
      <c r="B1356" s="12"/>
      <c r="C1356" s="12" t="s">
        <v>2335</v>
      </c>
      <c r="D1356" s="6">
        <v>42131.0</v>
      </c>
      <c r="E1356" s="15" t="str">
        <f t="shared" si="1"/>
        <v>May</v>
      </c>
      <c r="F1356" s="13" t="s">
        <v>717</v>
      </c>
      <c r="G1356" s="13" t="s">
        <v>2521</v>
      </c>
      <c r="H1356" s="13" t="s">
        <v>2914</v>
      </c>
      <c r="I1356" s="13" t="s">
        <v>23</v>
      </c>
      <c r="J1356" s="13">
        <v>7.0</v>
      </c>
      <c r="K1356" s="13" t="s">
        <v>129</v>
      </c>
      <c r="L1356" s="13" t="s">
        <v>70</v>
      </c>
      <c r="M1356" s="13" t="s">
        <v>71</v>
      </c>
      <c r="N1356" s="13" t="s">
        <v>38</v>
      </c>
      <c r="O1356" s="14">
        <v>220.776</v>
      </c>
      <c r="P1356" s="14">
        <f t="shared" si="2"/>
        <v>1545.432</v>
      </c>
      <c r="Q1356" s="14">
        <v>220.33</v>
      </c>
    </row>
    <row r="1357">
      <c r="A1357" s="12">
        <v>42131.0</v>
      </c>
      <c r="B1357" s="12"/>
      <c r="C1357" s="12" t="s">
        <v>2335</v>
      </c>
      <c r="D1357" s="6">
        <v>42131.0</v>
      </c>
      <c r="E1357" s="15" t="str">
        <f t="shared" si="1"/>
        <v>May</v>
      </c>
      <c r="F1357" s="13" t="s">
        <v>717</v>
      </c>
      <c r="G1357" s="13" t="s">
        <v>2521</v>
      </c>
      <c r="H1357" s="13" t="s">
        <v>2914</v>
      </c>
      <c r="I1357" s="13" t="s">
        <v>23</v>
      </c>
      <c r="J1357" s="13">
        <v>7.0</v>
      </c>
      <c r="K1357" s="13" t="s">
        <v>129</v>
      </c>
      <c r="L1357" s="13" t="s">
        <v>70</v>
      </c>
      <c r="M1357" s="13" t="s">
        <v>71</v>
      </c>
      <c r="N1357" s="13" t="s">
        <v>38</v>
      </c>
      <c r="O1357" s="14">
        <v>281.424</v>
      </c>
      <c r="P1357" s="14">
        <f t="shared" si="2"/>
        <v>1969.968</v>
      </c>
      <c r="Q1357" s="14">
        <v>281.24</v>
      </c>
    </row>
    <row r="1358">
      <c r="A1358" s="12">
        <v>42860.0</v>
      </c>
      <c r="B1358" s="12"/>
      <c r="C1358" s="12" t="s">
        <v>2335</v>
      </c>
      <c r="D1358" s="6">
        <v>42921.0</v>
      </c>
      <c r="E1358" s="15" t="str">
        <f t="shared" si="1"/>
        <v>Jul</v>
      </c>
      <c r="F1358" s="13" t="s">
        <v>121</v>
      </c>
      <c r="G1358" s="13" t="s">
        <v>2614</v>
      </c>
      <c r="H1358" s="13" t="s">
        <v>2875</v>
      </c>
      <c r="I1358" s="13" t="s">
        <v>23</v>
      </c>
      <c r="J1358" s="13">
        <v>4.0</v>
      </c>
      <c r="K1358" s="13" t="s">
        <v>818</v>
      </c>
      <c r="L1358" s="13" t="s">
        <v>25</v>
      </c>
      <c r="M1358" s="13" t="s">
        <v>26</v>
      </c>
      <c r="N1358" s="13" t="s">
        <v>38</v>
      </c>
      <c r="O1358" s="14">
        <v>79.14</v>
      </c>
      <c r="P1358" s="14">
        <f t="shared" si="2"/>
        <v>316.56</v>
      </c>
      <c r="Q1358" s="14">
        <v>78.65</v>
      </c>
    </row>
    <row r="1359">
      <c r="A1359" s="12">
        <v>43216.0</v>
      </c>
      <c r="B1359" s="12"/>
      <c r="C1359" s="12" t="s">
        <v>2332</v>
      </c>
      <c r="D1359" s="1" t="s">
        <v>1842</v>
      </c>
      <c r="E1359" s="15" t="str">
        <f t="shared" si="1"/>
        <v>Apr</v>
      </c>
      <c r="F1359" s="13" t="s">
        <v>121</v>
      </c>
      <c r="G1359" s="13" t="s">
        <v>2891</v>
      </c>
      <c r="H1359" s="13" t="s">
        <v>2935</v>
      </c>
      <c r="I1359" s="13" t="s">
        <v>23</v>
      </c>
      <c r="J1359" s="13">
        <v>7.0</v>
      </c>
      <c r="K1359" s="13" t="s">
        <v>69</v>
      </c>
      <c r="L1359" s="13" t="s">
        <v>70</v>
      </c>
      <c r="M1359" s="13" t="s">
        <v>71</v>
      </c>
      <c r="N1359" s="13" t="s">
        <v>27</v>
      </c>
      <c r="O1359" s="14">
        <v>1.988</v>
      </c>
      <c r="P1359" s="14">
        <f t="shared" si="2"/>
        <v>13.916</v>
      </c>
      <c r="Q1359" s="14">
        <v>1.11</v>
      </c>
    </row>
    <row r="1360">
      <c r="A1360" s="12">
        <v>42273.0</v>
      </c>
      <c r="B1360" s="12"/>
      <c r="C1360" s="12" t="s">
        <v>2329</v>
      </c>
      <c r="D1360" s="6">
        <v>42014.0</v>
      </c>
      <c r="E1360" s="15" t="str">
        <f t="shared" si="1"/>
        <v>Jan</v>
      </c>
      <c r="F1360" s="13" t="s">
        <v>20</v>
      </c>
      <c r="G1360" s="13" t="s">
        <v>2902</v>
      </c>
      <c r="H1360" s="13" t="s">
        <v>2936</v>
      </c>
      <c r="I1360" s="13" t="s">
        <v>23</v>
      </c>
      <c r="J1360" s="13">
        <v>9.0</v>
      </c>
      <c r="K1360" s="13" t="s">
        <v>35</v>
      </c>
      <c r="L1360" s="13" t="s">
        <v>52</v>
      </c>
      <c r="M1360" s="13" t="s">
        <v>37</v>
      </c>
      <c r="N1360" s="13" t="s">
        <v>27</v>
      </c>
      <c r="O1360" s="14">
        <v>145.568</v>
      </c>
      <c r="P1360" s="14">
        <f t="shared" si="2"/>
        <v>1310.112</v>
      </c>
      <c r="Q1360" s="14">
        <v>145.04</v>
      </c>
    </row>
    <row r="1361">
      <c r="A1361" s="12">
        <v>43392.0</v>
      </c>
      <c r="B1361" s="12"/>
      <c r="C1361" s="12" t="s">
        <v>2358</v>
      </c>
      <c r="D1361" s="1" t="s">
        <v>2140</v>
      </c>
      <c r="E1361" s="15" t="str">
        <f t="shared" si="1"/>
        <v>Oct</v>
      </c>
      <c r="F1361" s="13" t="s">
        <v>41</v>
      </c>
      <c r="G1361" s="13" t="s">
        <v>2937</v>
      </c>
      <c r="H1361" s="13" t="s">
        <v>2938</v>
      </c>
      <c r="I1361" s="13" t="s">
        <v>34</v>
      </c>
      <c r="J1361" s="13">
        <v>1.0</v>
      </c>
      <c r="K1361" s="13" t="s">
        <v>98</v>
      </c>
      <c r="L1361" s="13" t="s">
        <v>99</v>
      </c>
      <c r="M1361" s="13" t="s">
        <v>100</v>
      </c>
      <c r="N1361" s="13" t="s">
        <v>38</v>
      </c>
      <c r="O1361" s="14">
        <v>123.256</v>
      </c>
      <c r="P1361" s="14">
        <f t="shared" si="2"/>
        <v>123.256</v>
      </c>
      <c r="Q1361" s="14">
        <v>122.68</v>
      </c>
    </row>
    <row r="1362">
      <c r="A1362" s="12">
        <v>43392.0</v>
      </c>
      <c r="B1362" s="12"/>
      <c r="C1362" s="12" t="s">
        <v>2358</v>
      </c>
      <c r="D1362" s="1" t="s">
        <v>2140</v>
      </c>
      <c r="E1362" s="15" t="str">
        <f t="shared" si="1"/>
        <v>Oct</v>
      </c>
      <c r="F1362" s="13" t="s">
        <v>41</v>
      </c>
      <c r="G1362" s="13" t="s">
        <v>2937</v>
      </c>
      <c r="H1362" s="13" t="s">
        <v>2938</v>
      </c>
      <c r="I1362" s="13" t="s">
        <v>34</v>
      </c>
      <c r="J1362" s="13">
        <v>1.0</v>
      </c>
      <c r="K1362" s="13" t="s">
        <v>98</v>
      </c>
      <c r="L1362" s="13" t="s">
        <v>99</v>
      </c>
      <c r="M1362" s="13" t="s">
        <v>100</v>
      </c>
      <c r="N1362" s="13" t="s">
        <v>38</v>
      </c>
      <c r="O1362" s="14">
        <v>23.68</v>
      </c>
      <c r="P1362" s="14">
        <f t="shared" si="2"/>
        <v>23.68</v>
      </c>
      <c r="Q1362" s="14">
        <v>22.7</v>
      </c>
    </row>
    <row r="1363">
      <c r="A1363" s="12">
        <v>43392.0</v>
      </c>
      <c r="B1363" s="12"/>
      <c r="C1363" s="12" t="s">
        <v>2358</v>
      </c>
      <c r="D1363" s="1" t="s">
        <v>2140</v>
      </c>
      <c r="E1363" s="15" t="str">
        <f t="shared" si="1"/>
        <v>Oct</v>
      </c>
      <c r="F1363" s="13" t="s">
        <v>41</v>
      </c>
      <c r="G1363" s="13" t="s">
        <v>2937</v>
      </c>
      <c r="H1363" s="13" t="s">
        <v>2938</v>
      </c>
      <c r="I1363" s="13" t="s">
        <v>34</v>
      </c>
      <c r="J1363" s="13">
        <v>1.0</v>
      </c>
      <c r="K1363" s="13" t="s">
        <v>98</v>
      </c>
      <c r="L1363" s="13" t="s">
        <v>99</v>
      </c>
      <c r="M1363" s="13" t="s">
        <v>100</v>
      </c>
      <c r="N1363" s="13" t="s">
        <v>51</v>
      </c>
      <c r="O1363" s="14">
        <v>309.576</v>
      </c>
      <c r="P1363" s="14">
        <f t="shared" si="2"/>
        <v>309.576</v>
      </c>
      <c r="Q1363" s="14">
        <v>308.69</v>
      </c>
    </row>
    <row r="1364">
      <c r="A1364" s="12">
        <v>43384.0</v>
      </c>
      <c r="B1364" s="12"/>
      <c r="C1364" s="12" t="s">
        <v>2358</v>
      </c>
      <c r="D1364" s="5">
        <v>43415.0</v>
      </c>
      <c r="E1364" s="15" t="str">
        <f t="shared" si="1"/>
        <v>Nov</v>
      </c>
      <c r="F1364" s="13" t="s">
        <v>121</v>
      </c>
      <c r="G1364" s="13" t="s">
        <v>2845</v>
      </c>
      <c r="H1364" s="13" t="s">
        <v>2939</v>
      </c>
      <c r="I1364" s="13" t="s">
        <v>34</v>
      </c>
      <c r="J1364" s="13">
        <v>8.0</v>
      </c>
      <c r="K1364" s="13" t="s">
        <v>729</v>
      </c>
      <c r="L1364" s="13" t="s">
        <v>193</v>
      </c>
      <c r="M1364" s="13" t="s">
        <v>37</v>
      </c>
      <c r="N1364" s="13" t="s">
        <v>38</v>
      </c>
      <c r="O1364" s="14">
        <v>38.388</v>
      </c>
      <c r="P1364" s="14">
        <f t="shared" si="2"/>
        <v>307.104</v>
      </c>
      <c r="Q1364" s="14">
        <v>38.26</v>
      </c>
    </row>
    <row r="1365">
      <c r="A1365" s="12">
        <v>43384.0</v>
      </c>
      <c r="B1365" s="12"/>
      <c r="C1365" s="12" t="s">
        <v>2358</v>
      </c>
      <c r="D1365" s="5">
        <v>43415.0</v>
      </c>
      <c r="E1365" s="15" t="str">
        <f t="shared" si="1"/>
        <v>Nov</v>
      </c>
      <c r="F1365" s="13" t="s">
        <v>121</v>
      </c>
      <c r="G1365" s="13" t="s">
        <v>2845</v>
      </c>
      <c r="H1365" s="13" t="s">
        <v>2939</v>
      </c>
      <c r="I1365" s="13" t="s">
        <v>34</v>
      </c>
      <c r="J1365" s="13">
        <v>8.0</v>
      </c>
      <c r="K1365" s="13" t="s">
        <v>729</v>
      </c>
      <c r="L1365" s="13" t="s">
        <v>193</v>
      </c>
      <c r="M1365" s="13" t="s">
        <v>37</v>
      </c>
      <c r="N1365" s="13" t="s">
        <v>51</v>
      </c>
      <c r="O1365" s="14">
        <v>95.994</v>
      </c>
      <c r="P1365" s="14">
        <f t="shared" si="2"/>
        <v>767.952</v>
      </c>
      <c r="Q1365" s="14">
        <v>95.61</v>
      </c>
    </row>
    <row r="1366">
      <c r="A1366" s="12">
        <v>43384.0</v>
      </c>
      <c r="B1366" s="12"/>
      <c r="C1366" s="12" t="s">
        <v>2358</v>
      </c>
      <c r="D1366" s="5">
        <v>43415.0</v>
      </c>
      <c r="E1366" s="15" t="str">
        <f t="shared" si="1"/>
        <v>Nov</v>
      </c>
      <c r="F1366" s="13" t="s">
        <v>121</v>
      </c>
      <c r="G1366" s="13" t="s">
        <v>2845</v>
      </c>
      <c r="H1366" s="13" t="s">
        <v>2939</v>
      </c>
      <c r="I1366" s="13" t="s">
        <v>34</v>
      </c>
      <c r="J1366" s="13">
        <v>8.0</v>
      </c>
      <c r="K1366" s="13" t="s">
        <v>729</v>
      </c>
      <c r="L1366" s="13" t="s">
        <v>193</v>
      </c>
      <c r="M1366" s="13" t="s">
        <v>37</v>
      </c>
      <c r="N1366" s="13" t="s">
        <v>51</v>
      </c>
      <c r="O1366" s="14">
        <v>239.952</v>
      </c>
      <c r="P1366" s="14">
        <f t="shared" si="2"/>
        <v>1919.616</v>
      </c>
      <c r="Q1366" s="14">
        <v>238.97</v>
      </c>
    </row>
    <row r="1367">
      <c r="A1367" s="12">
        <v>43384.0</v>
      </c>
      <c r="B1367" s="12"/>
      <c r="C1367" s="12" t="s">
        <v>2358</v>
      </c>
      <c r="D1367" s="5">
        <v>43415.0</v>
      </c>
      <c r="E1367" s="15" t="str">
        <f t="shared" si="1"/>
        <v>Nov</v>
      </c>
      <c r="F1367" s="13" t="s">
        <v>121</v>
      </c>
      <c r="G1367" s="13" t="s">
        <v>2845</v>
      </c>
      <c r="H1367" s="13" t="s">
        <v>2939</v>
      </c>
      <c r="I1367" s="13" t="s">
        <v>34</v>
      </c>
      <c r="J1367" s="13">
        <v>8.0</v>
      </c>
      <c r="K1367" s="13" t="s">
        <v>729</v>
      </c>
      <c r="L1367" s="13" t="s">
        <v>193</v>
      </c>
      <c r="M1367" s="13" t="s">
        <v>37</v>
      </c>
      <c r="N1367" s="13" t="s">
        <v>51</v>
      </c>
      <c r="O1367" s="14">
        <v>201.584</v>
      </c>
      <c r="P1367" s="14">
        <f t="shared" si="2"/>
        <v>1612.672</v>
      </c>
      <c r="Q1367" s="14">
        <v>201.48</v>
      </c>
    </row>
    <row r="1368">
      <c r="A1368" s="12">
        <v>43384.0</v>
      </c>
      <c r="B1368" s="12"/>
      <c r="C1368" s="12" t="s">
        <v>2358</v>
      </c>
      <c r="D1368" s="5">
        <v>43415.0</v>
      </c>
      <c r="E1368" s="15" t="str">
        <f t="shared" si="1"/>
        <v>Nov</v>
      </c>
      <c r="F1368" s="13" t="s">
        <v>121</v>
      </c>
      <c r="G1368" s="13" t="s">
        <v>2845</v>
      </c>
      <c r="H1368" s="13" t="s">
        <v>2939</v>
      </c>
      <c r="I1368" s="13" t="s">
        <v>34</v>
      </c>
      <c r="J1368" s="13">
        <v>8.0</v>
      </c>
      <c r="K1368" s="13" t="s">
        <v>729</v>
      </c>
      <c r="L1368" s="13" t="s">
        <v>193</v>
      </c>
      <c r="M1368" s="13" t="s">
        <v>37</v>
      </c>
      <c r="N1368" s="13" t="s">
        <v>27</v>
      </c>
      <c r="O1368" s="14">
        <v>899.136</v>
      </c>
      <c r="P1368" s="14">
        <f t="shared" si="2"/>
        <v>7193.088</v>
      </c>
      <c r="Q1368" s="14">
        <v>898.82</v>
      </c>
    </row>
    <row r="1369">
      <c r="A1369" s="12">
        <v>43319.0</v>
      </c>
      <c r="B1369" s="12"/>
      <c r="C1369" s="12" t="s">
        <v>2322</v>
      </c>
      <c r="D1369" s="6">
        <v>43411.0</v>
      </c>
      <c r="E1369" s="15" t="str">
        <f t="shared" si="1"/>
        <v>Nov</v>
      </c>
      <c r="F1369" s="13" t="s">
        <v>121</v>
      </c>
      <c r="G1369" s="13" t="s">
        <v>2940</v>
      </c>
      <c r="H1369" s="13" t="s">
        <v>2941</v>
      </c>
      <c r="I1369" s="13" t="s">
        <v>68</v>
      </c>
      <c r="J1369" s="13">
        <v>9.0</v>
      </c>
      <c r="K1369" s="13" t="s">
        <v>2149</v>
      </c>
      <c r="L1369" s="13" t="s">
        <v>52</v>
      </c>
      <c r="M1369" s="13" t="s">
        <v>37</v>
      </c>
      <c r="N1369" s="13" t="s">
        <v>27</v>
      </c>
      <c r="O1369" s="14">
        <v>145.9</v>
      </c>
      <c r="P1369" s="14">
        <f t="shared" si="2"/>
        <v>1313.1</v>
      </c>
      <c r="Q1369" s="14">
        <v>145.41</v>
      </c>
    </row>
    <row r="1370">
      <c r="A1370" s="12">
        <v>42728.0</v>
      </c>
      <c r="B1370" s="12"/>
      <c r="C1370" s="12" t="s">
        <v>2325</v>
      </c>
      <c r="D1370" s="1" t="s">
        <v>2151</v>
      </c>
      <c r="E1370" s="15" t="str">
        <f t="shared" si="1"/>
        <v>Dec</v>
      </c>
      <c r="F1370" s="13" t="s">
        <v>41</v>
      </c>
      <c r="G1370" s="13" t="s">
        <v>2407</v>
      </c>
      <c r="H1370" s="13" t="s">
        <v>2692</v>
      </c>
      <c r="I1370" s="13" t="s">
        <v>23</v>
      </c>
      <c r="J1370" s="13">
        <v>8.0</v>
      </c>
      <c r="K1370" s="13" t="s">
        <v>610</v>
      </c>
      <c r="L1370" s="13" t="s">
        <v>279</v>
      </c>
      <c r="M1370" s="13" t="s">
        <v>37</v>
      </c>
      <c r="N1370" s="13" t="s">
        <v>27</v>
      </c>
      <c r="O1370" s="14">
        <v>590.058</v>
      </c>
      <c r="P1370" s="14">
        <f t="shared" si="2"/>
        <v>4720.464</v>
      </c>
      <c r="Q1370" s="14">
        <v>589.64</v>
      </c>
    </row>
    <row r="1371">
      <c r="A1371" s="12">
        <v>42728.0</v>
      </c>
      <c r="B1371" s="12"/>
      <c r="C1371" s="12" t="s">
        <v>2325</v>
      </c>
      <c r="D1371" s="1" t="s">
        <v>2151</v>
      </c>
      <c r="E1371" s="15" t="str">
        <f t="shared" si="1"/>
        <v>Dec</v>
      </c>
      <c r="F1371" s="13" t="s">
        <v>41</v>
      </c>
      <c r="G1371" s="13" t="s">
        <v>2407</v>
      </c>
      <c r="H1371" s="13" t="s">
        <v>2692</v>
      </c>
      <c r="I1371" s="13" t="s">
        <v>23</v>
      </c>
      <c r="J1371" s="13">
        <v>8.0</v>
      </c>
      <c r="K1371" s="13" t="s">
        <v>610</v>
      </c>
      <c r="L1371" s="13" t="s">
        <v>279</v>
      </c>
      <c r="M1371" s="13" t="s">
        <v>37</v>
      </c>
      <c r="N1371" s="13" t="s">
        <v>38</v>
      </c>
      <c r="O1371" s="14">
        <v>14.04</v>
      </c>
      <c r="P1371" s="14">
        <f t="shared" si="2"/>
        <v>112.32</v>
      </c>
      <c r="Q1371" s="14">
        <v>13.66</v>
      </c>
    </row>
    <row r="1372">
      <c r="A1372" s="12">
        <v>43284.0</v>
      </c>
      <c r="B1372" s="12"/>
      <c r="C1372" s="12" t="s">
        <v>2348</v>
      </c>
      <c r="D1372" s="6">
        <v>43437.0</v>
      </c>
      <c r="E1372" s="15" t="str">
        <f t="shared" si="1"/>
        <v>Dec</v>
      </c>
      <c r="F1372" s="13" t="s">
        <v>41</v>
      </c>
      <c r="G1372" s="13" t="s">
        <v>2507</v>
      </c>
      <c r="H1372" s="13" t="s">
        <v>2942</v>
      </c>
      <c r="I1372" s="13" t="s">
        <v>68</v>
      </c>
      <c r="J1372" s="13">
        <v>2.0</v>
      </c>
      <c r="K1372" s="13" t="s">
        <v>1828</v>
      </c>
      <c r="L1372" s="13" t="s">
        <v>1542</v>
      </c>
      <c r="M1372" s="13" t="s">
        <v>100</v>
      </c>
      <c r="N1372" s="13" t="s">
        <v>51</v>
      </c>
      <c r="O1372" s="14">
        <v>49.08</v>
      </c>
      <c r="P1372" s="14">
        <f t="shared" si="2"/>
        <v>98.16</v>
      </c>
      <c r="Q1372" s="14">
        <v>48.6</v>
      </c>
    </row>
    <row r="1373">
      <c r="A1373" s="12">
        <v>42008.0</v>
      </c>
      <c r="B1373" s="12"/>
      <c r="C1373" s="12" t="s">
        <v>2353</v>
      </c>
      <c r="D1373" s="6">
        <v>42159.0</v>
      </c>
      <c r="E1373" s="15" t="str">
        <f t="shared" si="1"/>
        <v>Jun</v>
      </c>
      <c r="F1373" s="13" t="s">
        <v>20</v>
      </c>
      <c r="G1373" s="13" t="s">
        <v>2383</v>
      </c>
      <c r="H1373" s="13" t="s">
        <v>2384</v>
      </c>
      <c r="I1373" s="13" t="s">
        <v>23</v>
      </c>
      <c r="J1373" s="13">
        <v>9.0</v>
      </c>
      <c r="K1373" s="13" t="s">
        <v>1166</v>
      </c>
      <c r="L1373" s="13" t="s">
        <v>52</v>
      </c>
      <c r="M1373" s="13" t="s">
        <v>37</v>
      </c>
      <c r="N1373" s="13" t="s">
        <v>38</v>
      </c>
      <c r="O1373" s="14">
        <v>29.6</v>
      </c>
      <c r="P1373" s="14">
        <f t="shared" si="2"/>
        <v>266.4</v>
      </c>
      <c r="Q1373" s="14">
        <v>29.5</v>
      </c>
    </row>
    <row r="1374">
      <c r="A1374" s="12">
        <v>42008.0</v>
      </c>
      <c r="B1374" s="12"/>
      <c r="C1374" s="12" t="s">
        <v>2353</v>
      </c>
      <c r="D1374" s="6">
        <v>42159.0</v>
      </c>
      <c r="E1374" s="15" t="str">
        <f t="shared" si="1"/>
        <v>Jun</v>
      </c>
      <c r="F1374" s="13" t="s">
        <v>20</v>
      </c>
      <c r="G1374" s="13" t="s">
        <v>2383</v>
      </c>
      <c r="H1374" s="13" t="s">
        <v>2384</v>
      </c>
      <c r="I1374" s="13" t="s">
        <v>23</v>
      </c>
      <c r="J1374" s="13">
        <v>9.0</v>
      </c>
      <c r="K1374" s="13" t="s">
        <v>1166</v>
      </c>
      <c r="L1374" s="13" t="s">
        <v>52</v>
      </c>
      <c r="M1374" s="13" t="s">
        <v>37</v>
      </c>
      <c r="N1374" s="13" t="s">
        <v>38</v>
      </c>
      <c r="O1374" s="14">
        <v>17.088</v>
      </c>
      <c r="P1374" s="14">
        <f t="shared" si="2"/>
        <v>153.792</v>
      </c>
      <c r="Q1374" s="14">
        <v>16.94</v>
      </c>
    </row>
    <row r="1375">
      <c r="A1375" s="12">
        <v>42627.0</v>
      </c>
      <c r="B1375" s="12"/>
      <c r="C1375" s="12" t="s">
        <v>2329</v>
      </c>
      <c r="D1375" s="1" t="s">
        <v>1715</v>
      </c>
      <c r="E1375" s="15" t="str">
        <f t="shared" si="1"/>
        <v>Sep</v>
      </c>
      <c r="F1375" s="13" t="s">
        <v>41</v>
      </c>
      <c r="G1375" s="13" t="s">
        <v>2707</v>
      </c>
      <c r="H1375" s="13" t="s">
        <v>2708</v>
      </c>
      <c r="I1375" s="13" t="s">
        <v>23</v>
      </c>
      <c r="J1375" s="13">
        <v>8.0</v>
      </c>
      <c r="K1375" s="13" t="s">
        <v>2157</v>
      </c>
      <c r="L1375" s="13" t="s">
        <v>83</v>
      </c>
      <c r="M1375" s="13" t="s">
        <v>37</v>
      </c>
      <c r="N1375" s="13" t="s">
        <v>27</v>
      </c>
      <c r="O1375" s="14">
        <v>912.75</v>
      </c>
      <c r="P1375" s="14">
        <f t="shared" si="2"/>
        <v>7302</v>
      </c>
      <c r="Q1375" s="14">
        <v>912.27</v>
      </c>
    </row>
    <row r="1376">
      <c r="A1376" s="12">
        <v>42102.0</v>
      </c>
      <c r="B1376" s="12"/>
      <c r="C1376" s="12" t="s">
        <v>2332</v>
      </c>
      <c r="D1376" s="6">
        <v>42255.0</v>
      </c>
      <c r="E1376" s="15" t="str">
        <f t="shared" si="1"/>
        <v>Sep</v>
      </c>
      <c r="F1376" s="13" t="s">
        <v>20</v>
      </c>
      <c r="G1376" s="13" t="s">
        <v>2493</v>
      </c>
      <c r="H1376" s="13" t="s">
        <v>2439</v>
      </c>
      <c r="I1376" s="13" t="s">
        <v>23</v>
      </c>
      <c r="J1376" s="13">
        <v>8.0</v>
      </c>
      <c r="K1376" s="13" t="s">
        <v>2159</v>
      </c>
      <c r="L1376" s="13" t="s">
        <v>83</v>
      </c>
      <c r="M1376" s="13" t="s">
        <v>37</v>
      </c>
      <c r="N1376" s="13" t="s">
        <v>38</v>
      </c>
      <c r="O1376" s="14">
        <v>1089.75</v>
      </c>
      <c r="P1376" s="14">
        <f t="shared" si="2"/>
        <v>8718</v>
      </c>
      <c r="Q1376" s="14">
        <v>1089.44</v>
      </c>
    </row>
    <row r="1377">
      <c r="A1377" s="12">
        <v>42102.0</v>
      </c>
      <c r="B1377" s="12"/>
      <c r="C1377" s="12" t="s">
        <v>2332</v>
      </c>
      <c r="D1377" s="6">
        <v>42255.0</v>
      </c>
      <c r="E1377" s="15" t="str">
        <f t="shared" si="1"/>
        <v>Sep</v>
      </c>
      <c r="F1377" s="13" t="s">
        <v>20</v>
      </c>
      <c r="G1377" s="13" t="s">
        <v>2493</v>
      </c>
      <c r="H1377" s="13" t="s">
        <v>2439</v>
      </c>
      <c r="I1377" s="13" t="s">
        <v>23</v>
      </c>
      <c r="J1377" s="13">
        <v>8.0</v>
      </c>
      <c r="K1377" s="13" t="s">
        <v>2159</v>
      </c>
      <c r="L1377" s="13" t="s">
        <v>83</v>
      </c>
      <c r="M1377" s="13" t="s">
        <v>37</v>
      </c>
      <c r="N1377" s="13" t="s">
        <v>38</v>
      </c>
      <c r="O1377" s="14">
        <v>447.84</v>
      </c>
      <c r="P1377" s="14">
        <f t="shared" si="2"/>
        <v>3582.72</v>
      </c>
      <c r="Q1377" s="14">
        <v>447.4</v>
      </c>
    </row>
    <row r="1378">
      <c r="A1378" s="12">
        <v>42102.0</v>
      </c>
      <c r="B1378" s="12"/>
      <c r="C1378" s="12" t="s">
        <v>2332</v>
      </c>
      <c r="D1378" s="6">
        <v>42255.0</v>
      </c>
      <c r="E1378" s="15" t="str">
        <f t="shared" si="1"/>
        <v>Sep</v>
      </c>
      <c r="F1378" s="13" t="s">
        <v>20</v>
      </c>
      <c r="G1378" s="13" t="s">
        <v>2493</v>
      </c>
      <c r="H1378" s="13" t="s">
        <v>2439</v>
      </c>
      <c r="I1378" s="13" t="s">
        <v>23</v>
      </c>
      <c r="J1378" s="13">
        <v>8.0</v>
      </c>
      <c r="K1378" s="13" t="s">
        <v>2159</v>
      </c>
      <c r="L1378" s="13" t="s">
        <v>83</v>
      </c>
      <c r="M1378" s="13" t="s">
        <v>37</v>
      </c>
      <c r="N1378" s="13" t="s">
        <v>38</v>
      </c>
      <c r="O1378" s="14">
        <v>16.4</v>
      </c>
      <c r="P1378" s="14">
        <f t="shared" si="2"/>
        <v>131.2</v>
      </c>
      <c r="Q1378" s="14">
        <v>15.73</v>
      </c>
    </row>
    <row r="1379">
      <c r="A1379" s="12">
        <v>42102.0</v>
      </c>
      <c r="B1379" s="12"/>
      <c r="C1379" s="12" t="s">
        <v>2332</v>
      </c>
      <c r="D1379" s="6">
        <v>42255.0</v>
      </c>
      <c r="E1379" s="15" t="str">
        <f t="shared" si="1"/>
        <v>Sep</v>
      </c>
      <c r="F1379" s="13" t="s">
        <v>20</v>
      </c>
      <c r="G1379" s="13" t="s">
        <v>2493</v>
      </c>
      <c r="H1379" s="13" t="s">
        <v>2439</v>
      </c>
      <c r="I1379" s="13" t="s">
        <v>23</v>
      </c>
      <c r="J1379" s="13">
        <v>8.0</v>
      </c>
      <c r="K1379" s="13" t="s">
        <v>2159</v>
      </c>
      <c r="L1379" s="13" t="s">
        <v>83</v>
      </c>
      <c r="M1379" s="13" t="s">
        <v>37</v>
      </c>
      <c r="N1379" s="13" t="s">
        <v>51</v>
      </c>
      <c r="O1379" s="14">
        <v>399.96</v>
      </c>
      <c r="P1379" s="14">
        <f t="shared" si="2"/>
        <v>3199.68</v>
      </c>
      <c r="Q1379" s="14">
        <v>399.87</v>
      </c>
    </row>
    <row r="1380">
      <c r="A1380" s="12">
        <v>42102.0</v>
      </c>
      <c r="B1380" s="12"/>
      <c r="C1380" s="12" t="s">
        <v>2332</v>
      </c>
      <c r="D1380" s="6">
        <v>42255.0</v>
      </c>
      <c r="E1380" s="15" t="str">
        <f t="shared" si="1"/>
        <v>Sep</v>
      </c>
      <c r="F1380" s="13" t="s">
        <v>20</v>
      </c>
      <c r="G1380" s="13" t="s">
        <v>2493</v>
      </c>
      <c r="H1380" s="13" t="s">
        <v>2439</v>
      </c>
      <c r="I1380" s="13" t="s">
        <v>23</v>
      </c>
      <c r="J1380" s="13">
        <v>8.0</v>
      </c>
      <c r="K1380" s="13" t="s">
        <v>2159</v>
      </c>
      <c r="L1380" s="13" t="s">
        <v>83</v>
      </c>
      <c r="M1380" s="13" t="s">
        <v>37</v>
      </c>
      <c r="N1380" s="13" t="s">
        <v>38</v>
      </c>
      <c r="O1380" s="14">
        <v>158.9</v>
      </c>
      <c r="P1380" s="14">
        <f t="shared" si="2"/>
        <v>1271.2</v>
      </c>
      <c r="Q1380" s="14">
        <v>158.17</v>
      </c>
    </row>
    <row r="1381">
      <c r="A1381" s="12">
        <v>42102.0</v>
      </c>
      <c r="B1381" s="12"/>
      <c r="C1381" s="12" t="s">
        <v>2332</v>
      </c>
      <c r="D1381" s="6">
        <v>42255.0</v>
      </c>
      <c r="E1381" s="15" t="str">
        <f t="shared" si="1"/>
        <v>Sep</v>
      </c>
      <c r="F1381" s="13" t="s">
        <v>20</v>
      </c>
      <c r="G1381" s="13" t="s">
        <v>2493</v>
      </c>
      <c r="H1381" s="13" t="s">
        <v>2439</v>
      </c>
      <c r="I1381" s="13" t="s">
        <v>23</v>
      </c>
      <c r="J1381" s="13">
        <v>8.0</v>
      </c>
      <c r="K1381" s="13" t="s">
        <v>2159</v>
      </c>
      <c r="L1381" s="13" t="s">
        <v>83</v>
      </c>
      <c r="M1381" s="13" t="s">
        <v>37</v>
      </c>
      <c r="N1381" s="13" t="s">
        <v>38</v>
      </c>
      <c r="O1381" s="14">
        <v>13.184</v>
      </c>
      <c r="P1381" s="14">
        <f t="shared" si="2"/>
        <v>105.472</v>
      </c>
      <c r="Q1381" s="14">
        <v>12.9</v>
      </c>
    </row>
    <row r="1382">
      <c r="A1382" s="12">
        <v>42803.0</v>
      </c>
      <c r="B1382" s="12"/>
      <c r="C1382" s="12" t="s">
        <v>2399</v>
      </c>
      <c r="D1382" s="6">
        <v>42987.0</v>
      </c>
      <c r="E1382" s="15" t="str">
        <f t="shared" si="1"/>
        <v>Sep</v>
      </c>
      <c r="F1382" s="13" t="s">
        <v>41</v>
      </c>
      <c r="G1382" s="13" t="s">
        <v>2400</v>
      </c>
      <c r="H1382" s="13" t="s">
        <v>2341</v>
      </c>
      <c r="I1382" s="13" t="s">
        <v>68</v>
      </c>
      <c r="J1382" s="13">
        <v>6.0</v>
      </c>
      <c r="K1382" s="13" t="s">
        <v>278</v>
      </c>
      <c r="L1382" s="13" t="s">
        <v>135</v>
      </c>
      <c r="M1382" s="13" t="s">
        <v>71</v>
      </c>
      <c r="N1382" s="13" t="s">
        <v>27</v>
      </c>
      <c r="O1382" s="14">
        <v>83.952</v>
      </c>
      <c r="P1382" s="14">
        <f t="shared" si="2"/>
        <v>503.712</v>
      </c>
      <c r="Q1382" s="14">
        <v>83.39</v>
      </c>
    </row>
    <row r="1383">
      <c r="A1383" s="12">
        <v>42857.0</v>
      </c>
      <c r="B1383" s="12"/>
      <c r="C1383" s="12" t="s">
        <v>2335</v>
      </c>
      <c r="D1383" s="6">
        <v>42857.0</v>
      </c>
      <c r="E1383" s="15" t="str">
        <f t="shared" si="1"/>
        <v>May</v>
      </c>
      <c r="F1383" s="13" t="s">
        <v>717</v>
      </c>
      <c r="G1383" s="13" t="s">
        <v>1839</v>
      </c>
      <c r="H1383" s="13" t="s">
        <v>2943</v>
      </c>
      <c r="I1383" s="13" t="s">
        <v>68</v>
      </c>
      <c r="J1383" s="13">
        <v>3.0</v>
      </c>
      <c r="K1383" s="13" t="s">
        <v>2166</v>
      </c>
      <c r="L1383" s="13" t="s">
        <v>707</v>
      </c>
      <c r="M1383" s="13" t="s">
        <v>26</v>
      </c>
      <c r="N1383" s="13" t="s">
        <v>38</v>
      </c>
      <c r="O1383" s="14">
        <v>80.98</v>
      </c>
      <c r="P1383" s="14">
        <f t="shared" si="2"/>
        <v>242.94</v>
      </c>
      <c r="Q1383" s="14">
        <v>80.76</v>
      </c>
    </row>
    <row r="1384">
      <c r="A1384" s="12">
        <v>42857.0</v>
      </c>
      <c r="B1384" s="12"/>
      <c r="C1384" s="12" t="s">
        <v>2335</v>
      </c>
      <c r="D1384" s="6">
        <v>42857.0</v>
      </c>
      <c r="E1384" s="15" t="str">
        <f t="shared" si="1"/>
        <v>May</v>
      </c>
      <c r="F1384" s="13" t="s">
        <v>717</v>
      </c>
      <c r="G1384" s="13" t="s">
        <v>1839</v>
      </c>
      <c r="H1384" s="13" t="s">
        <v>2943</v>
      </c>
      <c r="I1384" s="13" t="s">
        <v>68</v>
      </c>
      <c r="J1384" s="13">
        <v>3.0</v>
      </c>
      <c r="K1384" s="13" t="s">
        <v>2166</v>
      </c>
      <c r="L1384" s="13" t="s">
        <v>707</v>
      </c>
      <c r="M1384" s="13" t="s">
        <v>26</v>
      </c>
      <c r="N1384" s="13" t="s">
        <v>38</v>
      </c>
      <c r="O1384" s="14">
        <v>348.84</v>
      </c>
      <c r="P1384" s="14">
        <f t="shared" si="2"/>
        <v>1046.52</v>
      </c>
      <c r="Q1384" s="14">
        <v>348.73</v>
      </c>
    </row>
    <row r="1385">
      <c r="A1385" s="12">
        <v>42857.0</v>
      </c>
      <c r="B1385" s="12"/>
      <c r="C1385" s="12" t="s">
        <v>2335</v>
      </c>
      <c r="D1385" s="6">
        <v>42857.0</v>
      </c>
      <c r="E1385" s="15" t="str">
        <f t="shared" si="1"/>
        <v>May</v>
      </c>
      <c r="F1385" s="13" t="s">
        <v>717</v>
      </c>
      <c r="G1385" s="13" t="s">
        <v>1839</v>
      </c>
      <c r="H1385" s="13" t="s">
        <v>2943</v>
      </c>
      <c r="I1385" s="13" t="s">
        <v>68</v>
      </c>
      <c r="J1385" s="13">
        <v>3.0</v>
      </c>
      <c r="K1385" s="13" t="s">
        <v>2166</v>
      </c>
      <c r="L1385" s="13" t="s">
        <v>707</v>
      </c>
      <c r="M1385" s="13" t="s">
        <v>26</v>
      </c>
      <c r="N1385" s="13" t="s">
        <v>38</v>
      </c>
      <c r="O1385" s="14">
        <v>9.45</v>
      </c>
      <c r="P1385" s="14">
        <f t="shared" si="2"/>
        <v>28.35</v>
      </c>
      <c r="Q1385" s="14">
        <v>9.13</v>
      </c>
    </row>
    <row r="1386">
      <c r="A1386" s="12">
        <v>42857.0</v>
      </c>
      <c r="B1386" s="12"/>
      <c r="C1386" s="12" t="s">
        <v>2335</v>
      </c>
      <c r="D1386" s="6">
        <v>42857.0</v>
      </c>
      <c r="E1386" s="15" t="str">
        <f t="shared" si="1"/>
        <v>May</v>
      </c>
      <c r="F1386" s="13" t="s">
        <v>717</v>
      </c>
      <c r="G1386" s="13" t="s">
        <v>1839</v>
      </c>
      <c r="H1386" s="13" t="s">
        <v>2943</v>
      </c>
      <c r="I1386" s="13" t="s">
        <v>68</v>
      </c>
      <c r="J1386" s="13">
        <v>3.0</v>
      </c>
      <c r="K1386" s="13" t="s">
        <v>2166</v>
      </c>
      <c r="L1386" s="13" t="s">
        <v>707</v>
      </c>
      <c r="M1386" s="13" t="s">
        <v>26</v>
      </c>
      <c r="N1386" s="13" t="s">
        <v>27</v>
      </c>
      <c r="O1386" s="14">
        <v>18.84</v>
      </c>
      <c r="P1386" s="14">
        <f t="shared" si="2"/>
        <v>56.52</v>
      </c>
      <c r="Q1386" s="14">
        <v>18.47</v>
      </c>
    </row>
    <row r="1387">
      <c r="A1387" s="12">
        <v>42857.0</v>
      </c>
      <c r="B1387" s="12"/>
      <c r="C1387" s="12" t="s">
        <v>2335</v>
      </c>
      <c r="D1387" s="6">
        <v>42857.0</v>
      </c>
      <c r="E1387" s="15" t="str">
        <f t="shared" si="1"/>
        <v>May</v>
      </c>
      <c r="F1387" s="13" t="s">
        <v>717</v>
      </c>
      <c r="G1387" s="13" t="s">
        <v>1839</v>
      </c>
      <c r="H1387" s="13" t="s">
        <v>2943</v>
      </c>
      <c r="I1387" s="13" t="s">
        <v>68</v>
      </c>
      <c r="J1387" s="13">
        <v>3.0</v>
      </c>
      <c r="K1387" s="13" t="s">
        <v>2166</v>
      </c>
      <c r="L1387" s="13" t="s">
        <v>707</v>
      </c>
      <c r="M1387" s="13" t="s">
        <v>26</v>
      </c>
      <c r="N1387" s="13" t="s">
        <v>27</v>
      </c>
      <c r="O1387" s="14">
        <v>239.98</v>
      </c>
      <c r="P1387" s="14">
        <f t="shared" si="2"/>
        <v>719.94</v>
      </c>
      <c r="Q1387" s="14">
        <v>239.85</v>
      </c>
    </row>
    <row r="1388">
      <c r="A1388" s="12">
        <v>42857.0</v>
      </c>
      <c r="B1388" s="12"/>
      <c r="C1388" s="12" t="s">
        <v>2335</v>
      </c>
      <c r="D1388" s="6">
        <v>42857.0</v>
      </c>
      <c r="E1388" s="15" t="str">
        <f t="shared" si="1"/>
        <v>May</v>
      </c>
      <c r="F1388" s="13" t="s">
        <v>717</v>
      </c>
      <c r="G1388" s="13" t="s">
        <v>1839</v>
      </c>
      <c r="H1388" s="13" t="s">
        <v>2943</v>
      </c>
      <c r="I1388" s="13" t="s">
        <v>68</v>
      </c>
      <c r="J1388" s="13">
        <v>3.0</v>
      </c>
      <c r="K1388" s="13" t="s">
        <v>2166</v>
      </c>
      <c r="L1388" s="13" t="s">
        <v>707</v>
      </c>
      <c r="M1388" s="13" t="s">
        <v>26</v>
      </c>
      <c r="N1388" s="13" t="s">
        <v>38</v>
      </c>
      <c r="O1388" s="14">
        <v>167.96</v>
      </c>
      <c r="P1388" s="14">
        <f t="shared" si="2"/>
        <v>503.88</v>
      </c>
      <c r="Q1388" s="14">
        <v>167.15</v>
      </c>
    </row>
    <row r="1389">
      <c r="A1389" s="12">
        <v>42857.0</v>
      </c>
      <c r="B1389" s="12"/>
      <c r="C1389" s="12" t="s">
        <v>2335</v>
      </c>
      <c r="D1389" s="6">
        <v>42857.0</v>
      </c>
      <c r="E1389" s="15" t="str">
        <f t="shared" si="1"/>
        <v>May</v>
      </c>
      <c r="F1389" s="13" t="s">
        <v>717</v>
      </c>
      <c r="G1389" s="13" t="s">
        <v>1839</v>
      </c>
      <c r="H1389" s="13" t="s">
        <v>2943</v>
      </c>
      <c r="I1389" s="13" t="s">
        <v>68</v>
      </c>
      <c r="J1389" s="13">
        <v>3.0</v>
      </c>
      <c r="K1389" s="13" t="s">
        <v>2166</v>
      </c>
      <c r="L1389" s="13" t="s">
        <v>707</v>
      </c>
      <c r="M1389" s="13" t="s">
        <v>26</v>
      </c>
      <c r="N1389" s="13" t="s">
        <v>51</v>
      </c>
      <c r="O1389" s="14">
        <v>104.85</v>
      </c>
      <c r="P1389" s="14">
        <f t="shared" si="2"/>
        <v>314.55</v>
      </c>
      <c r="Q1389" s="14">
        <v>104.15</v>
      </c>
    </row>
    <row r="1390">
      <c r="A1390" s="12">
        <v>42857.0</v>
      </c>
      <c r="B1390" s="12"/>
      <c r="C1390" s="12" t="s">
        <v>2335</v>
      </c>
      <c r="D1390" s="6">
        <v>42857.0</v>
      </c>
      <c r="E1390" s="15" t="str">
        <f t="shared" si="1"/>
        <v>May</v>
      </c>
      <c r="F1390" s="13" t="s">
        <v>717</v>
      </c>
      <c r="G1390" s="13" t="s">
        <v>1839</v>
      </c>
      <c r="H1390" s="13" t="s">
        <v>2943</v>
      </c>
      <c r="I1390" s="13" t="s">
        <v>68</v>
      </c>
      <c r="J1390" s="13">
        <v>3.0</v>
      </c>
      <c r="K1390" s="13" t="s">
        <v>2166</v>
      </c>
      <c r="L1390" s="13" t="s">
        <v>707</v>
      </c>
      <c r="M1390" s="13" t="s">
        <v>26</v>
      </c>
      <c r="N1390" s="13" t="s">
        <v>51</v>
      </c>
      <c r="O1390" s="14">
        <v>484.83</v>
      </c>
      <c r="P1390" s="14">
        <f t="shared" si="2"/>
        <v>1454.49</v>
      </c>
      <c r="Q1390" s="14">
        <v>484.55</v>
      </c>
    </row>
    <row r="1391">
      <c r="A1391" s="12">
        <v>42857.0</v>
      </c>
      <c r="B1391" s="12"/>
      <c r="C1391" s="12" t="s">
        <v>2335</v>
      </c>
      <c r="D1391" s="6">
        <v>42857.0</v>
      </c>
      <c r="E1391" s="15" t="str">
        <f t="shared" si="1"/>
        <v>May</v>
      </c>
      <c r="F1391" s="13" t="s">
        <v>717</v>
      </c>
      <c r="G1391" s="13" t="s">
        <v>1839</v>
      </c>
      <c r="H1391" s="13" t="s">
        <v>2943</v>
      </c>
      <c r="I1391" s="13" t="s">
        <v>68</v>
      </c>
      <c r="J1391" s="13">
        <v>3.0</v>
      </c>
      <c r="K1391" s="13" t="s">
        <v>2166</v>
      </c>
      <c r="L1391" s="13" t="s">
        <v>707</v>
      </c>
      <c r="M1391" s="13" t="s">
        <v>26</v>
      </c>
      <c r="N1391" s="13" t="s">
        <v>38</v>
      </c>
      <c r="O1391" s="14">
        <v>122.97</v>
      </c>
      <c r="P1391" s="14">
        <f t="shared" si="2"/>
        <v>368.91</v>
      </c>
      <c r="Q1391" s="14">
        <v>122.82</v>
      </c>
    </row>
    <row r="1392">
      <c r="A1392" s="12">
        <v>42857.0</v>
      </c>
      <c r="B1392" s="12"/>
      <c r="C1392" s="12" t="s">
        <v>2335</v>
      </c>
      <c r="D1392" s="6">
        <v>42857.0</v>
      </c>
      <c r="E1392" s="15" t="str">
        <f t="shared" si="1"/>
        <v>May</v>
      </c>
      <c r="F1392" s="13" t="s">
        <v>717</v>
      </c>
      <c r="G1392" s="13" t="s">
        <v>1839</v>
      </c>
      <c r="H1392" s="13" t="s">
        <v>2943</v>
      </c>
      <c r="I1392" s="13" t="s">
        <v>68</v>
      </c>
      <c r="J1392" s="13">
        <v>3.0</v>
      </c>
      <c r="K1392" s="13" t="s">
        <v>2166</v>
      </c>
      <c r="L1392" s="13" t="s">
        <v>707</v>
      </c>
      <c r="M1392" s="13" t="s">
        <v>26</v>
      </c>
      <c r="N1392" s="13" t="s">
        <v>38</v>
      </c>
      <c r="O1392" s="14">
        <v>154.44</v>
      </c>
      <c r="P1392" s="14">
        <f t="shared" si="2"/>
        <v>463.32</v>
      </c>
      <c r="Q1392" s="14">
        <v>154.18</v>
      </c>
    </row>
    <row r="1393">
      <c r="A1393" s="12">
        <v>42857.0</v>
      </c>
      <c r="B1393" s="12"/>
      <c r="C1393" s="12" t="s">
        <v>2335</v>
      </c>
      <c r="D1393" s="6">
        <v>42857.0</v>
      </c>
      <c r="E1393" s="15" t="str">
        <f t="shared" si="1"/>
        <v>May</v>
      </c>
      <c r="F1393" s="13" t="s">
        <v>717</v>
      </c>
      <c r="G1393" s="13" t="s">
        <v>1839</v>
      </c>
      <c r="H1393" s="13" t="s">
        <v>2943</v>
      </c>
      <c r="I1393" s="13" t="s">
        <v>68</v>
      </c>
      <c r="J1393" s="13">
        <v>3.0</v>
      </c>
      <c r="K1393" s="13" t="s">
        <v>2166</v>
      </c>
      <c r="L1393" s="13" t="s">
        <v>707</v>
      </c>
      <c r="M1393" s="13" t="s">
        <v>26</v>
      </c>
      <c r="N1393" s="13" t="s">
        <v>38</v>
      </c>
      <c r="O1393" s="14">
        <v>342.37</v>
      </c>
      <c r="P1393" s="14">
        <f t="shared" si="2"/>
        <v>1027.11</v>
      </c>
      <c r="Q1393" s="14">
        <v>342.3</v>
      </c>
    </row>
    <row r="1394">
      <c r="A1394" s="12">
        <v>43166.0</v>
      </c>
      <c r="B1394" s="12"/>
      <c r="C1394" s="12" t="s">
        <v>2399</v>
      </c>
      <c r="D1394" s="6">
        <v>43197.0</v>
      </c>
      <c r="E1394" s="15" t="str">
        <f t="shared" si="1"/>
        <v>Apr</v>
      </c>
      <c r="F1394" s="13" t="s">
        <v>121</v>
      </c>
      <c r="G1394" s="13" t="s">
        <v>2944</v>
      </c>
      <c r="H1394" s="13" t="s">
        <v>2945</v>
      </c>
      <c r="I1394" s="13" t="s">
        <v>34</v>
      </c>
      <c r="J1394" s="13">
        <v>2.0</v>
      </c>
      <c r="K1394" s="13" t="s">
        <v>1237</v>
      </c>
      <c r="L1394" s="13" t="s">
        <v>58</v>
      </c>
      <c r="M1394" s="13" t="s">
        <v>26</v>
      </c>
      <c r="N1394" s="13" t="s">
        <v>38</v>
      </c>
      <c r="O1394" s="14">
        <v>9.552</v>
      </c>
      <c r="P1394" s="14">
        <f t="shared" si="2"/>
        <v>19.104</v>
      </c>
      <c r="Q1394" s="14">
        <v>8.62</v>
      </c>
    </row>
    <row r="1395">
      <c r="A1395" s="12">
        <v>43353.0</v>
      </c>
      <c r="B1395" s="12"/>
      <c r="C1395" s="12" t="s">
        <v>2329</v>
      </c>
      <c r="D1395" s="1" t="s">
        <v>2171</v>
      </c>
      <c r="E1395" s="15" t="str">
        <f t="shared" si="1"/>
        <v>Oct</v>
      </c>
      <c r="F1395" s="13" t="s">
        <v>41</v>
      </c>
      <c r="G1395" s="13" t="s">
        <v>2802</v>
      </c>
      <c r="H1395" s="13" t="s">
        <v>2803</v>
      </c>
      <c r="I1395" s="13" t="s">
        <v>34</v>
      </c>
      <c r="J1395" s="13">
        <v>6.0</v>
      </c>
      <c r="K1395" s="13" t="s">
        <v>278</v>
      </c>
      <c r="L1395" s="13" t="s">
        <v>135</v>
      </c>
      <c r="M1395" s="13" t="s">
        <v>71</v>
      </c>
      <c r="N1395" s="13" t="s">
        <v>27</v>
      </c>
      <c r="O1395" s="14">
        <v>652.45</v>
      </c>
      <c r="P1395" s="14">
        <f t="shared" si="2"/>
        <v>3914.7</v>
      </c>
      <c r="Q1395" s="14">
        <v>651.81</v>
      </c>
    </row>
    <row r="1396">
      <c r="A1396" s="12">
        <v>43353.0</v>
      </c>
      <c r="B1396" s="12"/>
      <c r="C1396" s="12" t="s">
        <v>2329</v>
      </c>
      <c r="D1396" s="1" t="s">
        <v>2171</v>
      </c>
      <c r="E1396" s="15" t="str">
        <f t="shared" si="1"/>
        <v>Oct</v>
      </c>
      <c r="F1396" s="13" t="s">
        <v>41</v>
      </c>
      <c r="G1396" s="13" t="s">
        <v>2802</v>
      </c>
      <c r="H1396" s="13" t="s">
        <v>2803</v>
      </c>
      <c r="I1396" s="13" t="s">
        <v>34</v>
      </c>
      <c r="J1396" s="13">
        <v>6.0</v>
      </c>
      <c r="K1396" s="13" t="s">
        <v>278</v>
      </c>
      <c r="L1396" s="13" t="s">
        <v>135</v>
      </c>
      <c r="M1396" s="13" t="s">
        <v>71</v>
      </c>
      <c r="N1396" s="13" t="s">
        <v>27</v>
      </c>
      <c r="O1396" s="14">
        <v>66.645</v>
      </c>
      <c r="P1396" s="14">
        <f t="shared" si="2"/>
        <v>399.87</v>
      </c>
      <c r="Q1396" s="14">
        <v>66.17</v>
      </c>
    </row>
    <row r="1397">
      <c r="A1397" s="12">
        <v>43063.0</v>
      </c>
      <c r="B1397" s="12"/>
      <c r="C1397" s="12" t="s">
        <v>2326</v>
      </c>
      <c r="D1397" s="1" t="s">
        <v>2029</v>
      </c>
      <c r="E1397" s="15" t="str">
        <f t="shared" si="1"/>
        <v>Nov</v>
      </c>
      <c r="F1397" s="13" t="s">
        <v>121</v>
      </c>
      <c r="G1397" s="13" t="s">
        <v>2705</v>
      </c>
      <c r="H1397" s="13" t="s">
        <v>2689</v>
      </c>
      <c r="I1397" s="13" t="s">
        <v>23</v>
      </c>
      <c r="J1397" s="13">
        <v>1.0</v>
      </c>
      <c r="K1397" s="13" t="s">
        <v>174</v>
      </c>
      <c r="L1397" s="13" t="s">
        <v>175</v>
      </c>
      <c r="M1397" s="13" t="s">
        <v>100</v>
      </c>
      <c r="N1397" s="13" t="s">
        <v>38</v>
      </c>
      <c r="O1397" s="14">
        <v>17.216</v>
      </c>
      <c r="P1397" s="14">
        <f t="shared" si="2"/>
        <v>17.216</v>
      </c>
      <c r="Q1397" s="14">
        <v>17.02</v>
      </c>
    </row>
    <row r="1398">
      <c r="A1398" s="12">
        <v>43063.0</v>
      </c>
      <c r="B1398" s="12"/>
      <c r="C1398" s="12" t="s">
        <v>2326</v>
      </c>
      <c r="D1398" s="1" t="s">
        <v>2029</v>
      </c>
      <c r="E1398" s="15" t="str">
        <f t="shared" si="1"/>
        <v>Nov</v>
      </c>
      <c r="F1398" s="13" t="s">
        <v>121</v>
      </c>
      <c r="G1398" s="13" t="s">
        <v>2705</v>
      </c>
      <c r="H1398" s="13" t="s">
        <v>2689</v>
      </c>
      <c r="I1398" s="13" t="s">
        <v>23</v>
      </c>
      <c r="J1398" s="13">
        <v>1.0</v>
      </c>
      <c r="K1398" s="13" t="s">
        <v>174</v>
      </c>
      <c r="L1398" s="13" t="s">
        <v>175</v>
      </c>
      <c r="M1398" s="13" t="s">
        <v>100</v>
      </c>
      <c r="N1398" s="13" t="s">
        <v>38</v>
      </c>
      <c r="O1398" s="14">
        <v>11.56</v>
      </c>
      <c r="P1398" s="14">
        <f t="shared" si="2"/>
        <v>11.56</v>
      </c>
      <c r="Q1398" s="14">
        <v>10.77</v>
      </c>
    </row>
    <row r="1399">
      <c r="A1399" s="12">
        <v>43063.0</v>
      </c>
      <c r="B1399" s="12"/>
      <c r="C1399" s="12" t="s">
        <v>2326</v>
      </c>
      <c r="D1399" s="1" t="s">
        <v>2029</v>
      </c>
      <c r="E1399" s="15" t="str">
        <f t="shared" si="1"/>
        <v>Nov</v>
      </c>
      <c r="F1399" s="13" t="s">
        <v>121</v>
      </c>
      <c r="G1399" s="13" t="s">
        <v>2705</v>
      </c>
      <c r="H1399" s="13" t="s">
        <v>2689</v>
      </c>
      <c r="I1399" s="13" t="s">
        <v>23</v>
      </c>
      <c r="J1399" s="13">
        <v>1.0</v>
      </c>
      <c r="K1399" s="13" t="s">
        <v>174</v>
      </c>
      <c r="L1399" s="13" t="s">
        <v>175</v>
      </c>
      <c r="M1399" s="13" t="s">
        <v>100</v>
      </c>
      <c r="N1399" s="13" t="s">
        <v>51</v>
      </c>
      <c r="O1399" s="14">
        <v>88.4</v>
      </c>
      <c r="P1399" s="14">
        <f t="shared" si="2"/>
        <v>88.4</v>
      </c>
      <c r="Q1399" s="14">
        <v>87.67</v>
      </c>
    </row>
    <row r="1400">
      <c r="A1400" s="12">
        <v>43063.0</v>
      </c>
      <c r="B1400" s="12"/>
      <c r="C1400" s="12" t="s">
        <v>2326</v>
      </c>
      <c r="D1400" s="1" t="s">
        <v>2029</v>
      </c>
      <c r="E1400" s="15" t="str">
        <f t="shared" si="1"/>
        <v>Nov</v>
      </c>
      <c r="F1400" s="13" t="s">
        <v>121</v>
      </c>
      <c r="G1400" s="13" t="s">
        <v>2705</v>
      </c>
      <c r="H1400" s="13" t="s">
        <v>2689</v>
      </c>
      <c r="I1400" s="13" t="s">
        <v>23</v>
      </c>
      <c r="J1400" s="13">
        <v>1.0</v>
      </c>
      <c r="K1400" s="13" t="s">
        <v>174</v>
      </c>
      <c r="L1400" s="13" t="s">
        <v>175</v>
      </c>
      <c r="M1400" s="13" t="s">
        <v>100</v>
      </c>
      <c r="N1400" s="13" t="s">
        <v>38</v>
      </c>
      <c r="O1400" s="14">
        <v>6.48</v>
      </c>
      <c r="P1400" s="14">
        <f t="shared" si="2"/>
        <v>6.48</v>
      </c>
      <c r="Q1400" s="14">
        <v>6.44</v>
      </c>
    </row>
    <row r="1401">
      <c r="A1401" s="12">
        <v>42746.0</v>
      </c>
      <c r="B1401" s="12"/>
      <c r="C1401" s="12" t="s">
        <v>2353</v>
      </c>
      <c r="D1401" s="6">
        <v>42866.0</v>
      </c>
      <c r="E1401" s="15" t="str">
        <f t="shared" si="1"/>
        <v>May</v>
      </c>
      <c r="F1401" s="13" t="s">
        <v>41</v>
      </c>
      <c r="G1401" s="13" t="s">
        <v>2415</v>
      </c>
      <c r="H1401" s="13" t="s">
        <v>2075</v>
      </c>
      <c r="I1401" s="13" t="s">
        <v>68</v>
      </c>
      <c r="J1401" s="13">
        <v>2.0</v>
      </c>
      <c r="K1401" s="13" t="s">
        <v>1095</v>
      </c>
      <c r="L1401" s="13" t="s">
        <v>198</v>
      </c>
      <c r="M1401" s="13" t="s">
        <v>26</v>
      </c>
      <c r="N1401" s="13" t="s">
        <v>51</v>
      </c>
      <c r="O1401" s="14">
        <v>21.8</v>
      </c>
      <c r="P1401" s="14">
        <f t="shared" si="2"/>
        <v>43.6</v>
      </c>
      <c r="Q1401" s="14">
        <v>21.02</v>
      </c>
    </row>
    <row r="1402">
      <c r="A1402" s="12">
        <v>42746.0</v>
      </c>
      <c r="B1402" s="12"/>
      <c r="C1402" s="12" t="s">
        <v>2353</v>
      </c>
      <c r="D1402" s="6">
        <v>42866.0</v>
      </c>
      <c r="E1402" s="15" t="str">
        <f t="shared" si="1"/>
        <v>May</v>
      </c>
      <c r="F1402" s="13" t="s">
        <v>41</v>
      </c>
      <c r="G1402" s="13" t="s">
        <v>2415</v>
      </c>
      <c r="H1402" s="13" t="s">
        <v>2075</v>
      </c>
      <c r="I1402" s="13" t="s">
        <v>68</v>
      </c>
      <c r="J1402" s="13">
        <v>2.0</v>
      </c>
      <c r="K1402" s="13" t="s">
        <v>1095</v>
      </c>
      <c r="L1402" s="13" t="s">
        <v>198</v>
      </c>
      <c r="M1402" s="13" t="s">
        <v>26</v>
      </c>
      <c r="N1402" s="13" t="s">
        <v>38</v>
      </c>
      <c r="O1402" s="14">
        <v>251.79</v>
      </c>
      <c r="P1402" s="14">
        <f t="shared" si="2"/>
        <v>503.58</v>
      </c>
      <c r="Q1402" s="14">
        <v>250.81</v>
      </c>
    </row>
    <row r="1403">
      <c r="A1403" s="12">
        <v>42844.0</v>
      </c>
      <c r="B1403" s="12"/>
      <c r="C1403" s="12" t="s">
        <v>2332</v>
      </c>
      <c r="D1403" s="1" t="s">
        <v>2177</v>
      </c>
      <c r="E1403" s="15" t="str">
        <f t="shared" si="1"/>
        <v>Apr</v>
      </c>
      <c r="F1403" s="13" t="s">
        <v>41</v>
      </c>
      <c r="G1403" s="13" t="s">
        <v>2405</v>
      </c>
      <c r="H1403" s="13" t="s">
        <v>2406</v>
      </c>
      <c r="I1403" s="13" t="s">
        <v>68</v>
      </c>
      <c r="J1403" s="13">
        <v>4.0</v>
      </c>
      <c r="K1403" s="13" t="s">
        <v>303</v>
      </c>
      <c r="L1403" s="13" t="s">
        <v>304</v>
      </c>
      <c r="M1403" s="13" t="s">
        <v>100</v>
      </c>
      <c r="N1403" s="13" t="s">
        <v>27</v>
      </c>
      <c r="O1403" s="14">
        <v>205.176</v>
      </c>
      <c r="P1403" s="14">
        <f t="shared" si="2"/>
        <v>820.704</v>
      </c>
      <c r="Q1403" s="14">
        <v>204.56</v>
      </c>
    </row>
    <row r="1404">
      <c r="A1404" s="12">
        <v>42844.0</v>
      </c>
      <c r="B1404" s="12"/>
      <c r="C1404" s="12" t="s">
        <v>2332</v>
      </c>
      <c r="D1404" s="1" t="s">
        <v>2177</v>
      </c>
      <c r="E1404" s="15" t="str">
        <f t="shared" si="1"/>
        <v>Apr</v>
      </c>
      <c r="F1404" s="13" t="s">
        <v>41</v>
      </c>
      <c r="G1404" s="13" t="s">
        <v>2405</v>
      </c>
      <c r="H1404" s="13" t="s">
        <v>2406</v>
      </c>
      <c r="I1404" s="13" t="s">
        <v>68</v>
      </c>
      <c r="J1404" s="13">
        <v>4.0</v>
      </c>
      <c r="K1404" s="13" t="s">
        <v>303</v>
      </c>
      <c r="L1404" s="13" t="s">
        <v>304</v>
      </c>
      <c r="M1404" s="13" t="s">
        <v>100</v>
      </c>
      <c r="N1404" s="13" t="s">
        <v>38</v>
      </c>
      <c r="O1404" s="14">
        <v>419.4</v>
      </c>
      <c r="P1404" s="14">
        <f t="shared" si="2"/>
        <v>1677.6</v>
      </c>
      <c r="Q1404" s="14">
        <v>418.98</v>
      </c>
    </row>
    <row r="1405">
      <c r="A1405" s="12">
        <v>42159.0</v>
      </c>
      <c r="B1405" s="12"/>
      <c r="C1405" s="12" t="s">
        <v>2374</v>
      </c>
      <c r="D1405" s="6">
        <v>42220.0</v>
      </c>
      <c r="E1405" s="15" t="str">
        <f t="shared" si="1"/>
        <v>Aug</v>
      </c>
      <c r="F1405" s="13" t="s">
        <v>121</v>
      </c>
      <c r="G1405" s="13" t="s">
        <v>2477</v>
      </c>
      <c r="H1405" s="13" t="s">
        <v>2389</v>
      </c>
      <c r="I1405" s="13" t="s">
        <v>68</v>
      </c>
      <c r="J1405" s="13">
        <v>1.0</v>
      </c>
      <c r="K1405" s="13" t="s">
        <v>98</v>
      </c>
      <c r="L1405" s="13" t="s">
        <v>99</v>
      </c>
      <c r="M1405" s="13" t="s">
        <v>100</v>
      </c>
      <c r="N1405" s="13" t="s">
        <v>38</v>
      </c>
      <c r="O1405" s="14">
        <v>10.304</v>
      </c>
      <c r="P1405" s="14">
        <f t="shared" si="2"/>
        <v>10.304</v>
      </c>
      <c r="Q1405" s="14">
        <v>10.24</v>
      </c>
    </row>
    <row r="1406">
      <c r="A1406" s="12">
        <v>42159.0</v>
      </c>
      <c r="B1406" s="12"/>
      <c r="C1406" s="12" t="s">
        <v>2374</v>
      </c>
      <c r="D1406" s="6">
        <v>42220.0</v>
      </c>
      <c r="E1406" s="15" t="str">
        <f t="shared" si="1"/>
        <v>Aug</v>
      </c>
      <c r="F1406" s="13" t="s">
        <v>121</v>
      </c>
      <c r="G1406" s="13" t="s">
        <v>2477</v>
      </c>
      <c r="H1406" s="13" t="s">
        <v>2389</v>
      </c>
      <c r="I1406" s="13" t="s">
        <v>68</v>
      </c>
      <c r="J1406" s="13">
        <v>1.0</v>
      </c>
      <c r="K1406" s="13" t="s">
        <v>98</v>
      </c>
      <c r="L1406" s="13" t="s">
        <v>99</v>
      </c>
      <c r="M1406" s="13" t="s">
        <v>100</v>
      </c>
      <c r="N1406" s="13" t="s">
        <v>27</v>
      </c>
      <c r="O1406" s="14">
        <v>154.764</v>
      </c>
      <c r="P1406" s="14">
        <f t="shared" si="2"/>
        <v>154.764</v>
      </c>
      <c r="Q1406" s="14">
        <v>154.54</v>
      </c>
    </row>
    <row r="1407">
      <c r="A1407" s="12">
        <v>42159.0</v>
      </c>
      <c r="B1407" s="12"/>
      <c r="C1407" s="12" t="s">
        <v>2374</v>
      </c>
      <c r="D1407" s="6">
        <v>42220.0</v>
      </c>
      <c r="E1407" s="15" t="str">
        <f t="shared" si="1"/>
        <v>Aug</v>
      </c>
      <c r="F1407" s="13" t="s">
        <v>121</v>
      </c>
      <c r="G1407" s="13" t="s">
        <v>2477</v>
      </c>
      <c r="H1407" s="13" t="s">
        <v>2389</v>
      </c>
      <c r="I1407" s="13" t="s">
        <v>68</v>
      </c>
      <c r="J1407" s="13">
        <v>1.0</v>
      </c>
      <c r="K1407" s="13" t="s">
        <v>98</v>
      </c>
      <c r="L1407" s="13" t="s">
        <v>99</v>
      </c>
      <c r="M1407" s="13" t="s">
        <v>100</v>
      </c>
      <c r="N1407" s="13" t="s">
        <v>51</v>
      </c>
      <c r="O1407" s="14">
        <v>116.784</v>
      </c>
      <c r="P1407" s="14">
        <f t="shared" si="2"/>
        <v>116.784</v>
      </c>
      <c r="Q1407" s="14">
        <v>115.93</v>
      </c>
    </row>
    <row r="1408">
      <c r="A1408" s="12">
        <v>42775.0</v>
      </c>
      <c r="B1408" s="12"/>
      <c r="C1408" s="12" t="s">
        <v>2431</v>
      </c>
      <c r="D1408" s="6">
        <v>42895.0</v>
      </c>
      <c r="E1408" s="15" t="str">
        <f t="shared" si="1"/>
        <v>Jun</v>
      </c>
      <c r="F1408" s="13" t="s">
        <v>41</v>
      </c>
      <c r="G1408" s="13" t="s">
        <v>2388</v>
      </c>
      <c r="H1408" s="13" t="s">
        <v>2389</v>
      </c>
      <c r="I1408" s="13" t="s">
        <v>23</v>
      </c>
      <c r="J1408" s="13">
        <v>1.0</v>
      </c>
      <c r="K1408" s="13" t="s">
        <v>174</v>
      </c>
      <c r="L1408" s="13" t="s">
        <v>175</v>
      </c>
      <c r="M1408" s="13" t="s">
        <v>100</v>
      </c>
      <c r="N1408" s="13" t="s">
        <v>38</v>
      </c>
      <c r="O1408" s="14">
        <v>75.48</v>
      </c>
      <c r="P1408" s="14">
        <f t="shared" si="2"/>
        <v>75.48</v>
      </c>
      <c r="Q1408" s="14">
        <v>75.15</v>
      </c>
    </row>
    <row r="1409">
      <c r="A1409" s="12">
        <v>42775.0</v>
      </c>
      <c r="B1409" s="12"/>
      <c r="C1409" s="12" t="s">
        <v>2431</v>
      </c>
      <c r="D1409" s="6">
        <v>42895.0</v>
      </c>
      <c r="E1409" s="15" t="str">
        <f t="shared" si="1"/>
        <v>Jun</v>
      </c>
      <c r="F1409" s="13" t="s">
        <v>41</v>
      </c>
      <c r="G1409" s="13" t="s">
        <v>2388</v>
      </c>
      <c r="H1409" s="13" t="s">
        <v>2389</v>
      </c>
      <c r="I1409" s="13" t="s">
        <v>23</v>
      </c>
      <c r="J1409" s="13">
        <v>1.0</v>
      </c>
      <c r="K1409" s="13" t="s">
        <v>174</v>
      </c>
      <c r="L1409" s="13" t="s">
        <v>175</v>
      </c>
      <c r="M1409" s="13" t="s">
        <v>100</v>
      </c>
      <c r="N1409" s="13" t="s">
        <v>27</v>
      </c>
      <c r="O1409" s="14">
        <v>39.98</v>
      </c>
      <c r="P1409" s="14">
        <f t="shared" si="2"/>
        <v>39.98</v>
      </c>
      <c r="Q1409" s="14">
        <v>39.14</v>
      </c>
    </row>
    <row r="1410">
      <c r="A1410" s="12">
        <v>43003.0</v>
      </c>
      <c r="B1410" s="12"/>
      <c r="C1410" s="12" t="s">
        <v>2329</v>
      </c>
      <c r="D1410" s="1" t="s">
        <v>1804</v>
      </c>
      <c r="E1410" s="15" t="str">
        <f t="shared" si="1"/>
        <v>Sep</v>
      </c>
      <c r="F1410" s="13" t="s">
        <v>41</v>
      </c>
      <c r="G1410" s="13" t="s">
        <v>2668</v>
      </c>
      <c r="H1410" s="13" t="s">
        <v>2946</v>
      </c>
      <c r="I1410" s="13" t="s">
        <v>23</v>
      </c>
      <c r="J1410" s="13">
        <v>8.0</v>
      </c>
      <c r="K1410" s="13" t="s">
        <v>328</v>
      </c>
      <c r="L1410" s="13" t="s">
        <v>193</v>
      </c>
      <c r="M1410" s="13" t="s">
        <v>37</v>
      </c>
      <c r="N1410" s="13" t="s">
        <v>27</v>
      </c>
      <c r="O1410" s="14">
        <v>393.165</v>
      </c>
      <c r="P1410" s="14">
        <f t="shared" si="2"/>
        <v>3145.32</v>
      </c>
      <c r="Q1410" s="14">
        <v>392.91</v>
      </c>
    </row>
    <row r="1411">
      <c r="A1411" s="12">
        <v>43201.0</v>
      </c>
      <c r="B1411" s="12"/>
      <c r="C1411" s="12" t="s">
        <v>2332</v>
      </c>
      <c r="D1411" s="5">
        <v>43415.0</v>
      </c>
      <c r="E1411" s="15" t="str">
        <f t="shared" si="1"/>
        <v>Nov</v>
      </c>
      <c r="F1411" s="13" t="s">
        <v>41</v>
      </c>
      <c r="G1411" s="13" t="s">
        <v>2940</v>
      </c>
      <c r="H1411" s="13" t="s">
        <v>2941</v>
      </c>
      <c r="I1411" s="13" t="s">
        <v>68</v>
      </c>
      <c r="J1411" s="13">
        <v>7.0</v>
      </c>
      <c r="K1411" s="13" t="s">
        <v>443</v>
      </c>
      <c r="L1411" s="13" t="s">
        <v>70</v>
      </c>
      <c r="M1411" s="13" t="s">
        <v>71</v>
      </c>
      <c r="N1411" s="13" t="s">
        <v>38</v>
      </c>
      <c r="O1411" s="14">
        <v>23.68</v>
      </c>
      <c r="P1411" s="14">
        <f t="shared" si="2"/>
        <v>165.76</v>
      </c>
      <c r="Q1411" s="14">
        <v>23.61</v>
      </c>
    </row>
    <row r="1412">
      <c r="A1412" s="12">
        <v>42985.0</v>
      </c>
      <c r="B1412" s="12"/>
      <c r="C1412" s="12" t="s">
        <v>2329</v>
      </c>
      <c r="D1412" s="1" t="s">
        <v>2185</v>
      </c>
      <c r="E1412" s="15" t="str">
        <f t="shared" si="1"/>
        <v>Jul</v>
      </c>
      <c r="F1412" s="13" t="s">
        <v>41</v>
      </c>
      <c r="G1412" s="13" t="s">
        <v>2447</v>
      </c>
      <c r="H1412" s="13" t="s">
        <v>2448</v>
      </c>
      <c r="I1412" s="13" t="s">
        <v>34</v>
      </c>
      <c r="J1412" s="13">
        <v>1.0</v>
      </c>
      <c r="K1412" s="13" t="s">
        <v>174</v>
      </c>
      <c r="L1412" s="13" t="s">
        <v>175</v>
      </c>
      <c r="M1412" s="13" t="s">
        <v>100</v>
      </c>
      <c r="N1412" s="13" t="s">
        <v>27</v>
      </c>
      <c r="O1412" s="14">
        <v>408.006</v>
      </c>
      <c r="P1412" s="14">
        <f t="shared" si="2"/>
        <v>408.006</v>
      </c>
      <c r="Q1412" s="14">
        <v>407.19</v>
      </c>
    </row>
    <row r="1413">
      <c r="A1413" s="12">
        <v>42985.0</v>
      </c>
      <c r="B1413" s="12"/>
      <c r="C1413" s="12" t="s">
        <v>2329</v>
      </c>
      <c r="D1413" s="1" t="s">
        <v>2185</v>
      </c>
      <c r="E1413" s="15" t="str">
        <f t="shared" si="1"/>
        <v>Jul</v>
      </c>
      <c r="F1413" s="13" t="s">
        <v>41</v>
      </c>
      <c r="G1413" s="13" t="s">
        <v>2447</v>
      </c>
      <c r="H1413" s="13" t="s">
        <v>2448</v>
      </c>
      <c r="I1413" s="13" t="s">
        <v>34</v>
      </c>
      <c r="J1413" s="13">
        <v>1.0</v>
      </c>
      <c r="K1413" s="13" t="s">
        <v>174</v>
      </c>
      <c r="L1413" s="13" t="s">
        <v>175</v>
      </c>
      <c r="M1413" s="13" t="s">
        <v>100</v>
      </c>
      <c r="N1413" s="13" t="s">
        <v>27</v>
      </c>
      <c r="O1413" s="14">
        <v>165.28</v>
      </c>
      <c r="P1413" s="14">
        <f t="shared" si="2"/>
        <v>165.28</v>
      </c>
      <c r="Q1413" s="14">
        <v>164.67</v>
      </c>
    </row>
    <row r="1414">
      <c r="A1414" s="12">
        <v>42185.0</v>
      </c>
      <c r="B1414" s="12"/>
      <c r="C1414" s="12" t="s">
        <v>2374</v>
      </c>
      <c r="D1414" s="6">
        <v>42131.0</v>
      </c>
      <c r="E1414" s="15" t="str">
        <f t="shared" si="1"/>
        <v>May</v>
      </c>
      <c r="F1414" s="13" t="s">
        <v>41</v>
      </c>
      <c r="G1414" s="13" t="s">
        <v>2452</v>
      </c>
      <c r="H1414" s="13" t="s">
        <v>2360</v>
      </c>
      <c r="I1414" s="13" t="s">
        <v>23</v>
      </c>
      <c r="J1414" s="13">
        <v>1.0</v>
      </c>
      <c r="K1414" s="13" t="s">
        <v>174</v>
      </c>
      <c r="L1414" s="13" t="s">
        <v>175</v>
      </c>
      <c r="M1414" s="13" t="s">
        <v>100</v>
      </c>
      <c r="N1414" s="13" t="s">
        <v>38</v>
      </c>
      <c r="O1414" s="14">
        <v>334.768</v>
      </c>
      <c r="P1414" s="14">
        <f t="shared" si="2"/>
        <v>334.768</v>
      </c>
      <c r="Q1414" s="14">
        <v>334.11</v>
      </c>
    </row>
    <row r="1415">
      <c r="A1415" s="12">
        <v>43128.0</v>
      </c>
      <c r="B1415" s="12"/>
      <c r="C1415" s="12" t="s">
        <v>2353</v>
      </c>
      <c r="D1415" s="1" t="s">
        <v>2190</v>
      </c>
      <c r="E1415" s="15" t="str">
        <f t="shared" si="1"/>
        <v>Jan</v>
      </c>
      <c r="F1415" s="13" t="s">
        <v>20</v>
      </c>
      <c r="G1415" s="13" t="s">
        <v>2934</v>
      </c>
      <c r="H1415" s="13" t="s">
        <v>2783</v>
      </c>
      <c r="I1415" s="13" t="s">
        <v>68</v>
      </c>
      <c r="J1415" s="13">
        <v>9.0</v>
      </c>
      <c r="K1415" s="13" t="s">
        <v>947</v>
      </c>
      <c r="L1415" s="13" t="s">
        <v>52</v>
      </c>
      <c r="M1415" s="13" t="s">
        <v>37</v>
      </c>
      <c r="N1415" s="13" t="s">
        <v>51</v>
      </c>
      <c r="O1415" s="14">
        <v>239.97</v>
      </c>
      <c r="P1415" s="14">
        <f t="shared" si="2"/>
        <v>2159.73</v>
      </c>
      <c r="Q1415" s="14">
        <v>239.38</v>
      </c>
    </row>
    <row r="1416">
      <c r="A1416" s="12">
        <v>43128.0</v>
      </c>
      <c r="B1416" s="12"/>
      <c r="C1416" s="12" t="s">
        <v>2353</v>
      </c>
      <c r="D1416" s="1" t="s">
        <v>2190</v>
      </c>
      <c r="E1416" s="15" t="str">
        <f t="shared" si="1"/>
        <v>Jan</v>
      </c>
      <c r="F1416" s="13" t="s">
        <v>20</v>
      </c>
      <c r="G1416" s="13" t="s">
        <v>2934</v>
      </c>
      <c r="H1416" s="13" t="s">
        <v>2783</v>
      </c>
      <c r="I1416" s="13" t="s">
        <v>68</v>
      </c>
      <c r="J1416" s="13">
        <v>9.0</v>
      </c>
      <c r="K1416" s="13" t="s">
        <v>947</v>
      </c>
      <c r="L1416" s="13" t="s">
        <v>52</v>
      </c>
      <c r="M1416" s="13" t="s">
        <v>37</v>
      </c>
      <c r="N1416" s="13" t="s">
        <v>27</v>
      </c>
      <c r="O1416" s="14">
        <v>37.74</v>
      </c>
      <c r="P1416" s="14">
        <f t="shared" si="2"/>
        <v>339.66</v>
      </c>
      <c r="Q1416" s="14">
        <v>37.36</v>
      </c>
    </row>
    <row r="1417">
      <c r="A1417" s="12">
        <v>42634.0</v>
      </c>
      <c r="B1417" s="12"/>
      <c r="C1417" s="12" t="s">
        <v>2329</v>
      </c>
      <c r="D1417" s="1" t="s">
        <v>2049</v>
      </c>
      <c r="E1417" s="15" t="str">
        <f t="shared" si="1"/>
        <v>Sep</v>
      </c>
      <c r="F1417" s="13" t="s">
        <v>121</v>
      </c>
      <c r="G1417" s="13" t="s">
        <v>2947</v>
      </c>
      <c r="H1417" s="13" t="s">
        <v>2948</v>
      </c>
      <c r="I1417" s="13" t="s">
        <v>34</v>
      </c>
      <c r="J1417" s="13">
        <v>7.0</v>
      </c>
      <c r="K1417" s="13" t="s">
        <v>129</v>
      </c>
      <c r="L1417" s="13" t="s">
        <v>70</v>
      </c>
      <c r="M1417" s="13" t="s">
        <v>71</v>
      </c>
      <c r="N1417" s="13" t="s">
        <v>51</v>
      </c>
      <c r="O1417" s="14">
        <v>946.344</v>
      </c>
      <c r="P1417" s="14">
        <f t="shared" si="2"/>
        <v>6624.408</v>
      </c>
      <c r="Q1417" s="14">
        <v>945.88</v>
      </c>
    </row>
    <row r="1418">
      <c r="A1418" s="12">
        <v>42634.0</v>
      </c>
      <c r="B1418" s="12"/>
      <c r="C1418" s="12" t="s">
        <v>2329</v>
      </c>
      <c r="D1418" s="1" t="s">
        <v>2049</v>
      </c>
      <c r="E1418" s="15" t="str">
        <f t="shared" si="1"/>
        <v>Sep</v>
      </c>
      <c r="F1418" s="13" t="s">
        <v>121</v>
      </c>
      <c r="G1418" s="13" t="s">
        <v>2947</v>
      </c>
      <c r="H1418" s="13" t="s">
        <v>2948</v>
      </c>
      <c r="I1418" s="13" t="s">
        <v>34</v>
      </c>
      <c r="J1418" s="13">
        <v>7.0</v>
      </c>
      <c r="K1418" s="13" t="s">
        <v>129</v>
      </c>
      <c r="L1418" s="13" t="s">
        <v>70</v>
      </c>
      <c r="M1418" s="13" t="s">
        <v>71</v>
      </c>
      <c r="N1418" s="13" t="s">
        <v>51</v>
      </c>
      <c r="O1418" s="14">
        <v>151.2</v>
      </c>
      <c r="P1418" s="14">
        <f t="shared" si="2"/>
        <v>1058.4</v>
      </c>
      <c r="Q1418" s="14">
        <v>151.06</v>
      </c>
    </row>
    <row r="1419">
      <c r="A1419" s="12">
        <v>42634.0</v>
      </c>
      <c r="B1419" s="12"/>
      <c r="C1419" s="12" t="s">
        <v>2329</v>
      </c>
      <c r="D1419" s="1" t="s">
        <v>2049</v>
      </c>
      <c r="E1419" s="15" t="str">
        <f t="shared" si="1"/>
        <v>Sep</v>
      </c>
      <c r="F1419" s="13" t="s">
        <v>121</v>
      </c>
      <c r="G1419" s="13" t="s">
        <v>2947</v>
      </c>
      <c r="H1419" s="13" t="s">
        <v>2948</v>
      </c>
      <c r="I1419" s="13" t="s">
        <v>34</v>
      </c>
      <c r="J1419" s="13">
        <v>7.0</v>
      </c>
      <c r="K1419" s="13" t="s">
        <v>129</v>
      </c>
      <c r="L1419" s="13" t="s">
        <v>70</v>
      </c>
      <c r="M1419" s="13" t="s">
        <v>71</v>
      </c>
      <c r="N1419" s="13" t="s">
        <v>27</v>
      </c>
      <c r="O1419" s="14">
        <v>4.928</v>
      </c>
      <c r="P1419" s="14">
        <f t="shared" si="2"/>
        <v>34.496</v>
      </c>
      <c r="Q1419" s="14">
        <v>4.15</v>
      </c>
    </row>
    <row r="1420">
      <c r="A1420" s="12">
        <v>42639.0</v>
      </c>
      <c r="B1420" s="12"/>
      <c r="C1420" s="12" t="s">
        <v>2329</v>
      </c>
      <c r="D1420" s="1" t="s">
        <v>102</v>
      </c>
      <c r="E1420" s="15" t="str">
        <f t="shared" si="1"/>
        <v>Sep</v>
      </c>
      <c r="F1420" s="13" t="s">
        <v>41</v>
      </c>
      <c r="G1420" s="13" t="s">
        <v>2419</v>
      </c>
      <c r="H1420" s="13" t="s">
        <v>2509</v>
      </c>
      <c r="I1420" s="13" t="s">
        <v>34</v>
      </c>
      <c r="J1420" s="13">
        <v>8.0</v>
      </c>
      <c r="K1420" s="13" t="s">
        <v>1009</v>
      </c>
      <c r="L1420" s="13" t="s">
        <v>193</v>
      </c>
      <c r="M1420" s="13" t="s">
        <v>37</v>
      </c>
      <c r="N1420" s="13" t="s">
        <v>38</v>
      </c>
      <c r="O1420" s="14">
        <v>86.272</v>
      </c>
      <c r="P1420" s="14">
        <f t="shared" si="2"/>
        <v>690.176</v>
      </c>
      <c r="Q1420" s="14">
        <v>85.73</v>
      </c>
    </row>
    <row r="1421">
      <c r="A1421" s="12">
        <v>42639.0</v>
      </c>
      <c r="B1421" s="12"/>
      <c r="C1421" s="12" t="s">
        <v>2329</v>
      </c>
      <c r="D1421" s="1" t="s">
        <v>102</v>
      </c>
      <c r="E1421" s="15" t="str">
        <f t="shared" si="1"/>
        <v>Sep</v>
      </c>
      <c r="F1421" s="13" t="s">
        <v>41</v>
      </c>
      <c r="G1421" s="13" t="s">
        <v>2419</v>
      </c>
      <c r="H1421" s="13" t="s">
        <v>2509</v>
      </c>
      <c r="I1421" s="13" t="s">
        <v>34</v>
      </c>
      <c r="J1421" s="13">
        <v>8.0</v>
      </c>
      <c r="K1421" s="13" t="s">
        <v>1009</v>
      </c>
      <c r="L1421" s="13" t="s">
        <v>193</v>
      </c>
      <c r="M1421" s="13" t="s">
        <v>37</v>
      </c>
      <c r="N1421" s="13" t="s">
        <v>38</v>
      </c>
      <c r="O1421" s="14">
        <v>72.588</v>
      </c>
      <c r="P1421" s="14">
        <f t="shared" si="2"/>
        <v>580.704</v>
      </c>
      <c r="Q1421" s="14">
        <v>72.03</v>
      </c>
    </row>
    <row r="1422">
      <c r="A1422" s="12">
        <v>42639.0</v>
      </c>
      <c r="B1422" s="12"/>
      <c r="C1422" s="12" t="s">
        <v>2329</v>
      </c>
      <c r="D1422" s="1" t="s">
        <v>102</v>
      </c>
      <c r="E1422" s="15" t="str">
        <f t="shared" si="1"/>
        <v>Sep</v>
      </c>
      <c r="F1422" s="13" t="s">
        <v>41</v>
      </c>
      <c r="G1422" s="13" t="s">
        <v>2419</v>
      </c>
      <c r="H1422" s="13" t="s">
        <v>2509</v>
      </c>
      <c r="I1422" s="13" t="s">
        <v>34</v>
      </c>
      <c r="J1422" s="13">
        <v>8.0</v>
      </c>
      <c r="K1422" s="13" t="s">
        <v>1009</v>
      </c>
      <c r="L1422" s="13" t="s">
        <v>193</v>
      </c>
      <c r="M1422" s="13" t="s">
        <v>37</v>
      </c>
      <c r="N1422" s="13" t="s">
        <v>38</v>
      </c>
      <c r="O1422" s="14">
        <v>60.672</v>
      </c>
      <c r="P1422" s="14">
        <f t="shared" si="2"/>
        <v>485.376</v>
      </c>
      <c r="Q1422" s="14">
        <v>59.89</v>
      </c>
    </row>
    <row r="1423">
      <c r="A1423" s="12">
        <v>42639.0</v>
      </c>
      <c r="B1423" s="12"/>
      <c r="C1423" s="12" t="s">
        <v>2329</v>
      </c>
      <c r="D1423" s="1" t="s">
        <v>102</v>
      </c>
      <c r="E1423" s="15" t="str">
        <f t="shared" si="1"/>
        <v>Sep</v>
      </c>
      <c r="F1423" s="13" t="s">
        <v>41</v>
      </c>
      <c r="G1423" s="13" t="s">
        <v>2419</v>
      </c>
      <c r="H1423" s="13" t="s">
        <v>2509</v>
      </c>
      <c r="I1423" s="13" t="s">
        <v>34</v>
      </c>
      <c r="J1423" s="13">
        <v>8.0</v>
      </c>
      <c r="K1423" s="13" t="s">
        <v>1009</v>
      </c>
      <c r="L1423" s="13" t="s">
        <v>193</v>
      </c>
      <c r="M1423" s="13" t="s">
        <v>37</v>
      </c>
      <c r="N1423" s="13" t="s">
        <v>38</v>
      </c>
      <c r="O1423" s="14">
        <v>77.031</v>
      </c>
      <c r="P1423" s="14">
        <f t="shared" si="2"/>
        <v>616.248</v>
      </c>
      <c r="Q1423" s="14">
        <v>76.92</v>
      </c>
    </row>
    <row r="1424">
      <c r="A1424" s="12">
        <v>42639.0</v>
      </c>
      <c r="B1424" s="12"/>
      <c r="C1424" s="12" t="s">
        <v>2329</v>
      </c>
      <c r="D1424" s="1" t="s">
        <v>102</v>
      </c>
      <c r="E1424" s="15" t="str">
        <f t="shared" si="1"/>
        <v>Sep</v>
      </c>
      <c r="F1424" s="13" t="s">
        <v>41</v>
      </c>
      <c r="G1424" s="13" t="s">
        <v>2419</v>
      </c>
      <c r="H1424" s="13" t="s">
        <v>2509</v>
      </c>
      <c r="I1424" s="13" t="s">
        <v>34</v>
      </c>
      <c r="J1424" s="13">
        <v>8.0</v>
      </c>
      <c r="K1424" s="13" t="s">
        <v>1009</v>
      </c>
      <c r="L1424" s="13" t="s">
        <v>193</v>
      </c>
      <c r="M1424" s="13" t="s">
        <v>37</v>
      </c>
      <c r="N1424" s="13" t="s">
        <v>38</v>
      </c>
      <c r="O1424" s="14">
        <v>119.904</v>
      </c>
      <c r="P1424" s="14">
        <f t="shared" si="2"/>
        <v>959.232</v>
      </c>
      <c r="Q1424" s="14">
        <v>119.34</v>
      </c>
    </row>
    <row r="1425">
      <c r="A1425" s="12">
        <v>42639.0</v>
      </c>
      <c r="B1425" s="12"/>
      <c r="C1425" s="12" t="s">
        <v>2329</v>
      </c>
      <c r="D1425" s="1" t="s">
        <v>102</v>
      </c>
      <c r="E1425" s="15" t="str">
        <f t="shared" si="1"/>
        <v>Sep</v>
      </c>
      <c r="F1425" s="13" t="s">
        <v>41</v>
      </c>
      <c r="G1425" s="13" t="s">
        <v>2419</v>
      </c>
      <c r="H1425" s="13" t="s">
        <v>2509</v>
      </c>
      <c r="I1425" s="13" t="s">
        <v>34</v>
      </c>
      <c r="J1425" s="13">
        <v>8.0</v>
      </c>
      <c r="K1425" s="13" t="s">
        <v>1009</v>
      </c>
      <c r="L1425" s="13" t="s">
        <v>193</v>
      </c>
      <c r="M1425" s="13" t="s">
        <v>37</v>
      </c>
      <c r="N1425" s="13" t="s">
        <v>51</v>
      </c>
      <c r="O1425" s="14">
        <v>263.96</v>
      </c>
      <c r="P1425" s="14">
        <f t="shared" si="2"/>
        <v>2111.68</v>
      </c>
      <c r="Q1425" s="14">
        <v>263.89</v>
      </c>
    </row>
    <row r="1426">
      <c r="A1426" s="12">
        <v>42639.0</v>
      </c>
      <c r="B1426" s="12"/>
      <c r="C1426" s="12" t="s">
        <v>2329</v>
      </c>
      <c r="D1426" s="1" t="s">
        <v>102</v>
      </c>
      <c r="E1426" s="15" t="str">
        <f t="shared" si="1"/>
        <v>Sep</v>
      </c>
      <c r="F1426" s="13" t="s">
        <v>41</v>
      </c>
      <c r="G1426" s="13" t="s">
        <v>2419</v>
      </c>
      <c r="H1426" s="13" t="s">
        <v>2509</v>
      </c>
      <c r="I1426" s="13" t="s">
        <v>34</v>
      </c>
      <c r="J1426" s="13">
        <v>8.0</v>
      </c>
      <c r="K1426" s="13" t="s">
        <v>1009</v>
      </c>
      <c r="L1426" s="13" t="s">
        <v>193</v>
      </c>
      <c r="M1426" s="13" t="s">
        <v>37</v>
      </c>
      <c r="N1426" s="13" t="s">
        <v>38</v>
      </c>
      <c r="O1426" s="14">
        <v>363.648</v>
      </c>
      <c r="P1426" s="14">
        <f t="shared" si="2"/>
        <v>2909.184</v>
      </c>
      <c r="Q1426" s="14">
        <v>363.08</v>
      </c>
    </row>
    <row r="1427">
      <c r="A1427" s="12">
        <v>42674.0</v>
      </c>
      <c r="B1427" s="12"/>
      <c r="C1427" s="12" t="s">
        <v>2358</v>
      </c>
      <c r="D1427" s="6">
        <v>42471.0</v>
      </c>
      <c r="E1427" s="15" t="str">
        <f t="shared" si="1"/>
        <v>Apr</v>
      </c>
      <c r="F1427" s="13" t="s">
        <v>20</v>
      </c>
      <c r="G1427" s="13" t="s">
        <v>2949</v>
      </c>
      <c r="H1427" s="13" t="s">
        <v>2950</v>
      </c>
      <c r="I1427" s="13" t="s">
        <v>34</v>
      </c>
      <c r="J1427" s="13">
        <v>9.0</v>
      </c>
      <c r="K1427" s="13" t="s">
        <v>1480</v>
      </c>
      <c r="L1427" s="13" t="s">
        <v>52</v>
      </c>
      <c r="M1427" s="13" t="s">
        <v>37</v>
      </c>
      <c r="N1427" s="13" t="s">
        <v>38</v>
      </c>
      <c r="O1427" s="14">
        <v>9.728</v>
      </c>
      <c r="P1427" s="14">
        <f t="shared" si="2"/>
        <v>87.552</v>
      </c>
      <c r="Q1427" s="14">
        <v>9.0</v>
      </c>
    </row>
    <row r="1428">
      <c r="A1428" s="12">
        <v>42674.0</v>
      </c>
      <c r="B1428" s="12"/>
      <c r="C1428" s="12" t="s">
        <v>2358</v>
      </c>
      <c r="D1428" s="6">
        <v>42471.0</v>
      </c>
      <c r="E1428" s="15" t="str">
        <f t="shared" si="1"/>
        <v>Apr</v>
      </c>
      <c r="F1428" s="13" t="s">
        <v>20</v>
      </c>
      <c r="G1428" s="13" t="s">
        <v>2949</v>
      </c>
      <c r="H1428" s="13" t="s">
        <v>2950</v>
      </c>
      <c r="I1428" s="13" t="s">
        <v>34</v>
      </c>
      <c r="J1428" s="13">
        <v>9.0</v>
      </c>
      <c r="K1428" s="13" t="s">
        <v>1480</v>
      </c>
      <c r="L1428" s="13" t="s">
        <v>52</v>
      </c>
      <c r="M1428" s="13" t="s">
        <v>37</v>
      </c>
      <c r="N1428" s="13" t="s">
        <v>38</v>
      </c>
      <c r="O1428" s="14">
        <v>14.75</v>
      </c>
      <c r="P1428" s="14">
        <f t="shared" si="2"/>
        <v>132.75</v>
      </c>
      <c r="Q1428" s="14">
        <v>14.38</v>
      </c>
    </row>
    <row r="1429">
      <c r="A1429" s="12">
        <v>42674.0</v>
      </c>
      <c r="B1429" s="12"/>
      <c r="C1429" s="12" t="s">
        <v>2358</v>
      </c>
      <c r="D1429" s="6">
        <v>42471.0</v>
      </c>
      <c r="E1429" s="15" t="str">
        <f t="shared" si="1"/>
        <v>Apr</v>
      </c>
      <c r="F1429" s="13" t="s">
        <v>20</v>
      </c>
      <c r="G1429" s="13" t="s">
        <v>2949</v>
      </c>
      <c r="H1429" s="13" t="s">
        <v>2950</v>
      </c>
      <c r="I1429" s="13" t="s">
        <v>34</v>
      </c>
      <c r="J1429" s="13">
        <v>9.0</v>
      </c>
      <c r="K1429" s="13" t="s">
        <v>1480</v>
      </c>
      <c r="L1429" s="13" t="s">
        <v>52</v>
      </c>
      <c r="M1429" s="13" t="s">
        <v>37</v>
      </c>
      <c r="N1429" s="13" t="s">
        <v>38</v>
      </c>
      <c r="O1429" s="14">
        <v>29.8</v>
      </c>
      <c r="P1429" s="14">
        <f t="shared" si="2"/>
        <v>268.2</v>
      </c>
      <c r="Q1429" s="14">
        <v>29.02</v>
      </c>
    </row>
    <row r="1430">
      <c r="A1430" s="12">
        <v>42674.0</v>
      </c>
      <c r="B1430" s="12"/>
      <c r="C1430" s="12" t="s">
        <v>2358</v>
      </c>
      <c r="D1430" s="6">
        <v>42471.0</v>
      </c>
      <c r="E1430" s="15" t="str">
        <f t="shared" si="1"/>
        <v>Apr</v>
      </c>
      <c r="F1430" s="13" t="s">
        <v>20</v>
      </c>
      <c r="G1430" s="13" t="s">
        <v>2949</v>
      </c>
      <c r="H1430" s="13" t="s">
        <v>2950</v>
      </c>
      <c r="I1430" s="13" t="s">
        <v>34</v>
      </c>
      <c r="J1430" s="13">
        <v>9.0</v>
      </c>
      <c r="K1430" s="13" t="s">
        <v>1480</v>
      </c>
      <c r="L1430" s="13" t="s">
        <v>52</v>
      </c>
      <c r="M1430" s="13" t="s">
        <v>37</v>
      </c>
      <c r="N1430" s="13" t="s">
        <v>38</v>
      </c>
      <c r="O1430" s="14">
        <v>427.42</v>
      </c>
      <c r="P1430" s="14">
        <f t="shared" si="2"/>
        <v>3846.78</v>
      </c>
      <c r="Q1430" s="14">
        <v>427.03</v>
      </c>
    </row>
    <row r="1431">
      <c r="A1431" s="12">
        <v>43430.0</v>
      </c>
      <c r="B1431" s="12"/>
      <c r="C1431" s="12" t="s">
        <v>2326</v>
      </c>
      <c r="D1431" s="1" t="s">
        <v>2203</v>
      </c>
      <c r="E1431" s="15" t="str">
        <f t="shared" si="1"/>
        <v>Nov</v>
      </c>
      <c r="F1431" s="13" t="s">
        <v>41</v>
      </c>
      <c r="G1431" s="13" t="s">
        <v>2666</v>
      </c>
      <c r="H1431" s="13" t="s">
        <v>2783</v>
      </c>
      <c r="I1431" s="13" t="s">
        <v>23</v>
      </c>
      <c r="J1431" s="13">
        <v>4.0</v>
      </c>
      <c r="K1431" s="13" t="s">
        <v>303</v>
      </c>
      <c r="L1431" s="13" t="s">
        <v>304</v>
      </c>
      <c r="M1431" s="13" t="s">
        <v>100</v>
      </c>
      <c r="N1431" s="13" t="s">
        <v>51</v>
      </c>
      <c r="O1431" s="14">
        <v>220.752</v>
      </c>
      <c r="P1431" s="14">
        <f t="shared" si="2"/>
        <v>883.008</v>
      </c>
      <c r="Q1431" s="14">
        <v>220.67</v>
      </c>
    </row>
    <row r="1432">
      <c r="A1432" s="12">
        <v>42357.0</v>
      </c>
      <c r="B1432" s="12"/>
      <c r="C1432" s="12" t="s">
        <v>2325</v>
      </c>
      <c r="D1432" s="1" t="s">
        <v>1885</v>
      </c>
      <c r="E1432" s="15" t="str">
        <f t="shared" si="1"/>
        <v>Dec</v>
      </c>
      <c r="F1432" s="13" t="s">
        <v>20</v>
      </c>
      <c r="G1432" s="13" t="s">
        <v>2336</v>
      </c>
      <c r="H1432" s="13" t="s">
        <v>2337</v>
      </c>
      <c r="I1432" s="13" t="s">
        <v>23</v>
      </c>
      <c r="J1432" s="13">
        <v>3.0</v>
      </c>
      <c r="K1432" s="13" t="s">
        <v>1450</v>
      </c>
      <c r="L1432" s="13" t="s">
        <v>220</v>
      </c>
      <c r="M1432" s="13" t="s">
        <v>26</v>
      </c>
      <c r="N1432" s="13" t="s">
        <v>38</v>
      </c>
      <c r="O1432" s="14">
        <v>152.76</v>
      </c>
      <c r="P1432" s="14">
        <f t="shared" si="2"/>
        <v>458.28</v>
      </c>
      <c r="Q1432" s="14">
        <v>152.09</v>
      </c>
    </row>
    <row r="1433">
      <c r="A1433" s="12">
        <v>42357.0</v>
      </c>
      <c r="B1433" s="12"/>
      <c r="C1433" s="12" t="s">
        <v>2325</v>
      </c>
      <c r="D1433" s="1" t="s">
        <v>1885</v>
      </c>
      <c r="E1433" s="15" t="str">
        <f t="shared" si="1"/>
        <v>Dec</v>
      </c>
      <c r="F1433" s="13" t="s">
        <v>20</v>
      </c>
      <c r="G1433" s="13" t="s">
        <v>2336</v>
      </c>
      <c r="H1433" s="13" t="s">
        <v>2337</v>
      </c>
      <c r="I1433" s="13" t="s">
        <v>23</v>
      </c>
      <c r="J1433" s="13">
        <v>3.0</v>
      </c>
      <c r="K1433" s="13" t="s">
        <v>1450</v>
      </c>
      <c r="L1433" s="13" t="s">
        <v>220</v>
      </c>
      <c r="M1433" s="13" t="s">
        <v>26</v>
      </c>
      <c r="N1433" s="13" t="s">
        <v>38</v>
      </c>
      <c r="O1433" s="14">
        <v>7.27</v>
      </c>
      <c r="P1433" s="14">
        <f t="shared" si="2"/>
        <v>21.81</v>
      </c>
      <c r="Q1433" s="14">
        <v>6.34</v>
      </c>
    </row>
    <row r="1434">
      <c r="A1434" s="12">
        <v>42357.0</v>
      </c>
      <c r="B1434" s="12"/>
      <c r="C1434" s="12" t="s">
        <v>2325</v>
      </c>
      <c r="D1434" s="1" t="s">
        <v>1885</v>
      </c>
      <c r="E1434" s="15" t="str">
        <f t="shared" si="1"/>
        <v>Dec</v>
      </c>
      <c r="F1434" s="13" t="s">
        <v>20</v>
      </c>
      <c r="G1434" s="13" t="s">
        <v>2336</v>
      </c>
      <c r="H1434" s="13" t="s">
        <v>2337</v>
      </c>
      <c r="I1434" s="13" t="s">
        <v>23</v>
      </c>
      <c r="J1434" s="13">
        <v>3.0</v>
      </c>
      <c r="K1434" s="13" t="s">
        <v>1450</v>
      </c>
      <c r="L1434" s="13" t="s">
        <v>220</v>
      </c>
      <c r="M1434" s="13" t="s">
        <v>26</v>
      </c>
      <c r="N1434" s="13" t="s">
        <v>27</v>
      </c>
      <c r="O1434" s="14">
        <v>1819.86</v>
      </c>
      <c r="P1434" s="14">
        <f t="shared" si="2"/>
        <v>5459.58</v>
      </c>
      <c r="Q1434" s="14">
        <v>1818.88</v>
      </c>
    </row>
    <row r="1435">
      <c r="A1435" s="12">
        <v>43095.0</v>
      </c>
      <c r="B1435" s="12"/>
      <c r="C1435" s="12" t="s">
        <v>2325</v>
      </c>
      <c r="D1435" s="1" t="s">
        <v>2206</v>
      </c>
      <c r="E1435" s="15" t="str">
        <f t="shared" si="1"/>
        <v>Dec</v>
      </c>
      <c r="F1435" s="13" t="s">
        <v>41</v>
      </c>
      <c r="G1435" s="13" t="s">
        <v>2483</v>
      </c>
      <c r="H1435" s="13" t="s">
        <v>2599</v>
      </c>
      <c r="I1435" s="13" t="s">
        <v>23</v>
      </c>
      <c r="J1435" s="13">
        <v>9.0</v>
      </c>
      <c r="K1435" s="13" t="s">
        <v>62</v>
      </c>
      <c r="L1435" s="13" t="s">
        <v>63</v>
      </c>
      <c r="M1435" s="13" t="s">
        <v>37</v>
      </c>
      <c r="N1435" s="13" t="s">
        <v>38</v>
      </c>
      <c r="O1435" s="14">
        <v>33.9</v>
      </c>
      <c r="P1435" s="14">
        <f t="shared" si="2"/>
        <v>305.1</v>
      </c>
      <c r="Q1435" s="14">
        <v>33.02</v>
      </c>
    </row>
    <row r="1436">
      <c r="A1436" s="12">
        <v>43271.0</v>
      </c>
      <c r="B1436" s="12"/>
      <c r="C1436" s="12" t="s">
        <v>2374</v>
      </c>
      <c r="D1436" s="1" t="s">
        <v>1440</v>
      </c>
      <c r="E1436" s="15" t="str">
        <f t="shared" si="1"/>
        <v>Jun</v>
      </c>
      <c r="F1436" s="13" t="s">
        <v>41</v>
      </c>
      <c r="G1436" s="13" t="s">
        <v>2951</v>
      </c>
      <c r="H1436" s="13" t="s">
        <v>2952</v>
      </c>
      <c r="I1436" s="13" t="s">
        <v>23</v>
      </c>
      <c r="J1436" s="13">
        <v>4.0</v>
      </c>
      <c r="K1436" s="13" t="s">
        <v>2210</v>
      </c>
      <c r="L1436" s="13" t="s">
        <v>304</v>
      </c>
      <c r="M1436" s="13" t="s">
        <v>100</v>
      </c>
      <c r="N1436" s="13" t="s">
        <v>38</v>
      </c>
      <c r="O1436" s="14">
        <v>31.104</v>
      </c>
      <c r="P1436" s="14">
        <f t="shared" si="2"/>
        <v>124.416</v>
      </c>
      <c r="Q1436" s="14">
        <v>30.15</v>
      </c>
    </row>
    <row r="1437">
      <c r="A1437" s="12">
        <v>43271.0</v>
      </c>
      <c r="B1437" s="12"/>
      <c r="C1437" s="12" t="s">
        <v>2374</v>
      </c>
      <c r="D1437" s="1" t="s">
        <v>1440</v>
      </c>
      <c r="E1437" s="15" t="str">
        <f t="shared" si="1"/>
        <v>Jun</v>
      </c>
      <c r="F1437" s="13" t="s">
        <v>41</v>
      </c>
      <c r="G1437" s="13" t="s">
        <v>2951</v>
      </c>
      <c r="H1437" s="13" t="s">
        <v>2952</v>
      </c>
      <c r="I1437" s="13" t="s">
        <v>23</v>
      </c>
      <c r="J1437" s="13">
        <v>4.0</v>
      </c>
      <c r="K1437" s="13" t="s">
        <v>2210</v>
      </c>
      <c r="L1437" s="13" t="s">
        <v>304</v>
      </c>
      <c r="M1437" s="13" t="s">
        <v>100</v>
      </c>
      <c r="N1437" s="13" t="s">
        <v>38</v>
      </c>
      <c r="O1437" s="14">
        <v>5.248</v>
      </c>
      <c r="P1437" s="14">
        <f t="shared" si="2"/>
        <v>20.992</v>
      </c>
      <c r="Q1437" s="14">
        <v>4.85</v>
      </c>
    </row>
    <row r="1438">
      <c r="A1438" s="12">
        <v>42658.0</v>
      </c>
      <c r="B1438" s="12"/>
      <c r="C1438" s="12" t="s">
        <v>2358</v>
      </c>
      <c r="D1438" s="1" t="s">
        <v>2212</v>
      </c>
      <c r="E1438" s="15" t="str">
        <f t="shared" si="1"/>
        <v>Oct</v>
      </c>
      <c r="F1438" s="13" t="s">
        <v>717</v>
      </c>
      <c r="G1438" s="13" t="s">
        <v>2392</v>
      </c>
      <c r="H1438" s="13" t="s">
        <v>2393</v>
      </c>
      <c r="I1438" s="13" t="s">
        <v>23</v>
      </c>
      <c r="J1438" s="13">
        <v>7.0</v>
      </c>
      <c r="K1438" s="13" t="s">
        <v>891</v>
      </c>
      <c r="L1438" s="13" t="s">
        <v>70</v>
      </c>
      <c r="M1438" s="13" t="s">
        <v>71</v>
      </c>
      <c r="N1438" s="13" t="s">
        <v>51</v>
      </c>
      <c r="O1438" s="14">
        <v>263.88</v>
      </c>
      <c r="P1438" s="14">
        <f t="shared" si="2"/>
        <v>1847.16</v>
      </c>
      <c r="Q1438" s="14">
        <v>263.71</v>
      </c>
    </row>
    <row r="1439">
      <c r="A1439" s="12">
        <v>42658.0</v>
      </c>
      <c r="B1439" s="12"/>
      <c r="C1439" s="12" t="s">
        <v>2358</v>
      </c>
      <c r="D1439" s="1" t="s">
        <v>2212</v>
      </c>
      <c r="E1439" s="15" t="str">
        <f t="shared" si="1"/>
        <v>Oct</v>
      </c>
      <c r="F1439" s="13" t="s">
        <v>717</v>
      </c>
      <c r="G1439" s="13" t="s">
        <v>2392</v>
      </c>
      <c r="H1439" s="13" t="s">
        <v>2393</v>
      </c>
      <c r="I1439" s="13" t="s">
        <v>23</v>
      </c>
      <c r="J1439" s="13">
        <v>7.0</v>
      </c>
      <c r="K1439" s="13" t="s">
        <v>891</v>
      </c>
      <c r="L1439" s="13" t="s">
        <v>70</v>
      </c>
      <c r="M1439" s="13" t="s">
        <v>71</v>
      </c>
      <c r="N1439" s="13" t="s">
        <v>27</v>
      </c>
      <c r="O1439" s="14">
        <v>2453.43</v>
      </c>
      <c r="P1439" s="14">
        <f t="shared" si="2"/>
        <v>17174.01</v>
      </c>
      <c r="Q1439" s="14">
        <v>2452.69</v>
      </c>
    </row>
    <row r="1440">
      <c r="A1440" s="12">
        <v>43438.0</v>
      </c>
      <c r="B1440" s="12"/>
      <c r="C1440" s="12" t="s">
        <v>2325</v>
      </c>
      <c r="D1440" s="1" t="s">
        <v>1488</v>
      </c>
      <c r="E1440" s="15" t="str">
        <f t="shared" si="1"/>
        <v>Apr</v>
      </c>
      <c r="F1440" s="13" t="s">
        <v>20</v>
      </c>
      <c r="G1440" s="13" t="s">
        <v>2670</v>
      </c>
      <c r="H1440" s="13" t="s">
        <v>2345</v>
      </c>
      <c r="I1440" s="13" t="s">
        <v>23</v>
      </c>
      <c r="J1440" s="13">
        <v>2.0</v>
      </c>
      <c r="K1440" s="13" t="s">
        <v>2026</v>
      </c>
      <c r="L1440" s="13" t="s">
        <v>782</v>
      </c>
      <c r="M1440" s="13" t="s">
        <v>100</v>
      </c>
      <c r="N1440" s="13" t="s">
        <v>38</v>
      </c>
      <c r="O1440" s="14">
        <v>29.7</v>
      </c>
      <c r="P1440" s="14">
        <f t="shared" si="2"/>
        <v>59.4</v>
      </c>
      <c r="Q1440" s="14">
        <v>29.43</v>
      </c>
    </row>
    <row r="1441">
      <c r="A1441" s="12">
        <v>43438.0</v>
      </c>
      <c r="B1441" s="12"/>
      <c r="C1441" s="12" t="s">
        <v>2325</v>
      </c>
      <c r="D1441" s="1" t="s">
        <v>1488</v>
      </c>
      <c r="E1441" s="15" t="str">
        <f t="shared" si="1"/>
        <v>Apr</v>
      </c>
      <c r="F1441" s="13" t="s">
        <v>20</v>
      </c>
      <c r="G1441" s="13" t="s">
        <v>2670</v>
      </c>
      <c r="H1441" s="13" t="s">
        <v>2345</v>
      </c>
      <c r="I1441" s="13" t="s">
        <v>23</v>
      </c>
      <c r="J1441" s="13">
        <v>2.0</v>
      </c>
      <c r="K1441" s="13" t="s">
        <v>2026</v>
      </c>
      <c r="L1441" s="13" t="s">
        <v>782</v>
      </c>
      <c r="M1441" s="13" t="s">
        <v>100</v>
      </c>
      <c r="N1441" s="13" t="s">
        <v>38</v>
      </c>
      <c r="O1441" s="14">
        <v>39.96</v>
      </c>
      <c r="P1441" s="14">
        <f t="shared" si="2"/>
        <v>79.92</v>
      </c>
      <c r="Q1441" s="14">
        <v>39.24</v>
      </c>
    </row>
    <row r="1442">
      <c r="A1442" s="12">
        <v>43453.0</v>
      </c>
      <c r="B1442" s="12"/>
      <c r="C1442" s="12" t="s">
        <v>2325</v>
      </c>
      <c r="D1442" s="1" t="s">
        <v>1981</v>
      </c>
      <c r="E1442" s="15" t="str">
        <f t="shared" si="1"/>
        <v>Dec</v>
      </c>
      <c r="F1442" s="13" t="s">
        <v>20</v>
      </c>
      <c r="G1442" s="13" t="s">
        <v>2507</v>
      </c>
      <c r="H1442" s="13" t="s">
        <v>2953</v>
      </c>
      <c r="I1442" s="13" t="s">
        <v>23</v>
      </c>
      <c r="J1442" s="13">
        <v>9.0</v>
      </c>
      <c r="K1442" s="13" t="s">
        <v>87</v>
      </c>
      <c r="L1442" s="13" t="s">
        <v>52</v>
      </c>
      <c r="M1442" s="13" t="s">
        <v>37</v>
      </c>
      <c r="N1442" s="13" t="s">
        <v>38</v>
      </c>
      <c r="O1442" s="14">
        <v>36.672</v>
      </c>
      <c r="P1442" s="14">
        <f t="shared" si="2"/>
        <v>330.048</v>
      </c>
      <c r="Q1442" s="14">
        <v>36.0</v>
      </c>
    </row>
    <row r="1443">
      <c r="A1443" s="12">
        <v>43228.0</v>
      </c>
      <c r="B1443" s="12"/>
      <c r="C1443" s="12" t="s">
        <v>2335</v>
      </c>
      <c r="D1443" s="6">
        <v>43320.0</v>
      </c>
      <c r="E1443" s="15" t="str">
        <f t="shared" si="1"/>
        <v>Aug</v>
      </c>
      <c r="F1443" s="13" t="s">
        <v>121</v>
      </c>
      <c r="G1443" s="13" t="s">
        <v>2792</v>
      </c>
      <c r="H1443" s="13" t="s">
        <v>2954</v>
      </c>
      <c r="I1443" s="13" t="s">
        <v>34</v>
      </c>
      <c r="J1443" s="13">
        <v>4.0</v>
      </c>
      <c r="K1443" s="13" t="s">
        <v>814</v>
      </c>
      <c r="L1443" s="13" t="s">
        <v>25</v>
      </c>
      <c r="M1443" s="13" t="s">
        <v>26</v>
      </c>
      <c r="N1443" s="13" t="s">
        <v>38</v>
      </c>
      <c r="O1443" s="14">
        <v>13.76</v>
      </c>
      <c r="P1443" s="14">
        <f t="shared" si="2"/>
        <v>55.04</v>
      </c>
      <c r="Q1443" s="14">
        <v>12.86</v>
      </c>
    </row>
    <row r="1444">
      <c r="A1444" s="12">
        <v>42379.0</v>
      </c>
      <c r="B1444" s="12"/>
      <c r="C1444" s="12" t="s">
        <v>2353</v>
      </c>
      <c r="D1444" s="6">
        <v>42531.0</v>
      </c>
      <c r="E1444" s="15" t="str">
        <f t="shared" si="1"/>
        <v>Jun</v>
      </c>
      <c r="F1444" s="13" t="s">
        <v>41</v>
      </c>
      <c r="G1444" s="13" t="s">
        <v>2955</v>
      </c>
      <c r="H1444" s="13" t="s">
        <v>2956</v>
      </c>
      <c r="I1444" s="13" t="s">
        <v>34</v>
      </c>
      <c r="J1444" s="13">
        <v>8.0</v>
      </c>
      <c r="K1444" s="13" t="s">
        <v>278</v>
      </c>
      <c r="L1444" s="13" t="s">
        <v>279</v>
      </c>
      <c r="M1444" s="13" t="s">
        <v>37</v>
      </c>
      <c r="N1444" s="13" t="s">
        <v>38</v>
      </c>
      <c r="O1444" s="14">
        <v>139.424</v>
      </c>
      <c r="P1444" s="14">
        <f t="shared" si="2"/>
        <v>1115.392</v>
      </c>
      <c r="Q1444" s="14">
        <v>138.95</v>
      </c>
    </row>
    <row r="1445">
      <c r="A1445" s="12">
        <v>42878.0</v>
      </c>
      <c r="B1445" s="12"/>
      <c r="C1445" s="12" t="s">
        <v>2335</v>
      </c>
      <c r="D1445" s="1" t="s">
        <v>2224</v>
      </c>
      <c r="E1445" s="15" t="str">
        <f t="shared" si="1"/>
        <v>May</v>
      </c>
      <c r="F1445" s="13" t="s">
        <v>41</v>
      </c>
      <c r="G1445" s="13" t="s">
        <v>2346</v>
      </c>
      <c r="H1445" s="13" t="s">
        <v>2514</v>
      </c>
      <c r="I1445" s="13" t="s">
        <v>23</v>
      </c>
      <c r="J1445" s="13">
        <v>6.0</v>
      </c>
      <c r="K1445" s="13" t="s">
        <v>188</v>
      </c>
      <c r="L1445" s="13" t="s">
        <v>135</v>
      </c>
      <c r="M1445" s="13" t="s">
        <v>71</v>
      </c>
      <c r="N1445" s="13" t="s">
        <v>51</v>
      </c>
      <c r="O1445" s="14">
        <v>1979.928</v>
      </c>
      <c r="P1445" s="14">
        <f t="shared" si="2"/>
        <v>11879.568</v>
      </c>
      <c r="Q1445" s="14">
        <v>1978.98</v>
      </c>
    </row>
    <row r="1446">
      <c r="A1446" s="12">
        <v>43264.0</v>
      </c>
      <c r="B1446" s="12"/>
      <c r="C1446" s="12" t="s">
        <v>2374</v>
      </c>
      <c r="D1446" s="1" t="s">
        <v>2226</v>
      </c>
      <c r="E1446" s="15" t="str">
        <f t="shared" si="1"/>
        <v>Jun</v>
      </c>
      <c r="F1446" s="13" t="s">
        <v>121</v>
      </c>
      <c r="G1446" s="13" t="s">
        <v>2477</v>
      </c>
      <c r="H1446" s="13" t="s">
        <v>2389</v>
      </c>
      <c r="I1446" s="13" t="s">
        <v>68</v>
      </c>
      <c r="J1446" s="13">
        <v>6.0</v>
      </c>
      <c r="K1446" s="13" t="s">
        <v>188</v>
      </c>
      <c r="L1446" s="13" t="s">
        <v>135</v>
      </c>
      <c r="M1446" s="13" t="s">
        <v>71</v>
      </c>
      <c r="N1446" s="13" t="s">
        <v>38</v>
      </c>
      <c r="O1446" s="14">
        <v>164.736</v>
      </c>
      <c r="P1446" s="14">
        <f t="shared" si="2"/>
        <v>988.416</v>
      </c>
      <c r="Q1446" s="14">
        <v>164.43</v>
      </c>
    </row>
    <row r="1447">
      <c r="A1447" s="12">
        <v>43264.0</v>
      </c>
      <c r="B1447" s="12"/>
      <c r="C1447" s="12" t="s">
        <v>2374</v>
      </c>
      <c r="D1447" s="1" t="s">
        <v>2226</v>
      </c>
      <c r="E1447" s="15" t="str">
        <f t="shared" si="1"/>
        <v>Jun</v>
      </c>
      <c r="F1447" s="13" t="s">
        <v>121</v>
      </c>
      <c r="G1447" s="13" t="s">
        <v>2477</v>
      </c>
      <c r="H1447" s="13" t="s">
        <v>2389</v>
      </c>
      <c r="I1447" s="13" t="s">
        <v>68</v>
      </c>
      <c r="J1447" s="13">
        <v>6.0</v>
      </c>
      <c r="K1447" s="13" t="s">
        <v>188</v>
      </c>
      <c r="L1447" s="13" t="s">
        <v>135</v>
      </c>
      <c r="M1447" s="13" t="s">
        <v>71</v>
      </c>
      <c r="N1447" s="13" t="s">
        <v>27</v>
      </c>
      <c r="O1447" s="14">
        <v>470.302</v>
      </c>
      <c r="P1447" s="14">
        <f t="shared" si="2"/>
        <v>2821.812</v>
      </c>
      <c r="Q1447" s="14">
        <v>469.44</v>
      </c>
    </row>
    <row r="1448">
      <c r="A1448" s="12">
        <v>43264.0</v>
      </c>
      <c r="B1448" s="12"/>
      <c r="C1448" s="12" t="s">
        <v>2374</v>
      </c>
      <c r="D1448" s="1" t="s">
        <v>2226</v>
      </c>
      <c r="E1448" s="15" t="str">
        <f t="shared" si="1"/>
        <v>Jun</v>
      </c>
      <c r="F1448" s="13" t="s">
        <v>121</v>
      </c>
      <c r="G1448" s="13" t="s">
        <v>2477</v>
      </c>
      <c r="H1448" s="13" t="s">
        <v>2389</v>
      </c>
      <c r="I1448" s="13" t="s">
        <v>68</v>
      </c>
      <c r="J1448" s="13">
        <v>6.0</v>
      </c>
      <c r="K1448" s="13" t="s">
        <v>188</v>
      </c>
      <c r="L1448" s="13" t="s">
        <v>135</v>
      </c>
      <c r="M1448" s="13" t="s">
        <v>71</v>
      </c>
      <c r="N1448" s="13" t="s">
        <v>51</v>
      </c>
      <c r="O1448" s="14">
        <v>47.984</v>
      </c>
      <c r="P1448" s="14">
        <f t="shared" si="2"/>
        <v>287.904</v>
      </c>
      <c r="Q1448" s="14">
        <v>47.81</v>
      </c>
    </row>
    <row r="1449">
      <c r="A1449" s="12">
        <v>42117.0</v>
      </c>
      <c r="B1449" s="12"/>
      <c r="C1449" s="12" t="s">
        <v>2332</v>
      </c>
      <c r="D1449" s="1" t="s">
        <v>2228</v>
      </c>
      <c r="E1449" s="15" t="str">
        <f t="shared" si="1"/>
        <v>Apr</v>
      </c>
      <c r="F1449" s="13" t="s">
        <v>121</v>
      </c>
      <c r="G1449" s="13" t="s">
        <v>2873</v>
      </c>
      <c r="H1449" s="13" t="s">
        <v>2874</v>
      </c>
      <c r="I1449" s="13" t="s">
        <v>34</v>
      </c>
      <c r="J1449" s="13">
        <v>1.0</v>
      </c>
      <c r="K1449" s="13" t="s">
        <v>98</v>
      </c>
      <c r="L1449" s="13" t="s">
        <v>99</v>
      </c>
      <c r="M1449" s="13" t="s">
        <v>100</v>
      </c>
      <c r="N1449" s="13" t="s">
        <v>38</v>
      </c>
      <c r="O1449" s="14">
        <v>2.502</v>
      </c>
      <c r="P1449" s="14">
        <f t="shared" si="2"/>
        <v>2.502</v>
      </c>
      <c r="Q1449" s="14">
        <v>2.25</v>
      </c>
    </row>
    <row r="1450">
      <c r="A1450" s="12">
        <v>42374.0</v>
      </c>
      <c r="B1450" s="12"/>
      <c r="C1450" s="12" t="s">
        <v>2353</v>
      </c>
      <c r="D1450" s="6">
        <v>42556.0</v>
      </c>
      <c r="E1450" s="15" t="str">
        <f t="shared" si="1"/>
        <v>Jul</v>
      </c>
      <c r="F1450" s="13" t="s">
        <v>41</v>
      </c>
      <c r="G1450" s="13" t="s">
        <v>2475</v>
      </c>
      <c r="H1450" s="13" t="s">
        <v>2476</v>
      </c>
      <c r="I1450" s="13" t="s">
        <v>34</v>
      </c>
      <c r="J1450" s="13">
        <v>9.0</v>
      </c>
      <c r="K1450" s="13" t="s">
        <v>35</v>
      </c>
      <c r="L1450" s="13" t="s">
        <v>52</v>
      </c>
      <c r="M1450" s="13" t="s">
        <v>37</v>
      </c>
      <c r="N1450" s="13" t="s">
        <v>51</v>
      </c>
      <c r="O1450" s="14">
        <v>88.752</v>
      </c>
      <c r="P1450" s="14">
        <f t="shared" si="2"/>
        <v>798.768</v>
      </c>
      <c r="Q1450" s="14">
        <v>88.64</v>
      </c>
    </row>
    <row r="1451">
      <c r="A1451" s="12">
        <v>42570.0</v>
      </c>
      <c r="B1451" s="12"/>
      <c r="C1451" s="12" t="s">
        <v>2348</v>
      </c>
      <c r="D1451" s="1" t="s">
        <v>2231</v>
      </c>
      <c r="E1451" s="15" t="str">
        <f t="shared" si="1"/>
        <v>Jul</v>
      </c>
      <c r="F1451" s="13" t="s">
        <v>121</v>
      </c>
      <c r="G1451" s="13" t="s">
        <v>2957</v>
      </c>
      <c r="H1451" s="13" t="s">
        <v>2958</v>
      </c>
      <c r="I1451" s="13" t="s">
        <v>23</v>
      </c>
      <c r="J1451" s="13">
        <v>8.0</v>
      </c>
      <c r="K1451" s="13" t="s">
        <v>328</v>
      </c>
      <c r="L1451" s="13" t="s">
        <v>193</v>
      </c>
      <c r="M1451" s="13" t="s">
        <v>37</v>
      </c>
      <c r="N1451" s="13" t="s">
        <v>38</v>
      </c>
      <c r="O1451" s="14">
        <v>2.025</v>
      </c>
      <c r="P1451" s="14">
        <f t="shared" si="2"/>
        <v>16.2</v>
      </c>
      <c r="Q1451" s="14">
        <v>2.02</v>
      </c>
    </row>
    <row r="1452">
      <c r="A1452" s="12">
        <v>43065.0</v>
      </c>
      <c r="B1452" s="12"/>
      <c r="C1452" s="12" t="s">
        <v>2326</v>
      </c>
      <c r="D1452" s="1" t="s">
        <v>2235</v>
      </c>
      <c r="E1452" s="15" t="str">
        <f t="shared" si="1"/>
        <v>Nov</v>
      </c>
      <c r="F1452" s="13" t="s">
        <v>121</v>
      </c>
      <c r="G1452" s="13" t="s">
        <v>2487</v>
      </c>
      <c r="H1452" s="13" t="s">
        <v>2959</v>
      </c>
      <c r="I1452" s="13" t="s">
        <v>34</v>
      </c>
      <c r="J1452" s="13">
        <v>3.0</v>
      </c>
      <c r="K1452" s="13" t="s">
        <v>2238</v>
      </c>
      <c r="L1452" s="13" t="s">
        <v>220</v>
      </c>
      <c r="M1452" s="13" t="s">
        <v>26</v>
      </c>
      <c r="N1452" s="13" t="s">
        <v>38</v>
      </c>
      <c r="O1452" s="14">
        <v>70.98</v>
      </c>
      <c r="P1452" s="14">
        <f t="shared" si="2"/>
        <v>212.94</v>
      </c>
      <c r="Q1452" s="14">
        <v>70.53</v>
      </c>
    </row>
    <row r="1453">
      <c r="A1453" s="12">
        <v>43065.0</v>
      </c>
      <c r="B1453" s="12"/>
      <c r="C1453" s="12" t="s">
        <v>2326</v>
      </c>
      <c r="D1453" s="1" t="s">
        <v>2235</v>
      </c>
      <c r="E1453" s="15" t="str">
        <f t="shared" si="1"/>
        <v>Nov</v>
      </c>
      <c r="F1453" s="13" t="s">
        <v>121</v>
      </c>
      <c r="G1453" s="13" t="s">
        <v>2487</v>
      </c>
      <c r="H1453" s="13" t="s">
        <v>2959</v>
      </c>
      <c r="I1453" s="13" t="s">
        <v>34</v>
      </c>
      <c r="J1453" s="13">
        <v>3.0</v>
      </c>
      <c r="K1453" s="13" t="s">
        <v>2238</v>
      </c>
      <c r="L1453" s="13" t="s">
        <v>220</v>
      </c>
      <c r="M1453" s="13" t="s">
        <v>26</v>
      </c>
      <c r="N1453" s="13" t="s">
        <v>38</v>
      </c>
      <c r="O1453" s="14">
        <v>91.68</v>
      </c>
      <c r="P1453" s="14">
        <f t="shared" si="2"/>
        <v>275.04</v>
      </c>
      <c r="Q1453" s="14">
        <v>90.91</v>
      </c>
    </row>
    <row r="1454">
      <c r="A1454" s="12">
        <v>43065.0</v>
      </c>
      <c r="B1454" s="12"/>
      <c r="C1454" s="12" t="s">
        <v>2326</v>
      </c>
      <c r="D1454" s="1" t="s">
        <v>2235</v>
      </c>
      <c r="E1454" s="15" t="str">
        <f t="shared" si="1"/>
        <v>Nov</v>
      </c>
      <c r="F1454" s="13" t="s">
        <v>121</v>
      </c>
      <c r="G1454" s="13" t="s">
        <v>2487</v>
      </c>
      <c r="H1454" s="13" t="s">
        <v>2959</v>
      </c>
      <c r="I1454" s="13" t="s">
        <v>34</v>
      </c>
      <c r="J1454" s="13">
        <v>3.0</v>
      </c>
      <c r="K1454" s="13" t="s">
        <v>2238</v>
      </c>
      <c r="L1454" s="13" t="s">
        <v>220</v>
      </c>
      <c r="M1454" s="13" t="s">
        <v>26</v>
      </c>
      <c r="N1454" s="13" t="s">
        <v>38</v>
      </c>
      <c r="O1454" s="14">
        <v>33.75</v>
      </c>
      <c r="P1454" s="14">
        <f t="shared" si="2"/>
        <v>101.25</v>
      </c>
      <c r="Q1454" s="14">
        <v>33.13</v>
      </c>
    </row>
    <row r="1455">
      <c r="A1455" s="12">
        <v>43065.0</v>
      </c>
      <c r="B1455" s="12"/>
      <c r="C1455" s="12" t="s">
        <v>2326</v>
      </c>
      <c r="D1455" s="1" t="s">
        <v>2235</v>
      </c>
      <c r="E1455" s="15" t="str">
        <f t="shared" si="1"/>
        <v>Nov</v>
      </c>
      <c r="F1455" s="13" t="s">
        <v>121</v>
      </c>
      <c r="G1455" s="13" t="s">
        <v>2487</v>
      </c>
      <c r="H1455" s="13" t="s">
        <v>2959</v>
      </c>
      <c r="I1455" s="13" t="s">
        <v>34</v>
      </c>
      <c r="J1455" s="13">
        <v>3.0</v>
      </c>
      <c r="K1455" s="13" t="s">
        <v>2238</v>
      </c>
      <c r="L1455" s="13" t="s">
        <v>220</v>
      </c>
      <c r="M1455" s="13" t="s">
        <v>26</v>
      </c>
      <c r="N1455" s="13" t="s">
        <v>51</v>
      </c>
      <c r="O1455" s="14">
        <v>3040.0</v>
      </c>
      <c r="P1455" s="14">
        <f t="shared" si="2"/>
        <v>9120</v>
      </c>
      <c r="Q1455" s="14">
        <v>3039.91</v>
      </c>
    </row>
    <row r="1456">
      <c r="A1456" s="12">
        <v>43440.0</v>
      </c>
      <c r="B1456" s="12"/>
      <c r="C1456" s="12" t="s">
        <v>2325</v>
      </c>
      <c r="D1456" s="1" t="s">
        <v>687</v>
      </c>
      <c r="E1456" s="15" t="str">
        <f t="shared" si="1"/>
        <v>Jun</v>
      </c>
      <c r="F1456" s="13" t="s">
        <v>41</v>
      </c>
      <c r="G1456" s="13" t="s">
        <v>2496</v>
      </c>
      <c r="H1456" s="13" t="s">
        <v>2960</v>
      </c>
      <c r="I1456" s="13" t="s">
        <v>68</v>
      </c>
      <c r="J1456" s="13">
        <v>3.0</v>
      </c>
      <c r="K1456" s="13" t="s">
        <v>303</v>
      </c>
      <c r="L1456" s="13" t="s">
        <v>707</v>
      </c>
      <c r="M1456" s="13" t="s">
        <v>26</v>
      </c>
      <c r="N1456" s="13" t="s">
        <v>38</v>
      </c>
      <c r="O1456" s="14">
        <v>91.2</v>
      </c>
      <c r="P1456" s="14">
        <f t="shared" si="2"/>
        <v>273.6</v>
      </c>
      <c r="Q1456" s="14">
        <v>90.82</v>
      </c>
    </row>
    <row r="1457">
      <c r="A1457" s="12">
        <v>43440.0</v>
      </c>
      <c r="B1457" s="12"/>
      <c r="C1457" s="12" t="s">
        <v>2325</v>
      </c>
      <c r="D1457" s="1" t="s">
        <v>687</v>
      </c>
      <c r="E1457" s="15" t="str">
        <f t="shared" si="1"/>
        <v>Jun</v>
      </c>
      <c r="F1457" s="13" t="s">
        <v>41</v>
      </c>
      <c r="G1457" s="13" t="s">
        <v>2496</v>
      </c>
      <c r="H1457" s="13" t="s">
        <v>2960</v>
      </c>
      <c r="I1457" s="13" t="s">
        <v>68</v>
      </c>
      <c r="J1457" s="13">
        <v>3.0</v>
      </c>
      <c r="K1457" s="13" t="s">
        <v>303</v>
      </c>
      <c r="L1457" s="13" t="s">
        <v>707</v>
      </c>
      <c r="M1457" s="13" t="s">
        <v>26</v>
      </c>
      <c r="N1457" s="13" t="s">
        <v>27</v>
      </c>
      <c r="O1457" s="14">
        <v>452.94</v>
      </c>
      <c r="P1457" s="14">
        <f t="shared" si="2"/>
        <v>1358.82</v>
      </c>
      <c r="Q1457" s="14">
        <v>452.59</v>
      </c>
    </row>
    <row r="1458">
      <c r="A1458" s="12">
        <v>42599.0</v>
      </c>
      <c r="B1458" s="12"/>
      <c r="C1458" s="12" t="s">
        <v>2322</v>
      </c>
      <c r="D1458" s="1" t="s">
        <v>2243</v>
      </c>
      <c r="E1458" s="15" t="str">
        <f t="shared" si="1"/>
        <v>Aug</v>
      </c>
      <c r="F1458" s="13" t="s">
        <v>41</v>
      </c>
      <c r="G1458" s="13" t="s">
        <v>2955</v>
      </c>
      <c r="H1458" s="13" t="s">
        <v>2956</v>
      </c>
      <c r="I1458" s="13" t="s">
        <v>34</v>
      </c>
      <c r="J1458" s="13">
        <v>2.0</v>
      </c>
      <c r="K1458" s="13" t="s">
        <v>2244</v>
      </c>
      <c r="L1458" s="13" t="s">
        <v>694</v>
      </c>
      <c r="M1458" s="13" t="s">
        <v>100</v>
      </c>
      <c r="N1458" s="13" t="s">
        <v>38</v>
      </c>
      <c r="O1458" s="14">
        <v>52.2</v>
      </c>
      <c r="P1458" s="14">
        <f t="shared" si="2"/>
        <v>104.4</v>
      </c>
      <c r="Q1458" s="14">
        <v>51.92</v>
      </c>
    </row>
    <row r="1459">
      <c r="A1459" s="12">
        <v>43003.0</v>
      </c>
      <c r="B1459" s="12"/>
      <c r="C1459" s="12" t="s">
        <v>2329</v>
      </c>
      <c r="D1459" s="6">
        <v>42745.0</v>
      </c>
      <c r="E1459" s="15" t="str">
        <f t="shared" si="1"/>
        <v>Jan</v>
      </c>
      <c r="F1459" s="13" t="s">
        <v>41</v>
      </c>
      <c r="G1459" s="13" t="s">
        <v>2870</v>
      </c>
      <c r="H1459" s="13" t="s">
        <v>2787</v>
      </c>
      <c r="I1459" s="13" t="s">
        <v>34</v>
      </c>
      <c r="J1459" s="13">
        <v>7.0</v>
      </c>
      <c r="K1459" s="13" t="s">
        <v>2248</v>
      </c>
      <c r="L1459" s="13" t="s">
        <v>70</v>
      </c>
      <c r="M1459" s="13" t="s">
        <v>71</v>
      </c>
      <c r="N1459" s="13" t="s">
        <v>38</v>
      </c>
      <c r="O1459" s="14">
        <v>15.936</v>
      </c>
      <c r="P1459" s="14">
        <f t="shared" si="2"/>
        <v>111.552</v>
      </c>
      <c r="Q1459" s="14">
        <v>15.9</v>
      </c>
    </row>
    <row r="1460">
      <c r="A1460" s="12">
        <v>42099.0</v>
      </c>
      <c r="B1460" s="12"/>
      <c r="C1460" s="12" t="s">
        <v>2332</v>
      </c>
      <c r="D1460" s="6">
        <v>42099.0</v>
      </c>
      <c r="E1460" s="15" t="str">
        <f t="shared" si="1"/>
        <v>Apr</v>
      </c>
      <c r="F1460" s="13" t="s">
        <v>717</v>
      </c>
      <c r="G1460" s="13" t="s">
        <v>2333</v>
      </c>
      <c r="H1460" s="13" t="s">
        <v>2334</v>
      </c>
      <c r="I1460" s="13" t="s">
        <v>23</v>
      </c>
      <c r="J1460" s="13">
        <v>6.0</v>
      </c>
      <c r="K1460" s="13" t="s">
        <v>2109</v>
      </c>
      <c r="L1460" s="13" t="s">
        <v>435</v>
      </c>
      <c r="M1460" s="13" t="s">
        <v>100</v>
      </c>
      <c r="N1460" s="13" t="s">
        <v>27</v>
      </c>
      <c r="O1460" s="14">
        <v>27.46</v>
      </c>
      <c r="P1460" s="14">
        <f t="shared" si="2"/>
        <v>164.76</v>
      </c>
      <c r="Q1460" s="14">
        <v>27.22</v>
      </c>
    </row>
    <row r="1461">
      <c r="A1461" s="12">
        <v>42381.0</v>
      </c>
      <c r="B1461" s="12"/>
      <c r="C1461" s="12" t="s">
        <v>2353</v>
      </c>
      <c r="D1461" s="6">
        <v>42594.0</v>
      </c>
      <c r="E1461" s="15" t="str">
        <f t="shared" si="1"/>
        <v>Aug</v>
      </c>
      <c r="F1461" s="13" t="s">
        <v>41</v>
      </c>
      <c r="G1461" s="13" t="s">
        <v>2499</v>
      </c>
      <c r="H1461" s="13" t="s">
        <v>2500</v>
      </c>
      <c r="I1461" s="13" t="s">
        <v>23</v>
      </c>
      <c r="J1461" s="13">
        <v>9.0</v>
      </c>
      <c r="K1461" s="13" t="s">
        <v>62</v>
      </c>
      <c r="L1461" s="13" t="s">
        <v>63</v>
      </c>
      <c r="M1461" s="13" t="s">
        <v>37</v>
      </c>
      <c r="N1461" s="13" t="s">
        <v>38</v>
      </c>
      <c r="O1461" s="14">
        <v>55.424</v>
      </c>
      <c r="P1461" s="14">
        <f t="shared" si="2"/>
        <v>498.816</v>
      </c>
      <c r="Q1461" s="14">
        <v>55.24</v>
      </c>
    </row>
    <row r="1462">
      <c r="A1462" s="12">
        <v>43042.0</v>
      </c>
      <c r="B1462" s="12"/>
      <c r="C1462" s="12" t="s">
        <v>2326</v>
      </c>
      <c r="D1462" s="1" t="s">
        <v>2252</v>
      </c>
      <c r="E1462" s="15" t="str">
        <f t="shared" si="1"/>
        <v>Mar</v>
      </c>
      <c r="F1462" s="13" t="s">
        <v>41</v>
      </c>
      <c r="G1462" s="13" t="s">
        <v>2906</v>
      </c>
      <c r="H1462" s="13" t="s">
        <v>2613</v>
      </c>
      <c r="I1462" s="13" t="s">
        <v>23</v>
      </c>
      <c r="J1462" s="13">
        <v>8.0</v>
      </c>
      <c r="K1462" s="13" t="s">
        <v>2255</v>
      </c>
      <c r="L1462" s="13" t="s">
        <v>462</v>
      </c>
      <c r="M1462" s="13" t="s">
        <v>100</v>
      </c>
      <c r="N1462" s="13" t="s">
        <v>27</v>
      </c>
      <c r="O1462" s="14">
        <v>244.006</v>
      </c>
      <c r="P1462" s="14">
        <f t="shared" si="2"/>
        <v>1952.048</v>
      </c>
      <c r="Q1462" s="14">
        <v>243.04</v>
      </c>
    </row>
    <row r="1463">
      <c r="A1463" s="12">
        <v>42973.0</v>
      </c>
      <c r="B1463" s="12"/>
      <c r="C1463" s="12" t="s">
        <v>2322</v>
      </c>
      <c r="D1463" s="1" t="s">
        <v>1199</v>
      </c>
      <c r="E1463" s="15" t="str">
        <f t="shared" si="1"/>
        <v>Aug</v>
      </c>
      <c r="F1463" s="13" t="s">
        <v>121</v>
      </c>
      <c r="G1463" s="13" t="s">
        <v>2365</v>
      </c>
      <c r="H1463" s="13" t="s">
        <v>2366</v>
      </c>
      <c r="I1463" s="13" t="s">
        <v>34</v>
      </c>
      <c r="J1463" s="13">
        <v>7.0</v>
      </c>
      <c r="K1463" s="13" t="s">
        <v>355</v>
      </c>
      <c r="L1463" s="13" t="s">
        <v>70</v>
      </c>
      <c r="M1463" s="13" t="s">
        <v>71</v>
      </c>
      <c r="N1463" s="13" t="s">
        <v>51</v>
      </c>
      <c r="O1463" s="14">
        <v>159.984</v>
      </c>
      <c r="P1463" s="14">
        <f t="shared" si="2"/>
        <v>1119.888</v>
      </c>
      <c r="Q1463" s="14">
        <v>159.17</v>
      </c>
    </row>
    <row r="1464">
      <c r="A1464" s="12">
        <v>42973.0</v>
      </c>
      <c r="B1464" s="12"/>
      <c r="C1464" s="12" t="s">
        <v>2322</v>
      </c>
      <c r="D1464" s="1" t="s">
        <v>1199</v>
      </c>
      <c r="E1464" s="15" t="str">
        <f t="shared" si="1"/>
        <v>Aug</v>
      </c>
      <c r="F1464" s="13" t="s">
        <v>121</v>
      </c>
      <c r="G1464" s="13" t="s">
        <v>2365</v>
      </c>
      <c r="H1464" s="13" t="s">
        <v>2366</v>
      </c>
      <c r="I1464" s="13" t="s">
        <v>34</v>
      </c>
      <c r="J1464" s="13">
        <v>7.0</v>
      </c>
      <c r="K1464" s="13" t="s">
        <v>355</v>
      </c>
      <c r="L1464" s="13" t="s">
        <v>70</v>
      </c>
      <c r="M1464" s="13" t="s">
        <v>71</v>
      </c>
      <c r="N1464" s="13" t="s">
        <v>27</v>
      </c>
      <c r="O1464" s="14">
        <v>1024.716</v>
      </c>
      <c r="P1464" s="14">
        <f t="shared" si="2"/>
        <v>7173.012</v>
      </c>
      <c r="Q1464" s="14">
        <v>1024.26</v>
      </c>
    </row>
    <row r="1465">
      <c r="A1465" s="12">
        <v>43085.0</v>
      </c>
      <c r="B1465" s="12"/>
      <c r="C1465" s="12" t="s">
        <v>2325</v>
      </c>
      <c r="D1465" s="1" t="s">
        <v>1297</v>
      </c>
      <c r="E1465" s="15" t="str">
        <f t="shared" si="1"/>
        <v>Dec</v>
      </c>
      <c r="F1465" s="13" t="s">
        <v>121</v>
      </c>
      <c r="G1465" s="13" t="s">
        <v>2607</v>
      </c>
      <c r="H1465" s="13" t="s">
        <v>2961</v>
      </c>
      <c r="I1465" s="13" t="s">
        <v>34</v>
      </c>
      <c r="J1465" s="13">
        <v>1.0</v>
      </c>
      <c r="K1465" s="13" t="s">
        <v>174</v>
      </c>
      <c r="L1465" s="13" t="s">
        <v>175</v>
      </c>
      <c r="M1465" s="13" t="s">
        <v>100</v>
      </c>
      <c r="N1465" s="13" t="s">
        <v>38</v>
      </c>
      <c r="O1465" s="14">
        <v>3.68</v>
      </c>
      <c r="P1465" s="14">
        <f t="shared" si="2"/>
        <v>3.68</v>
      </c>
      <c r="Q1465" s="14">
        <v>2.86</v>
      </c>
    </row>
    <row r="1466">
      <c r="A1466" s="12">
        <v>42224.0</v>
      </c>
      <c r="B1466" s="12"/>
      <c r="C1466" s="12" t="s">
        <v>2322</v>
      </c>
      <c r="D1466" s="1" t="s">
        <v>2261</v>
      </c>
      <c r="E1466" s="15" t="str">
        <f t="shared" si="1"/>
        <v>Aug</v>
      </c>
      <c r="F1466" s="13" t="s">
        <v>41</v>
      </c>
      <c r="G1466" s="13" t="s">
        <v>2496</v>
      </c>
      <c r="H1466" s="13" t="s">
        <v>2497</v>
      </c>
      <c r="I1466" s="13" t="s">
        <v>23</v>
      </c>
      <c r="J1466" s="13">
        <v>8.0</v>
      </c>
      <c r="K1466" s="13" t="s">
        <v>2262</v>
      </c>
      <c r="L1466" s="13" t="s">
        <v>193</v>
      </c>
      <c r="M1466" s="13" t="s">
        <v>37</v>
      </c>
      <c r="N1466" s="13" t="s">
        <v>27</v>
      </c>
      <c r="O1466" s="14">
        <v>121.376</v>
      </c>
      <c r="P1466" s="14">
        <f t="shared" si="2"/>
        <v>971.008</v>
      </c>
      <c r="Q1466" s="14">
        <v>120.6</v>
      </c>
    </row>
    <row r="1467">
      <c r="A1467" s="12">
        <v>42224.0</v>
      </c>
      <c r="B1467" s="12"/>
      <c r="C1467" s="12" t="s">
        <v>2322</v>
      </c>
      <c r="D1467" s="1" t="s">
        <v>2261</v>
      </c>
      <c r="E1467" s="15" t="str">
        <f t="shared" si="1"/>
        <v>Aug</v>
      </c>
      <c r="F1467" s="13" t="s">
        <v>41</v>
      </c>
      <c r="G1467" s="13" t="s">
        <v>2496</v>
      </c>
      <c r="H1467" s="13" t="s">
        <v>2497</v>
      </c>
      <c r="I1467" s="13" t="s">
        <v>23</v>
      </c>
      <c r="J1467" s="13">
        <v>8.0</v>
      </c>
      <c r="K1467" s="13" t="s">
        <v>2262</v>
      </c>
      <c r="L1467" s="13" t="s">
        <v>193</v>
      </c>
      <c r="M1467" s="13" t="s">
        <v>37</v>
      </c>
      <c r="N1467" s="13" t="s">
        <v>51</v>
      </c>
      <c r="O1467" s="14">
        <v>95.976</v>
      </c>
      <c r="P1467" s="14">
        <f t="shared" si="2"/>
        <v>767.808</v>
      </c>
      <c r="Q1467" s="14">
        <v>95.62</v>
      </c>
    </row>
    <row r="1468">
      <c r="A1468" s="12">
        <v>42506.0</v>
      </c>
      <c r="B1468" s="12"/>
      <c r="C1468" s="12" t="s">
        <v>2335</v>
      </c>
      <c r="D1468" s="1" t="s">
        <v>2264</v>
      </c>
      <c r="E1468" s="15" t="str">
        <f t="shared" si="1"/>
        <v>May</v>
      </c>
      <c r="F1468" s="13" t="s">
        <v>717</v>
      </c>
      <c r="G1468" s="13" t="s">
        <v>2356</v>
      </c>
      <c r="H1468" s="13" t="s">
        <v>2495</v>
      </c>
      <c r="I1468" s="13" t="s">
        <v>68</v>
      </c>
      <c r="J1468" s="13">
        <v>3.0</v>
      </c>
      <c r="K1468" s="13" t="s">
        <v>849</v>
      </c>
      <c r="L1468" s="13" t="s">
        <v>145</v>
      </c>
      <c r="M1468" s="13" t="s">
        <v>26</v>
      </c>
      <c r="N1468" s="13" t="s">
        <v>51</v>
      </c>
      <c r="O1468" s="14">
        <v>255.968</v>
      </c>
      <c r="P1468" s="14">
        <f t="shared" si="2"/>
        <v>767.904</v>
      </c>
      <c r="Q1468" s="14">
        <v>255.32</v>
      </c>
    </row>
    <row r="1469">
      <c r="A1469" s="12">
        <v>43355.0</v>
      </c>
      <c r="B1469" s="12"/>
      <c r="C1469" s="12" t="s">
        <v>2329</v>
      </c>
      <c r="D1469" s="1" t="s">
        <v>576</v>
      </c>
      <c r="E1469" s="15" t="str">
        <f t="shared" si="1"/>
        <v>Dec</v>
      </c>
      <c r="F1469" s="13" t="s">
        <v>41</v>
      </c>
      <c r="G1469" s="13" t="s">
        <v>2949</v>
      </c>
      <c r="H1469" s="13" t="s">
        <v>2950</v>
      </c>
      <c r="I1469" s="13" t="s">
        <v>34</v>
      </c>
      <c r="J1469" s="13">
        <v>4.0</v>
      </c>
      <c r="K1469" s="13" t="s">
        <v>513</v>
      </c>
      <c r="L1469" s="13" t="s">
        <v>157</v>
      </c>
      <c r="M1469" s="13" t="s">
        <v>71</v>
      </c>
      <c r="N1469" s="13" t="s">
        <v>27</v>
      </c>
      <c r="O1469" s="14">
        <v>872.94</v>
      </c>
      <c r="P1469" s="14">
        <f t="shared" si="2"/>
        <v>3491.76</v>
      </c>
      <c r="Q1469" s="14">
        <v>872.88</v>
      </c>
    </row>
    <row r="1470">
      <c r="A1470" s="12">
        <v>43355.0</v>
      </c>
      <c r="B1470" s="12"/>
      <c r="C1470" s="12" t="s">
        <v>2329</v>
      </c>
      <c r="D1470" s="1" t="s">
        <v>576</v>
      </c>
      <c r="E1470" s="15" t="str">
        <f t="shared" si="1"/>
        <v>Dec</v>
      </c>
      <c r="F1470" s="13" t="s">
        <v>41</v>
      </c>
      <c r="G1470" s="13" t="s">
        <v>2949</v>
      </c>
      <c r="H1470" s="13" t="s">
        <v>2950</v>
      </c>
      <c r="I1470" s="13" t="s">
        <v>34</v>
      </c>
      <c r="J1470" s="13">
        <v>4.0</v>
      </c>
      <c r="K1470" s="13" t="s">
        <v>513</v>
      </c>
      <c r="L1470" s="13" t="s">
        <v>157</v>
      </c>
      <c r="M1470" s="13" t="s">
        <v>71</v>
      </c>
      <c r="N1470" s="13" t="s">
        <v>38</v>
      </c>
      <c r="O1470" s="14">
        <v>41.54</v>
      </c>
      <c r="P1470" s="14">
        <f t="shared" si="2"/>
        <v>166.16</v>
      </c>
      <c r="Q1470" s="14">
        <v>41.15</v>
      </c>
    </row>
    <row r="1471">
      <c r="A1471" s="12">
        <v>43355.0</v>
      </c>
      <c r="B1471" s="12"/>
      <c r="C1471" s="12" t="s">
        <v>2329</v>
      </c>
      <c r="D1471" s="1" t="s">
        <v>576</v>
      </c>
      <c r="E1471" s="15" t="str">
        <f t="shared" si="1"/>
        <v>Dec</v>
      </c>
      <c r="F1471" s="13" t="s">
        <v>41</v>
      </c>
      <c r="G1471" s="13" t="s">
        <v>2949</v>
      </c>
      <c r="H1471" s="13" t="s">
        <v>2950</v>
      </c>
      <c r="I1471" s="13" t="s">
        <v>34</v>
      </c>
      <c r="J1471" s="13">
        <v>4.0</v>
      </c>
      <c r="K1471" s="13" t="s">
        <v>513</v>
      </c>
      <c r="L1471" s="13" t="s">
        <v>157</v>
      </c>
      <c r="M1471" s="13" t="s">
        <v>71</v>
      </c>
      <c r="N1471" s="13" t="s">
        <v>38</v>
      </c>
      <c r="O1471" s="14">
        <v>12.96</v>
      </c>
      <c r="P1471" s="14">
        <f t="shared" si="2"/>
        <v>51.84</v>
      </c>
      <c r="Q1471" s="14">
        <v>12.5</v>
      </c>
    </row>
    <row r="1472">
      <c r="A1472" s="12">
        <v>42637.0</v>
      </c>
      <c r="B1472" s="12"/>
      <c r="C1472" s="12" t="s">
        <v>2329</v>
      </c>
      <c r="D1472" s="1" t="s">
        <v>2267</v>
      </c>
      <c r="E1472" s="15" t="str">
        <f t="shared" si="1"/>
        <v>Sep</v>
      </c>
      <c r="F1472" s="13" t="s">
        <v>20</v>
      </c>
      <c r="G1472" s="13" t="s">
        <v>2371</v>
      </c>
      <c r="H1472" s="13" t="s">
        <v>2372</v>
      </c>
      <c r="I1472" s="13" t="s">
        <v>34</v>
      </c>
      <c r="J1472" s="13">
        <v>1.0</v>
      </c>
      <c r="K1472" s="13" t="s">
        <v>98</v>
      </c>
      <c r="L1472" s="13" t="s">
        <v>99</v>
      </c>
      <c r="M1472" s="13" t="s">
        <v>100</v>
      </c>
      <c r="N1472" s="13" t="s">
        <v>38</v>
      </c>
      <c r="O1472" s="14">
        <v>6.848</v>
      </c>
      <c r="P1472" s="14">
        <f t="shared" si="2"/>
        <v>6.848</v>
      </c>
      <c r="Q1472" s="14">
        <v>6.24</v>
      </c>
    </row>
    <row r="1473">
      <c r="A1473" s="12">
        <v>43411.0</v>
      </c>
      <c r="B1473" s="12"/>
      <c r="C1473" s="12" t="s">
        <v>2326</v>
      </c>
      <c r="D1473" s="1" t="s">
        <v>1657</v>
      </c>
      <c r="E1473" s="15" t="str">
        <f t="shared" si="1"/>
        <v>Jul</v>
      </c>
      <c r="F1473" s="13" t="s">
        <v>41</v>
      </c>
      <c r="G1473" s="13" t="s">
        <v>2415</v>
      </c>
      <c r="H1473" s="13" t="s">
        <v>2962</v>
      </c>
      <c r="I1473" s="13" t="s">
        <v>34</v>
      </c>
      <c r="J1473" s="13">
        <v>9.0</v>
      </c>
      <c r="K1473" s="13" t="s">
        <v>35</v>
      </c>
      <c r="L1473" s="13" t="s">
        <v>52</v>
      </c>
      <c r="M1473" s="13" t="s">
        <v>37</v>
      </c>
      <c r="N1473" s="13" t="s">
        <v>38</v>
      </c>
      <c r="O1473" s="14">
        <v>8.67</v>
      </c>
      <c r="P1473" s="14">
        <f t="shared" si="2"/>
        <v>78.03</v>
      </c>
      <c r="Q1473" s="14">
        <v>7.77</v>
      </c>
    </row>
    <row r="1474">
      <c r="A1474" s="12">
        <v>42381.0</v>
      </c>
      <c r="B1474" s="12"/>
      <c r="C1474" s="12" t="s">
        <v>2353</v>
      </c>
      <c r="D1474" s="6">
        <v>42412.0</v>
      </c>
      <c r="E1474" s="15" t="str">
        <f t="shared" si="1"/>
        <v>Feb</v>
      </c>
      <c r="F1474" s="13" t="s">
        <v>717</v>
      </c>
      <c r="G1474" s="13" t="s">
        <v>2885</v>
      </c>
      <c r="H1474" s="13" t="s">
        <v>2075</v>
      </c>
      <c r="I1474" s="13" t="s">
        <v>23</v>
      </c>
      <c r="J1474" s="13">
        <v>7.0</v>
      </c>
      <c r="K1474" s="13" t="s">
        <v>129</v>
      </c>
      <c r="L1474" s="13" t="s">
        <v>70</v>
      </c>
      <c r="M1474" s="13" t="s">
        <v>71</v>
      </c>
      <c r="N1474" s="13" t="s">
        <v>27</v>
      </c>
      <c r="O1474" s="14">
        <v>6.688</v>
      </c>
      <c r="P1474" s="14">
        <f t="shared" si="2"/>
        <v>46.816</v>
      </c>
      <c r="Q1474" s="14">
        <v>6.37</v>
      </c>
    </row>
    <row r="1475">
      <c r="A1475" s="12">
        <v>43058.0</v>
      </c>
      <c r="B1475" s="12"/>
      <c r="C1475" s="12" t="s">
        <v>2326</v>
      </c>
      <c r="D1475" s="1" t="s">
        <v>2273</v>
      </c>
      <c r="E1475" s="15" t="str">
        <f t="shared" si="1"/>
        <v>Nov</v>
      </c>
      <c r="F1475" s="13" t="s">
        <v>41</v>
      </c>
      <c r="G1475" s="13" t="s">
        <v>2465</v>
      </c>
      <c r="H1475" s="13" t="s">
        <v>2675</v>
      </c>
      <c r="I1475" s="13" t="s">
        <v>68</v>
      </c>
      <c r="J1475" s="13">
        <v>1.0</v>
      </c>
      <c r="K1475" s="13" t="s">
        <v>2276</v>
      </c>
      <c r="L1475" s="13" t="s">
        <v>175</v>
      </c>
      <c r="M1475" s="13" t="s">
        <v>100</v>
      </c>
      <c r="N1475" s="13" t="s">
        <v>38</v>
      </c>
      <c r="O1475" s="14">
        <v>17.28</v>
      </c>
      <c r="P1475" s="14">
        <f t="shared" si="2"/>
        <v>17.28</v>
      </c>
      <c r="Q1475" s="14">
        <v>16.39</v>
      </c>
    </row>
    <row r="1476">
      <c r="A1476" s="12">
        <v>43058.0</v>
      </c>
      <c r="B1476" s="12"/>
      <c r="C1476" s="12" t="s">
        <v>2326</v>
      </c>
      <c r="D1476" s="1" t="s">
        <v>2273</v>
      </c>
      <c r="E1476" s="15" t="str">
        <f t="shared" si="1"/>
        <v>Nov</v>
      </c>
      <c r="F1476" s="13" t="s">
        <v>41</v>
      </c>
      <c r="G1476" s="13" t="s">
        <v>2465</v>
      </c>
      <c r="H1476" s="13" t="s">
        <v>2675</v>
      </c>
      <c r="I1476" s="13" t="s">
        <v>68</v>
      </c>
      <c r="J1476" s="13">
        <v>1.0</v>
      </c>
      <c r="K1476" s="13" t="s">
        <v>2276</v>
      </c>
      <c r="L1476" s="13" t="s">
        <v>175</v>
      </c>
      <c r="M1476" s="13" t="s">
        <v>100</v>
      </c>
      <c r="N1476" s="13" t="s">
        <v>38</v>
      </c>
      <c r="O1476" s="14">
        <v>17.712</v>
      </c>
      <c r="P1476" s="14">
        <f t="shared" si="2"/>
        <v>17.712</v>
      </c>
      <c r="Q1476" s="14">
        <v>17.61</v>
      </c>
    </row>
    <row r="1477">
      <c r="A1477" s="12">
        <v>43178.0</v>
      </c>
      <c r="B1477" s="12"/>
      <c r="C1477" s="12" t="s">
        <v>2399</v>
      </c>
      <c r="D1477" s="1" t="s">
        <v>2278</v>
      </c>
      <c r="E1477" s="15" t="str">
        <f t="shared" si="1"/>
        <v>Mar</v>
      </c>
      <c r="F1477" s="13" t="s">
        <v>41</v>
      </c>
      <c r="G1477" s="13" t="s">
        <v>2830</v>
      </c>
      <c r="H1477" s="13" t="s">
        <v>2831</v>
      </c>
      <c r="I1477" s="13" t="s">
        <v>68</v>
      </c>
      <c r="J1477" s="13">
        <v>1.0</v>
      </c>
      <c r="K1477" s="13" t="s">
        <v>174</v>
      </c>
      <c r="L1477" s="13" t="s">
        <v>175</v>
      </c>
      <c r="M1477" s="13" t="s">
        <v>100</v>
      </c>
      <c r="N1477" s="13" t="s">
        <v>38</v>
      </c>
      <c r="O1477" s="14">
        <v>28.91</v>
      </c>
      <c r="P1477" s="14">
        <f t="shared" si="2"/>
        <v>28.91</v>
      </c>
      <c r="Q1477" s="14">
        <v>28.3</v>
      </c>
    </row>
    <row r="1478">
      <c r="A1478" s="12">
        <v>43052.0</v>
      </c>
      <c r="B1478" s="12"/>
      <c r="C1478" s="12" t="s">
        <v>2326</v>
      </c>
      <c r="D1478" s="1" t="s">
        <v>1693</v>
      </c>
      <c r="E1478" s="15" t="str">
        <f t="shared" si="1"/>
        <v>Nov</v>
      </c>
      <c r="F1478" s="13" t="s">
        <v>41</v>
      </c>
      <c r="G1478" s="13" t="s">
        <v>2963</v>
      </c>
      <c r="H1478" s="13" t="s">
        <v>2395</v>
      </c>
      <c r="I1478" s="13" t="s">
        <v>23</v>
      </c>
      <c r="J1478" s="13">
        <v>2.0</v>
      </c>
      <c r="K1478" s="13" t="s">
        <v>2282</v>
      </c>
      <c r="L1478" s="13" t="s">
        <v>58</v>
      </c>
      <c r="M1478" s="13" t="s">
        <v>26</v>
      </c>
      <c r="N1478" s="13" t="s">
        <v>38</v>
      </c>
      <c r="O1478" s="14">
        <v>52.136</v>
      </c>
      <c r="P1478" s="14">
        <f t="shared" si="2"/>
        <v>104.272</v>
      </c>
      <c r="Q1478" s="14">
        <v>51.76</v>
      </c>
    </row>
    <row r="1479">
      <c r="A1479" s="12">
        <v>43423.0</v>
      </c>
      <c r="B1479" s="12"/>
      <c r="C1479" s="12" t="s">
        <v>2326</v>
      </c>
      <c r="D1479" s="1" t="s">
        <v>2284</v>
      </c>
      <c r="E1479" s="15" t="str">
        <f t="shared" si="1"/>
        <v>Nov</v>
      </c>
      <c r="F1479" s="13" t="s">
        <v>121</v>
      </c>
      <c r="G1479" s="13" t="s">
        <v>2415</v>
      </c>
      <c r="H1479" s="13" t="s">
        <v>2416</v>
      </c>
      <c r="I1479" s="13" t="s">
        <v>23</v>
      </c>
      <c r="J1479" s="13">
        <v>9.0</v>
      </c>
      <c r="K1479" s="13" t="s">
        <v>2285</v>
      </c>
      <c r="L1479" s="13" t="s">
        <v>52</v>
      </c>
      <c r="M1479" s="13" t="s">
        <v>37</v>
      </c>
      <c r="N1479" s="13" t="s">
        <v>51</v>
      </c>
      <c r="O1479" s="14">
        <v>31.968</v>
      </c>
      <c r="P1479" s="14">
        <f t="shared" si="2"/>
        <v>287.712</v>
      </c>
      <c r="Q1479" s="14">
        <v>31.57</v>
      </c>
    </row>
    <row r="1480">
      <c r="A1480" s="12">
        <v>42778.0</v>
      </c>
      <c r="B1480" s="12"/>
      <c r="C1480" s="12" t="s">
        <v>2431</v>
      </c>
      <c r="D1480" s="6">
        <v>42959.0</v>
      </c>
      <c r="E1480" s="15" t="str">
        <f t="shared" si="1"/>
        <v>Aug</v>
      </c>
      <c r="F1480" s="13" t="s">
        <v>41</v>
      </c>
      <c r="G1480" s="13" t="s">
        <v>2592</v>
      </c>
      <c r="H1480" s="13" t="s">
        <v>2575</v>
      </c>
      <c r="I1480" s="13" t="s">
        <v>23</v>
      </c>
      <c r="J1480" s="13">
        <v>9.0</v>
      </c>
      <c r="K1480" s="13" t="s">
        <v>87</v>
      </c>
      <c r="L1480" s="13" t="s">
        <v>52</v>
      </c>
      <c r="M1480" s="13" t="s">
        <v>37</v>
      </c>
      <c r="N1480" s="13" t="s">
        <v>38</v>
      </c>
      <c r="O1480" s="14">
        <v>25.92</v>
      </c>
      <c r="P1480" s="14">
        <f t="shared" si="2"/>
        <v>233.28</v>
      </c>
      <c r="Q1480" s="14">
        <v>25.18</v>
      </c>
    </row>
    <row r="1481">
      <c r="A1481" s="12">
        <v>42778.0</v>
      </c>
      <c r="B1481" s="12"/>
      <c r="C1481" s="12" t="s">
        <v>2431</v>
      </c>
      <c r="D1481" s="6">
        <v>42959.0</v>
      </c>
      <c r="E1481" s="15" t="str">
        <f t="shared" si="1"/>
        <v>Aug</v>
      </c>
      <c r="F1481" s="13" t="s">
        <v>41</v>
      </c>
      <c r="G1481" s="13" t="s">
        <v>2592</v>
      </c>
      <c r="H1481" s="13" t="s">
        <v>2575</v>
      </c>
      <c r="I1481" s="13" t="s">
        <v>23</v>
      </c>
      <c r="J1481" s="13">
        <v>9.0</v>
      </c>
      <c r="K1481" s="13" t="s">
        <v>87</v>
      </c>
      <c r="L1481" s="13" t="s">
        <v>52</v>
      </c>
      <c r="M1481" s="13" t="s">
        <v>37</v>
      </c>
      <c r="N1481" s="13" t="s">
        <v>38</v>
      </c>
      <c r="O1481" s="14">
        <v>40.46</v>
      </c>
      <c r="P1481" s="14">
        <f t="shared" si="2"/>
        <v>364.14</v>
      </c>
      <c r="Q1481" s="14">
        <v>40.0</v>
      </c>
    </row>
    <row r="1482">
      <c r="A1482" s="12">
        <v>42778.0</v>
      </c>
      <c r="B1482" s="12"/>
      <c r="C1482" s="12" t="s">
        <v>2431</v>
      </c>
      <c r="D1482" s="6">
        <v>42959.0</v>
      </c>
      <c r="E1482" s="15" t="str">
        <f t="shared" si="1"/>
        <v>Aug</v>
      </c>
      <c r="F1482" s="13" t="s">
        <v>41</v>
      </c>
      <c r="G1482" s="13" t="s">
        <v>2592</v>
      </c>
      <c r="H1482" s="13" t="s">
        <v>2575</v>
      </c>
      <c r="I1482" s="13" t="s">
        <v>23</v>
      </c>
      <c r="J1482" s="13">
        <v>9.0</v>
      </c>
      <c r="K1482" s="13" t="s">
        <v>87</v>
      </c>
      <c r="L1482" s="13" t="s">
        <v>52</v>
      </c>
      <c r="M1482" s="13" t="s">
        <v>37</v>
      </c>
      <c r="N1482" s="13" t="s">
        <v>38</v>
      </c>
      <c r="O1482" s="14">
        <v>33.87</v>
      </c>
      <c r="P1482" s="14">
        <f t="shared" si="2"/>
        <v>304.83</v>
      </c>
      <c r="Q1482" s="14">
        <v>33.86</v>
      </c>
    </row>
    <row r="1483">
      <c r="A1483" s="12">
        <v>43337.0</v>
      </c>
      <c r="B1483" s="12"/>
      <c r="C1483" s="12" t="s">
        <v>2322</v>
      </c>
      <c r="D1483" s="1" t="s">
        <v>1447</v>
      </c>
      <c r="E1483" s="15" t="str">
        <f t="shared" si="1"/>
        <v>Aug</v>
      </c>
      <c r="F1483" s="13" t="s">
        <v>20</v>
      </c>
      <c r="G1483" s="13" t="s">
        <v>2558</v>
      </c>
      <c r="H1483" s="13" t="s">
        <v>2641</v>
      </c>
      <c r="I1483" s="13" t="s">
        <v>23</v>
      </c>
      <c r="J1483" s="13">
        <v>3.0</v>
      </c>
      <c r="K1483" s="13" t="s">
        <v>205</v>
      </c>
      <c r="L1483" s="13" t="s">
        <v>210</v>
      </c>
      <c r="M1483" s="13" t="s">
        <v>26</v>
      </c>
      <c r="N1483" s="13" t="s">
        <v>38</v>
      </c>
      <c r="O1483" s="14">
        <v>9.728</v>
      </c>
      <c r="P1483" s="14">
        <f t="shared" si="2"/>
        <v>29.184</v>
      </c>
      <c r="Q1483" s="14">
        <v>9.14</v>
      </c>
    </row>
    <row r="1484">
      <c r="A1484" s="12">
        <v>43337.0</v>
      </c>
      <c r="B1484" s="12"/>
      <c r="C1484" s="12" t="s">
        <v>2322</v>
      </c>
      <c r="D1484" s="1" t="s">
        <v>1447</v>
      </c>
      <c r="E1484" s="15" t="str">
        <f t="shared" si="1"/>
        <v>Aug</v>
      </c>
      <c r="F1484" s="13" t="s">
        <v>20</v>
      </c>
      <c r="G1484" s="13" t="s">
        <v>2558</v>
      </c>
      <c r="H1484" s="13" t="s">
        <v>2641</v>
      </c>
      <c r="I1484" s="13" t="s">
        <v>23</v>
      </c>
      <c r="J1484" s="13">
        <v>3.0</v>
      </c>
      <c r="K1484" s="13" t="s">
        <v>205</v>
      </c>
      <c r="L1484" s="13" t="s">
        <v>210</v>
      </c>
      <c r="M1484" s="13" t="s">
        <v>26</v>
      </c>
      <c r="N1484" s="13" t="s">
        <v>38</v>
      </c>
      <c r="O1484" s="14">
        <v>3.424</v>
      </c>
      <c r="P1484" s="14">
        <f t="shared" si="2"/>
        <v>10.272</v>
      </c>
      <c r="Q1484" s="14">
        <v>3.15</v>
      </c>
    </row>
    <row r="1485">
      <c r="A1485" s="12">
        <v>43022.0</v>
      </c>
      <c r="B1485" s="12"/>
      <c r="C1485" s="12" t="s">
        <v>2358</v>
      </c>
      <c r="D1485" s="1" t="s">
        <v>2289</v>
      </c>
      <c r="E1485" s="15" t="str">
        <f t="shared" si="1"/>
        <v>Oct</v>
      </c>
      <c r="F1485" s="13" t="s">
        <v>41</v>
      </c>
      <c r="G1485" s="13" t="s">
        <v>2532</v>
      </c>
      <c r="H1485" s="13" t="s">
        <v>2663</v>
      </c>
      <c r="I1485" s="13" t="s">
        <v>34</v>
      </c>
      <c r="J1485" s="13">
        <v>9.0</v>
      </c>
      <c r="K1485" s="13" t="s">
        <v>62</v>
      </c>
      <c r="L1485" s="13" t="s">
        <v>63</v>
      </c>
      <c r="M1485" s="13" t="s">
        <v>37</v>
      </c>
      <c r="N1485" s="13" t="s">
        <v>51</v>
      </c>
      <c r="O1485" s="14">
        <v>177.0</v>
      </c>
      <c r="P1485" s="14">
        <f t="shared" si="2"/>
        <v>1593</v>
      </c>
      <c r="Q1485" s="14">
        <v>176.13</v>
      </c>
    </row>
    <row r="1486">
      <c r="A1486" s="12">
        <v>42335.0</v>
      </c>
      <c r="B1486" s="12"/>
      <c r="C1486" s="12" t="s">
        <v>2326</v>
      </c>
      <c r="D1486" s="6">
        <v>42075.0</v>
      </c>
      <c r="E1486" s="15" t="str">
        <f t="shared" si="1"/>
        <v>Mar</v>
      </c>
      <c r="F1486" s="13" t="s">
        <v>41</v>
      </c>
      <c r="G1486" s="13" t="s">
        <v>2964</v>
      </c>
      <c r="H1486" s="13" t="s">
        <v>2965</v>
      </c>
      <c r="I1486" s="13" t="s">
        <v>23</v>
      </c>
      <c r="J1486" s="13">
        <v>1.0</v>
      </c>
      <c r="K1486" s="13" t="s">
        <v>174</v>
      </c>
      <c r="L1486" s="13" t="s">
        <v>175</v>
      </c>
      <c r="M1486" s="13" t="s">
        <v>100</v>
      </c>
      <c r="N1486" s="13" t="s">
        <v>38</v>
      </c>
      <c r="O1486" s="14">
        <v>3.76</v>
      </c>
      <c r="P1486" s="14">
        <f t="shared" si="2"/>
        <v>3.76</v>
      </c>
      <c r="Q1486" s="14">
        <v>3.06</v>
      </c>
    </row>
    <row r="1487">
      <c r="A1487" s="12">
        <v>42440.0</v>
      </c>
      <c r="B1487" s="12"/>
      <c r="C1487" s="12" t="s">
        <v>2399</v>
      </c>
      <c r="D1487" s="6">
        <v>42562.0</v>
      </c>
      <c r="E1487" s="15" t="str">
        <f t="shared" si="1"/>
        <v>Jul</v>
      </c>
      <c r="F1487" s="13" t="s">
        <v>41</v>
      </c>
      <c r="G1487" s="13" t="s">
        <v>2966</v>
      </c>
      <c r="H1487" s="13" t="s">
        <v>2967</v>
      </c>
      <c r="I1487" s="13" t="s">
        <v>68</v>
      </c>
      <c r="J1487" s="13">
        <v>9.0</v>
      </c>
      <c r="K1487" s="13" t="s">
        <v>35</v>
      </c>
      <c r="L1487" s="13" t="s">
        <v>52</v>
      </c>
      <c r="M1487" s="13" t="s">
        <v>37</v>
      </c>
      <c r="N1487" s="13" t="s">
        <v>51</v>
      </c>
      <c r="O1487" s="14">
        <v>1212.848</v>
      </c>
      <c r="P1487" s="14">
        <f t="shared" si="2"/>
        <v>10915.632</v>
      </c>
      <c r="Q1487" s="14">
        <v>1212.8</v>
      </c>
    </row>
    <row r="1488">
      <c r="A1488" s="12">
        <v>42440.0</v>
      </c>
      <c r="B1488" s="12"/>
      <c r="C1488" s="12" t="s">
        <v>2399</v>
      </c>
      <c r="D1488" s="6">
        <v>42562.0</v>
      </c>
      <c r="E1488" s="15" t="str">
        <f t="shared" si="1"/>
        <v>Jul</v>
      </c>
      <c r="F1488" s="13" t="s">
        <v>41</v>
      </c>
      <c r="G1488" s="13" t="s">
        <v>2966</v>
      </c>
      <c r="H1488" s="13" t="s">
        <v>2967</v>
      </c>
      <c r="I1488" s="13" t="s">
        <v>68</v>
      </c>
      <c r="J1488" s="13">
        <v>9.0</v>
      </c>
      <c r="K1488" s="13" t="s">
        <v>35</v>
      </c>
      <c r="L1488" s="13" t="s">
        <v>52</v>
      </c>
      <c r="M1488" s="13" t="s">
        <v>37</v>
      </c>
      <c r="N1488" s="13" t="s">
        <v>51</v>
      </c>
      <c r="O1488" s="14">
        <v>89.97</v>
      </c>
      <c r="P1488" s="14">
        <f t="shared" si="2"/>
        <v>809.73</v>
      </c>
      <c r="Q1488" s="14">
        <v>89.31</v>
      </c>
    </row>
    <row r="1489">
      <c r="A1489" s="12">
        <v>42440.0</v>
      </c>
      <c r="B1489" s="12"/>
      <c r="C1489" s="12" t="s">
        <v>2399</v>
      </c>
      <c r="D1489" s="6">
        <v>42562.0</v>
      </c>
      <c r="E1489" s="15" t="str">
        <f t="shared" si="1"/>
        <v>Jul</v>
      </c>
      <c r="F1489" s="13" t="s">
        <v>41</v>
      </c>
      <c r="G1489" s="13" t="s">
        <v>2966</v>
      </c>
      <c r="H1489" s="13" t="s">
        <v>2967</v>
      </c>
      <c r="I1489" s="13" t="s">
        <v>68</v>
      </c>
      <c r="J1489" s="13">
        <v>9.0</v>
      </c>
      <c r="K1489" s="13" t="s">
        <v>35</v>
      </c>
      <c r="L1489" s="13" t="s">
        <v>52</v>
      </c>
      <c r="M1489" s="13" t="s">
        <v>37</v>
      </c>
      <c r="N1489" s="13" t="s">
        <v>27</v>
      </c>
      <c r="O1489" s="14">
        <v>42.6</v>
      </c>
      <c r="P1489" s="14">
        <f t="shared" si="2"/>
        <v>383.4</v>
      </c>
      <c r="Q1489" s="14">
        <v>41.61</v>
      </c>
    </row>
    <row r="1490">
      <c r="A1490" s="12">
        <v>42337.0</v>
      </c>
      <c r="B1490" s="12"/>
      <c r="C1490" s="12" t="s">
        <v>2326</v>
      </c>
      <c r="D1490" s="6">
        <v>42167.0</v>
      </c>
      <c r="E1490" s="15" t="str">
        <f t="shared" si="1"/>
        <v>Jun</v>
      </c>
      <c r="F1490" s="13" t="s">
        <v>41</v>
      </c>
      <c r="G1490" s="13" t="s">
        <v>2298</v>
      </c>
      <c r="H1490" s="13"/>
      <c r="I1490" s="13" t="s">
        <v>23</v>
      </c>
      <c r="J1490" s="13">
        <v>1.0</v>
      </c>
      <c r="K1490" s="13" t="s">
        <v>98</v>
      </c>
      <c r="L1490" s="13" t="s">
        <v>99</v>
      </c>
      <c r="M1490" s="13" t="s">
        <v>100</v>
      </c>
      <c r="N1490" s="13" t="s">
        <v>38</v>
      </c>
      <c r="O1490" s="14">
        <v>5.04</v>
      </c>
      <c r="P1490" s="14">
        <f t="shared" si="2"/>
        <v>5.04</v>
      </c>
      <c r="Q1490" s="14">
        <v>4.89</v>
      </c>
    </row>
    <row r="1491">
      <c r="A1491" s="12">
        <v>43220.0</v>
      </c>
      <c r="B1491" s="12"/>
      <c r="C1491" s="12" t="s">
        <v>2332</v>
      </c>
      <c r="D1491" s="6">
        <v>43225.0</v>
      </c>
      <c r="E1491" s="15" t="str">
        <f t="shared" si="1"/>
        <v>May</v>
      </c>
      <c r="F1491" s="13" t="s">
        <v>20</v>
      </c>
      <c r="G1491" s="13" t="s">
        <v>2886</v>
      </c>
      <c r="H1491" s="13" t="s">
        <v>2887</v>
      </c>
      <c r="I1491" s="13" t="s">
        <v>34</v>
      </c>
      <c r="J1491" s="13">
        <v>1.0</v>
      </c>
      <c r="K1491" s="13" t="s">
        <v>174</v>
      </c>
      <c r="L1491" s="13" t="s">
        <v>175</v>
      </c>
      <c r="M1491" s="13" t="s">
        <v>100</v>
      </c>
      <c r="N1491" s="13" t="s">
        <v>38</v>
      </c>
      <c r="O1491" s="14">
        <v>62.96</v>
      </c>
      <c r="P1491" s="14">
        <f t="shared" si="2"/>
        <v>62.96</v>
      </c>
      <c r="Q1491" s="14">
        <v>62.24</v>
      </c>
    </row>
    <row r="1492">
      <c r="A1492" s="12">
        <v>43428.0</v>
      </c>
      <c r="B1492" s="12"/>
      <c r="C1492" s="12" t="s">
        <v>2326</v>
      </c>
      <c r="D1492" s="1" t="s">
        <v>281</v>
      </c>
      <c r="E1492" s="15" t="str">
        <f t="shared" si="1"/>
        <v>Nov</v>
      </c>
      <c r="F1492" s="13" t="s">
        <v>41</v>
      </c>
      <c r="G1492" s="13" t="s">
        <v>2918</v>
      </c>
      <c r="H1492" s="13" t="s">
        <v>2968</v>
      </c>
      <c r="I1492" s="13" t="s">
        <v>34</v>
      </c>
      <c r="J1492" s="13">
        <v>1.0</v>
      </c>
      <c r="K1492" s="13" t="s">
        <v>174</v>
      </c>
      <c r="L1492" s="13" t="s">
        <v>175</v>
      </c>
      <c r="M1492" s="13" t="s">
        <v>100</v>
      </c>
      <c r="N1492" s="13" t="s">
        <v>38</v>
      </c>
      <c r="O1492" s="14">
        <v>5.88</v>
      </c>
      <c r="P1492" s="14">
        <f t="shared" si="2"/>
        <v>5.88</v>
      </c>
      <c r="Q1492" s="14">
        <v>5.88</v>
      </c>
    </row>
    <row r="1493">
      <c r="A1493" s="12">
        <v>43428.0</v>
      </c>
      <c r="B1493" s="12"/>
      <c r="C1493" s="12" t="s">
        <v>2326</v>
      </c>
      <c r="D1493" s="1" t="s">
        <v>281</v>
      </c>
      <c r="E1493" s="15" t="str">
        <f t="shared" si="1"/>
        <v>Nov</v>
      </c>
      <c r="F1493" s="13" t="s">
        <v>41</v>
      </c>
      <c r="G1493" s="13" t="s">
        <v>2918</v>
      </c>
      <c r="H1493" s="13" t="s">
        <v>2968</v>
      </c>
      <c r="I1493" s="13" t="s">
        <v>34</v>
      </c>
      <c r="J1493" s="13">
        <v>1.0</v>
      </c>
      <c r="K1493" s="13" t="s">
        <v>174</v>
      </c>
      <c r="L1493" s="13" t="s">
        <v>175</v>
      </c>
      <c r="M1493" s="13" t="s">
        <v>100</v>
      </c>
      <c r="N1493" s="13" t="s">
        <v>27</v>
      </c>
      <c r="O1493" s="14">
        <v>977.292</v>
      </c>
      <c r="P1493" s="14">
        <f t="shared" si="2"/>
        <v>977.292</v>
      </c>
      <c r="Q1493" s="14">
        <v>977.05</v>
      </c>
    </row>
    <row r="1494">
      <c r="A1494" s="12">
        <v>43403.0</v>
      </c>
      <c r="B1494" s="12"/>
      <c r="C1494" s="12" t="s">
        <v>2358</v>
      </c>
      <c r="D1494" s="6">
        <v>43170.0</v>
      </c>
      <c r="E1494" s="15" t="str">
        <f t="shared" si="1"/>
        <v>Mar</v>
      </c>
      <c r="F1494" s="13" t="s">
        <v>41</v>
      </c>
      <c r="G1494" s="13" t="s">
        <v>2969</v>
      </c>
      <c r="H1494" s="13" t="s">
        <v>2970</v>
      </c>
      <c r="I1494" s="13" t="s">
        <v>34</v>
      </c>
      <c r="J1494" s="13">
        <v>9.0</v>
      </c>
      <c r="K1494" s="13" t="s">
        <v>1192</v>
      </c>
      <c r="L1494" s="13" t="s">
        <v>63</v>
      </c>
      <c r="M1494" s="13" t="s">
        <v>37</v>
      </c>
      <c r="N1494" s="13" t="s">
        <v>27</v>
      </c>
      <c r="O1494" s="14">
        <v>9.64</v>
      </c>
      <c r="P1494" s="14">
        <f t="shared" si="2"/>
        <v>86.76</v>
      </c>
      <c r="Q1494" s="14">
        <v>8.96</v>
      </c>
    </row>
    <row r="1495">
      <c r="A1495" s="12">
        <v>42355.0</v>
      </c>
      <c r="B1495" s="12"/>
      <c r="C1495" s="12" t="s">
        <v>2325</v>
      </c>
      <c r="D1495" s="1" t="s">
        <v>2307</v>
      </c>
      <c r="E1495" s="15" t="str">
        <f t="shared" si="1"/>
        <v>Dec</v>
      </c>
      <c r="F1495" s="13" t="s">
        <v>20</v>
      </c>
      <c r="G1495" s="13" t="s">
        <v>2527</v>
      </c>
      <c r="H1495" s="13" t="s">
        <v>2606</v>
      </c>
      <c r="I1495" s="13" t="s">
        <v>23</v>
      </c>
      <c r="J1495" s="13">
        <v>3.0</v>
      </c>
      <c r="K1495" s="13" t="s">
        <v>303</v>
      </c>
      <c r="L1495" s="13" t="s">
        <v>707</v>
      </c>
      <c r="M1495" s="13" t="s">
        <v>26</v>
      </c>
      <c r="N1495" s="13" t="s">
        <v>38</v>
      </c>
      <c r="O1495" s="14">
        <v>40.05</v>
      </c>
      <c r="P1495" s="14">
        <f t="shared" si="2"/>
        <v>120.15</v>
      </c>
      <c r="Q1495" s="14">
        <v>39.83</v>
      </c>
    </row>
    <row r="1496">
      <c r="A1496" s="12">
        <v>43199.0</v>
      </c>
      <c r="B1496" s="12"/>
      <c r="C1496" s="12" t="s">
        <v>2332</v>
      </c>
      <c r="D1496" s="6">
        <v>43321.0</v>
      </c>
      <c r="E1496" s="15" t="str">
        <f t="shared" si="1"/>
        <v>Aug</v>
      </c>
      <c r="F1496" s="13" t="s">
        <v>41</v>
      </c>
      <c r="G1496" s="13" t="s">
        <v>2560</v>
      </c>
      <c r="H1496" s="13" t="s">
        <v>2971</v>
      </c>
      <c r="I1496" s="13" t="s">
        <v>23</v>
      </c>
      <c r="J1496" s="13">
        <v>7.0</v>
      </c>
      <c r="K1496" s="13" t="s">
        <v>2311</v>
      </c>
      <c r="L1496" s="13" t="s">
        <v>70</v>
      </c>
      <c r="M1496" s="13" t="s">
        <v>71</v>
      </c>
      <c r="N1496" s="13" t="s">
        <v>38</v>
      </c>
      <c r="O1496" s="14">
        <v>10.192</v>
      </c>
      <c r="P1496" s="14">
        <f t="shared" si="2"/>
        <v>71.344</v>
      </c>
      <c r="Q1496" s="14">
        <v>9.79</v>
      </c>
    </row>
    <row r="1497">
      <c r="A1497" s="12">
        <v>43199.0</v>
      </c>
      <c r="B1497" s="12"/>
      <c r="C1497" s="12" t="s">
        <v>2332</v>
      </c>
      <c r="D1497" s="6">
        <v>43321.0</v>
      </c>
      <c r="E1497" s="15" t="str">
        <f t="shared" si="1"/>
        <v>Aug</v>
      </c>
      <c r="F1497" s="13" t="s">
        <v>41</v>
      </c>
      <c r="G1497" s="13" t="s">
        <v>2560</v>
      </c>
      <c r="H1497" s="13" t="s">
        <v>2971</v>
      </c>
      <c r="I1497" s="13" t="s">
        <v>23</v>
      </c>
      <c r="J1497" s="13">
        <v>7.0</v>
      </c>
      <c r="K1497" s="13" t="s">
        <v>2311</v>
      </c>
      <c r="L1497" s="13" t="s">
        <v>70</v>
      </c>
      <c r="M1497" s="13" t="s">
        <v>71</v>
      </c>
      <c r="N1497" s="13" t="s">
        <v>38</v>
      </c>
      <c r="O1497" s="14">
        <v>16.784</v>
      </c>
      <c r="P1497" s="14">
        <f t="shared" si="2"/>
        <v>117.488</v>
      </c>
      <c r="Q1497" s="14">
        <v>16.26</v>
      </c>
    </row>
    <row r="1498">
      <c r="A1498" s="12">
        <v>43199.0</v>
      </c>
      <c r="B1498" s="12"/>
      <c r="C1498" s="12" t="s">
        <v>2332</v>
      </c>
      <c r="D1498" s="6">
        <v>43321.0</v>
      </c>
      <c r="E1498" s="15" t="str">
        <f t="shared" si="1"/>
        <v>Aug</v>
      </c>
      <c r="F1498" s="13" t="s">
        <v>41</v>
      </c>
      <c r="G1498" s="13" t="s">
        <v>2560</v>
      </c>
      <c r="H1498" s="13" t="s">
        <v>2971</v>
      </c>
      <c r="I1498" s="13" t="s">
        <v>23</v>
      </c>
      <c r="J1498" s="13">
        <v>7.0</v>
      </c>
      <c r="K1498" s="13" t="s">
        <v>2311</v>
      </c>
      <c r="L1498" s="13" t="s">
        <v>70</v>
      </c>
      <c r="M1498" s="13" t="s">
        <v>71</v>
      </c>
      <c r="N1498" s="13" t="s">
        <v>38</v>
      </c>
      <c r="O1498" s="14">
        <v>13.12</v>
      </c>
      <c r="P1498" s="14">
        <f t="shared" si="2"/>
        <v>91.84</v>
      </c>
      <c r="Q1498" s="14">
        <v>12.32</v>
      </c>
    </row>
    <row r="1499">
      <c r="A1499" s="12">
        <v>43025.0</v>
      </c>
      <c r="B1499" s="12"/>
      <c r="C1499" s="12" t="s">
        <v>2358</v>
      </c>
      <c r="D1499" s="1" t="s">
        <v>2313</v>
      </c>
      <c r="E1499" s="15" t="str">
        <f t="shared" si="1"/>
        <v>Oct</v>
      </c>
      <c r="F1499" s="13" t="s">
        <v>121</v>
      </c>
      <c r="G1499" s="13" t="s">
        <v>2462</v>
      </c>
      <c r="H1499" s="13" t="s">
        <v>2463</v>
      </c>
      <c r="I1499" s="13" t="s">
        <v>68</v>
      </c>
      <c r="J1499" s="13">
        <v>9.0</v>
      </c>
      <c r="K1499" s="13" t="s">
        <v>87</v>
      </c>
      <c r="L1499" s="13" t="s">
        <v>52</v>
      </c>
      <c r="M1499" s="13" t="s">
        <v>37</v>
      </c>
      <c r="N1499" s="13" t="s">
        <v>38</v>
      </c>
      <c r="O1499" s="14">
        <v>18.16</v>
      </c>
      <c r="P1499" s="14">
        <f t="shared" si="2"/>
        <v>163.44</v>
      </c>
      <c r="Q1499" s="14">
        <v>17.91</v>
      </c>
    </row>
    <row r="1500">
      <c r="A1500" s="12">
        <v>43445.0</v>
      </c>
      <c r="B1500" s="12"/>
      <c r="C1500" s="12" t="s">
        <v>2325</v>
      </c>
      <c r="D1500" s="1" t="s">
        <v>2315</v>
      </c>
      <c r="E1500" s="15" t="str">
        <f t="shared" si="1"/>
        <v>Nov</v>
      </c>
      <c r="F1500" s="13" t="s">
        <v>41</v>
      </c>
      <c r="G1500" s="13" t="s">
        <v>2554</v>
      </c>
      <c r="H1500" s="13" t="s">
        <v>2591</v>
      </c>
      <c r="I1500" s="13" t="s">
        <v>23</v>
      </c>
      <c r="J1500" s="13">
        <v>7.0</v>
      </c>
      <c r="K1500" s="13" t="s">
        <v>685</v>
      </c>
      <c r="L1500" s="13" t="s">
        <v>70</v>
      </c>
      <c r="M1500" s="13" t="s">
        <v>71</v>
      </c>
      <c r="N1500" s="13" t="s">
        <v>38</v>
      </c>
      <c r="O1500" s="14">
        <v>16.056</v>
      </c>
      <c r="P1500" s="14">
        <f t="shared" si="2"/>
        <v>112.392</v>
      </c>
      <c r="Q1500" s="14">
        <v>15.52</v>
      </c>
    </row>
  </sheetData>
  <autoFilter ref="$I$1:$I$15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54.0"/>
  </cols>
  <sheetData>
    <row r="1">
      <c r="A1" s="17" t="s">
        <v>2972</v>
      </c>
      <c r="B1" s="17" t="s">
        <v>2973</v>
      </c>
    </row>
    <row r="2">
      <c r="A2" s="13" t="s">
        <v>27</v>
      </c>
      <c r="B2" s="18">
        <f>SUMIF(Sheet1!N:O,A2,Sheet1!O:O)</f>
        <v>120967.7174</v>
      </c>
    </row>
    <row r="3">
      <c r="A3" s="19"/>
      <c r="B3" s="20" t="s">
        <v>2974</v>
      </c>
    </row>
    <row r="4">
      <c r="A4" s="13"/>
      <c r="B4" s="13"/>
    </row>
    <row r="5">
      <c r="A5" s="17" t="s">
        <v>2975</v>
      </c>
      <c r="B5" s="17" t="s">
        <v>2976</v>
      </c>
      <c r="I5" s="13" t="s">
        <v>2320</v>
      </c>
    </row>
    <row r="6">
      <c r="A6" s="21" t="s">
        <v>1</v>
      </c>
      <c r="B6" s="22" t="s">
        <v>2</v>
      </c>
      <c r="C6" s="8" t="s">
        <v>3</v>
      </c>
      <c r="D6" s="22" t="s">
        <v>2316</v>
      </c>
      <c r="E6" s="22" t="s">
        <v>4</v>
      </c>
      <c r="F6" s="22" t="s">
        <v>2317</v>
      </c>
      <c r="G6" s="22" t="s">
        <v>2318</v>
      </c>
      <c r="H6" s="22" t="s">
        <v>9</v>
      </c>
      <c r="I6" s="22" t="s">
        <v>10</v>
      </c>
      <c r="J6" s="22" t="s">
        <v>11</v>
      </c>
      <c r="K6" s="22" t="s">
        <v>14</v>
      </c>
      <c r="L6" s="22" t="s">
        <v>15</v>
      </c>
      <c r="M6" s="18" t="s">
        <v>2319</v>
      </c>
      <c r="N6" s="18" t="s">
        <v>2321</v>
      </c>
      <c r="O6" s="22" t="s">
        <v>17</v>
      </c>
      <c r="P6" s="18" t="s">
        <v>2977</v>
      </c>
    </row>
    <row r="7">
      <c r="A7" s="21">
        <v>42266.0</v>
      </c>
      <c r="B7" s="21" t="s">
        <v>2329</v>
      </c>
      <c r="C7" s="8" t="s">
        <v>556</v>
      </c>
      <c r="D7" s="23" t="s">
        <v>2329</v>
      </c>
      <c r="E7" s="22" t="s">
        <v>20</v>
      </c>
      <c r="F7" s="22" t="s">
        <v>2327</v>
      </c>
      <c r="G7" s="22" t="s">
        <v>2476</v>
      </c>
      <c r="H7" s="22" t="s">
        <v>34</v>
      </c>
      <c r="I7" s="22" t="s">
        <v>129</v>
      </c>
      <c r="J7" s="22" t="s">
        <v>70</v>
      </c>
      <c r="K7" s="22" t="s">
        <v>71</v>
      </c>
      <c r="L7" s="22" t="s">
        <v>51</v>
      </c>
      <c r="M7" s="18">
        <v>3059.982</v>
      </c>
      <c r="N7" s="18">
        <v>3059.67</v>
      </c>
      <c r="O7" s="22">
        <v>7.0</v>
      </c>
      <c r="P7" s="18">
        <v>21419.874</v>
      </c>
    </row>
    <row r="8">
      <c r="A8" s="21">
        <v>42266.0</v>
      </c>
      <c r="B8" s="21" t="s">
        <v>2329</v>
      </c>
      <c r="C8" s="8" t="s">
        <v>556</v>
      </c>
      <c r="D8" s="23" t="s">
        <v>2329</v>
      </c>
      <c r="E8" s="22" t="s">
        <v>20</v>
      </c>
      <c r="F8" s="22" t="s">
        <v>2327</v>
      </c>
      <c r="G8" s="22" t="s">
        <v>2476</v>
      </c>
      <c r="H8" s="22" t="s">
        <v>34</v>
      </c>
      <c r="I8" s="22" t="s">
        <v>129</v>
      </c>
      <c r="J8" s="22" t="s">
        <v>70</v>
      </c>
      <c r="K8" s="22" t="s">
        <v>71</v>
      </c>
      <c r="L8" s="22" t="s">
        <v>51</v>
      </c>
      <c r="M8" s="18">
        <v>2519.958</v>
      </c>
      <c r="N8" s="18">
        <v>2519.78</v>
      </c>
      <c r="O8" s="22">
        <v>7.0</v>
      </c>
      <c r="P8" s="18">
        <v>17639.706000000002</v>
      </c>
    </row>
    <row r="9">
      <c r="A9" s="21">
        <v>42956.0</v>
      </c>
      <c r="B9" s="21" t="s">
        <v>2322</v>
      </c>
      <c r="C9" s="24">
        <v>43017.0</v>
      </c>
      <c r="D9" s="23" t="s">
        <v>2358</v>
      </c>
      <c r="E9" s="22" t="s">
        <v>20</v>
      </c>
      <c r="F9" s="22" t="s">
        <v>2602</v>
      </c>
      <c r="G9" s="22" t="s">
        <v>2603</v>
      </c>
      <c r="H9" s="22" t="s">
        <v>23</v>
      </c>
      <c r="I9" s="22" t="s">
        <v>129</v>
      </c>
      <c r="J9" s="22" t="s">
        <v>70</v>
      </c>
      <c r="K9" s="22" t="s">
        <v>71</v>
      </c>
      <c r="L9" s="22" t="s">
        <v>27</v>
      </c>
      <c r="M9" s="18">
        <v>2396.2656</v>
      </c>
      <c r="N9" s="18">
        <v>2395.78</v>
      </c>
      <c r="O9" s="22">
        <v>7.0</v>
      </c>
      <c r="P9" s="18">
        <v>16773.859200000003</v>
      </c>
    </row>
    <row r="10">
      <c r="A10" s="21">
        <v>42725.0</v>
      </c>
      <c r="B10" s="21" t="s">
        <v>2325</v>
      </c>
      <c r="C10" s="8" t="s">
        <v>684</v>
      </c>
      <c r="D10" s="23" t="s">
        <v>2325</v>
      </c>
      <c r="E10" s="22" t="s">
        <v>20</v>
      </c>
      <c r="F10" s="22" t="s">
        <v>2560</v>
      </c>
      <c r="G10" s="22" t="s">
        <v>2385</v>
      </c>
      <c r="H10" s="22" t="s">
        <v>23</v>
      </c>
      <c r="I10" s="22" t="s">
        <v>62</v>
      </c>
      <c r="J10" s="22" t="s">
        <v>63</v>
      </c>
      <c r="K10" s="22" t="s">
        <v>37</v>
      </c>
      <c r="L10" s="22" t="s">
        <v>27</v>
      </c>
      <c r="M10" s="18">
        <v>1618.37</v>
      </c>
      <c r="N10" s="18">
        <v>1618.18</v>
      </c>
      <c r="O10" s="22">
        <v>9.0</v>
      </c>
      <c r="P10" s="18">
        <v>14565.329999999998</v>
      </c>
    </row>
    <row r="11">
      <c r="A11" s="21">
        <v>42350.0</v>
      </c>
      <c r="B11" s="21" t="s">
        <v>2325</v>
      </c>
      <c r="C11" s="8" t="s">
        <v>1976</v>
      </c>
      <c r="D11" s="23" t="s">
        <v>2325</v>
      </c>
      <c r="E11" s="22" t="s">
        <v>20</v>
      </c>
      <c r="F11" s="22" t="s">
        <v>2465</v>
      </c>
      <c r="G11" s="22" t="s">
        <v>2599</v>
      </c>
      <c r="H11" s="22" t="s">
        <v>23</v>
      </c>
      <c r="I11" s="22" t="s">
        <v>1979</v>
      </c>
      <c r="J11" s="22" t="s">
        <v>52</v>
      </c>
      <c r="K11" s="22" t="s">
        <v>37</v>
      </c>
      <c r="L11" s="22" t="s">
        <v>27</v>
      </c>
      <c r="M11" s="18">
        <v>3610.848</v>
      </c>
      <c r="N11" s="18">
        <v>3610.76</v>
      </c>
      <c r="O11" s="22">
        <v>9.0</v>
      </c>
      <c r="P11" s="18">
        <v>32497.631999999998</v>
      </c>
    </row>
    <row r="12">
      <c r="A12" s="17" t="s">
        <v>2978</v>
      </c>
      <c r="B12" s="17" t="s">
        <v>2979</v>
      </c>
      <c r="H12" s="14"/>
      <c r="I12" s="14"/>
      <c r="K12" s="14"/>
    </row>
    <row r="13">
      <c r="A13" s="13" t="s">
        <v>9</v>
      </c>
    </row>
    <row r="14">
      <c r="A14" s="13" t="s">
        <v>23</v>
      </c>
      <c r="B14" s="25">
        <f>averageif(Sheet1!I:I,A14, Sheet1!J:J)</f>
        <v>5.251879699</v>
      </c>
    </row>
    <row r="15">
      <c r="A15" s="19"/>
      <c r="B15" s="17" t="s">
        <v>2980</v>
      </c>
    </row>
    <row r="17">
      <c r="A17" s="17" t="s">
        <v>2981</v>
      </c>
      <c r="B17" s="17" t="s">
        <v>2982</v>
      </c>
    </row>
    <row r="18">
      <c r="A18" s="12" t="s">
        <v>1</v>
      </c>
      <c r="B18" s="13" t="s">
        <v>2</v>
      </c>
      <c r="C18" s="1" t="s">
        <v>3</v>
      </c>
      <c r="D18" s="13" t="s">
        <v>2316</v>
      </c>
      <c r="E18" s="13" t="s">
        <v>4</v>
      </c>
      <c r="F18" s="13" t="s">
        <v>2317</v>
      </c>
      <c r="G18" s="13" t="s">
        <v>2318</v>
      </c>
      <c r="H18" s="13" t="s">
        <v>9</v>
      </c>
      <c r="I18" s="13" t="s">
        <v>10</v>
      </c>
      <c r="J18" s="13" t="s">
        <v>11</v>
      </c>
      <c r="K18" s="13" t="s">
        <v>14</v>
      </c>
      <c r="L18" s="13" t="s">
        <v>15</v>
      </c>
      <c r="M18" s="14" t="s">
        <v>2319</v>
      </c>
      <c r="N18" s="14" t="s">
        <v>2321</v>
      </c>
      <c r="O18" s="13" t="s">
        <v>17</v>
      </c>
      <c r="P18" s="14" t="s">
        <v>2320</v>
      </c>
      <c r="Q18" s="14" t="s">
        <v>2320</v>
      </c>
    </row>
    <row r="19">
      <c r="A19" s="12">
        <v>42958.0</v>
      </c>
      <c r="B19" s="12" t="s">
        <v>2322</v>
      </c>
      <c r="C19" s="5">
        <v>43050.0</v>
      </c>
      <c r="D19" s="15" t="str">
        <f t="shared" ref="D19:D322" si="2">text(C19,"MMM")</f>
        <v>Nov</v>
      </c>
      <c r="E19" s="13" t="s">
        <v>20</v>
      </c>
      <c r="F19" s="13" t="s">
        <v>2323</v>
      </c>
      <c r="G19" s="13" t="s">
        <v>2324</v>
      </c>
      <c r="H19" s="13" t="s">
        <v>23</v>
      </c>
      <c r="I19" s="13" t="s">
        <v>24</v>
      </c>
      <c r="J19" s="13" t="s">
        <v>25</v>
      </c>
      <c r="K19" s="13" t="s">
        <v>26</v>
      </c>
      <c r="L19" s="13" t="s">
        <v>27</v>
      </c>
      <c r="M19" s="14">
        <v>261.96</v>
      </c>
      <c r="N19" s="14">
        <v>261.26</v>
      </c>
      <c r="O19" s="13">
        <v>4.0</v>
      </c>
      <c r="P19" s="14">
        <f t="shared" ref="P19:Q19" si="1">M19*O19</f>
        <v>1047.84</v>
      </c>
      <c r="Q19" s="14">
        <f t="shared" si="1"/>
        <v>273758.6784</v>
      </c>
    </row>
    <row r="20">
      <c r="A20" s="12">
        <v>42958.0</v>
      </c>
      <c r="B20" s="12" t="s">
        <v>2322</v>
      </c>
      <c r="C20" s="5">
        <v>43050.0</v>
      </c>
      <c r="D20" s="15" t="str">
        <f t="shared" si="2"/>
        <v>Nov</v>
      </c>
      <c r="E20" s="13" t="s">
        <v>20</v>
      </c>
      <c r="F20" s="13" t="s">
        <v>2323</v>
      </c>
      <c r="G20" s="13" t="s">
        <v>2324</v>
      </c>
      <c r="H20" s="13" t="s">
        <v>23</v>
      </c>
      <c r="I20" s="13" t="s">
        <v>24</v>
      </c>
      <c r="J20" s="13" t="s">
        <v>25</v>
      </c>
      <c r="K20" s="13" t="s">
        <v>26</v>
      </c>
      <c r="L20" s="13" t="s">
        <v>27</v>
      </c>
      <c r="M20" s="14">
        <v>731.94</v>
      </c>
      <c r="N20" s="14">
        <v>731.61</v>
      </c>
      <c r="O20" s="13">
        <v>4.0</v>
      </c>
      <c r="P20" s="14">
        <f t="shared" ref="P20:Q20" si="3">M20*O20</f>
        <v>2927.76</v>
      </c>
      <c r="Q20" s="14">
        <f t="shared" si="3"/>
        <v>2141978.494</v>
      </c>
    </row>
    <row r="21">
      <c r="A21" s="12">
        <v>43075.0</v>
      </c>
      <c r="B21" s="12" t="s">
        <v>2325</v>
      </c>
      <c r="C21" s="1" t="s">
        <v>29</v>
      </c>
      <c r="D21" s="15" t="str">
        <f t="shared" si="2"/>
        <v>Jun</v>
      </c>
      <c r="E21" s="13" t="s">
        <v>20</v>
      </c>
      <c r="F21" s="13" t="s">
        <v>32</v>
      </c>
      <c r="G21" s="13" t="s">
        <v>33</v>
      </c>
      <c r="H21" s="13" t="s">
        <v>34</v>
      </c>
      <c r="I21" s="13" t="s">
        <v>35</v>
      </c>
      <c r="J21" s="13" t="s">
        <v>52</v>
      </c>
      <c r="K21" s="13" t="s">
        <v>37</v>
      </c>
      <c r="L21" s="13" t="s">
        <v>38</v>
      </c>
      <c r="M21" s="14">
        <v>14.62</v>
      </c>
      <c r="N21" s="14">
        <v>13.97</v>
      </c>
      <c r="O21" s="13">
        <v>9.0</v>
      </c>
      <c r="P21" s="14">
        <f t="shared" ref="P21:Q21" si="4">M21*O21</f>
        <v>131.58</v>
      </c>
      <c r="Q21" s="14">
        <f t="shared" si="4"/>
        <v>1838.1726</v>
      </c>
    </row>
    <row r="22">
      <c r="A22" s="12">
        <v>42137.0</v>
      </c>
      <c r="B22" s="12" t="s">
        <v>2335</v>
      </c>
      <c r="C22" s="1" t="s">
        <v>79</v>
      </c>
      <c r="D22" s="15" t="str">
        <f t="shared" si="2"/>
        <v>May</v>
      </c>
      <c r="E22" s="13" t="s">
        <v>20</v>
      </c>
      <c r="F22" s="13" t="s">
        <v>2342</v>
      </c>
      <c r="G22" s="13" t="s">
        <v>2343</v>
      </c>
      <c r="H22" s="13" t="s">
        <v>23</v>
      </c>
      <c r="I22" s="13" t="s">
        <v>82</v>
      </c>
      <c r="J22" s="13" t="s">
        <v>83</v>
      </c>
      <c r="K22" s="13" t="s">
        <v>37</v>
      </c>
      <c r="L22" s="13" t="s">
        <v>38</v>
      </c>
      <c r="M22" s="14">
        <v>55.5</v>
      </c>
      <c r="N22" s="14">
        <v>54.76</v>
      </c>
      <c r="O22" s="13">
        <v>8.0</v>
      </c>
      <c r="P22" s="14">
        <f t="shared" ref="P22:Q22" si="5">M22*O22</f>
        <v>444</v>
      </c>
      <c r="Q22" s="14">
        <f t="shared" si="5"/>
        <v>24313.44</v>
      </c>
    </row>
    <row r="23">
      <c r="A23" s="12">
        <v>42243.0</v>
      </c>
      <c r="B23" s="12" t="s">
        <v>2322</v>
      </c>
      <c r="C23" s="6">
        <v>42013.0</v>
      </c>
      <c r="D23" s="15" t="str">
        <f t="shared" si="2"/>
        <v>Jan</v>
      </c>
      <c r="E23" s="13" t="s">
        <v>20</v>
      </c>
      <c r="F23" s="13" t="s">
        <v>2344</v>
      </c>
      <c r="G23" s="13" t="s">
        <v>2345</v>
      </c>
      <c r="H23" s="13" t="s">
        <v>23</v>
      </c>
      <c r="I23" s="13" t="s">
        <v>87</v>
      </c>
      <c r="J23" s="13" t="s">
        <v>52</v>
      </c>
      <c r="K23" s="13" t="s">
        <v>37</v>
      </c>
      <c r="L23" s="13" t="s">
        <v>38</v>
      </c>
      <c r="M23" s="14">
        <v>8.56</v>
      </c>
      <c r="N23" s="14">
        <v>7.72</v>
      </c>
      <c r="O23" s="13">
        <v>9.0</v>
      </c>
      <c r="P23" s="14">
        <f t="shared" ref="P23:Q23" si="6">M23*O23</f>
        <v>77.04</v>
      </c>
      <c r="Q23" s="14">
        <f t="shared" si="6"/>
        <v>594.7488</v>
      </c>
    </row>
    <row r="24">
      <c r="A24" s="12">
        <v>42243.0</v>
      </c>
      <c r="B24" s="12" t="s">
        <v>2322</v>
      </c>
      <c r="C24" s="6">
        <v>42013.0</v>
      </c>
      <c r="D24" s="15" t="str">
        <f t="shared" si="2"/>
        <v>Jan</v>
      </c>
      <c r="E24" s="13" t="s">
        <v>20</v>
      </c>
      <c r="F24" s="13" t="s">
        <v>2344</v>
      </c>
      <c r="G24" s="13" t="s">
        <v>2345</v>
      </c>
      <c r="H24" s="13" t="s">
        <v>23</v>
      </c>
      <c r="I24" s="13" t="s">
        <v>87</v>
      </c>
      <c r="J24" s="13" t="s">
        <v>52</v>
      </c>
      <c r="K24" s="13" t="s">
        <v>37</v>
      </c>
      <c r="L24" s="13" t="s">
        <v>51</v>
      </c>
      <c r="M24" s="14">
        <v>213.48</v>
      </c>
      <c r="N24" s="14">
        <v>212.79</v>
      </c>
      <c r="O24" s="13">
        <v>9.0</v>
      </c>
      <c r="P24" s="14">
        <f t="shared" ref="P24:Q24" si="7">M24*O24</f>
        <v>1921.32</v>
      </c>
      <c r="Q24" s="14">
        <f t="shared" si="7"/>
        <v>408837.6828</v>
      </c>
    </row>
    <row r="25">
      <c r="A25" s="12">
        <v>42243.0</v>
      </c>
      <c r="B25" s="12" t="s">
        <v>2322</v>
      </c>
      <c r="C25" s="6">
        <v>42013.0</v>
      </c>
      <c r="D25" s="15" t="str">
        <f t="shared" si="2"/>
        <v>Jan</v>
      </c>
      <c r="E25" s="13" t="s">
        <v>20</v>
      </c>
      <c r="F25" s="13" t="s">
        <v>2344</v>
      </c>
      <c r="G25" s="13" t="s">
        <v>2345</v>
      </c>
      <c r="H25" s="13" t="s">
        <v>23</v>
      </c>
      <c r="I25" s="13" t="s">
        <v>87</v>
      </c>
      <c r="J25" s="13" t="s">
        <v>52</v>
      </c>
      <c r="K25" s="13" t="s">
        <v>37</v>
      </c>
      <c r="L25" s="13" t="s">
        <v>38</v>
      </c>
      <c r="M25" s="14">
        <v>22.72</v>
      </c>
      <c r="N25" s="14">
        <v>22.41</v>
      </c>
      <c r="O25" s="13">
        <v>9.0</v>
      </c>
      <c r="P25" s="14">
        <f t="shared" ref="P25:Q25" si="8">M25*O25</f>
        <v>204.48</v>
      </c>
      <c r="Q25" s="14">
        <f t="shared" si="8"/>
        <v>4582.3968</v>
      </c>
    </row>
    <row r="26">
      <c r="A26" s="12">
        <v>43297.0</v>
      </c>
      <c r="B26" s="12" t="s">
        <v>2348</v>
      </c>
      <c r="C26" s="1" t="s">
        <v>95</v>
      </c>
      <c r="D26" s="15" t="str">
        <f t="shared" si="2"/>
        <v>Jul</v>
      </c>
      <c r="E26" s="13" t="s">
        <v>20</v>
      </c>
      <c r="F26" s="13" t="s">
        <v>2349</v>
      </c>
      <c r="G26" s="13" t="s">
        <v>2350</v>
      </c>
      <c r="H26" s="13" t="s">
        <v>23</v>
      </c>
      <c r="I26" s="13" t="s">
        <v>98</v>
      </c>
      <c r="J26" s="13" t="s">
        <v>99</v>
      </c>
      <c r="K26" s="13" t="s">
        <v>100</v>
      </c>
      <c r="L26" s="13" t="s">
        <v>27</v>
      </c>
      <c r="M26" s="14">
        <v>71.372</v>
      </c>
      <c r="N26" s="14">
        <v>70.8</v>
      </c>
      <c r="O26" s="13">
        <v>1.0</v>
      </c>
      <c r="P26" s="14">
        <f t="shared" ref="P26:Q26" si="9">M26*O26</f>
        <v>71.372</v>
      </c>
      <c r="Q26" s="14">
        <f t="shared" si="9"/>
        <v>5053.1376</v>
      </c>
    </row>
    <row r="27">
      <c r="A27" s="12">
        <v>42751.0</v>
      </c>
      <c r="B27" s="12" t="s">
        <v>2353</v>
      </c>
      <c r="C27" s="1" t="s">
        <v>107</v>
      </c>
      <c r="D27" s="15" t="str">
        <f t="shared" si="2"/>
        <v>Jan</v>
      </c>
      <c r="E27" s="13" t="s">
        <v>20</v>
      </c>
      <c r="F27" s="13" t="s">
        <v>2354</v>
      </c>
      <c r="G27" s="13" t="s">
        <v>2355</v>
      </c>
      <c r="H27" s="13" t="s">
        <v>23</v>
      </c>
      <c r="I27" s="13" t="s">
        <v>35</v>
      </c>
      <c r="J27" s="13" t="s">
        <v>52</v>
      </c>
      <c r="K27" s="13" t="s">
        <v>37</v>
      </c>
      <c r="L27" s="13" t="s">
        <v>38</v>
      </c>
      <c r="M27" s="14">
        <v>11.648</v>
      </c>
      <c r="N27" s="14">
        <v>11.39</v>
      </c>
      <c r="O27" s="13">
        <v>9.0</v>
      </c>
      <c r="P27" s="14">
        <f t="shared" ref="P27:Q27" si="10">M27*O27</f>
        <v>104.832</v>
      </c>
      <c r="Q27" s="14">
        <f t="shared" si="10"/>
        <v>1194.03648</v>
      </c>
    </row>
    <row r="28">
      <c r="A28" s="12">
        <v>42751.0</v>
      </c>
      <c r="B28" s="12" t="s">
        <v>2353</v>
      </c>
      <c r="C28" s="1" t="s">
        <v>107</v>
      </c>
      <c r="D28" s="15" t="str">
        <f t="shared" si="2"/>
        <v>Jan</v>
      </c>
      <c r="E28" s="13" t="s">
        <v>20</v>
      </c>
      <c r="F28" s="13" t="s">
        <v>2354</v>
      </c>
      <c r="G28" s="13" t="s">
        <v>2355</v>
      </c>
      <c r="H28" s="13" t="s">
        <v>23</v>
      </c>
      <c r="I28" s="13" t="s">
        <v>35</v>
      </c>
      <c r="J28" s="13" t="s">
        <v>52</v>
      </c>
      <c r="K28" s="13" t="s">
        <v>37</v>
      </c>
      <c r="L28" s="13" t="s">
        <v>51</v>
      </c>
      <c r="M28" s="14">
        <v>90.57</v>
      </c>
      <c r="N28" s="14">
        <v>89.64</v>
      </c>
      <c r="O28" s="13">
        <v>9.0</v>
      </c>
      <c r="P28" s="14">
        <f t="shared" ref="P28:Q28" si="11">M28*O28</f>
        <v>815.13</v>
      </c>
      <c r="Q28" s="14">
        <f t="shared" si="11"/>
        <v>73068.2532</v>
      </c>
    </row>
    <row r="29">
      <c r="A29" s="12">
        <v>43392.0</v>
      </c>
      <c r="B29" s="12" t="s">
        <v>2358</v>
      </c>
      <c r="C29" s="1" t="s">
        <v>116</v>
      </c>
      <c r="D29" s="15" t="str">
        <f t="shared" si="2"/>
        <v>Oct</v>
      </c>
      <c r="E29" s="13" t="s">
        <v>20</v>
      </c>
      <c r="F29" s="13" t="s">
        <v>2359</v>
      </c>
      <c r="G29" s="13" t="s">
        <v>2360</v>
      </c>
      <c r="H29" s="13" t="s">
        <v>68</v>
      </c>
      <c r="I29" s="13" t="s">
        <v>129</v>
      </c>
      <c r="J29" s="13" t="s">
        <v>70</v>
      </c>
      <c r="K29" s="13" t="s">
        <v>71</v>
      </c>
      <c r="L29" s="13" t="s">
        <v>38</v>
      </c>
      <c r="M29" s="14">
        <v>29.472</v>
      </c>
      <c r="N29" s="14">
        <v>28.94</v>
      </c>
      <c r="O29" s="13">
        <v>7.0</v>
      </c>
      <c r="P29" s="14">
        <f t="shared" ref="P29:Q29" si="12">M29*O29</f>
        <v>206.304</v>
      </c>
      <c r="Q29" s="14">
        <f t="shared" si="12"/>
        <v>5970.43776</v>
      </c>
    </row>
    <row r="30">
      <c r="A30" s="12">
        <v>42297.0</v>
      </c>
      <c r="B30" s="12" t="s">
        <v>2358</v>
      </c>
      <c r="C30" s="1" t="s">
        <v>153</v>
      </c>
      <c r="D30" s="15" t="str">
        <f t="shared" si="2"/>
        <v>Oct</v>
      </c>
      <c r="E30" s="13" t="s">
        <v>20</v>
      </c>
      <c r="F30" s="13" t="s">
        <v>2373</v>
      </c>
      <c r="G30" s="13" t="s">
        <v>2328</v>
      </c>
      <c r="H30" s="13" t="s">
        <v>23</v>
      </c>
      <c r="I30" s="13" t="s">
        <v>156</v>
      </c>
      <c r="J30" s="13" t="s">
        <v>157</v>
      </c>
      <c r="K30" s="13" t="s">
        <v>71</v>
      </c>
      <c r="L30" s="13" t="s">
        <v>38</v>
      </c>
      <c r="M30" s="14">
        <v>211.96</v>
      </c>
      <c r="N30" s="14">
        <v>211.46</v>
      </c>
      <c r="O30" s="13">
        <v>4.0</v>
      </c>
      <c r="P30" s="14">
        <f t="shared" ref="P30:Q30" si="13">M30*O30</f>
        <v>847.84</v>
      </c>
      <c r="Q30" s="14">
        <f t="shared" si="13"/>
        <v>179284.2464</v>
      </c>
    </row>
    <row r="31">
      <c r="A31" s="12">
        <v>43357.0</v>
      </c>
      <c r="B31" s="12" t="s">
        <v>2329</v>
      </c>
      <c r="C31" s="1" t="s">
        <v>204</v>
      </c>
      <c r="D31" s="15" t="str">
        <f t="shared" si="2"/>
        <v>Sep</v>
      </c>
      <c r="E31" s="13" t="s">
        <v>20</v>
      </c>
      <c r="F31" s="13" t="s">
        <v>2356</v>
      </c>
      <c r="G31" s="13" t="s">
        <v>2357</v>
      </c>
      <c r="H31" s="13" t="s">
        <v>23</v>
      </c>
      <c r="I31" s="13" t="s">
        <v>205</v>
      </c>
      <c r="J31" s="13" t="s">
        <v>157</v>
      </c>
      <c r="K31" s="13" t="s">
        <v>71</v>
      </c>
      <c r="L31" s="13" t="s">
        <v>38</v>
      </c>
      <c r="M31" s="14">
        <v>19.05</v>
      </c>
      <c r="N31" s="14">
        <v>18.79</v>
      </c>
      <c r="O31" s="13">
        <v>4.0</v>
      </c>
      <c r="P31" s="14">
        <f t="shared" ref="P31:Q31" si="14">M31*O31</f>
        <v>76.2</v>
      </c>
      <c r="Q31" s="14">
        <f t="shared" si="14"/>
        <v>1431.798</v>
      </c>
    </row>
    <row r="32">
      <c r="A32" s="12">
        <v>42334.0</v>
      </c>
      <c r="B32" s="12" t="s">
        <v>2326</v>
      </c>
      <c r="C32" s="6">
        <v>42016.0</v>
      </c>
      <c r="D32" s="15" t="str">
        <f t="shared" si="2"/>
        <v>Jan</v>
      </c>
      <c r="E32" s="13" t="s">
        <v>20</v>
      </c>
      <c r="F32" s="13" t="s">
        <v>2392</v>
      </c>
      <c r="G32" s="13" t="s">
        <v>2393</v>
      </c>
      <c r="H32" s="13" t="s">
        <v>23</v>
      </c>
      <c r="I32" s="13" t="s">
        <v>129</v>
      </c>
      <c r="J32" s="13" t="s">
        <v>70</v>
      </c>
      <c r="K32" s="13" t="s">
        <v>71</v>
      </c>
      <c r="L32" s="13" t="s">
        <v>27</v>
      </c>
      <c r="M32" s="14">
        <v>19.3</v>
      </c>
      <c r="N32" s="14">
        <v>18.65</v>
      </c>
      <c r="O32" s="13">
        <v>7.0</v>
      </c>
      <c r="P32" s="14">
        <f t="shared" ref="P32:Q32" si="15">M32*O32</f>
        <v>135.1</v>
      </c>
      <c r="Q32" s="14">
        <f t="shared" si="15"/>
        <v>2519.615</v>
      </c>
    </row>
    <row r="33">
      <c r="A33" s="12">
        <v>43248.0</v>
      </c>
      <c r="B33" s="12" t="s">
        <v>2335</v>
      </c>
      <c r="C33" s="1" t="s">
        <v>234</v>
      </c>
      <c r="D33" s="15" t="str">
        <f t="shared" si="2"/>
        <v>May</v>
      </c>
      <c r="E33" s="13" t="s">
        <v>20</v>
      </c>
      <c r="F33" s="13" t="s">
        <v>2373</v>
      </c>
      <c r="G33" s="13" t="s">
        <v>2328</v>
      </c>
      <c r="H33" s="13" t="s">
        <v>23</v>
      </c>
      <c r="I33" s="13" t="s">
        <v>235</v>
      </c>
      <c r="J33" s="13" t="s">
        <v>236</v>
      </c>
      <c r="K33" s="13" t="s">
        <v>26</v>
      </c>
      <c r="L33" s="13" t="s">
        <v>27</v>
      </c>
      <c r="M33" s="14">
        <v>301.96</v>
      </c>
      <c r="N33" s="14">
        <v>301.07</v>
      </c>
      <c r="O33" s="13">
        <v>2.0</v>
      </c>
      <c r="P33" s="14">
        <f t="shared" ref="P33:Q33" si="16">M33*O33</f>
        <v>603.92</v>
      </c>
      <c r="Q33" s="14">
        <f t="shared" si="16"/>
        <v>181822.1944</v>
      </c>
    </row>
    <row r="34">
      <c r="A34" s="12">
        <v>42859.0</v>
      </c>
      <c r="B34" s="12" t="s">
        <v>2335</v>
      </c>
      <c r="C34" s="6">
        <v>43012.0</v>
      </c>
      <c r="D34" s="15" t="str">
        <f t="shared" si="2"/>
        <v>Oct</v>
      </c>
      <c r="E34" s="13" t="s">
        <v>20</v>
      </c>
      <c r="F34" s="13" t="s">
        <v>2405</v>
      </c>
      <c r="G34" s="13" t="s">
        <v>2406</v>
      </c>
      <c r="H34" s="13" t="s">
        <v>68</v>
      </c>
      <c r="I34" s="13" t="s">
        <v>129</v>
      </c>
      <c r="J34" s="13" t="s">
        <v>70</v>
      </c>
      <c r="K34" s="13" t="s">
        <v>71</v>
      </c>
      <c r="L34" s="13" t="s">
        <v>38</v>
      </c>
      <c r="M34" s="14">
        <v>158.368</v>
      </c>
      <c r="N34" s="14">
        <v>158.13</v>
      </c>
      <c r="O34" s="13">
        <v>7.0</v>
      </c>
      <c r="P34" s="14">
        <f t="shared" ref="P34:Q34" si="17">M34*O34</f>
        <v>1108.576</v>
      </c>
      <c r="Q34" s="14">
        <f t="shared" si="17"/>
        <v>175299.1229</v>
      </c>
    </row>
    <row r="35">
      <c r="A35" s="12">
        <v>42400.0</v>
      </c>
      <c r="B35" s="12" t="s">
        <v>2353</v>
      </c>
      <c r="C35" s="6">
        <v>42492.0</v>
      </c>
      <c r="D35" s="15" t="str">
        <f t="shared" si="2"/>
        <v>May</v>
      </c>
      <c r="E35" s="13" t="s">
        <v>20</v>
      </c>
      <c r="F35" s="13" t="s">
        <v>2409</v>
      </c>
      <c r="G35" s="13" t="s">
        <v>2410</v>
      </c>
      <c r="H35" s="13" t="s">
        <v>23</v>
      </c>
      <c r="I35" s="13" t="s">
        <v>251</v>
      </c>
      <c r="J35" s="13" t="s">
        <v>151</v>
      </c>
      <c r="K35" s="13" t="s">
        <v>71</v>
      </c>
      <c r="L35" s="13" t="s">
        <v>38</v>
      </c>
      <c r="M35" s="14">
        <v>12.96</v>
      </c>
      <c r="N35" s="14">
        <v>12.69</v>
      </c>
      <c r="O35" s="13">
        <v>5.0</v>
      </c>
      <c r="P35" s="14">
        <f t="shared" ref="P35:Q35" si="18">M35*O35</f>
        <v>64.8</v>
      </c>
      <c r="Q35" s="14">
        <f t="shared" si="18"/>
        <v>822.312</v>
      </c>
    </row>
    <row r="36">
      <c r="A36" s="12">
        <v>42400.0</v>
      </c>
      <c r="B36" s="12" t="s">
        <v>2353</v>
      </c>
      <c r="C36" s="6">
        <v>42492.0</v>
      </c>
      <c r="D36" s="15" t="str">
        <f t="shared" si="2"/>
        <v>May</v>
      </c>
      <c r="E36" s="13" t="s">
        <v>20</v>
      </c>
      <c r="F36" s="13" t="s">
        <v>2409</v>
      </c>
      <c r="G36" s="13" t="s">
        <v>2410</v>
      </c>
      <c r="H36" s="13" t="s">
        <v>23</v>
      </c>
      <c r="I36" s="13" t="s">
        <v>251</v>
      </c>
      <c r="J36" s="13" t="s">
        <v>151</v>
      </c>
      <c r="K36" s="13" t="s">
        <v>71</v>
      </c>
      <c r="L36" s="13" t="s">
        <v>27</v>
      </c>
      <c r="M36" s="14">
        <v>53.34</v>
      </c>
      <c r="N36" s="14">
        <v>53.3</v>
      </c>
      <c r="O36" s="13">
        <v>5.0</v>
      </c>
      <c r="P36" s="14">
        <f t="shared" ref="P36:Q36" si="19">M36*O36</f>
        <v>266.7</v>
      </c>
      <c r="Q36" s="14">
        <f t="shared" si="19"/>
        <v>14215.11</v>
      </c>
    </row>
    <row r="37">
      <c r="A37" s="12">
        <v>42400.0</v>
      </c>
      <c r="B37" s="12" t="s">
        <v>2353</v>
      </c>
      <c r="C37" s="6">
        <v>42492.0</v>
      </c>
      <c r="D37" s="15" t="str">
        <f t="shared" si="2"/>
        <v>May</v>
      </c>
      <c r="E37" s="13" t="s">
        <v>20</v>
      </c>
      <c r="F37" s="13" t="s">
        <v>2409</v>
      </c>
      <c r="G37" s="13" t="s">
        <v>2410</v>
      </c>
      <c r="H37" s="13" t="s">
        <v>23</v>
      </c>
      <c r="I37" s="13" t="s">
        <v>251</v>
      </c>
      <c r="J37" s="13" t="s">
        <v>151</v>
      </c>
      <c r="K37" s="13" t="s">
        <v>71</v>
      </c>
      <c r="L37" s="13" t="s">
        <v>38</v>
      </c>
      <c r="M37" s="14">
        <v>32.96</v>
      </c>
      <c r="N37" s="14">
        <v>32.55</v>
      </c>
      <c r="O37" s="13">
        <v>5.0</v>
      </c>
      <c r="P37" s="14">
        <f t="shared" ref="P37:Q37" si="20">M37*O37</f>
        <v>164.8</v>
      </c>
      <c r="Q37" s="14">
        <f t="shared" si="20"/>
        <v>5364.24</v>
      </c>
    </row>
    <row r="38">
      <c r="A38" s="12">
        <v>43354.0</v>
      </c>
      <c r="B38" s="12" t="s">
        <v>2329</v>
      </c>
      <c r="C38" s="5">
        <v>43415.0</v>
      </c>
      <c r="D38" s="15" t="str">
        <f t="shared" si="2"/>
        <v>Nov</v>
      </c>
      <c r="E38" s="13" t="s">
        <v>20</v>
      </c>
      <c r="F38" s="13" t="s">
        <v>2413</v>
      </c>
      <c r="G38" s="13" t="s">
        <v>2414</v>
      </c>
      <c r="H38" s="13" t="s">
        <v>68</v>
      </c>
      <c r="I38" s="13" t="s">
        <v>174</v>
      </c>
      <c r="J38" s="13" t="s">
        <v>175</v>
      </c>
      <c r="K38" s="13" t="s">
        <v>100</v>
      </c>
      <c r="L38" s="13" t="s">
        <v>27</v>
      </c>
      <c r="M38" s="14">
        <v>96.53</v>
      </c>
      <c r="N38" s="14">
        <v>95.66</v>
      </c>
      <c r="O38" s="13">
        <v>1.0</v>
      </c>
      <c r="P38" s="14">
        <f t="shared" ref="P38:Q38" si="21">M38*O38</f>
        <v>96.53</v>
      </c>
      <c r="Q38" s="14">
        <f t="shared" si="21"/>
        <v>9234.0598</v>
      </c>
    </row>
    <row r="39">
      <c r="A39" s="12">
        <v>42747.0</v>
      </c>
      <c r="B39" s="12" t="s">
        <v>2353</v>
      </c>
      <c r="C39" s="6">
        <v>42837.0</v>
      </c>
      <c r="D39" s="15" t="str">
        <f t="shared" si="2"/>
        <v>Apr</v>
      </c>
      <c r="E39" s="13" t="s">
        <v>20</v>
      </c>
      <c r="F39" s="13" t="s">
        <v>2405</v>
      </c>
      <c r="G39" s="13" t="s">
        <v>2421</v>
      </c>
      <c r="H39" s="13" t="s">
        <v>23</v>
      </c>
      <c r="I39" s="13" t="s">
        <v>240</v>
      </c>
      <c r="J39" s="13" t="s">
        <v>151</v>
      </c>
      <c r="K39" s="13" t="s">
        <v>71</v>
      </c>
      <c r="L39" s="13" t="s">
        <v>38</v>
      </c>
      <c r="M39" s="14">
        <v>23.92</v>
      </c>
      <c r="N39" s="14">
        <v>23.15</v>
      </c>
      <c r="O39" s="13">
        <v>5.0</v>
      </c>
      <c r="P39" s="14">
        <f t="shared" ref="P39:Q39" si="22">M39*O39</f>
        <v>119.6</v>
      </c>
      <c r="Q39" s="14">
        <f t="shared" si="22"/>
        <v>2768.74</v>
      </c>
    </row>
    <row r="40">
      <c r="A40" s="12">
        <v>42241.0</v>
      </c>
      <c r="B40" s="12" t="s">
        <v>2322</v>
      </c>
      <c r="C40" s="1" t="s">
        <v>300</v>
      </c>
      <c r="D40" s="15" t="str">
        <f t="shared" si="2"/>
        <v>Aug</v>
      </c>
      <c r="E40" s="13" t="s">
        <v>20</v>
      </c>
      <c r="F40" s="13" t="s">
        <v>2429</v>
      </c>
      <c r="G40" s="13" t="s">
        <v>2430</v>
      </c>
      <c r="H40" s="13" t="s">
        <v>23</v>
      </c>
      <c r="I40" s="13" t="s">
        <v>303</v>
      </c>
      <c r="J40" s="13" t="s">
        <v>304</v>
      </c>
      <c r="K40" s="13" t="s">
        <v>100</v>
      </c>
      <c r="L40" s="13" t="s">
        <v>38</v>
      </c>
      <c r="M40" s="14">
        <v>40.096</v>
      </c>
      <c r="N40" s="14">
        <v>39.18</v>
      </c>
      <c r="O40" s="13">
        <v>4.0</v>
      </c>
      <c r="P40" s="14">
        <f t="shared" ref="P40:Q40" si="23">M40*O40</f>
        <v>160.384</v>
      </c>
      <c r="Q40" s="14">
        <f t="shared" si="23"/>
        <v>6283.84512</v>
      </c>
    </row>
    <row r="41">
      <c r="A41" s="12">
        <v>42241.0</v>
      </c>
      <c r="B41" s="12" t="s">
        <v>2322</v>
      </c>
      <c r="C41" s="1" t="s">
        <v>300</v>
      </c>
      <c r="D41" s="15" t="str">
        <f t="shared" si="2"/>
        <v>Aug</v>
      </c>
      <c r="E41" s="13" t="s">
        <v>20</v>
      </c>
      <c r="F41" s="13" t="s">
        <v>2429</v>
      </c>
      <c r="G41" s="13" t="s">
        <v>2430</v>
      </c>
      <c r="H41" s="13" t="s">
        <v>23</v>
      </c>
      <c r="I41" s="13" t="s">
        <v>303</v>
      </c>
      <c r="J41" s="13" t="s">
        <v>304</v>
      </c>
      <c r="K41" s="13" t="s">
        <v>100</v>
      </c>
      <c r="L41" s="13" t="s">
        <v>38</v>
      </c>
      <c r="M41" s="14">
        <v>4.72</v>
      </c>
      <c r="N41" s="14">
        <v>4.56</v>
      </c>
      <c r="O41" s="13">
        <v>4.0</v>
      </c>
      <c r="P41" s="14">
        <f t="shared" ref="P41:Q41" si="24">M41*O41</f>
        <v>18.88</v>
      </c>
      <c r="Q41" s="14">
        <f t="shared" si="24"/>
        <v>86.0928</v>
      </c>
    </row>
    <row r="42">
      <c r="A42" s="12">
        <v>42241.0</v>
      </c>
      <c r="B42" s="12" t="s">
        <v>2322</v>
      </c>
      <c r="C42" s="1" t="s">
        <v>300</v>
      </c>
      <c r="D42" s="15" t="str">
        <f t="shared" si="2"/>
        <v>Aug</v>
      </c>
      <c r="E42" s="13" t="s">
        <v>20</v>
      </c>
      <c r="F42" s="13" t="s">
        <v>2429</v>
      </c>
      <c r="G42" s="13" t="s">
        <v>2430</v>
      </c>
      <c r="H42" s="13" t="s">
        <v>23</v>
      </c>
      <c r="I42" s="13" t="s">
        <v>303</v>
      </c>
      <c r="J42" s="13" t="s">
        <v>304</v>
      </c>
      <c r="K42" s="13" t="s">
        <v>100</v>
      </c>
      <c r="L42" s="13" t="s">
        <v>38</v>
      </c>
      <c r="M42" s="14">
        <v>23.976</v>
      </c>
      <c r="N42" s="14">
        <v>23.97</v>
      </c>
      <c r="O42" s="13">
        <v>4.0</v>
      </c>
      <c r="P42" s="14">
        <f t="shared" ref="P42:Q42" si="25">M42*O42</f>
        <v>95.904</v>
      </c>
      <c r="Q42" s="14">
        <f t="shared" si="25"/>
        <v>2298.81888</v>
      </c>
    </row>
    <row r="43">
      <c r="A43" s="12">
        <v>42241.0</v>
      </c>
      <c r="B43" s="12" t="s">
        <v>2322</v>
      </c>
      <c r="C43" s="1" t="s">
        <v>300</v>
      </c>
      <c r="D43" s="15" t="str">
        <f t="shared" si="2"/>
        <v>Aug</v>
      </c>
      <c r="E43" s="13" t="s">
        <v>20</v>
      </c>
      <c r="F43" s="13" t="s">
        <v>2429</v>
      </c>
      <c r="G43" s="13" t="s">
        <v>2430</v>
      </c>
      <c r="H43" s="13" t="s">
        <v>23</v>
      </c>
      <c r="I43" s="13" t="s">
        <v>303</v>
      </c>
      <c r="J43" s="13" t="s">
        <v>304</v>
      </c>
      <c r="K43" s="13" t="s">
        <v>100</v>
      </c>
      <c r="L43" s="13" t="s">
        <v>38</v>
      </c>
      <c r="M43" s="14">
        <v>130.464</v>
      </c>
      <c r="N43" s="14">
        <v>129.68</v>
      </c>
      <c r="O43" s="13">
        <v>4.0</v>
      </c>
      <c r="P43" s="14">
        <f t="shared" ref="P43:Q43" si="26">M43*O43</f>
        <v>521.856</v>
      </c>
      <c r="Q43" s="14">
        <f t="shared" si="26"/>
        <v>67674.28608</v>
      </c>
    </row>
    <row r="44">
      <c r="A44" s="12">
        <v>42364.0</v>
      </c>
      <c r="B44" s="12" t="s">
        <v>2325</v>
      </c>
      <c r="C44" s="1" t="s">
        <v>317</v>
      </c>
      <c r="D44" s="15" t="str">
        <f t="shared" si="2"/>
        <v>Dec</v>
      </c>
      <c r="E44" s="13" t="s">
        <v>20</v>
      </c>
      <c r="F44" s="13" t="s">
        <v>2438</v>
      </c>
      <c r="G44" s="13" t="s">
        <v>2439</v>
      </c>
      <c r="H44" s="13" t="s">
        <v>68</v>
      </c>
      <c r="I44" s="13" t="s">
        <v>129</v>
      </c>
      <c r="J44" s="13" t="s">
        <v>70</v>
      </c>
      <c r="K44" s="13" t="s">
        <v>71</v>
      </c>
      <c r="L44" s="13" t="s">
        <v>27</v>
      </c>
      <c r="M44" s="14">
        <v>600.558</v>
      </c>
      <c r="N44" s="14">
        <v>600.44</v>
      </c>
      <c r="O44" s="13">
        <v>7.0</v>
      </c>
      <c r="P44" s="14">
        <f t="shared" ref="P44:Q44" si="27">M44*O44</f>
        <v>4203.906</v>
      </c>
      <c r="Q44" s="14">
        <f t="shared" si="27"/>
        <v>2524193.319</v>
      </c>
    </row>
    <row r="45">
      <c r="A45" s="12">
        <v>42897.0</v>
      </c>
      <c r="B45" s="12" t="s">
        <v>2374</v>
      </c>
      <c r="C45" s="5">
        <v>43019.0</v>
      </c>
      <c r="D45" s="15" t="str">
        <f t="shared" si="2"/>
        <v>Oct</v>
      </c>
      <c r="E45" s="13" t="s">
        <v>20</v>
      </c>
      <c r="F45" s="13" t="s">
        <v>2443</v>
      </c>
      <c r="G45" s="13" t="s">
        <v>2444</v>
      </c>
      <c r="H45" s="13" t="s">
        <v>68</v>
      </c>
      <c r="I45" s="13" t="s">
        <v>35</v>
      </c>
      <c r="J45" s="13" t="s">
        <v>52</v>
      </c>
      <c r="K45" s="13" t="s">
        <v>37</v>
      </c>
      <c r="L45" s="13" t="s">
        <v>27</v>
      </c>
      <c r="M45" s="14">
        <v>81.424</v>
      </c>
      <c r="N45" s="14">
        <v>80.61</v>
      </c>
      <c r="O45" s="13">
        <v>9.0</v>
      </c>
      <c r="P45" s="14">
        <f t="shared" ref="P45:Q45" si="28">M45*O45</f>
        <v>732.816</v>
      </c>
      <c r="Q45" s="14">
        <f t="shared" si="28"/>
        <v>59072.29776</v>
      </c>
    </row>
    <row r="46">
      <c r="A46" s="12">
        <v>42897.0</v>
      </c>
      <c r="B46" s="12" t="s">
        <v>2374</v>
      </c>
      <c r="C46" s="5">
        <v>43019.0</v>
      </c>
      <c r="D46" s="15" t="str">
        <f t="shared" si="2"/>
        <v>Oct</v>
      </c>
      <c r="E46" s="13" t="s">
        <v>20</v>
      </c>
      <c r="F46" s="13" t="s">
        <v>2443</v>
      </c>
      <c r="G46" s="13" t="s">
        <v>2444</v>
      </c>
      <c r="H46" s="13" t="s">
        <v>68</v>
      </c>
      <c r="I46" s="13" t="s">
        <v>35</v>
      </c>
      <c r="J46" s="13" t="s">
        <v>52</v>
      </c>
      <c r="K46" s="13" t="s">
        <v>37</v>
      </c>
      <c r="L46" s="13" t="s">
        <v>27</v>
      </c>
      <c r="M46" s="14">
        <v>238.56</v>
      </c>
      <c r="N46" s="14">
        <v>238.11</v>
      </c>
      <c r="O46" s="13">
        <v>9.0</v>
      </c>
      <c r="P46" s="14">
        <f t="shared" ref="P46:Q46" si="29">M46*O46</f>
        <v>2147.04</v>
      </c>
      <c r="Q46" s="14">
        <f t="shared" si="29"/>
        <v>511231.6944</v>
      </c>
    </row>
    <row r="47">
      <c r="A47" s="12">
        <v>42864.0</v>
      </c>
      <c r="B47" s="12" t="s">
        <v>2335</v>
      </c>
      <c r="C47" s="6">
        <v>42925.0</v>
      </c>
      <c r="D47" s="15" t="str">
        <f t="shared" si="2"/>
        <v>Jul</v>
      </c>
      <c r="E47" s="13" t="s">
        <v>20</v>
      </c>
      <c r="F47" s="13" t="s">
        <v>2447</v>
      </c>
      <c r="G47" s="13" t="s">
        <v>2448</v>
      </c>
      <c r="H47" s="13" t="s">
        <v>34</v>
      </c>
      <c r="I47" s="13" t="s">
        <v>98</v>
      </c>
      <c r="J47" s="13" t="s">
        <v>99</v>
      </c>
      <c r="K47" s="13" t="s">
        <v>100</v>
      </c>
      <c r="L47" s="13" t="s">
        <v>27</v>
      </c>
      <c r="M47" s="14">
        <v>82.8</v>
      </c>
      <c r="N47" s="14">
        <v>82.56</v>
      </c>
      <c r="O47" s="13">
        <v>1.0</v>
      </c>
      <c r="P47" s="14">
        <f t="shared" ref="P47:Q47" si="30">M47*O47</f>
        <v>82.8</v>
      </c>
      <c r="Q47" s="14">
        <f t="shared" si="30"/>
        <v>6835.968</v>
      </c>
    </row>
    <row r="48">
      <c r="A48" s="12">
        <v>42007.0</v>
      </c>
      <c r="B48" s="12" t="s">
        <v>2353</v>
      </c>
      <c r="C48" s="6">
        <v>42158.0</v>
      </c>
      <c r="D48" s="15" t="str">
        <f t="shared" si="2"/>
        <v>Jun</v>
      </c>
      <c r="E48" s="13" t="s">
        <v>20</v>
      </c>
      <c r="F48" s="13" t="s">
        <v>2432</v>
      </c>
      <c r="G48" s="13" t="s">
        <v>2464</v>
      </c>
      <c r="H48" s="13" t="s">
        <v>23</v>
      </c>
      <c r="I48" s="13" t="s">
        <v>62</v>
      </c>
      <c r="J48" s="13" t="s">
        <v>63</v>
      </c>
      <c r="K48" s="13" t="s">
        <v>37</v>
      </c>
      <c r="L48" s="13" t="s">
        <v>27</v>
      </c>
      <c r="M48" s="14">
        <v>457.568</v>
      </c>
      <c r="N48" s="14">
        <v>457.38</v>
      </c>
      <c r="O48" s="13">
        <v>9.0</v>
      </c>
      <c r="P48" s="14">
        <f t="shared" ref="P48:Q48" si="31">M48*O48</f>
        <v>4118.112</v>
      </c>
      <c r="Q48" s="14">
        <f t="shared" si="31"/>
        <v>1883542.067</v>
      </c>
    </row>
    <row r="49">
      <c r="A49" s="12">
        <v>42732.0</v>
      </c>
      <c r="B49" s="12" t="s">
        <v>2325</v>
      </c>
      <c r="C49" s="1" t="s">
        <v>126</v>
      </c>
      <c r="D49" s="15" t="str">
        <f t="shared" si="2"/>
        <v>Dec</v>
      </c>
      <c r="E49" s="13" t="s">
        <v>20</v>
      </c>
      <c r="F49" s="13" t="s">
        <v>2354</v>
      </c>
      <c r="G49" s="13" t="s">
        <v>2468</v>
      </c>
      <c r="H49" s="13" t="s">
        <v>23</v>
      </c>
      <c r="I49" s="13" t="s">
        <v>98</v>
      </c>
      <c r="J49" s="13" t="s">
        <v>99</v>
      </c>
      <c r="K49" s="13" t="s">
        <v>100</v>
      </c>
      <c r="L49" s="13" t="s">
        <v>51</v>
      </c>
      <c r="M49" s="14">
        <v>54.384</v>
      </c>
      <c r="N49" s="14">
        <v>54.3</v>
      </c>
      <c r="O49" s="13">
        <v>1.0</v>
      </c>
      <c r="P49" s="14">
        <f t="shared" ref="P49:Q49" si="32">M49*O49</f>
        <v>54.384</v>
      </c>
      <c r="Q49" s="14">
        <f t="shared" si="32"/>
        <v>2953.0512</v>
      </c>
    </row>
    <row r="50">
      <c r="A50" s="12">
        <v>43211.0</v>
      </c>
      <c r="B50" s="12" t="s">
        <v>2332</v>
      </c>
      <c r="C50" s="1" t="s">
        <v>413</v>
      </c>
      <c r="D50" s="15" t="str">
        <f t="shared" si="2"/>
        <v>Apr</v>
      </c>
      <c r="E50" s="13" t="s">
        <v>20</v>
      </c>
      <c r="F50" s="13" t="s">
        <v>2477</v>
      </c>
      <c r="G50" s="13" t="s">
        <v>205</v>
      </c>
      <c r="H50" s="13" t="s">
        <v>23</v>
      </c>
      <c r="I50" s="13" t="s">
        <v>129</v>
      </c>
      <c r="J50" s="13" t="s">
        <v>70</v>
      </c>
      <c r="K50" s="13" t="s">
        <v>71</v>
      </c>
      <c r="L50" s="13" t="s">
        <v>38</v>
      </c>
      <c r="M50" s="14">
        <v>97.264</v>
      </c>
      <c r="N50" s="14">
        <v>96.62</v>
      </c>
      <c r="O50" s="13">
        <v>7.0</v>
      </c>
      <c r="P50" s="14">
        <f t="shared" ref="P50:Q50" si="33">M50*O50</f>
        <v>680.848</v>
      </c>
      <c r="Q50" s="14">
        <f t="shared" si="33"/>
        <v>65783.53376</v>
      </c>
    </row>
    <row r="51">
      <c r="A51" s="12">
        <v>42695.0</v>
      </c>
      <c r="B51" s="12" t="s">
        <v>2326</v>
      </c>
      <c r="C51" s="1" t="s">
        <v>417</v>
      </c>
      <c r="D51" s="15" t="str">
        <f t="shared" si="2"/>
        <v>Nov</v>
      </c>
      <c r="E51" s="13" t="s">
        <v>20</v>
      </c>
      <c r="F51" s="13" t="s">
        <v>2392</v>
      </c>
      <c r="G51" s="13" t="s">
        <v>2393</v>
      </c>
      <c r="H51" s="13" t="s">
        <v>23</v>
      </c>
      <c r="I51" s="13" t="s">
        <v>360</v>
      </c>
      <c r="J51" s="13" t="s">
        <v>304</v>
      </c>
      <c r="K51" s="13" t="s">
        <v>100</v>
      </c>
      <c r="L51" s="13" t="s">
        <v>27</v>
      </c>
      <c r="M51" s="14">
        <v>396.802</v>
      </c>
      <c r="N51" s="14">
        <v>396.53</v>
      </c>
      <c r="O51" s="13">
        <v>4.0</v>
      </c>
      <c r="P51" s="14">
        <f t="shared" ref="P51:Q51" si="34">M51*O51</f>
        <v>1587.208</v>
      </c>
      <c r="Q51" s="14">
        <f t="shared" si="34"/>
        <v>629375.5882</v>
      </c>
    </row>
    <row r="52">
      <c r="A52" s="12">
        <v>42695.0</v>
      </c>
      <c r="B52" s="12" t="s">
        <v>2326</v>
      </c>
      <c r="C52" s="1" t="s">
        <v>417</v>
      </c>
      <c r="D52" s="15" t="str">
        <f t="shared" si="2"/>
        <v>Nov</v>
      </c>
      <c r="E52" s="13" t="s">
        <v>20</v>
      </c>
      <c r="F52" s="13" t="s">
        <v>2392</v>
      </c>
      <c r="G52" s="13" t="s">
        <v>2393</v>
      </c>
      <c r="H52" s="13" t="s">
        <v>23</v>
      </c>
      <c r="I52" s="13" t="s">
        <v>360</v>
      </c>
      <c r="J52" s="13" t="s">
        <v>304</v>
      </c>
      <c r="K52" s="13" t="s">
        <v>100</v>
      </c>
      <c r="L52" s="13" t="s">
        <v>38</v>
      </c>
      <c r="M52" s="14">
        <v>15.88</v>
      </c>
      <c r="N52" s="14">
        <v>15.7</v>
      </c>
      <c r="O52" s="13">
        <v>4.0</v>
      </c>
      <c r="P52" s="14">
        <f t="shared" ref="P52:Q52" si="35">M52*O52</f>
        <v>63.52</v>
      </c>
      <c r="Q52" s="14">
        <f t="shared" si="35"/>
        <v>997.264</v>
      </c>
    </row>
    <row r="53">
      <c r="A53" s="12">
        <v>42136.0</v>
      </c>
      <c r="B53" s="12" t="s">
        <v>2335</v>
      </c>
      <c r="C53" s="6">
        <v>42259.0</v>
      </c>
      <c r="D53" s="15" t="str">
        <f t="shared" si="2"/>
        <v>Sep</v>
      </c>
      <c r="E53" s="13" t="s">
        <v>20</v>
      </c>
      <c r="F53" s="13" t="s">
        <v>2478</v>
      </c>
      <c r="G53" s="13" t="s">
        <v>2479</v>
      </c>
      <c r="H53" s="13" t="s">
        <v>34</v>
      </c>
      <c r="I53" s="13" t="s">
        <v>219</v>
      </c>
      <c r="J53" s="13" t="s">
        <v>135</v>
      </c>
      <c r="K53" s="13" t="s">
        <v>71</v>
      </c>
      <c r="L53" s="13" t="s">
        <v>38</v>
      </c>
      <c r="M53" s="14">
        <v>24.816</v>
      </c>
      <c r="N53" s="14">
        <v>24.64</v>
      </c>
      <c r="O53" s="13">
        <v>6.0</v>
      </c>
      <c r="P53" s="14">
        <f t="shared" ref="P53:Q53" si="36">M53*O53</f>
        <v>148.896</v>
      </c>
      <c r="Q53" s="14">
        <f t="shared" si="36"/>
        <v>3668.79744</v>
      </c>
    </row>
    <row r="54">
      <c r="A54" s="12">
        <v>42136.0</v>
      </c>
      <c r="B54" s="12" t="s">
        <v>2335</v>
      </c>
      <c r="C54" s="6">
        <v>42259.0</v>
      </c>
      <c r="D54" s="15" t="str">
        <f t="shared" si="2"/>
        <v>Sep</v>
      </c>
      <c r="E54" s="13" t="s">
        <v>20</v>
      </c>
      <c r="F54" s="13" t="s">
        <v>2478</v>
      </c>
      <c r="G54" s="13" t="s">
        <v>2479</v>
      </c>
      <c r="H54" s="13" t="s">
        <v>34</v>
      </c>
      <c r="I54" s="13" t="s">
        <v>219</v>
      </c>
      <c r="J54" s="13" t="s">
        <v>135</v>
      </c>
      <c r="K54" s="13" t="s">
        <v>71</v>
      </c>
      <c r="L54" s="13" t="s">
        <v>51</v>
      </c>
      <c r="M54" s="14">
        <v>408.744</v>
      </c>
      <c r="N54" s="14">
        <v>408.52</v>
      </c>
      <c r="O54" s="13">
        <v>6.0</v>
      </c>
      <c r="P54" s="14">
        <f t="shared" ref="P54:Q54" si="37">M54*O54</f>
        <v>2452.464</v>
      </c>
      <c r="Q54" s="14">
        <f t="shared" si="37"/>
        <v>1001880.593</v>
      </c>
    </row>
    <row r="55">
      <c r="A55" s="12">
        <v>42327.0</v>
      </c>
      <c r="B55" s="12" t="s">
        <v>2326</v>
      </c>
      <c r="C55" s="1" t="s">
        <v>426</v>
      </c>
      <c r="D55" s="15" t="str">
        <f t="shared" si="2"/>
        <v>Nov</v>
      </c>
      <c r="E55" s="13" t="s">
        <v>20</v>
      </c>
      <c r="F55" s="13" t="s">
        <v>2480</v>
      </c>
      <c r="G55" s="13" t="s">
        <v>2481</v>
      </c>
      <c r="H55" s="13" t="s">
        <v>68</v>
      </c>
      <c r="I55" s="13" t="s">
        <v>429</v>
      </c>
      <c r="J55" s="13" t="s">
        <v>430</v>
      </c>
      <c r="K55" s="13" t="s">
        <v>26</v>
      </c>
      <c r="L55" s="13" t="s">
        <v>51</v>
      </c>
      <c r="M55" s="14">
        <v>503.96</v>
      </c>
      <c r="N55" s="14">
        <v>503.87</v>
      </c>
      <c r="O55" s="13">
        <v>7.0</v>
      </c>
      <c r="P55" s="14">
        <f t="shared" ref="P55:Q55" si="38">M55*O55</f>
        <v>3527.72</v>
      </c>
      <c r="Q55" s="14">
        <f t="shared" si="38"/>
        <v>1777512.276</v>
      </c>
    </row>
    <row r="56">
      <c r="A56" s="12">
        <v>42327.0</v>
      </c>
      <c r="B56" s="12" t="s">
        <v>2326</v>
      </c>
      <c r="C56" s="1" t="s">
        <v>426</v>
      </c>
      <c r="D56" s="15" t="str">
        <f t="shared" si="2"/>
        <v>Nov</v>
      </c>
      <c r="E56" s="13" t="s">
        <v>20</v>
      </c>
      <c r="F56" s="13" t="s">
        <v>2480</v>
      </c>
      <c r="G56" s="13" t="s">
        <v>2481</v>
      </c>
      <c r="H56" s="13" t="s">
        <v>68</v>
      </c>
      <c r="I56" s="13" t="s">
        <v>429</v>
      </c>
      <c r="J56" s="13" t="s">
        <v>430</v>
      </c>
      <c r="K56" s="13" t="s">
        <v>26</v>
      </c>
      <c r="L56" s="13" t="s">
        <v>51</v>
      </c>
      <c r="M56" s="14">
        <v>149.95</v>
      </c>
      <c r="N56" s="14">
        <v>149.34</v>
      </c>
      <c r="O56" s="13">
        <v>7.0</v>
      </c>
      <c r="P56" s="14">
        <f t="shared" ref="P56:Q56" si="39">M56*O56</f>
        <v>1049.65</v>
      </c>
      <c r="Q56" s="14">
        <f t="shared" si="39"/>
        <v>156754.731</v>
      </c>
    </row>
    <row r="57">
      <c r="A57" s="12">
        <v>42327.0</v>
      </c>
      <c r="B57" s="12" t="s">
        <v>2326</v>
      </c>
      <c r="C57" s="1" t="s">
        <v>426</v>
      </c>
      <c r="D57" s="15" t="str">
        <f t="shared" si="2"/>
        <v>Nov</v>
      </c>
      <c r="E57" s="13" t="s">
        <v>20</v>
      </c>
      <c r="F57" s="13" t="s">
        <v>2480</v>
      </c>
      <c r="G57" s="13" t="s">
        <v>2481</v>
      </c>
      <c r="H57" s="13" t="s">
        <v>68</v>
      </c>
      <c r="I57" s="13" t="s">
        <v>429</v>
      </c>
      <c r="J57" s="13" t="s">
        <v>430</v>
      </c>
      <c r="K57" s="13" t="s">
        <v>26</v>
      </c>
      <c r="L57" s="13" t="s">
        <v>51</v>
      </c>
      <c r="M57" s="14">
        <v>29.0</v>
      </c>
      <c r="N57" s="14">
        <v>28.46</v>
      </c>
      <c r="O57" s="13">
        <v>7.0</v>
      </c>
      <c r="P57" s="14">
        <f t="shared" ref="P57:Q57" si="40">M57*O57</f>
        <v>203</v>
      </c>
      <c r="Q57" s="14">
        <f t="shared" si="40"/>
        <v>5777.38</v>
      </c>
    </row>
    <row r="58">
      <c r="A58" s="12">
        <v>43451.0</v>
      </c>
      <c r="B58" s="12" t="s">
        <v>2325</v>
      </c>
      <c r="C58" s="1" t="s">
        <v>477</v>
      </c>
      <c r="D58" s="15" t="str">
        <f t="shared" si="2"/>
        <v>Dec</v>
      </c>
      <c r="E58" s="13" t="s">
        <v>20</v>
      </c>
      <c r="F58" s="13" t="s">
        <v>2499</v>
      </c>
      <c r="G58" s="13" t="s">
        <v>2500</v>
      </c>
      <c r="H58" s="13" t="s">
        <v>23</v>
      </c>
      <c r="I58" s="13" t="s">
        <v>480</v>
      </c>
      <c r="J58" s="13" t="s">
        <v>70</v>
      </c>
      <c r="K58" s="13" t="s">
        <v>71</v>
      </c>
      <c r="L58" s="13" t="s">
        <v>38</v>
      </c>
      <c r="M58" s="14">
        <v>66.284</v>
      </c>
      <c r="N58" s="14">
        <v>65.82</v>
      </c>
      <c r="O58" s="13">
        <v>7.0</v>
      </c>
      <c r="P58" s="14">
        <f t="shared" ref="P58:Q58" si="41">M58*O58</f>
        <v>463.988</v>
      </c>
      <c r="Q58" s="14">
        <f t="shared" si="41"/>
        <v>30539.69016</v>
      </c>
    </row>
    <row r="59">
      <c r="A59" s="12">
        <v>42615.0</v>
      </c>
      <c r="B59" s="12" t="s">
        <v>2329</v>
      </c>
      <c r="C59" s="1" t="s">
        <v>494</v>
      </c>
      <c r="D59" s="15" t="str">
        <f t="shared" si="2"/>
        <v>Feb</v>
      </c>
      <c r="E59" s="13" t="s">
        <v>20</v>
      </c>
      <c r="F59" s="13" t="s">
        <v>2507</v>
      </c>
      <c r="G59" s="13" t="s">
        <v>2395</v>
      </c>
      <c r="H59" s="13" t="s">
        <v>34</v>
      </c>
      <c r="I59" s="13" t="s">
        <v>480</v>
      </c>
      <c r="J59" s="13" t="s">
        <v>70</v>
      </c>
      <c r="K59" s="13" t="s">
        <v>71</v>
      </c>
      <c r="L59" s="13" t="s">
        <v>51</v>
      </c>
      <c r="M59" s="14">
        <v>20.8</v>
      </c>
      <c r="N59" s="14">
        <v>20.41</v>
      </c>
      <c r="O59" s="13">
        <v>7.0</v>
      </c>
      <c r="P59" s="14">
        <f t="shared" ref="P59:Q59" si="42">M59*O59</f>
        <v>145.6</v>
      </c>
      <c r="Q59" s="14">
        <f t="shared" si="42"/>
        <v>2971.696</v>
      </c>
    </row>
    <row r="60">
      <c r="A60" s="12">
        <v>42831.0</v>
      </c>
      <c r="B60" s="12" t="s">
        <v>2332</v>
      </c>
      <c r="C60" s="6">
        <v>42984.0</v>
      </c>
      <c r="D60" s="15" t="str">
        <f t="shared" si="2"/>
        <v>Sep</v>
      </c>
      <c r="E60" s="13" t="s">
        <v>20</v>
      </c>
      <c r="F60" s="13" t="s">
        <v>2346</v>
      </c>
      <c r="G60" s="13" t="s">
        <v>2514</v>
      </c>
      <c r="H60" s="13" t="s">
        <v>23</v>
      </c>
      <c r="I60" s="13" t="s">
        <v>188</v>
      </c>
      <c r="J60" s="13" t="s">
        <v>135</v>
      </c>
      <c r="K60" s="13" t="s">
        <v>71</v>
      </c>
      <c r="L60" s="13" t="s">
        <v>38</v>
      </c>
      <c r="M60" s="14">
        <v>25.92</v>
      </c>
      <c r="N60" s="14">
        <v>25.59</v>
      </c>
      <c r="O60" s="13">
        <v>6.0</v>
      </c>
      <c r="P60" s="14">
        <f t="shared" ref="P60:Q60" si="43">M60*O60</f>
        <v>155.52</v>
      </c>
      <c r="Q60" s="14">
        <f t="shared" si="43"/>
        <v>3979.7568</v>
      </c>
    </row>
    <row r="61">
      <c r="A61" s="12">
        <v>42831.0</v>
      </c>
      <c r="B61" s="12" t="s">
        <v>2332</v>
      </c>
      <c r="C61" s="6">
        <v>42984.0</v>
      </c>
      <c r="D61" s="15" t="str">
        <f t="shared" si="2"/>
        <v>Sep</v>
      </c>
      <c r="E61" s="13" t="s">
        <v>20</v>
      </c>
      <c r="F61" s="13" t="s">
        <v>2346</v>
      </c>
      <c r="G61" s="13" t="s">
        <v>2514</v>
      </c>
      <c r="H61" s="13" t="s">
        <v>23</v>
      </c>
      <c r="I61" s="13" t="s">
        <v>188</v>
      </c>
      <c r="J61" s="13" t="s">
        <v>135</v>
      </c>
      <c r="K61" s="13" t="s">
        <v>71</v>
      </c>
      <c r="L61" s="13" t="s">
        <v>27</v>
      </c>
      <c r="M61" s="14">
        <v>419.68</v>
      </c>
      <c r="N61" s="14">
        <v>418.98</v>
      </c>
      <c r="O61" s="13">
        <v>6.0</v>
      </c>
      <c r="P61" s="14">
        <f t="shared" ref="P61:Q61" si="44">M61*O61</f>
        <v>2518.08</v>
      </c>
      <c r="Q61" s="14">
        <f t="shared" si="44"/>
        <v>1055025.158</v>
      </c>
    </row>
    <row r="62">
      <c r="A62" s="12">
        <v>42831.0</v>
      </c>
      <c r="B62" s="12" t="s">
        <v>2332</v>
      </c>
      <c r="C62" s="6">
        <v>42984.0</v>
      </c>
      <c r="D62" s="15" t="str">
        <f t="shared" si="2"/>
        <v>Sep</v>
      </c>
      <c r="E62" s="13" t="s">
        <v>20</v>
      </c>
      <c r="F62" s="13" t="s">
        <v>2346</v>
      </c>
      <c r="G62" s="13" t="s">
        <v>2514</v>
      </c>
      <c r="H62" s="13" t="s">
        <v>23</v>
      </c>
      <c r="I62" s="13" t="s">
        <v>188</v>
      </c>
      <c r="J62" s="13" t="s">
        <v>135</v>
      </c>
      <c r="K62" s="13" t="s">
        <v>71</v>
      </c>
      <c r="L62" s="13" t="s">
        <v>27</v>
      </c>
      <c r="M62" s="14">
        <v>11.688</v>
      </c>
      <c r="N62" s="14">
        <v>10.99</v>
      </c>
      <c r="O62" s="13">
        <v>6.0</v>
      </c>
      <c r="P62" s="14">
        <f t="shared" ref="P62:Q62" si="45">M62*O62</f>
        <v>70.128</v>
      </c>
      <c r="Q62" s="14">
        <f t="shared" si="45"/>
        <v>770.70672</v>
      </c>
    </row>
    <row r="63">
      <c r="A63" s="12">
        <v>42831.0</v>
      </c>
      <c r="B63" s="12" t="s">
        <v>2332</v>
      </c>
      <c r="C63" s="6">
        <v>42984.0</v>
      </c>
      <c r="D63" s="15" t="str">
        <f t="shared" si="2"/>
        <v>Sep</v>
      </c>
      <c r="E63" s="13" t="s">
        <v>20</v>
      </c>
      <c r="F63" s="13" t="s">
        <v>2346</v>
      </c>
      <c r="G63" s="13" t="s">
        <v>2514</v>
      </c>
      <c r="H63" s="13" t="s">
        <v>23</v>
      </c>
      <c r="I63" s="13" t="s">
        <v>188</v>
      </c>
      <c r="J63" s="13" t="s">
        <v>135</v>
      </c>
      <c r="K63" s="13" t="s">
        <v>71</v>
      </c>
      <c r="L63" s="13" t="s">
        <v>51</v>
      </c>
      <c r="M63" s="14">
        <v>31.984</v>
      </c>
      <c r="N63" s="14">
        <v>31.54</v>
      </c>
      <c r="O63" s="13">
        <v>6.0</v>
      </c>
      <c r="P63" s="14">
        <f t="shared" ref="P63:Q63" si="46">M63*O63</f>
        <v>191.904</v>
      </c>
      <c r="Q63" s="14">
        <f t="shared" si="46"/>
        <v>6052.65216</v>
      </c>
    </row>
    <row r="64">
      <c r="A64" s="12">
        <v>42831.0</v>
      </c>
      <c r="B64" s="12" t="s">
        <v>2332</v>
      </c>
      <c r="C64" s="6">
        <v>42984.0</v>
      </c>
      <c r="D64" s="15" t="str">
        <f t="shared" si="2"/>
        <v>Sep</v>
      </c>
      <c r="E64" s="13" t="s">
        <v>20</v>
      </c>
      <c r="F64" s="13" t="s">
        <v>2346</v>
      </c>
      <c r="G64" s="13" t="s">
        <v>2514</v>
      </c>
      <c r="H64" s="13" t="s">
        <v>23</v>
      </c>
      <c r="I64" s="13" t="s">
        <v>188</v>
      </c>
      <c r="J64" s="13" t="s">
        <v>135</v>
      </c>
      <c r="K64" s="13" t="s">
        <v>71</v>
      </c>
      <c r="L64" s="13" t="s">
        <v>27</v>
      </c>
      <c r="M64" s="14">
        <v>177.225</v>
      </c>
      <c r="N64" s="14">
        <v>177.17</v>
      </c>
      <c r="O64" s="13">
        <v>6.0</v>
      </c>
      <c r="P64" s="14">
        <f t="shared" ref="P64:Q64" si="47">M64*O64</f>
        <v>1063.35</v>
      </c>
      <c r="Q64" s="14">
        <f t="shared" si="47"/>
        <v>188393.7195</v>
      </c>
    </row>
    <row r="65">
      <c r="A65" s="12">
        <v>42831.0</v>
      </c>
      <c r="B65" s="12" t="s">
        <v>2332</v>
      </c>
      <c r="C65" s="6">
        <v>42984.0</v>
      </c>
      <c r="D65" s="15" t="str">
        <f t="shared" si="2"/>
        <v>Sep</v>
      </c>
      <c r="E65" s="13" t="s">
        <v>20</v>
      </c>
      <c r="F65" s="13" t="s">
        <v>2346</v>
      </c>
      <c r="G65" s="13" t="s">
        <v>2514</v>
      </c>
      <c r="H65" s="13" t="s">
        <v>23</v>
      </c>
      <c r="I65" s="13" t="s">
        <v>188</v>
      </c>
      <c r="J65" s="13" t="s">
        <v>135</v>
      </c>
      <c r="K65" s="13" t="s">
        <v>71</v>
      </c>
      <c r="L65" s="13" t="s">
        <v>27</v>
      </c>
      <c r="M65" s="14">
        <v>4.044</v>
      </c>
      <c r="N65" s="14">
        <v>3.17</v>
      </c>
      <c r="O65" s="13">
        <v>6.0</v>
      </c>
      <c r="P65" s="14">
        <f t="shared" ref="P65:Q65" si="48">M65*O65</f>
        <v>24.264</v>
      </c>
      <c r="Q65" s="14">
        <f t="shared" si="48"/>
        <v>76.91688</v>
      </c>
    </row>
    <row r="66">
      <c r="A66" s="12">
        <v>42831.0</v>
      </c>
      <c r="B66" s="12" t="s">
        <v>2332</v>
      </c>
      <c r="C66" s="6">
        <v>42984.0</v>
      </c>
      <c r="D66" s="15" t="str">
        <f t="shared" si="2"/>
        <v>Sep</v>
      </c>
      <c r="E66" s="13" t="s">
        <v>20</v>
      </c>
      <c r="F66" s="13" t="s">
        <v>2346</v>
      </c>
      <c r="G66" s="13" t="s">
        <v>2514</v>
      </c>
      <c r="H66" s="13" t="s">
        <v>23</v>
      </c>
      <c r="I66" s="13" t="s">
        <v>188</v>
      </c>
      <c r="J66" s="13" t="s">
        <v>135</v>
      </c>
      <c r="K66" s="13" t="s">
        <v>71</v>
      </c>
      <c r="L66" s="13" t="s">
        <v>38</v>
      </c>
      <c r="M66" s="14">
        <v>7.408</v>
      </c>
      <c r="N66" s="14">
        <v>6.77</v>
      </c>
      <c r="O66" s="13">
        <v>6.0</v>
      </c>
      <c r="P66" s="14">
        <f t="shared" ref="P66:Q66" si="49">M66*O66</f>
        <v>44.448</v>
      </c>
      <c r="Q66" s="14">
        <f t="shared" si="49"/>
        <v>300.91296</v>
      </c>
    </row>
    <row r="67">
      <c r="A67" s="12">
        <v>42010.0</v>
      </c>
      <c r="B67" s="12" t="s">
        <v>2353</v>
      </c>
      <c r="C67" s="6">
        <v>42161.0</v>
      </c>
      <c r="D67" s="15" t="str">
        <f t="shared" si="2"/>
        <v>Jun</v>
      </c>
      <c r="E67" s="13" t="s">
        <v>20</v>
      </c>
      <c r="F67" s="13" t="s">
        <v>2515</v>
      </c>
      <c r="G67" s="13" t="s">
        <v>2509</v>
      </c>
      <c r="H67" s="13" t="s">
        <v>68</v>
      </c>
      <c r="I67" s="13" t="s">
        <v>533</v>
      </c>
      <c r="J67" s="13" t="s">
        <v>151</v>
      </c>
      <c r="K67" s="13" t="s">
        <v>71</v>
      </c>
      <c r="L67" s="13" t="s">
        <v>27</v>
      </c>
      <c r="M67" s="14">
        <v>2001.86</v>
      </c>
      <c r="N67" s="14">
        <v>2001.35</v>
      </c>
      <c r="O67" s="13">
        <v>5.0</v>
      </c>
      <c r="P67" s="14">
        <f t="shared" ref="P67:Q67" si="50">M67*O67</f>
        <v>10009.3</v>
      </c>
      <c r="Q67" s="14">
        <f t="shared" si="50"/>
        <v>20032112.56</v>
      </c>
    </row>
    <row r="68">
      <c r="A68" s="12">
        <v>42010.0</v>
      </c>
      <c r="B68" s="12" t="s">
        <v>2353</v>
      </c>
      <c r="C68" s="6">
        <v>42161.0</v>
      </c>
      <c r="D68" s="15" t="str">
        <f t="shared" si="2"/>
        <v>Jun</v>
      </c>
      <c r="E68" s="13" t="s">
        <v>20</v>
      </c>
      <c r="F68" s="13" t="s">
        <v>2515</v>
      </c>
      <c r="G68" s="13" t="s">
        <v>2509</v>
      </c>
      <c r="H68" s="13" t="s">
        <v>68</v>
      </c>
      <c r="I68" s="13" t="s">
        <v>533</v>
      </c>
      <c r="J68" s="13" t="s">
        <v>151</v>
      </c>
      <c r="K68" s="13" t="s">
        <v>71</v>
      </c>
      <c r="L68" s="13" t="s">
        <v>38</v>
      </c>
      <c r="M68" s="14">
        <v>166.72</v>
      </c>
      <c r="N68" s="14">
        <v>166.12</v>
      </c>
      <c r="O68" s="13">
        <v>5.0</v>
      </c>
      <c r="P68" s="14">
        <f t="shared" ref="P68:Q68" si="51">M68*O68</f>
        <v>833.6</v>
      </c>
      <c r="Q68" s="14">
        <f t="shared" si="51"/>
        <v>138477.632</v>
      </c>
    </row>
    <row r="69">
      <c r="A69" s="12">
        <v>42010.0</v>
      </c>
      <c r="B69" s="12" t="s">
        <v>2353</v>
      </c>
      <c r="C69" s="6">
        <v>42161.0</v>
      </c>
      <c r="D69" s="15" t="str">
        <f t="shared" si="2"/>
        <v>Jun</v>
      </c>
      <c r="E69" s="13" t="s">
        <v>20</v>
      </c>
      <c r="F69" s="13" t="s">
        <v>2515</v>
      </c>
      <c r="G69" s="13" t="s">
        <v>2509</v>
      </c>
      <c r="H69" s="13" t="s">
        <v>68</v>
      </c>
      <c r="I69" s="13" t="s">
        <v>533</v>
      </c>
      <c r="J69" s="13" t="s">
        <v>151</v>
      </c>
      <c r="K69" s="13" t="s">
        <v>71</v>
      </c>
      <c r="L69" s="13" t="s">
        <v>38</v>
      </c>
      <c r="M69" s="14">
        <v>47.88</v>
      </c>
      <c r="N69" s="14">
        <v>47.37</v>
      </c>
      <c r="O69" s="13">
        <v>5.0</v>
      </c>
      <c r="P69" s="14">
        <f t="shared" ref="P69:Q69" si="52">M69*O69</f>
        <v>239.4</v>
      </c>
      <c r="Q69" s="14">
        <f t="shared" si="52"/>
        <v>11340.378</v>
      </c>
    </row>
    <row r="70">
      <c r="A70" s="12">
        <v>42010.0</v>
      </c>
      <c r="B70" s="12" t="s">
        <v>2353</v>
      </c>
      <c r="C70" s="6">
        <v>42161.0</v>
      </c>
      <c r="D70" s="15" t="str">
        <f t="shared" si="2"/>
        <v>Jun</v>
      </c>
      <c r="E70" s="13" t="s">
        <v>20</v>
      </c>
      <c r="F70" s="13" t="s">
        <v>2515</v>
      </c>
      <c r="G70" s="13" t="s">
        <v>2509</v>
      </c>
      <c r="H70" s="13" t="s">
        <v>68</v>
      </c>
      <c r="I70" s="13" t="s">
        <v>533</v>
      </c>
      <c r="J70" s="13" t="s">
        <v>151</v>
      </c>
      <c r="K70" s="13" t="s">
        <v>71</v>
      </c>
      <c r="L70" s="13" t="s">
        <v>38</v>
      </c>
      <c r="M70" s="14">
        <v>1503.25</v>
      </c>
      <c r="N70" s="14">
        <v>1502.81</v>
      </c>
      <c r="O70" s="13">
        <v>5.0</v>
      </c>
      <c r="P70" s="14">
        <f t="shared" ref="P70:Q70" si="53">M70*O70</f>
        <v>7516.25</v>
      </c>
      <c r="Q70" s="14">
        <f t="shared" si="53"/>
        <v>11295495.66</v>
      </c>
    </row>
    <row r="71">
      <c r="A71" s="12">
        <v>42010.0</v>
      </c>
      <c r="B71" s="12" t="s">
        <v>2353</v>
      </c>
      <c r="C71" s="6">
        <v>42161.0</v>
      </c>
      <c r="D71" s="15" t="str">
        <f t="shared" si="2"/>
        <v>Jun</v>
      </c>
      <c r="E71" s="13" t="s">
        <v>20</v>
      </c>
      <c r="F71" s="13" t="s">
        <v>2515</v>
      </c>
      <c r="G71" s="13" t="s">
        <v>2509</v>
      </c>
      <c r="H71" s="13" t="s">
        <v>68</v>
      </c>
      <c r="I71" s="13" t="s">
        <v>533</v>
      </c>
      <c r="J71" s="13" t="s">
        <v>151</v>
      </c>
      <c r="K71" s="13" t="s">
        <v>71</v>
      </c>
      <c r="L71" s="13" t="s">
        <v>38</v>
      </c>
      <c r="M71" s="14">
        <v>25.92</v>
      </c>
      <c r="N71" s="14">
        <v>25.76</v>
      </c>
      <c r="O71" s="13">
        <v>5.0</v>
      </c>
      <c r="P71" s="14">
        <f t="shared" ref="P71:Q71" si="54">M71*O71</f>
        <v>129.6</v>
      </c>
      <c r="Q71" s="14">
        <f t="shared" si="54"/>
        <v>3338.496</v>
      </c>
    </row>
    <row r="72">
      <c r="A72" s="12">
        <v>43020.0</v>
      </c>
      <c r="B72" s="12" t="s">
        <v>2358</v>
      </c>
      <c r="C72" s="1" t="s">
        <v>535</v>
      </c>
      <c r="D72" s="15" t="str">
        <f t="shared" si="2"/>
        <v>Dec</v>
      </c>
      <c r="E72" s="13" t="s">
        <v>20</v>
      </c>
      <c r="F72" s="13" t="s">
        <v>2499</v>
      </c>
      <c r="G72" s="13" t="s">
        <v>2516</v>
      </c>
      <c r="H72" s="13" t="s">
        <v>23</v>
      </c>
      <c r="I72" s="13" t="s">
        <v>87</v>
      </c>
      <c r="J72" s="13" t="s">
        <v>52</v>
      </c>
      <c r="K72" s="13" t="s">
        <v>37</v>
      </c>
      <c r="L72" s="13" t="s">
        <v>27</v>
      </c>
      <c r="M72" s="14">
        <v>321.568</v>
      </c>
      <c r="N72" s="14">
        <v>320.85</v>
      </c>
      <c r="O72" s="13">
        <v>9.0</v>
      </c>
      <c r="P72" s="14">
        <f t="shared" ref="P72:Q72" si="55">M72*O72</f>
        <v>2894.112</v>
      </c>
      <c r="Q72" s="14">
        <f t="shared" si="55"/>
        <v>928575.8352</v>
      </c>
    </row>
    <row r="73">
      <c r="A73" s="12">
        <v>43112.0</v>
      </c>
      <c r="B73" s="12" t="s">
        <v>2353</v>
      </c>
      <c r="C73" s="6">
        <v>43171.0</v>
      </c>
      <c r="D73" s="15" t="str">
        <f t="shared" si="2"/>
        <v>Mar</v>
      </c>
      <c r="E73" s="13" t="s">
        <v>20</v>
      </c>
      <c r="F73" s="13" t="s">
        <v>2523</v>
      </c>
      <c r="G73" s="13" t="s">
        <v>2524</v>
      </c>
      <c r="H73" s="13" t="s">
        <v>23</v>
      </c>
      <c r="I73" s="13" t="s">
        <v>174</v>
      </c>
      <c r="J73" s="13" t="s">
        <v>175</v>
      </c>
      <c r="K73" s="13" t="s">
        <v>100</v>
      </c>
      <c r="L73" s="13" t="s">
        <v>51</v>
      </c>
      <c r="M73" s="14">
        <v>20.37</v>
      </c>
      <c r="N73" s="14">
        <v>20.03</v>
      </c>
      <c r="O73" s="13">
        <v>1.0</v>
      </c>
      <c r="P73" s="14">
        <f t="shared" ref="P73:Q73" si="56">M73*O73</f>
        <v>20.37</v>
      </c>
      <c r="Q73" s="14">
        <f t="shared" si="56"/>
        <v>408.0111</v>
      </c>
    </row>
    <row r="74">
      <c r="A74" s="12">
        <v>43112.0</v>
      </c>
      <c r="B74" s="12" t="s">
        <v>2353</v>
      </c>
      <c r="C74" s="6">
        <v>43171.0</v>
      </c>
      <c r="D74" s="15" t="str">
        <f t="shared" si="2"/>
        <v>Mar</v>
      </c>
      <c r="E74" s="13" t="s">
        <v>20</v>
      </c>
      <c r="F74" s="13" t="s">
        <v>2523</v>
      </c>
      <c r="G74" s="13" t="s">
        <v>2524</v>
      </c>
      <c r="H74" s="13" t="s">
        <v>23</v>
      </c>
      <c r="I74" s="13" t="s">
        <v>174</v>
      </c>
      <c r="J74" s="13" t="s">
        <v>175</v>
      </c>
      <c r="K74" s="13" t="s">
        <v>100</v>
      </c>
      <c r="L74" s="13" t="s">
        <v>38</v>
      </c>
      <c r="M74" s="14">
        <v>221.55</v>
      </c>
      <c r="N74" s="14">
        <v>220.87</v>
      </c>
      <c r="O74" s="13">
        <v>1.0</v>
      </c>
      <c r="P74" s="14">
        <f t="shared" ref="P74:Q74" si="57">M74*O74</f>
        <v>221.55</v>
      </c>
      <c r="Q74" s="14">
        <f t="shared" si="57"/>
        <v>48933.7485</v>
      </c>
    </row>
    <row r="75">
      <c r="A75" s="12">
        <v>43112.0</v>
      </c>
      <c r="B75" s="12" t="s">
        <v>2353</v>
      </c>
      <c r="C75" s="6">
        <v>43171.0</v>
      </c>
      <c r="D75" s="15" t="str">
        <f t="shared" si="2"/>
        <v>Mar</v>
      </c>
      <c r="E75" s="13" t="s">
        <v>20</v>
      </c>
      <c r="F75" s="13" t="s">
        <v>2523</v>
      </c>
      <c r="G75" s="13" t="s">
        <v>2524</v>
      </c>
      <c r="H75" s="13" t="s">
        <v>23</v>
      </c>
      <c r="I75" s="13" t="s">
        <v>174</v>
      </c>
      <c r="J75" s="13" t="s">
        <v>175</v>
      </c>
      <c r="K75" s="13" t="s">
        <v>100</v>
      </c>
      <c r="L75" s="13" t="s">
        <v>38</v>
      </c>
      <c r="M75" s="14">
        <v>17.52</v>
      </c>
      <c r="N75" s="14">
        <v>16.7</v>
      </c>
      <c r="O75" s="13">
        <v>1.0</v>
      </c>
      <c r="P75" s="14">
        <f t="shared" ref="P75:Q75" si="58">M75*O75</f>
        <v>17.52</v>
      </c>
      <c r="Q75" s="14">
        <f t="shared" si="58"/>
        <v>292.584</v>
      </c>
    </row>
    <row r="76">
      <c r="A76" s="12">
        <v>42266.0</v>
      </c>
      <c r="B76" s="12" t="s">
        <v>2329</v>
      </c>
      <c r="C76" s="1" t="s">
        <v>556</v>
      </c>
      <c r="D76" s="15" t="str">
        <f t="shared" si="2"/>
        <v>Sep</v>
      </c>
      <c r="E76" s="13" t="s">
        <v>20</v>
      </c>
      <c r="F76" s="13" t="s">
        <v>2327</v>
      </c>
      <c r="G76" s="13" t="s">
        <v>2476</v>
      </c>
      <c r="H76" s="13" t="s">
        <v>34</v>
      </c>
      <c r="I76" s="13" t="s">
        <v>129</v>
      </c>
      <c r="J76" s="13" t="s">
        <v>70</v>
      </c>
      <c r="K76" s="13" t="s">
        <v>71</v>
      </c>
      <c r="L76" s="13" t="s">
        <v>51</v>
      </c>
      <c r="M76" s="14">
        <v>3059.982</v>
      </c>
      <c r="N76" s="14">
        <v>3059.67</v>
      </c>
      <c r="O76" s="13">
        <v>7.0</v>
      </c>
      <c r="P76" s="14">
        <f t="shared" ref="P76:Q76" si="59">M76*O76</f>
        <v>21419.874</v>
      </c>
      <c r="Q76" s="14">
        <f t="shared" si="59"/>
        <v>65537745.88</v>
      </c>
    </row>
    <row r="77">
      <c r="A77" s="12">
        <v>42266.0</v>
      </c>
      <c r="B77" s="12" t="s">
        <v>2329</v>
      </c>
      <c r="C77" s="1" t="s">
        <v>556</v>
      </c>
      <c r="D77" s="15" t="str">
        <f t="shared" si="2"/>
        <v>Sep</v>
      </c>
      <c r="E77" s="13" t="s">
        <v>20</v>
      </c>
      <c r="F77" s="13" t="s">
        <v>2327</v>
      </c>
      <c r="G77" s="13" t="s">
        <v>2476</v>
      </c>
      <c r="H77" s="13" t="s">
        <v>34</v>
      </c>
      <c r="I77" s="13" t="s">
        <v>129</v>
      </c>
      <c r="J77" s="13" t="s">
        <v>70</v>
      </c>
      <c r="K77" s="13" t="s">
        <v>71</v>
      </c>
      <c r="L77" s="13" t="s">
        <v>51</v>
      </c>
      <c r="M77" s="14">
        <v>2519.958</v>
      </c>
      <c r="N77" s="14">
        <v>2519.78</v>
      </c>
      <c r="O77" s="13">
        <v>7.0</v>
      </c>
      <c r="P77" s="14">
        <f t="shared" ref="P77:Q77" si="60">M77*O77</f>
        <v>17639.706</v>
      </c>
      <c r="Q77" s="14">
        <f t="shared" si="60"/>
        <v>44448178.38</v>
      </c>
    </row>
    <row r="78">
      <c r="A78" s="12">
        <v>43462.0</v>
      </c>
      <c r="B78" s="12" t="s">
        <v>2325</v>
      </c>
      <c r="C78" s="6">
        <v>43497.0</v>
      </c>
      <c r="D78" s="15" t="str">
        <f t="shared" si="2"/>
        <v>Feb</v>
      </c>
      <c r="E78" s="13" t="s">
        <v>20</v>
      </c>
      <c r="F78" s="13" t="s">
        <v>2533</v>
      </c>
      <c r="G78" s="13" t="s">
        <v>2534</v>
      </c>
      <c r="H78" s="13" t="s">
        <v>34</v>
      </c>
      <c r="I78" s="13" t="s">
        <v>87</v>
      </c>
      <c r="J78" s="13" t="s">
        <v>52</v>
      </c>
      <c r="K78" s="13" t="s">
        <v>37</v>
      </c>
      <c r="L78" s="13" t="s">
        <v>38</v>
      </c>
      <c r="M78" s="14">
        <v>725.84</v>
      </c>
      <c r="N78" s="14">
        <v>725.11</v>
      </c>
      <c r="O78" s="13">
        <v>9.0</v>
      </c>
      <c r="P78" s="14">
        <f t="shared" ref="P78:Q78" si="61">M78*O78</f>
        <v>6532.56</v>
      </c>
      <c r="Q78" s="14">
        <f t="shared" si="61"/>
        <v>4736824.582</v>
      </c>
    </row>
    <row r="79">
      <c r="A79" s="12">
        <v>42639.0</v>
      </c>
      <c r="B79" s="12" t="s">
        <v>2329</v>
      </c>
      <c r="C79" s="1" t="s">
        <v>594</v>
      </c>
      <c r="D79" s="15" t="str">
        <f t="shared" si="2"/>
        <v>Sep</v>
      </c>
      <c r="E79" s="13" t="s">
        <v>20</v>
      </c>
      <c r="F79" s="13" t="s">
        <v>2436</v>
      </c>
      <c r="G79" s="13" t="s">
        <v>2437</v>
      </c>
      <c r="H79" s="13" t="s">
        <v>23</v>
      </c>
      <c r="I79" s="13" t="s">
        <v>129</v>
      </c>
      <c r="J79" s="13" t="s">
        <v>70</v>
      </c>
      <c r="K79" s="13" t="s">
        <v>71</v>
      </c>
      <c r="L79" s="13" t="s">
        <v>38</v>
      </c>
      <c r="M79" s="14">
        <v>2.08</v>
      </c>
      <c r="N79" s="14">
        <v>1.98</v>
      </c>
      <c r="O79" s="13">
        <v>7.0</v>
      </c>
      <c r="P79" s="14">
        <f t="shared" ref="P79:Q79" si="62">M79*O79</f>
        <v>14.56</v>
      </c>
      <c r="Q79" s="14">
        <f t="shared" si="62"/>
        <v>28.8288</v>
      </c>
    </row>
    <row r="80">
      <c r="A80" s="12">
        <v>42639.0</v>
      </c>
      <c r="B80" s="12" t="s">
        <v>2329</v>
      </c>
      <c r="C80" s="1" t="s">
        <v>594</v>
      </c>
      <c r="D80" s="15" t="str">
        <f t="shared" si="2"/>
        <v>Sep</v>
      </c>
      <c r="E80" s="13" t="s">
        <v>20</v>
      </c>
      <c r="F80" s="13" t="s">
        <v>2436</v>
      </c>
      <c r="G80" s="13" t="s">
        <v>2437</v>
      </c>
      <c r="H80" s="13" t="s">
        <v>23</v>
      </c>
      <c r="I80" s="13" t="s">
        <v>129</v>
      </c>
      <c r="J80" s="13" t="s">
        <v>70</v>
      </c>
      <c r="K80" s="13" t="s">
        <v>71</v>
      </c>
      <c r="L80" s="13" t="s">
        <v>51</v>
      </c>
      <c r="M80" s="14">
        <v>1114.4</v>
      </c>
      <c r="N80" s="14">
        <v>1113.53</v>
      </c>
      <c r="O80" s="13">
        <v>7.0</v>
      </c>
      <c r="P80" s="14">
        <f t="shared" ref="P80:Q80" si="63">M80*O80</f>
        <v>7800.8</v>
      </c>
      <c r="Q80" s="14">
        <f t="shared" si="63"/>
        <v>8686424.824</v>
      </c>
    </row>
    <row r="81">
      <c r="A81" s="12">
        <v>43087.0</v>
      </c>
      <c r="B81" s="12" t="s">
        <v>2325</v>
      </c>
      <c r="C81" s="1" t="s">
        <v>600</v>
      </c>
      <c r="D81" s="15" t="str">
        <f t="shared" si="2"/>
        <v>Dec</v>
      </c>
      <c r="E81" s="13" t="s">
        <v>20</v>
      </c>
      <c r="F81" s="13" t="s">
        <v>2438</v>
      </c>
      <c r="G81" s="13" t="s">
        <v>2539</v>
      </c>
      <c r="H81" s="13" t="s">
        <v>34</v>
      </c>
      <c r="I81" s="13" t="s">
        <v>603</v>
      </c>
      <c r="J81" s="13" t="s">
        <v>145</v>
      </c>
      <c r="K81" s="13" t="s">
        <v>26</v>
      </c>
      <c r="L81" s="13" t="s">
        <v>38</v>
      </c>
      <c r="M81" s="14">
        <v>254.058</v>
      </c>
      <c r="N81" s="14">
        <v>253.74</v>
      </c>
      <c r="O81" s="13">
        <v>3.0</v>
      </c>
      <c r="P81" s="14">
        <f t="shared" ref="P81:Q81" si="64">M81*O81</f>
        <v>762.174</v>
      </c>
      <c r="Q81" s="14">
        <f t="shared" si="64"/>
        <v>193394.0308</v>
      </c>
    </row>
    <row r="82">
      <c r="A82" s="12">
        <v>43087.0</v>
      </c>
      <c r="B82" s="12" t="s">
        <v>2325</v>
      </c>
      <c r="C82" s="1" t="s">
        <v>600</v>
      </c>
      <c r="D82" s="15" t="str">
        <f t="shared" si="2"/>
        <v>Dec</v>
      </c>
      <c r="E82" s="13" t="s">
        <v>20</v>
      </c>
      <c r="F82" s="13" t="s">
        <v>2438</v>
      </c>
      <c r="G82" s="13" t="s">
        <v>2539</v>
      </c>
      <c r="H82" s="13" t="s">
        <v>34</v>
      </c>
      <c r="I82" s="13" t="s">
        <v>603</v>
      </c>
      <c r="J82" s="13" t="s">
        <v>145</v>
      </c>
      <c r="K82" s="13" t="s">
        <v>26</v>
      </c>
      <c r="L82" s="13" t="s">
        <v>38</v>
      </c>
      <c r="M82" s="14">
        <v>194.528</v>
      </c>
      <c r="N82" s="14">
        <v>193.93</v>
      </c>
      <c r="O82" s="13">
        <v>3.0</v>
      </c>
      <c r="P82" s="14">
        <f t="shared" ref="P82:Q82" si="65">M82*O82</f>
        <v>583.584</v>
      </c>
      <c r="Q82" s="14">
        <f t="shared" si="65"/>
        <v>113174.4451</v>
      </c>
    </row>
    <row r="83">
      <c r="A83" s="12">
        <v>43087.0</v>
      </c>
      <c r="B83" s="12" t="s">
        <v>2325</v>
      </c>
      <c r="C83" s="1" t="s">
        <v>600</v>
      </c>
      <c r="D83" s="15" t="str">
        <f t="shared" si="2"/>
        <v>Dec</v>
      </c>
      <c r="E83" s="13" t="s">
        <v>20</v>
      </c>
      <c r="F83" s="13" t="s">
        <v>2438</v>
      </c>
      <c r="G83" s="13" t="s">
        <v>2539</v>
      </c>
      <c r="H83" s="13" t="s">
        <v>34</v>
      </c>
      <c r="I83" s="13" t="s">
        <v>603</v>
      </c>
      <c r="J83" s="13" t="s">
        <v>145</v>
      </c>
      <c r="K83" s="13" t="s">
        <v>26</v>
      </c>
      <c r="L83" s="13" t="s">
        <v>38</v>
      </c>
      <c r="M83" s="14">
        <v>961.48</v>
      </c>
      <c r="N83" s="14">
        <v>961.3</v>
      </c>
      <c r="O83" s="13">
        <v>3.0</v>
      </c>
      <c r="P83" s="14">
        <f t="shared" ref="P83:Q83" si="66">M83*O83</f>
        <v>2884.44</v>
      </c>
      <c r="Q83" s="14">
        <f t="shared" si="66"/>
        <v>2772812.172</v>
      </c>
    </row>
    <row r="84">
      <c r="A84" s="12">
        <v>43059.0</v>
      </c>
      <c r="B84" s="12" t="s">
        <v>2326</v>
      </c>
      <c r="C84" s="1" t="s">
        <v>381</v>
      </c>
      <c r="D84" s="15" t="str">
        <f t="shared" si="2"/>
        <v>Nov</v>
      </c>
      <c r="E84" s="13" t="s">
        <v>20</v>
      </c>
      <c r="F84" s="13" t="s">
        <v>2540</v>
      </c>
      <c r="G84" s="13" t="s">
        <v>2421</v>
      </c>
      <c r="H84" s="13" t="s">
        <v>68</v>
      </c>
      <c r="I84" s="13" t="s">
        <v>303</v>
      </c>
      <c r="J84" s="13" t="s">
        <v>304</v>
      </c>
      <c r="K84" s="13" t="s">
        <v>100</v>
      </c>
      <c r="L84" s="13" t="s">
        <v>38</v>
      </c>
      <c r="M84" s="14">
        <v>19.096</v>
      </c>
      <c r="N84" s="14">
        <v>18.34</v>
      </c>
      <c r="O84" s="13">
        <v>4.0</v>
      </c>
      <c r="P84" s="14">
        <f t="shared" ref="P84:Q84" si="67">M84*O84</f>
        <v>76.384</v>
      </c>
      <c r="Q84" s="14">
        <f t="shared" si="67"/>
        <v>1400.88256</v>
      </c>
    </row>
    <row r="85">
      <c r="A85" s="12">
        <v>43059.0</v>
      </c>
      <c r="B85" s="12" t="s">
        <v>2326</v>
      </c>
      <c r="C85" s="1" t="s">
        <v>381</v>
      </c>
      <c r="D85" s="15" t="str">
        <f t="shared" si="2"/>
        <v>Nov</v>
      </c>
      <c r="E85" s="13" t="s">
        <v>20</v>
      </c>
      <c r="F85" s="13" t="s">
        <v>2540</v>
      </c>
      <c r="G85" s="13" t="s">
        <v>2421</v>
      </c>
      <c r="H85" s="13" t="s">
        <v>68</v>
      </c>
      <c r="I85" s="13" t="s">
        <v>303</v>
      </c>
      <c r="J85" s="13" t="s">
        <v>304</v>
      </c>
      <c r="K85" s="13" t="s">
        <v>100</v>
      </c>
      <c r="L85" s="13" t="s">
        <v>38</v>
      </c>
      <c r="M85" s="14">
        <v>18.496</v>
      </c>
      <c r="N85" s="14">
        <v>18.02</v>
      </c>
      <c r="O85" s="13">
        <v>4.0</v>
      </c>
      <c r="P85" s="14">
        <f t="shared" ref="P85:Q85" si="68">M85*O85</f>
        <v>73.984</v>
      </c>
      <c r="Q85" s="14">
        <f t="shared" si="68"/>
        <v>1333.19168</v>
      </c>
    </row>
    <row r="86">
      <c r="A86" s="12">
        <v>43059.0</v>
      </c>
      <c r="B86" s="12" t="s">
        <v>2326</v>
      </c>
      <c r="C86" s="1" t="s">
        <v>381</v>
      </c>
      <c r="D86" s="15" t="str">
        <f t="shared" si="2"/>
        <v>Nov</v>
      </c>
      <c r="E86" s="13" t="s">
        <v>20</v>
      </c>
      <c r="F86" s="13" t="s">
        <v>2540</v>
      </c>
      <c r="G86" s="13" t="s">
        <v>2421</v>
      </c>
      <c r="H86" s="13" t="s">
        <v>68</v>
      </c>
      <c r="I86" s="13" t="s">
        <v>303</v>
      </c>
      <c r="J86" s="13" t="s">
        <v>304</v>
      </c>
      <c r="K86" s="13" t="s">
        <v>100</v>
      </c>
      <c r="L86" s="13" t="s">
        <v>51</v>
      </c>
      <c r="M86" s="14">
        <v>255.984</v>
      </c>
      <c r="N86" s="14">
        <v>255.27</v>
      </c>
      <c r="O86" s="13">
        <v>4.0</v>
      </c>
      <c r="P86" s="14">
        <f t="shared" ref="P86:Q86" si="69">M86*O86</f>
        <v>1023.936</v>
      </c>
      <c r="Q86" s="14">
        <f t="shared" si="69"/>
        <v>261380.1427</v>
      </c>
    </row>
    <row r="87">
      <c r="A87" s="12">
        <v>43059.0</v>
      </c>
      <c r="B87" s="12" t="s">
        <v>2326</v>
      </c>
      <c r="C87" s="1" t="s">
        <v>381</v>
      </c>
      <c r="D87" s="15" t="str">
        <f t="shared" si="2"/>
        <v>Nov</v>
      </c>
      <c r="E87" s="13" t="s">
        <v>20</v>
      </c>
      <c r="F87" s="13" t="s">
        <v>2540</v>
      </c>
      <c r="G87" s="13" t="s">
        <v>2421</v>
      </c>
      <c r="H87" s="13" t="s">
        <v>68</v>
      </c>
      <c r="I87" s="13" t="s">
        <v>303</v>
      </c>
      <c r="J87" s="13" t="s">
        <v>304</v>
      </c>
      <c r="K87" s="13" t="s">
        <v>100</v>
      </c>
      <c r="L87" s="13" t="s">
        <v>27</v>
      </c>
      <c r="M87" s="14">
        <v>86.97</v>
      </c>
      <c r="N87" s="14">
        <v>86.48</v>
      </c>
      <c r="O87" s="13">
        <v>4.0</v>
      </c>
      <c r="P87" s="14">
        <f t="shared" ref="P87:Q87" si="70">M87*O87</f>
        <v>347.88</v>
      </c>
      <c r="Q87" s="14">
        <f t="shared" si="70"/>
        <v>30084.6624</v>
      </c>
    </row>
    <row r="88">
      <c r="A88" s="12">
        <v>42465.0</v>
      </c>
      <c r="B88" s="12" t="s">
        <v>2332</v>
      </c>
      <c r="C88" s="6">
        <v>42618.0</v>
      </c>
      <c r="D88" s="15" t="str">
        <f t="shared" si="2"/>
        <v>Sep</v>
      </c>
      <c r="E88" s="13" t="s">
        <v>20</v>
      </c>
      <c r="F88" s="13" t="s">
        <v>2438</v>
      </c>
      <c r="G88" s="13" t="s">
        <v>2542</v>
      </c>
      <c r="H88" s="13" t="s">
        <v>34</v>
      </c>
      <c r="I88" s="13" t="s">
        <v>174</v>
      </c>
      <c r="J88" s="13" t="s">
        <v>175</v>
      </c>
      <c r="K88" s="13" t="s">
        <v>100</v>
      </c>
      <c r="L88" s="13" t="s">
        <v>27</v>
      </c>
      <c r="M88" s="14">
        <v>26.8</v>
      </c>
      <c r="N88" s="14">
        <v>25.99</v>
      </c>
      <c r="O88" s="13">
        <v>1.0</v>
      </c>
      <c r="P88" s="14">
        <f t="shared" ref="P88:Q88" si="71">M88*O88</f>
        <v>26.8</v>
      </c>
      <c r="Q88" s="14">
        <f t="shared" si="71"/>
        <v>696.532</v>
      </c>
    </row>
    <row r="89">
      <c r="A89" s="12">
        <v>43078.0</v>
      </c>
      <c r="B89" s="12" t="s">
        <v>2325</v>
      </c>
      <c r="C89" s="1" t="s">
        <v>630</v>
      </c>
      <c r="D89" s="15" t="str">
        <f t="shared" si="2"/>
        <v>Sep</v>
      </c>
      <c r="E89" s="13" t="s">
        <v>20</v>
      </c>
      <c r="F89" s="13" t="s">
        <v>2546</v>
      </c>
      <c r="G89" s="13" t="s">
        <v>2547</v>
      </c>
      <c r="H89" s="13" t="s">
        <v>34</v>
      </c>
      <c r="I89" s="13" t="s">
        <v>633</v>
      </c>
      <c r="J89" s="13" t="s">
        <v>279</v>
      </c>
      <c r="K89" s="13" t="s">
        <v>37</v>
      </c>
      <c r="L89" s="13" t="s">
        <v>27</v>
      </c>
      <c r="M89" s="14">
        <v>15.136</v>
      </c>
      <c r="N89" s="14">
        <v>14.89</v>
      </c>
      <c r="O89" s="13">
        <v>8.0</v>
      </c>
      <c r="P89" s="14">
        <f t="shared" ref="P89:Q89" si="72">M89*O89</f>
        <v>121.088</v>
      </c>
      <c r="Q89" s="14">
        <f t="shared" si="72"/>
        <v>1803.00032</v>
      </c>
    </row>
    <row r="90">
      <c r="A90" s="12">
        <v>43078.0</v>
      </c>
      <c r="B90" s="12" t="s">
        <v>2325</v>
      </c>
      <c r="C90" s="1" t="s">
        <v>630</v>
      </c>
      <c r="D90" s="15" t="str">
        <f t="shared" si="2"/>
        <v>Sep</v>
      </c>
      <c r="E90" s="13" t="s">
        <v>20</v>
      </c>
      <c r="F90" s="13" t="s">
        <v>2546</v>
      </c>
      <c r="G90" s="13" t="s">
        <v>2547</v>
      </c>
      <c r="H90" s="13" t="s">
        <v>34</v>
      </c>
      <c r="I90" s="13" t="s">
        <v>633</v>
      </c>
      <c r="J90" s="13" t="s">
        <v>279</v>
      </c>
      <c r="K90" s="13" t="s">
        <v>37</v>
      </c>
      <c r="L90" s="13" t="s">
        <v>27</v>
      </c>
      <c r="M90" s="14">
        <v>466.768</v>
      </c>
      <c r="N90" s="14">
        <v>465.9</v>
      </c>
      <c r="O90" s="13">
        <v>8.0</v>
      </c>
      <c r="P90" s="14">
        <f t="shared" ref="P90:Q90" si="73">M90*O90</f>
        <v>3734.144</v>
      </c>
      <c r="Q90" s="14">
        <f t="shared" si="73"/>
        <v>1739737.69</v>
      </c>
    </row>
    <row r="91">
      <c r="A91" s="12">
        <v>43078.0</v>
      </c>
      <c r="B91" s="12" t="s">
        <v>2325</v>
      </c>
      <c r="C91" s="1" t="s">
        <v>630</v>
      </c>
      <c r="D91" s="15" t="str">
        <f t="shared" si="2"/>
        <v>Sep</v>
      </c>
      <c r="E91" s="13" t="s">
        <v>20</v>
      </c>
      <c r="F91" s="13" t="s">
        <v>2546</v>
      </c>
      <c r="G91" s="13" t="s">
        <v>2547</v>
      </c>
      <c r="H91" s="13" t="s">
        <v>34</v>
      </c>
      <c r="I91" s="13" t="s">
        <v>633</v>
      </c>
      <c r="J91" s="13" t="s">
        <v>279</v>
      </c>
      <c r="K91" s="13" t="s">
        <v>37</v>
      </c>
      <c r="L91" s="13" t="s">
        <v>27</v>
      </c>
      <c r="M91" s="14">
        <v>15.232</v>
      </c>
      <c r="N91" s="14">
        <v>14.76</v>
      </c>
      <c r="O91" s="13">
        <v>8.0</v>
      </c>
      <c r="P91" s="14">
        <f t="shared" ref="P91:Q91" si="74">M91*O91</f>
        <v>121.856</v>
      </c>
      <c r="Q91" s="14">
        <f t="shared" si="74"/>
        <v>1798.59456</v>
      </c>
    </row>
    <row r="92">
      <c r="A92" s="12">
        <v>43078.0</v>
      </c>
      <c r="B92" s="12" t="s">
        <v>2325</v>
      </c>
      <c r="C92" s="1" t="s">
        <v>630</v>
      </c>
      <c r="D92" s="15" t="str">
        <f t="shared" si="2"/>
        <v>Sep</v>
      </c>
      <c r="E92" s="13" t="s">
        <v>20</v>
      </c>
      <c r="F92" s="13" t="s">
        <v>2546</v>
      </c>
      <c r="G92" s="13" t="s">
        <v>2547</v>
      </c>
      <c r="H92" s="13" t="s">
        <v>34</v>
      </c>
      <c r="I92" s="13" t="s">
        <v>633</v>
      </c>
      <c r="J92" s="13" t="s">
        <v>279</v>
      </c>
      <c r="K92" s="13" t="s">
        <v>37</v>
      </c>
      <c r="L92" s="13" t="s">
        <v>38</v>
      </c>
      <c r="M92" s="14">
        <v>6.264</v>
      </c>
      <c r="N92" s="14">
        <v>5.52</v>
      </c>
      <c r="O92" s="13">
        <v>8.0</v>
      </c>
      <c r="P92" s="14">
        <f t="shared" ref="P92:Q92" si="75">M92*O92</f>
        <v>50.112</v>
      </c>
      <c r="Q92" s="14">
        <f t="shared" si="75"/>
        <v>276.61824</v>
      </c>
    </row>
    <row r="93">
      <c r="A93" s="12">
        <v>43170.0</v>
      </c>
      <c r="B93" s="12" t="s">
        <v>2399</v>
      </c>
      <c r="C93" s="6">
        <v>43231.0</v>
      </c>
      <c r="D93" s="15" t="str">
        <f t="shared" si="2"/>
        <v>May</v>
      </c>
      <c r="E93" s="13" t="s">
        <v>20</v>
      </c>
      <c r="F93" s="13" t="s">
        <v>2558</v>
      </c>
      <c r="G93" s="13" t="s">
        <v>2471</v>
      </c>
      <c r="H93" s="13" t="s">
        <v>34</v>
      </c>
      <c r="I93" s="13" t="s">
        <v>663</v>
      </c>
      <c r="J93" s="13" t="s">
        <v>210</v>
      </c>
      <c r="K93" s="13" t="s">
        <v>26</v>
      </c>
      <c r="L93" s="13" t="s">
        <v>27</v>
      </c>
      <c r="M93" s="14">
        <v>15.992</v>
      </c>
      <c r="N93" s="14">
        <v>15.43</v>
      </c>
      <c r="O93" s="13">
        <v>3.0</v>
      </c>
      <c r="P93" s="14">
        <f t="shared" ref="P93:Q93" si="76">M93*O93</f>
        <v>47.976</v>
      </c>
      <c r="Q93" s="14">
        <f t="shared" si="76"/>
        <v>740.26968</v>
      </c>
    </row>
    <row r="94">
      <c r="A94" s="12">
        <v>42850.0</v>
      </c>
      <c r="B94" s="12" t="s">
        <v>2332</v>
      </c>
      <c r="C94" s="1" t="s">
        <v>668</v>
      </c>
      <c r="D94" s="15" t="str">
        <f t="shared" si="2"/>
        <v>Apr</v>
      </c>
      <c r="E94" s="13" t="s">
        <v>20</v>
      </c>
      <c r="F94" s="13" t="s">
        <v>2560</v>
      </c>
      <c r="G94" s="13" t="s">
        <v>2561</v>
      </c>
      <c r="H94" s="13" t="s">
        <v>23</v>
      </c>
      <c r="I94" s="13" t="s">
        <v>98</v>
      </c>
      <c r="J94" s="13" t="s">
        <v>99</v>
      </c>
      <c r="K94" s="13" t="s">
        <v>100</v>
      </c>
      <c r="L94" s="13" t="s">
        <v>51</v>
      </c>
      <c r="M94" s="14">
        <v>82.8</v>
      </c>
      <c r="N94" s="14">
        <v>82.11</v>
      </c>
      <c r="O94" s="13">
        <v>1.0</v>
      </c>
      <c r="P94" s="14">
        <f t="shared" ref="P94:Q94" si="77">M94*O94</f>
        <v>82.8</v>
      </c>
      <c r="Q94" s="14">
        <f t="shared" si="77"/>
        <v>6798.708</v>
      </c>
    </row>
    <row r="95">
      <c r="A95" s="12">
        <v>42850.0</v>
      </c>
      <c r="B95" s="12" t="s">
        <v>2332</v>
      </c>
      <c r="C95" s="1" t="s">
        <v>668</v>
      </c>
      <c r="D95" s="15" t="str">
        <f t="shared" si="2"/>
        <v>Apr</v>
      </c>
      <c r="E95" s="13" t="s">
        <v>20</v>
      </c>
      <c r="F95" s="13" t="s">
        <v>2560</v>
      </c>
      <c r="G95" s="13" t="s">
        <v>2561</v>
      </c>
      <c r="H95" s="13" t="s">
        <v>23</v>
      </c>
      <c r="I95" s="13" t="s">
        <v>98</v>
      </c>
      <c r="J95" s="13" t="s">
        <v>99</v>
      </c>
      <c r="K95" s="13" t="s">
        <v>100</v>
      </c>
      <c r="L95" s="13" t="s">
        <v>38</v>
      </c>
      <c r="M95" s="14">
        <v>20.724</v>
      </c>
      <c r="N95" s="14">
        <v>20.19</v>
      </c>
      <c r="O95" s="13">
        <v>1.0</v>
      </c>
      <c r="P95" s="14">
        <f t="shared" ref="P95:Q95" si="78">M95*O95</f>
        <v>20.724</v>
      </c>
      <c r="Q95" s="14">
        <f t="shared" si="78"/>
        <v>418.41756</v>
      </c>
    </row>
    <row r="96">
      <c r="A96" s="12">
        <v>42850.0</v>
      </c>
      <c r="B96" s="12" t="s">
        <v>2332</v>
      </c>
      <c r="C96" s="1" t="s">
        <v>668</v>
      </c>
      <c r="D96" s="15" t="str">
        <f t="shared" si="2"/>
        <v>Apr</v>
      </c>
      <c r="E96" s="13" t="s">
        <v>20</v>
      </c>
      <c r="F96" s="13" t="s">
        <v>2560</v>
      </c>
      <c r="G96" s="13" t="s">
        <v>2561</v>
      </c>
      <c r="H96" s="13" t="s">
        <v>23</v>
      </c>
      <c r="I96" s="13" t="s">
        <v>98</v>
      </c>
      <c r="J96" s="13" t="s">
        <v>99</v>
      </c>
      <c r="K96" s="13" t="s">
        <v>100</v>
      </c>
      <c r="L96" s="13" t="s">
        <v>38</v>
      </c>
      <c r="M96" s="14">
        <v>4.896</v>
      </c>
      <c r="N96" s="14">
        <v>4.8</v>
      </c>
      <c r="O96" s="13">
        <v>1.0</v>
      </c>
      <c r="P96" s="14">
        <f t="shared" ref="P96:Q96" si="79">M96*O96</f>
        <v>4.896</v>
      </c>
      <c r="Q96" s="14">
        <f t="shared" si="79"/>
        <v>23.5008</v>
      </c>
    </row>
    <row r="97">
      <c r="A97" s="12">
        <v>42378.0</v>
      </c>
      <c r="B97" s="12" t="s">
        <v>2353</v>
      </c>
      <c r="C97" s="6">
        <v>42469.0</v>
      </c>
      <c r="D97" s="15" t="str">
        <f t="shared" si="2"/>
        <v>Apr</v>
      </c>
      <c r="E97" s="13" t="s">
        <v>20</v>
      </c>
      <c r="F97" s="13" t="s">
        <v>2562</v>
      </c>
      <c r="G97" s="13" t="s">
        <v>2563</v>
      </c>
      <c r="H97" s="13" t="s">
        <v>23</v>
      </c>
      <c r="I97" s="13" t="s">
        <v>35</v>
      </c>
      <c r="J97" s="13" t="s">
        <v>52</v>
      </c>
      <c r="K97" s="13" t="s">
        <v>37</v>
      </c>
      <c r="L97" s="13" t="s">
        <v>38</v>
      </c>
      <c r="M97" s="14">
        <v>4.752</v>
      </c>
      <c r="N97" s="14">
        <v>4.63</v>
      </c>
      <c r="O97" s="13">
        <v>9.0</v>
      </c>
      <c r="P97" s="14">
        <f t="shared" ref="P97:Q97" si="80">M97*O97</f>
        <v>42.768</v>
      </c>
      <c r="Q97" s="14">
        <f t="shared" si="80"/>
        <v>198.01584</v>
      </c>
    </row>
    <row r="98">
      <c r="A98" s="12">
        <v>42378.0</v>
      </c>
      <c r="B98" s="12" t="s">
        <v>2353</v>
      </c>
      <c r="C98" s="6">
        <v>42469.0</v>
      </c>
      <c r="D98" s="15" t="str">
        <f t="shared" si="2"/>
        <v>Apr</v>
      </c>
      <c r="E98" s="13" t="s">
        <v>20</v>
      </c>
      <c r="F98" s="13" t="s">
        <v>2562</v>
      </c>
      <c r="G98" s="13" t="s">
        <v>2563</v>
      </c>
      <c r="H98" s="13" t="s">
        <v>23</v>
      </c>
      <c r="I98" s="13" t="s">
        <v>35</v>
      </c>
      <c r="J98" s="13" t="s">
        <v>52</v>
      </c>
      <c r="K98" s="13" t="s">
        <v>37</v>
      </c>
      <c r="L98" s="13" t="s">
        <v>51</v>
      </c>
      <c r="M98" s="14">
        <v>959.984</v>
      </c>
      <c r="N98" s="14">
        <v>959.68</v>
      </c>
      <c r="O98" s="13">
        <v>9.0</v>
      </c>
      <c r="P98" s="14">
        <f t="shared" ref="P98:Q98" si="81">M98*O98</f>
        <v>8639.856</v>
      </c>
      <c r="Q98" s="14">
        <f t="shared" si="81"/>
        <v>8291497.006</v>
      </c>
    </row>
    <row r="99">
      <c r="A99" s="12">
        <v>42378.0</v>
      </c>
      <c r="B99" s="12" t="s">
        <v>2353</v>
      </c>
      <c r="C99" s="6">
        <v>42469.0</v>
      </c>
      <c r="D99" s="15" t="str">
        <f t="shared" si="2"/>
        <v>Apr</v>
      </c>
      <c r="E99" s="13" t="s">
        <v>20</v>
      </c>
      <c r="F99" s="13" t="s">
        <v>2562</v>
      </c>
      <c r="G99" s="13" t="s">
        <v>2563</v>
      </c>
      <c r="H99" s="13" t="s">
        <v>23</v>
      </c>
      <c r="I99" s="13" t="s">
        <v>35</v>
      </c>
      <c r="J99" s="13" t="s">
        <v>52</v>
      </c>
      <c r="K99" s="13" t="s">
        <v>37</v>
      </c>
      <c r="L99" s="13" t="s">
        <v>38</v>
      </c>
      <c r="M99" s="14">
        <v>14.368</v>
      </c>
      <c r="N99" s="14">
        <v>13.73</v>
      </c>
      <c r="O99" s="13">
        <v>9.0</v>
      </c>
      <c r="P99" s="14">
        <f t="shared" ref="P99:Q99" si="82">M99*O99</f>
        <v>129.312</v>
      </c>
      <c r="Q99" s="14">
        <f t="shared" si="82"/>
        <v>1775.45376</v>
      </c>
    </row>
    <row r="100">
      <c r="A100" s="12">
        <v>42543.0</v>
      </c>
      <c r="B100" s="12" t="s">
        <v>2374</v>
      </c>
      <c r="C100" s="1" t="s">
        <v>679</v>
      </c>
      <c r="D100" s="15" t="str">
        <f t="shared" si="2"/>
        <v>Jun</v>
      </c>
      <c r="E100" s="13" t="s">
        <v>20</v>
      </c>
      <c r="F100" s="13" t="s">
        <v>2346</v>
      </c>
      <c r="G100" s="13" t="s">
        <v>2514</v>
      </c>
      <c r="H100" s="13" t="s">
        <v>23</v>
      </c>
      <c r="I100" s="13" t="s">
        <v>680</v>
      </c>
      <c r="J100" s="13" t="s">
        <v>83</v>
      </c>
      <c r="K100" s="13" t="s">
        <v>37</v>
      </c>
      <c r="L100" s="13" t="s">
        <v>38</v>
      </c>
      <c r="M100" s="14">
        <v>4.96</v>
      </c>
      <c r="N100" s="14">
        <v>4.45</v>
      </c>
      <c r="O100" s="13">
        <v>8.0</v>
      </c>
      <c r="P100" s="14">
        <f t="shared" ref="P100:Q100" si="83">M100*O100</f>
        <v>39.68</v>
      </c>
      <c r="Q100" s="14">
        <f t="shared" si="83"/>
        <v>176.576</v>
      </c>
    </row>
    <row r="101">
      <c r="A101" s="12">
        <v>42107.0</v>
      </c>
      <c r="B101" s="12" t="s">
        <v>2332</v>
      </c>
      <c r="C101" s="1" t="s">
        <v>682</v>
      </c>
      <c r="D101" s="15" t="str">
        <f t="shared" si="2"/>
        <v>Apr</v>
      </c>
      <c r="E101" s="13" t="s">
        <v>20</v>
      </c>
      <c r="F101" s="13" t="s">
        <v>2447</v>
      </c>
      <c r="G101" s="13" t="s">
        <v>2448</v>
      </c>
      <c r="H101" s="13" t="s">
        <v>34</v>
      </c>
      <c r="I101" s="13" t="s">
        <v>98</v>
      </c>
      <c r="J101" s="13" t="s">
        <v>99</v>
      </c>
      <c r="K101" s="13" t="s">
        <v>100</v>
      </c>
      <c r="L101" s="13" t="s">
        <v>38</v>
      </c>
      <c r="M101" s="14">
        <v>17.856</v>
      </c>
      <c r="N101" s="14">
        <v>17.12</v>
      </c>
      <c r="O101" s="13">
        <v>1.0</v>
      </c>
      <c r="P101" s="14">
        <f t="shared" ref="P101:Q101" si="84">M101*O101</f>
        <v>17.856</v>
      </c>
      <c r="Q101" s="14">
        <f t="shared" si="84"/>
        <v>305.69472</v>
      </c>
    </row>
    <row r="102">
      <c r="A102" s="12">
        <v>42107.0</v>
      </c>
      <c r="B102" s="12" t="s">
        <v>2332</v>
      </c>
      <c r="C102" s="1" t="s">
        <v>682</v>
      </c>
      <c r="D102" s="15" t="str">
        <f t="shared" si="2"/>
        <v>Apr</v>
      </c>
      <c r="E102" s="13" t="s">
        <v>20</v>
      </c>
      <c r="F102" s="13" t="s">
        <v>2447</v>
      </c>
      <c r="G102" s="13" t="s">
        <v>2448</v>
      </c>
      <c r="H102" s="13" t="s">
        <v>34</v>
      </c>
      <c r="I102" s="13" t="s">
        <v>98</v>
      </c>
      <c r="J102" s="13" t="s">
        <v>99</v>
      </c>
      <c r="K102" s="13" t="s">
        <v>100</v>
      </c>
      <c r="L102" s="13" t="s">
        <v>38</v>
      </c>
      <c r="M102" s="14">
        <v>509.97</v>
      </c>
      <c r="N102" s="14">
        <v>509.93</v>
      </c>
      <c r="O102" s="13">
        <v>1.0</v>
      </c>
      <c r="P102" s="14">
        <f t="shared" ref="P102:Q102" si="85">M102*O102</f>
        <v>509.97</v>
      </c>
      <c r="Q102" s="14">
        <f t="shared" si="85"/>
        <v>260049.0021</v>
      </c>
    </row>
    <row r="103">
      <c r="A103" s="12">
        <v>42107.0</v>
      </c>
      <c r="B103" s="12" t="s">
        <v>2332</v>
      </c>
      <c r="C103" s="1" t="s">
        <v>682</v>
      </c>
      <c r="D103" s="15" t="str">
        <f t="shared" si="2"/>
        <v>Apr</v>
      </c>
      <c r="E103" s="13" t="s">
        <v>20</v>
      </c>
      <c r="F103" s="13" t="s">
        <v>2447</v>
      </c>
      <c r="G103" s="13" t="s">
        <v>2448</v>
      </c>
      <c r="H103" s="13" t="s">
        <v>34</v>
      </c>
      <c r="I103" s="13" t="s">
        <v>98</v>
      </c>
      <c r="J103" s="13" t="s">
        <v>99</v>
      </c>
      <c r="K103" s="13" t="s">
        <v>100</v>
      </c>
      <c r="L103" s="13" t="s">
        <v>38</v>
      </c>
      <c r="M103" s="14">
        <v>30.992</v>
      </c>
      <c r="N103" s="14">
        <v>30.06</v>
      </c>
      <c r="O103" s="13">
        <v>1.0</v>
      </c>
      <c r="P103" s="14">
        <f t="shared" ref="P103:Q103" si="86">M103*O103</f>
        <v>30.992</v>
      </c>
      <c r="Q103" s="14">
        <f t="shared" si="86"/>
        <v>931.61952</v>
      </c>
    </row>
    <row r="104">
      <c r="A104" s="12">
        <v>42107.0</v>
      </c>
      <c r="B104" s="12" t="s">
        <v>2332</v>
      </c>
      <c r="C104" s="1" t="s">
        <v>682</v>
      </c>
      <c r="D104" s="15" t="str">
        <f t="shared" si="2"/>
        <v>Apr</v>
      </c>
      <c r="E104" s="13" t="s">
        <v>20</v>
      </c>
      <c r="F104" s="13" t="s">
        <v>2447</v>
      </c>
      <c r="G104" s="13" t="s">
        <v>2448</v>
      </c>
      <c r="H104" s="13" t="s">
        <v>34</v>
      </c>
      <c r="I104" s="13" t="s">
        <v>98</v>
      </c>
      <c r="J104" s="13" t="s">
        <v>99</v>
      </c>
      <c r="K104" s="13" t="s">
        <v>100</v>
      </c>
      <c r="L104" s="13" t="s">
        <v>51</v>
      </c>
      <c r="M104" s="14">
        <v>71.928</v>
      </c>
      <c r="N104" s="14">
        <v>71.77</v>
      </c>
      <c r="O104" s="13">
        <v>1.0</v>
      </c>
      <c r="P104" s="14">
        <f t="shared" ref="P104:Q104" si="87">M104*O104</f>
        <v>71.928</v>
      </c>
      <c r="Q104" s="14">
        <f t="shared" si="87"/>
        <v>5162.27256</v>
      </c>
    </row>
    <row r="105">
      <c r="A105" s="12">
        <v>42547.0</v>
      </c>
      <c r="B105" s="12" t="s">
        <v>2374</v>
      </c>
      <c r="C105" s="1" t="s">
        <v>745</v>
      </c>
      <c r="D105" s="15" t="str">
        <f t="shared" si="2"/>
        <v>Jun</v>
      </c>
      <c r="E105" s="13" t="s">
        <v>20</v>
      </c>
      <c r="F105" s="13" t="s">
        <v>2586</v>
      </c>
      <c r="G105" s="13" t="s">
        <v>2424</v>
      </c>
      <c r="H105" s="13" t="s">
        <v>34</v>
      </c>
      <c r="I105" s="13" t="s">
        <v>619</v>
      </c>
      <c r="J105" s="13" t="s">
        <v>157</v>
      </c>
      <c r="K105" s="13" t="s">
        <v>71</v>
      </c>
      <c r="L105" s="13" t="s">
        <v>51</v>
      </c>
      <c r="M105" s="14">
        <v>41.9</v>
      </c>
      <c r="N105" s="14">
        <v>41.31</v>
      </c>
      <c r="O105" s="13">
        <v>4.0</v>
      </c>
      <c r="P105" s="14">
        <f t="shared" ref="P105:Q105" si="88">M105*O105</f>
        <v>167.6</v>
      </c>
      <c r="Q105" s="14">
        <f t="shared" si="88"/>
        <v>6923.556</v>
      </c>
    </row>
    <row r="106">
      <c r="A106" s="12">
        <v>42268.0</v>
      </c>
      <c r="B106" s="12" t="s">
        <v>2329</v>
      </c>
      <c r="C106" s="1" t="s">
        <v>764</v>
      </c>
      <c r="D106" s="15" t="str">
        <f t="shared" si="2"/>
        <v>Sep</v>
      </c>
      <c r="E106" s="13" t="s">
        <v>20</v>
      </c>
      <c r="F106" s="13" t="s">
        <v>2594</v>
      </c>
      <c r="G106" s="13" t="s">
        <v>2595</v>
      </c>
      <c r="H106" s="13" t="s">
        <v>23</v>
      </c>
      <c r="I106" s="13" t="s">
        <v>767</v>
      </c>
      <c r="J106" s="13" t="s">
        <v>63</v>
      </c>
      <c r="K106" s="13" t="s">
        <v>37</v>
      </c>
      <c r="L106" s="13" t="s">
        <v>51</v>
      </c>
      <c r="M106" s="14">
        <v>246.384</v>
      </c>
      <c r="N106" s="14">
        <v>245.6</v>
      </c>
      <c r="O106" s="13">
        <v>9.0</v>
      </c>
      <c r="P106" s="14">
        <f t="shared" ref="P106:Q106" si="89">M106*O106</f>
        <v>2217.456</v>
      </c>
      <c r="Q106" s="14">
        <f t="shared" si="89"/>
        <v>544607.1936</v>
      </c>
    </row>
    <row r="107">
      <c r="A107" s="12">
        <v>42268.0</v>
      </c>
      <c r="B107" s="12" t="s">
        <v>2329</v>
      </c>
      <c r="C107" s="1" t="s">
        <v>764</v>
      </c>
      <c r="D107" s="15" t="str">
        <f t="shared" si="2"/>
        <v>Sep</v>
      </c>
      <c r="E107" s="13" t="s">
        <v>20</v>
      </c>
      <c r="F107" s="13" t="s">
        <v>2594</v>
      </c>
      <c r="G107" s="13" t="s">
        <v>2595</v>
      </c>
      <c r="H107" s="13" t="s">
        <v>23</v>
      </c>
      <c r="I107" s="13" t="s">
        <v>767</v>
      </c>
      <c r="J107" s="13" t="s">
        <v>63</v>
      </c>
      <c r="K107" s="13" t="s">
        <v>37</v>
      </c>
      <c r="L107" s="13" t="s">
        <v>51</v>
      </c>
      <c r="M107" s="14">
        <v>1799.97</v>
      </c>
      <c r="N107" s="14">
        <v>1799.44</v>
      </c>
      <c r="O107" s="13">
        <v>9.0</v>
      </c>
      <c r="P107" s="14">
        <f t="shared" ref="P107:Q107" si="90">M107*O107</f>
        <v>16199.73</v>
      </c>
      <c r="Q107" s="14">
        <f t="shared" si="90"/>
        <v>29150442.15</v>
      </c>
    </row>
    <row r="108">
      <c r="A108" s="12">
        <v>42191.0</v>
      </c>
      <c r="B108" s="12" t="s">
        <v>2348</v>
      </c>
      <c r="C108" s="6">
        <v>42283.0</v>
      </c>
      <c r="D108" s="15" t="str">
        <f t="shared" si="2"/>
        <v>Oct</v>
      </c>
      <c r="E108" s="13" t="s">
        <v>20</v>
      </c>
      <c r="F108" s="13" t="s">
        <v>2596</v>
      </c>
      <c r="G108" s="13" t="s">
        <v>2597</v>
      </c>
      <c r="H108" s="13" t="s">
        <v>34</v>
      </c>
      <c r="I108" s="13" t="s">
        <v>771</v>
      </c>
      <c r="J108" s="13" t="s">
        <v>135</v>
      </c>
      <c r="K108" s="13" t="s">
        <v>71</v>
      </c>
      <c r="L108" s="13" t="s">
        <v>38</v>
      </c>
      <c r="M108" s="14">
        <v>12.462</v>
      </c>
      <c r="N108" s="14">
        <v>11.68</v>
      </c>
      <c r="O108" s="13">
        <v>6.0</v>
      </c>
      <c r="P108" s="14">
        <f t="shared" ref="P108:Q108" si="91">M108*O108</f>
        <v>74.772</v>
      </c>
      <c r="Q108" s="14">
        <f t="shared" si="91"/>
        <v>873.33696</v>
      </c>
    </row>
    <row r="109">
      <c r="A109" s="12">
        <v>43390.0</v>
      </c>
      <c r="B109" s="12" t="s">
        <v>2358</v>
      </c>
      <c r="C109" s="1" t="s">
        <v>778</v>
      </c>
      <c r="D109" s="15" t="str">
        <f t="shared" si="2"/>
        <v>Oct</v>
      </c>
      <c r="E109" s="13" t="s">
        <v>20</v>
      </c>
      <c r="F109" s="13" t="s">
        <v>2600</v>
      </c>
      <c r="G109" s="13" t="s">
        <v>2601</v>
      </c>
      <c r="H109" s="13" t="s">
        <v>34</v>
      </c>
      <c r="I109" s="13" t="s">
        <v>781</v>
      </c>
      <c r="J109" s="13" t="s">
        <v>782</v>
      </c>
      <c r="K109" s="13" t="s">
        <v>100</v>
      </c>
      <c r="L109" s="13" t="s">
        <v>38</v>
      </c>
      <c r="M109" s="14">
        <v>49.96</v>
      </c>
      <c r="N109" s="14">
        <v>49.81</v>
      </c>
      <c r="O109" s="13">
        <v>2.0</v>
      </c>
      <c r="P109" s="14">
        <f t="shared" ref="P109:Q109" si="92">M109*O109</f>
        <v>99.92</v>
      </c>
      <c r="Q109" s="14">
        <f t="shared" si="92"/>
        <v>4977.0152</v>
      </c>
    </row>
    <row r="110">
      <c r="A110" s="12">
        <v>43390.0</v>
      </c>
      <c r="B110" s="12" t="s">
        <v>2358</v>
      </c>
      <c r="C110" s="1" t="s">
        <v>778</v>
      </c>
      <c r="D110" s="15" t="str">
        <f t="shared" si="2"/>
        <v>Oct</v>
      </c>
      <c r="E110" s="13" t="s">
        <v>20</v>
      </c>
      <c r="F110" s="13" t="s">
        <v>2600</v>
      </c>
      <c r="G110" s="13" t="s">
        <v>2601</v>
      </c>
      <c r="H110" s="13" t="s">
        <v>34</v>
      </c>
      <c r="I110" s="13" t="s">
        <v>781</v>
      </c>
      <c r="J110" s="13" t="s">
        <v>782</v>
      </c>
      <c r="K110" s="13" t="s">
        <v>100</v>
      </c>
      <c r="L110" s="13" t="s">
        <v>38</v>
      </c>
      <c r="M110" s="14">
        <v>12.96</v>
      </c>
      <c r="N110" s="14">
        <v>12.37</v>
      </c>
      <c r="O110" s="13">
        <v>2.0</v>
      </c>
      <c r="P110" s="14">
        <f t="shared" ref="P110:Q110" si="93">M110*O110</f>
        <v>25.92</v>
      </c>
      <c r="Q110" s="14">
        <f t="shared" si="93"/>
        <v>320.6304</v>
      </c>
    </row>
    <row r="111">
      <c r="A111" s="12">
        <v>42956.0</v>
      </c>
      <c r="B111" s="12" t="s">
        <v>2322</v>
      </c>
      <c r="C111" s="6">
        <v>43017.0</v>
      </c>
      <c r="D111" s="15" t="str">
        <f t="shared" si="2"/>
        <v>Oct</v>
      </c>
      <c r="E111" s="13" t="s">
        <v>20</v>
      </c>
      <c r="F111" s="13" t="s">
        <v>2602</v>
      </c>
      <c r="G111" s="13" t="s">
        <v>2603</v>
      </c>
      <c r="H111" s="13" t="s">
        <v>23</v>
      </c>
      <c r="I111" s="13" t="s">
        <v>129</v>
      </c>
      <c r="J111" s="13" t="s">
        <v>70</v>
      </c>
      <c r="K111" s="13" t="s">
        <v>71</v>
      </c>
      <c r="L111" s="13" t="s">
        <v>38</v>
      </c>
      <c r="M111" s="14">
        <v>35.952</v>
      </c>
      <c r="N111" s="14">
        <v>35.91</v>
      </c>
      <c r="O111" s="13">
        <v>7.0</v>
      </c>
      <c r="P111" s="14">
        <f t="shared" ref="P111:Q111" si="94">M111*O111</f>
        <v>251.664</v>
      </c>
      <c r="Q111" s="14">
        <f t="shared" si="94"/>
        <v>9037.25424</v>
      </c>
    </row>
    <row r="112">
      <c r="A112" s="12">
        <v>42956.0</v>
      </c>
      <c r="B112" s="12" t="s">
        <v>2322</v>
      </c>
      <c r="C112" s="6">
        <v>43017.0</v>
      </c>
      <c r="D112" s="15" t="str">
        <f t="shared" si="2"/>
        <v>Oct</v>
      </c>
      <c r="E112" s="13" t="s">
        <v>20</v>
      </c>
      <c r="F112" s="13" t="s">
        <v>2602</v>
      </c>
      <c r="G112" s="13" t="s">
        <v>2603</v>
      </c>
      <c r="H112" s="13" t="s">
        <v>23</v>
      </c>
      <c r="I112" s="13" t="s">
        <v>129</v>
      </c>
      <c r="J112" s="13" t="s">
        <v>70</v>
      </c>
      <c r="K112" s="13" t="s">
        <v>71</v>
      </c>
      <c r="L112" s="13" t="s">
        <v>27</v>
      </c>
      <c r="M112" s="14">
        <v>2396.2656</v>
      </c>
      <c r="N112" s="14">
        <v>2395.78</v>
      </c>
      <c r="O112" s="13">
        <v>7.0</v>
      </c>
      <c r="P112" s="14">
        <f t="shared" ref="P112:Q112" si="95">M112*O112</f>
        <v>16773.8592</v>
      </c>
      <c r="Q112" s="14">
        <f t="shared" si="95"/>
        <v>40186476.39</v>
      </c>
    </row>
    <row r="113">
      <c r="A113" s="12">
        <v>42956.0</v>
      </c>
      <c r="B113" s="12" t="s">
        <v>2322</v>
      </c>
      <c r="C113" s="6">
        <v>43017.0</v>
      </c>
      <c r="D113" s="15" t="str">
        <f t="shared" si="2"/>
        <v>Oct</v>
      </c>
      <c r="E113" s="13" t="s">
        <v>20</v>
      </c>
      <c r="F113" s="13" t="s">
        <v>2602</v>
      </c>
      <c r="G113" s="13" t="s">
        <v>2603</v>
      </c>
      <c r="H113" s="13" t="s">
        <v>23</v>
      </c>
      <c r="I113" s="13" t="s">
        <v>129</v>
      </c>
      <c r="J113" s="13" t="s">
        <v>70</v>
      </c>
      <c r="K113" s="13" t="s">
        <v>71</v>
      </c>
      <c r="L113" s="13" t="s">
        <v>38</v>
      </c>
      <c r="M113" s="14">
        <v>131.136</v>
      </c>
      <c r="N113" s="14">
        <v>130.97</v>
      </c>
      <c r="O113" s="13">
        <v>7.0</v>
      </c>
      <c r="P113" s="14">
        <f t="shared" ref="P113:Q113" si="96">M113*O113</f>
        <v>917.952</v>
      </c>
      <c r="Q113" s="14">
        <f t="shared" si="96"/>
        <v>120224.1734</v>
      </c>
    </row>
    <row r="114">
      <c r="A114" s="12">
        <v>42956.0</v>
      </c>
      <c r="B114" s="12" t="s">
        <v>2322</v>
      </c>
      <c r="C114" s="6">
        <v>43017.0</v>
      </c>
      <c r="D114" s="15" t="str">
        <f t="shared" si="2"/>
        <v>Oct</v>
      </c>
      <c r="E114" s="13" t="s">
        <v>20</v>
      </c>
      <c r="F114" s="13" t="s">
        <v>2602</v>
      </c>
      <c r="G114" s="13" t="s">
        <v>2603</v>
      </c>
      <c r="H114" s="13" t="s">
        <v>23</v>
      </c>
      <c r="I114" s="13" t="s">
        <v>129</v>
      </c>
      <c r="J114" s="13" t="s">
        <v>70</v>
      </c>
      <c r="K114" s="13" t="s">
        <v>71</v>
      </c>
      <c r="L114" s="13" t="s">
        <v>51</v>
      </c>
      <c r="M114" s="14">
        <v>57.584</v>
      </c>
      <c r="N114" s="14">
        <v>57.1</v>
      </c>
      <c r="O114" s="13">
        <v>7.0</v>
      </c>
      <c r="P114" s="14">
        <f t="shared" ref="P114:Q114" si="97">M114*O114</f>
        <v>403.088</v>
      </c>
      <c r="Q114" s="14">
        <f t="shared" si="97"/>
        <v>23016.3248</v>
      </c>
    </row>
    <row r="115">
      <c r="A115" s="12">
        <v>43333.0</v>
      </c>
      <c r="B115" s="12" t="s">
        <v>2322</v>
      </c>
      <c r="C115" s="1" t="s">
        <v>824</v>
      </c>
      <c r="D115" s="15" t="str">
        <f t="shared" si="2"/>
        <v>Aug</v>
      </c>
      <c r="E115" s="13" t="s">
        <v>20</v>
      </c>
      <c r="F115" s="13" t="s">
        <v>2614</v>
      </c>
      <c r="G115" s="13" t="s">
        <v>2615</v>
      </c>
      <c r="H115" s="13" t="s">
        <v>23</v>
      </c>
      <c r="I115" s="13" t="s">
        <v>205</v>
      </c>
      <c r="J115" s="13" t="s">
        <v>827</v>
      </c>
      <c r="K115" s="13" t="s">
        <v>26</v>
      </c>
      <c r="L115" s="13" t="s">
        <v>27</v>
      </c>
      <c r="M115" s="14">
        <v>866.4</v>
      </c>
      <c r="N115" s="14">
        <v>865.96</v>
      </c>
      <c r="O115" s="13">
        <v>3.0</v>
      </c>
      <c r="P115" s="14">
        <f t="shared" ref="P115:Q115" si="98">M115*O115</f>
        <v>2599.2</v>
      </c>
      <c r="Q115" s="14">
        <f t="shared" si="98"/>
        <v>2250803.232</v>
      </c>
    </row>
    <row r="116">
      <c r="A116" s="12">
        <v>43427.0</v>
      </c>
      <c r="B116" s="12" t="s">
        <v>2326</v>
      </c>
      <c r="C116" s="1" t="s">
        <v>829</v>
      </c>
      <c r="D116" s="15" t="str">
        <f t="shared" si="2"/>
        <v>Nov</v>
      </c>
      <c r="E116" s="13" t="s">
        <v>20</v>
      </c>
      <c r="F116" s="13" t="s">
        <v>2379</v>
      </c>
      <c r="G116" s="13" t="s">
        <v>2380</v>
      </c>
      <c r="H116" s="13" t="s">
        <v>34</v>
      </c>
      <c r="I116" s="13" t="s">
        <v>830</v>
      </c>
      <c r="J116" s="13" t="s">
        <v>157</v>
      </c>
      <c r="K116" s="13" t="s">
        <v>71</v>
      </c>
      <c r="L116" s="13" t="s">
        <v>27</v>
      </c>
      <c r="M116" s="14">
        <v>28.4</v>
      </c>
      <c r="N116" s="14">
        <v>27.46</v>
      </c>
      <c r="O116" s="13">
        <v>4.0</v>
      </c>
      <c r="P116" s="14">
        <f t="shared" ref="P116:Q116" si="99">M116*O116</f>
        <v>113.6</v>
      </c>
      <c r="Q116" s="14">
        <f t="shared" si="99"/>
        <v>3119.456</v>
      </c>
    </row>
    <row r="117">
      <c r="A117" s="12">
        <v>43427.0</v>
      </c>
      <c r="B117" s="12" t="s">
        <v>2326</v>
      </c>
      <c r="C117" s="1" t="s">
        <v>829</v>
      </c>
      <c r="D117" s="15" t="str">
        <f t="shared" si="2"/>
        <v>Nov</v>
      </c>
      <c r="E117" s="13" t="s">
        <v>20</v>
      </c>
      <c r="F117" s="13" t="s">
        <v>2379</v>
      </c>
      <c r="G117" s="13" t="s">
        <v>2380</v>
      </c>
      <c r="H117" s="13" t="s">
        <v>34</v>
      </c>
      <c r="I117" s="13" t="s">
        <v>830</v>
      </c>
      <c r="J117" s="13" t="s">
        <v>157</v>
      </c>
      <c r="K117" s="13" t="s">
        <v>71</v>
      </c>
      <c r="L117" s="13" t="s">
        <v>38</v>
      </c>
      <c r="M117" s="14">
        <v>287.92</v>
      </c>
      <c r="N117" s="14">
        <v>287.29</v>
      </c>
      <c r="O117" s="13">
        <v>4.0</v>
      </c>
      <c r="P117" s="14">
        <f t="shared" ref="P117:Q117" si="100">M117*O117</f>
        <v>1151.68</v>
      </c>
      <c r="Q117" s="14">
        <f t="shared" si="100"/>
        <v>330866.1472</v>
      </c>
    </row>
    <row r="118">
      <c r="A118" s="12">
        <v>43075.0</v>
      </c>
      <c r="B118" s="12" t="s">
        <v>2325</v>
      </c>
      <c r="C118" s="1" t="s">
        <v>851</v>
      </c>
      <c r="D118" s="15" t="str">
        <f t="shared" si="2"/>
        <v>Jun</v>
      </c>
      <c r="E118" s="13" t="s">
        <v>20</v>
      </c>
      <c r="F118" s="13" t="s">
        <v>2619</v>
      </c>
      <c r="G118" s="13" t="s">
        <v>2620</v>
      </c>
      <c r="H118" s="13" t="s">
        <v>68</v>
      </c>
      <c r="I118" s="13" t="s">
        <v>188</v>
      </c>
      <c r="J118" s="13" t="s">
        <v>135</v>
      </c>
      <c r="K118" s="13" t="s">
        <v>71</v>
      </c>
      <c r="L118" s="13" t="s">
        <v>51</v>
      </c>
      <c r="M118" s="14">
        <v>1007.979</v>
      </c>
      <c r="N118" s="14">
        <v>1007.35</v>
      </c>
      <c r="O118" s="13">
        <v>6.0</v>
      </c>
      <c r="P118" s="14">
        <f t="shared" ref="P118:Q118" si="101">M118*O118</f>
        <v>6047.874</v>
      </c>
      <c r="Q118" s="14">
        <f t="shared" si="101"/>
        <v>6092325.874</v>
      </c>
    </row>
    <row r="119">
      <c r="A119" s="12">
        <v>43075.0</v>
      </c>
      <c r="B119" s="12" t="s">
        <v>2325</v>
      </c>
      <c r="C119" s="1" t="s">
        <v>851</v>
      </c>
      <c r="D119" s="15" t="str">
        <f t="shared" si="2"/>
        <v>Jun</v>
      </c>
      <c r="E119" s="13" t="s">
        <v>20</v>
      </c>
      <c r="F119" s="13" t="s">
        <v>2619</v>
      </c>
      <c r="G119" s="13" t="s">
        <v>2620</v>
      </c>
      <c r="H119" s="13" t="s">
        <v>68</v>
      </c>
      <c r="I119" s="13" t="s">
        <v>188</v>
      </c>
      <c r="J119" s="13" t="s">
        <v>135</v>
      </c>
      <c r="K119" s="13" t="s">
        <v>71</v>
      </c>
      <c r="L119" s="13" t="s">
        <v>38</v>
      </c>
      <c r="M119" s="14">
        <v>313.488</v>
      </c>
      <c r="N119" s="14">
        <v>313.04</v>
      </c>
      <c r="O119" s="13">
        <v>6.0</v>
      </c>
      <c r="P119" s="14">
        <f t="shared" ref="P119:Q119" si="102">M119*O119</f>
        <v>1880.928</v>
      </c>
      <c r="Q119" s="14">
        <f t="shared" si="102"/>
        <v>588805.7011</v>
      </c>
    </row>
    <row r="120">
      <c r="A120" s="12">
        <v>43120.0</v>
      </c>
      <c r="B120" s="12" t="s">
        <v>2353</v>
      </c>
      <c r="C120" s="1" t="s">
        <v>859</v>
      </c>
      <c r="D120" s="15" t="str">
        <f t="shared" si="2"/>
        <v>Jan</v>
      </c>
      <c r="E120" s="13" t="s">
        <v>20</v>
      </c>
      <c r="F120" s="13" t="s">
        <v>2425</v>
      </c>
      <c r="G120" s="13" t="s">
        <v>2426</v>
      </c>
      <c r="H120" s="13" t="s">
        <v>34</v>
      </c>
      <c r="I120" s="13" t="s">
        <v>174</v>
      </c>
      <c r="J120" s="13" t="s">
        <v>175</v>
      </c>
      <c r="K120" s="13" t="s">
        <v>100</v>
      </c>
      <c r="L120" s="13" t="s">
        <v>27</v>
      </c>
      <c r="M120" s="14">
        <v>207.846</v>
      </c>
      <c r="N120" s="14">
        <v>207.58</v>
      </c>
      <c r="O120" s="13">
        <v>1.0</v>
      </c>
      <c r="P120" s="14">
        <f t="shared" ref="P120:Q120" si="103">M120*O120</f>
        <v>207.846</v>
      </c>
      <c r="Q120" s="14">
        <f t="shared" si="103"/>
        <v>43144.67268</v>
      </c>
    </row>
    <row r="121">
      <c r="A121" s="12">
        <v>42864.0</v>
      </c>
      <c r="B121" s="12" t="s">
        <v>2335</v>
      </c>
      <c r="C121" s="6">
        <v>42925.0</v>
      </c>
      <c r="D121" s="15" t="str">
        <f t="shared" si="2"/>
        <v>Jul</v>
      </c>
      <c r="E121" s="13" t="s">
        <v>20</v>
      </c>
      <c r="F121" s="13" t="s">
        <v>2340</v>
      </c>
      <c r="G121" s="13" t="s">
        <v>2341</v>
      </c>
      <c r="H121" s="13" t="s">
        <v>23</v>
      </c>
      <c r="I121" s="13" t="s">
        <v>513</v>
      </c>
      <c r="J121" s="13" t="s">
        <v>157</v>
      </c>
      <c r="K121" s="13" t="s">
        <v>71</v>
      </c>
      <c r="L121" s="13" t="s">
        <v>27</v>
      </c>
      <c r="M121" s="14">
        <v>12.22</v>
      </c>
      <c r="N121" s="14">
        <v>11.56</v>
      </c>
      <c r="O121" s="13">
        <v>4.0</v>
      </c>
      <c r="P121" s="14">
        <f t="shared" ref="P121:Q121" si="104">M121*O121</f>
        <v>48.88</v>
      </c>
      <c r="Q121" s="14">
        <f t="shared" si="104"/>
        <v>565.0528</v>
      </c>
    </row>
    <row r="122">
      <c r="A122" s="12">
        <v>42864.0</v>
      </c>
      <c r="B122" s="12" t="s">
        <v>2335</v>
      </c>
      <c r="C122" s="6">
        <v>42925.0</v>
      </c>
      <c r="D122" s="15" t="str">
        <f t="shared" si="2"/>
        <v>Jul</v>
      </c>
      <c r="E122" s="13" t="s">
        <v>20</v>
      </c>
      <c r="F122" s="13" t="s">
        <v>2340</v>
      </c>
      <c r="G122" s="13" t="s">
        <v>2341</v>
      </c>
      <c r="H122" s="13" t="s">
        <v>23</v>
      </c>
      <c r="I122" s="13" t="s">
        <v>513</v>
      </c>
      <c r="J122" s="13" t="s">
        <v>157</v>
      </c>
      <c r="K122" s="13" t="s">
        <v>71</v>
      </c>
      <c r="L122" s="13" t="s">
        <v>38</v>
      </c>
      <c r="M122" s="14">
        <v>194.94</v>
      </c>
      <c r="N122" s="14">
        <v>194.44</v>
      </c>
      <c r="O122" s="13">
        <v>4.0</v>
      </c>
      <c r="P122" s="14">
        <f t="shared" ref="P122:Q122" si="105">M122*O122</f>
        <v>779.76</v>
      </c>
      <c r="Q122" s="14">
        <f t="shared" si="105"/>
        <v>151616.5344</v>
      </c>
    </row>
    <row r="123">
      <c r="A123" s="12">
        <v>42864.0</v>
      </c>
      <c r="B123" s="12" t="s">
        <v>2335</v>
      </c>
      <c r="C123" s="6">
        <v>42925.0</v>
      </c>
      <c r="D123" s="15" t="str">
        <f t="shared" si="2"/>
        <v>Jul</v>
      </c>
      <c r="E123" s="13" t="s">
        <v>20</v>
      </c>
      <c r="F123" s="13" t="s">
        <v>2340</v>
      </c>
      <c r="G123" s="13" t="s">
        <v>2341</v>
      </c>
      <c r="H123" s="13" t="s">
        <v>23</v>
      </c>
      <c r="I123" s="13" t="s">
        <v>513</v>
      </c>
      <c r="J123" s="13" t="s">
        <v>157</v>
      </c>
      <c r="K123" s="13" t="s">
        <v>71</v>
      </c>
      <c r="L123" s="13" t="s">
        <v>38</v>
      </c>
      <c r="M123" s="14">
        <v>70.95</v>
      </c>
      <c r="N123" s="14">
        <v>70.42</v>
      </c>
      <c r="O123" s="13">
        <v>4.0</v>
      </c>
      <c r="P123" s="14">
        <f t="shared" ref="P123:Q123" si="106">M123*O123</f>
        <v>283.8</v>
      </c>
      <c r="Q123" s="14">
        <f t="shared" si="106"/>
        <v>19985.196</v>
      </c>
    </row>
    <row r="124">
      <c r="A124" s="12">
        <v>42864.0</v>
      </c>
      <c r="B124" s="12" t="s">
        <v>2335</v>
      </c>
      <c r="C124" s="6">
        <v>42925.0</v>
      </c>
      <c r="D124" s="15" t="str">
        <f t="shared" si="2"/>
        <v>Jul</v>
      </c>
      <c r="E124" s="13" t="s">
        <v>20</v>
      </c>
      <c r="F124" s="13" t="s">
        <v>2340</v>
      </c>
      <c r="G124" s="13" t="s">
        <v>2341</v>
      </c>
      <c r="H124" s="13" t="s">
        <v>23</v>
      </c>
      <c r="I124" s="13" t="s">
        <v>513</v>
      </c>
      <c r="J124" s="13" t="s">
        <v>157</v>
      </c>
      <c r="K124" s="13" t="s">
        <v>71</v>
      </c>
      <c r="L124" s="13" t="s">
        <v>38</v>
      </c>
      <c r="M124" s="14">
        <v>91.36</v>
      </c>
      <c r="N124" s="14">
        <v>90.47</v>
      </c>
      <c r="O124" s="13">
        <v>4.0</v>
      </c>
      <c r="P124" s="14">
        <f t="shared" ref="P124:Q124" si="107">M124*O124</f>
        <v>365.44</v>
      </c>
      <c r="Q124" s="14">
        <f t="shared" si="107"/>
        <v>33061.3568</v>
      </c>
    </row>
    <row r="125">
      <c r="A125" s="12">
        <v>42864.0</v>
      </c>
      <c r="B125" s="12" t="s">
        <v>2335</v>
      </c>
      <c r="C125" s="6">
        <v>42925.0</v>
      </c>
      <c r="D125" s="15" t="str">
        <f t="shared" si="2"/>
        <v>Jul</v>
      </c>
      <c r="E125" s="13" t="s">
        <v>20</v>
      </c>
      <c r="F125" s="13" t="s">
        <v>2340</v>
      </c>
      <c r="G125" s="13" t="s">
        <v>2341</v>
      </c>
      <c r="H125" s="13" t="s">
        <v>23</v>
      </c>
      <c r="I125" s="13" t="s">
        <v>513</v>
      </c>
      <c r="J125" s="13" t="s">
        <v>157</v>
      </c>
      <c r="K125" s="13" t="s">
        <v>71</v>
      </c>
      <c r="L125" s="13" t="s">
        <v>27</v>
      </c>
      <c r="M125" s="14">
        <v>242.94</v>
      </c>
      <c r="N125" s="14">
        <v>242.17</v>
      </c>
      <c r="O125" s="13">
        <v>4.0</v>
      </c>
      <c r="P125" s="14">
        <f t="shared" ref="P125:Q125" si="108">M125*O125</f>
        <v>971.76</v>
      </c>
      <c r="Q125" s="14">
        <f t="shared" si="108"/>
        <v>235331.1192</v>
      </c>
    </row>
    <row r="126">
      <c r="A126" s="12">
        <v>42864.0</v>
      </c>
      <c r="B126" s="12" t="s">
        <v>2335</v>
      </c>
      <c r="C126" s="6">
        <v>42925.0</v>
      </c>
      <c r="D126" s="15" t="str">
        <f t="shared" si="2"/>
        <v>Jul</v>
      </c>
      <c r="E126" s="13" t="s">
        <v>20</v>
      </c>
      <c r="F126" s="13" t="s">
        <v>2340</v>
      </c>
      <c r="G126" s="13" t="s">
        <v>2341</v>
      </c>
      <c r="H126" s="13" t="s">
        <v>23</v>
      </c>
      <c r="I126" s="13" t="s">
        <v>513</v>
      </c>
      <c r="J126" s="13" t="s">
        <v>157</v>
      </c>
      <c r="K126" s="13" t="s">
        <v>71</v>
      </c>
      <c r="L126" s="13" t="s">
        <v>38</v>
      </c>
      <c r="M126" s="14">
        <v>22.05</v>
      </c>
      <c r="N126" s="14">
        <v>21.14</v>
      </c>
      <c r="O126" s="13">
        <v>4.0</v>
      </c>
      <c r="P126" s="14">
        <f t="shared" ref="P126:Q126" si="109">M126*O126</f>
        <v>88.2</v>
      </c>
      <c r="Q126" s="14">
        <f t="shared" si="109"/>
        <v>1864.548</v>
      </c>
    </row>
    <row r="127">
      <c r="A127" s="12">
        <v>43179.0</v>
      </c>
      <c r="B127" s="12" t="s">
        <v>2399</v>
      </c>
      <c r="C127" s="1" t="s">
        <v>862</v>
      </c>
      <c r="D127" s="15" t="str">
        <f t="shared" si="2"/>
        <v>Mar</v>
      </c>
      <c r="E127" s="13" t="s">
        <v>20</v>
      </c>
      <c r="F127" s="13" t="s">
        <v>180</v>
      </c>
      <c r="G127" s="13" t="s">
        <v>2623</v>
      </c>
      <c r="H127" s="13" t="s">
        <v>23</v>
      </c>
      <c r="I127" s="13" t="s">
        <v>303</v>
      </c>
      <c r="J127" s="13" t="s">
        <v>169</v>
      </c>
      <c r="K127" s="13" t="s">
        <v>71</v>
      </c>
      <c r="L127" s="13" t="s">
        <v>27</v>
      </c>
      <c r="M127" s="14">
        <v>2.91</v>
      </c>
      <c r="N127" s="14">
        <v>2.17</v>
      </c>
      <c r="O127" s="13">
        <v>4.0</v>
      </c>
      <c r="P127" s="14">
        <f t="shared" ref="P127:Q127" si="110">M127*O127</f>
        <v>11.64</v>
      </c>
      <c r="Q127" s="14">
        <f t="shared" si="110"/>
        <v>25.2588</v>
      </c>
    </row>
    <row r="128">
      <c r="A128" s="12">
        <v>42739.0</v>
      </c>
      <c r="B128" s="12" t="s">
        <v>2353</v>
      </c>
      <c r="C128" s="6">
        <v>42798.0</v>
      </c>
      <c r="D128" s="15" t="str">
        <f t="shared" si="2"/>
        <v>Mar</v>
      </c>
      <c r="E128" s="13" t="s">
        <v>20</v>
      </c>
      <c r="F128" s="13" t="s">
        <v>2624</v>
      </c>
      <c r="G128" s="13" t="s">
        <v>2625</v>
      </c>
      <c r="H128" s="13" t="s">
        <v>23</v>
      </c>
      <c r="I128" s="13" t="s">
        <v>868</v>
      </c>
      <c r="J128" s="13" t="s">
        <v>175</v>
      </c>
      <c r="K128" s="13" t="s">
        <v>100</v>
      </c>
      <c r="L128" s="13" t="s">
        <v>38</v>
      </c>
      <c r="M128" s="14">
        <v>59.52</v>
      </c>
      <c r="N128" s="14">
        <v>58.78</v>
      </c>
      <c r="O128" s="13">
        <v>1.0</v>
      </c>
      <c r="P128" s="14">
        <f t="shared" ref="P128:Q128" si="111">M128*O128</f>
        <v>59.52</v>
      </c>
      <c r="Q128" s="14">
        <f t="shared" si="111"/>
        <v>3498.5856</v>
      </c>
    </row>
    <row r="129">
      <c r="A129" s="12">
        <v>42739.0</v>
      </c>
      <c r="B129" s="12" t="s">
        <v>2353</v>
      </c>
      <c r="C129" s="6">
        <v>42798.0</v>
      </c>
      <c r="D129" s="15" t="str">
        <f t="shared" si="2"/>
        <v>Mar</v>
      </c>
      <c r="E129" s="13" t="s">
        <v>20</v>
      </c>
      <c r="F129" s="13" t="s">
        <v>2624</v>
      </c>
      <c r="G129" s="13" t="s">
        <v>2625</v>
      </c>
      <c r="H129" s="13" t="s">
        <v>23</v>
      </c>
      <c r="I129" s="13" t="s">
        <v>868</v>
      </c>
      <c r="J129" s="13" t="s">
        <v>175</v>
      </c>
      <c r="K129" s="13" t="s">
        <v>100</v>
      </c>
      <c r="L129" s="13" t="s">
        <v>38</v>
      </c>
      <c r="M129" s="14">
        <v>161.94</v>
      </c>
      <c r="N129" s="14">
        <v>161.59</v>
      </c>
      <c r="O129" s="13">
        <v>1.0</v>
      </c>
      <c r="P129" s="14">
        <f t="shared" ref="P129:Q129" si="112">M129*O129</f>
        <v>161.94</v>
      </c>
      <c r="Q129" s="14">
        <f t="shared" si="112"/>
        <v>26167.8846</v>
      </c>
    </row>
    <row r="130">
      <c r="A130" s="12">
        <v>42739.0</v>
      </c>
      <c r="B130" s="12" t="s">
        <v>2353</v>
      </c>
      <c r="C130" s="6">
        <v>42798.0</v>
      </c>
      <c r="D130" s="15" t="str">
        <f t="shared" si="2"/>
        <v>Mar</v>
      </c>
      <c r="E130" s="13" t="s">
        <v>20</v>
      </c>
      <c r="F130" s="13" t="s">
        <v>2624</v>
      </c>
      <c r="G130" s="13" t="s">
        <v>2625</v>
      </c>
      <c r="H130" s="13" t="s">
        <v>23</v>
      </c>
      <c r="I130" s="13" t="s">
        <v>868</v>
      </c>
      <c r="J130" s="13" t="s">
        <v>175</v>
      </c>
      <c r="K130" s="13" t="s">
        <v>100</v>
      </c>
      <c r="L130" s="13" t="s">
        <v>38</v>
      </c>
      <c r="M130" s="14">
        <v>263.88</v>
      </c>
      <c r="N130" s="14">
        <v>263.38</v>
      </c>
      <c r="O130" s="13">
        <v>1.0</v>
      </c>
      <c r="P130" s="14">
        <f t="shared" ref="P130:Q130" si="113">M130*O130</f>
        <v>263.88</v>
      </c>
      <c r="Q130" s="14">
        <f t="shared" si="113"/>
        <v>69500.7144</v>
      </c>
    </row>
    <row r="131">
      <c r="A131" s="12">
        <v>42739.0</v>
      </c>
      <c r="B131" s="12" t="s">
        <v>2353</v>
      </c>
      <c r="C131" s="6">
        <v>42798.0</v>
      </c>
      <c r="D131" s="15" t="str">
        <f t="shared" si="2"/>
        <v>Mar</v>
      </c>
      <c r="E131" s="13" t="s">
        <v>20</v>
      </c>
      <c r="F131" s="13" t="s">
        <v>2624</v>
      </c>
      <c r="G131" s="13" t="s">
        <v>2625</v>
      </c>
      <c r="H131" s="13" t="s">
        <v>23</v>
      </c>
      <c r="I131" s="13" t="s">
        <v>868</v>
      </c>
      <c r="J131" s="13" t="s">
        <v>175</v>
      </c>
      <c r="K131" s="13" t="s">
        <v>100</v>
      </c>
      <c r="L131" s="13" t="s">
        <v>38</v>
      </c>
      <c r="M131" s="14">
        <v>30.48</v>
      </c>
      <c r="N131" s="14">
        <v>30.24</v>
      </c>
      <c r="O131" s="13">
        <v>1.0</v>
      </c>
      <c r="P131" s="14">
        <f t="shared" ref="P131:Q131" si="114">M131*O131</f>
        <v>30.48</v>
      </c>
      <c r="Q131" s="14">
        <f t="shared" si="114"/>
        <v>921.7152</v>
      </c>
    </row>
    <row r="132">
      <c r="A132" s="12">
        <v>42739.0</v>
      </c>
      <c r="B132" s="12" t="s">
        <v>2353</v>
      </c>
      <c r="C132" s="6">
        <v>42798.0</v>
      </c>
      <c r="D132" s="15" t="str">
        <f t="shared" si="2"/>
        <v>Mar</v>
      </c>
      <c r="E132" s="13" t="s">
        <v>20</v>
      </c>
      <c r="F132" s="13" t="s">
        <v>2624</v>
      </c>
      <c r="G132" s="13" t="s">
        <v>2625</v>
      </c>
      <c r="H132" s="13" t="s">
        <v>23</v>
      </c>
      <c r="I132" s="13" t="s">
        <v>868</v>
      </c>
      <c r="J132" s="13" t="s">
        <v>175</v>
      </c>
      <c r="K132" s="13" t="s">
        <v>100</v>
      </c>
      <c r="L132" s="13" t="s">
        <v>38</v>
      </c>
      <c r="M132" s="14">
        <v>9.84</v>
      </c>
      <c r="N132" s="14">
        <v>9.02</v>
      </c>
      <c r="O132" s="13">
        <v>1.0</v>
      </c>
      <c r="P132" s="14">
        <f t="shared" ref="P132:Q132" si="115">M132*O132</f>
        <v>9.84</v>
      </c>
      <c r="Q132" s="14">
        <f t="shared" si="115"/>
        <v>88.7568</v>
      </c>
    </row>
    <row r="133">
      <c r="A133" s="12">
        <v>42739.0</v>
      </c>
      <c r="B133" s="12" t="s">
        <v>2353</v>
      </c>
      <c r="C133" s="6">
        <v>42798.0</v>
      </c>
      <c r="D133" s="15" t="str">
        <f t="shared" si="2"/>
        <v>Mar</v>
      </c>
      <c r="E133" s="13" t="s">
        <v>20</v>
      </c>
      <c r="F133" s="13" t="s">
        <v>2624</v>
      </c>
      <c r="G133" s="13" t="s">
        <v>2625</v>
      </c>
      <c r="H133" s="13" t="s">
        <v>23</v>
      </c>
      <c r="I133" s="13" t="s">
        <v>868</v>
      </c>
      <c r="J133" s="13" t="s">
        <v>175</v>
      </c>
      <c r="K133" s="13" t="s">
        <v>100</v>
      </c>
      <c r="L133" s="13" t="s">
        <v>51</v>
      </c>
      <c r="M133" s="14">
        <v>35.12</v>
      </c>
      <c r="N133" s="14">
        <v>34.27</v>
      </c>
      <c r="O133" s="13">
        <v>1.0</v>
      </c>
      <c r="P133" s="14">
        <f t="shared" ref="P133:Q133" si="116">M133*O133</f>
        <v>35.12</v>
      </c>
      <c r="Q133" s="14">
        <f t="shared" si="116"/>
        <v>1203.5624</v>
      </c>
    </row>
    <row r="134">
      <c r="A134" s="12">
        <v>43085.0</v>
      </c>
      <c r="B134" s="12" t="s">
        <v>2325</v>
      </c>
      <c r="C134" s="1" t="s">
        <v>600</v>
      </c>
      <c r="D134" s="15" t="str">
        <f t="shared" si="2"/>
        <v>Dec</v>
      </c>
      <c r="E134" s="13" t="s">
        <v>20</v>
      </c>
      <c r="F134" s="13" t="s">
        <v>2523</v>
      </c>
      <c r="G134" s="13" t="s">
        <v>2524</v>
      </c>
      <c r="H134" s="13" t="s">
        <v>23</v>
      </c>
      <c r="I134" s="13" t="s">
        <v>188</v>
      </c>
      <c r="J134" s="13" t="s">
        <v>135</v>
      </c>
      <c r="K134" s="13" t="s">
        <v>71</v>
      </c>
      <c r="L134" s="13" t="s">
        <v>38</v>
      </c>
      <c r="M134" s="14">
        <v>4.788</v>
      </c>
      <c r="N134" s="14">
        <v>4.67</v>
      </c>
      <c r="O134" s="13">
        <v>6.0</v>
      </c>
      <c r="P134" s="14">
        <f t="shared" ref="P134:Q134" si="117">M134*O134</f>
        <v>28.728</v>
      </c>
      <c r="Q134" s="14">
        <f t="shared" si="117"/>
        <v>134.15976</v>
      </c>
    </row>
    <row r="135">
      <c r="A135" s="12">
        <v>42258.0</v>
      </c>
      <c r="B135" s="12" t="s">
        <v>2329</v>
      </c>
      <c r="C135" s="5">
        <v>42319.0</v>
      </c>
      <c r="D135" s="15" t="str">
        <f t="shared" si="2"/>
        <v>Nov</v>
      </c>
      <c r="E135" s="13" t="s">
        <v>20</v>
      </c>
      <c r="F135" s="13" t="s">
        <v>2570</v>
      </c>
      <c r="G135" s="13" t="s">
        <v>2634</v>
      </c>
      <c r="H135" s="13" t="s">
        <v>23</v>
      </c>
      <c r="I135" s="13" t="s">
        <v>87</v>
      </c>
      <c r="J135" s="13" t="s">
        <v>52</v>
      </c>
      <c r="K135" s="13" t="s">
        <v>37</v>
      </c>
      <c r="L135" s="13" t="s">
        <v>38</v>
      </c>
      <c r="M135" s="14">
        <v>340.92</v>
      </c>
      <c r="N135" s="14">
        <v>340.43</v>
      </c>
      <c r="O135" s="13">
        <v>9.0</v>
      </c>
      <c r="P135" s="14">
        <f t="shared" ref="P135:Q135" si="118">M135*O135</f>
        <v>3068.28</v>
      </c>
      <c r="Q135" s="14">
        <f t="shared" si="118"/>
        <v>1044534.56</v>
      </c>
    </row>
    <row r="136">
      <c r="A136" s="12">
        <v>42258.0</v>
      </c>
      <c r="B136" s="12" t="s">
        <v>2329</v>
      </c>
      <c r="C136" s="5">
        <v>42319.0</v>
      </c>
      <c r="D136" s="15" t="str">
        <f t="shared" si="2"/>
        <v>Nov</v>
      </c>
      <c r="E136" s="13" t="s">
        <v>20</v>
      </c>
      <c r="F136" s="13" t="s">
        <v>2570</v>
      </c>
      <c r="G136" s="13" t="s">
        <v>2634</v>
      </c>
      <c r="H136" s="13" t="s">
        <v>23</v>
      </c>
      <c r="I136" s="13" t="s">
        <v>87</v>
      </c>
      <c r="J136" s="13" t="s">
        <v>52</v>
      </c>
      <c r="K136" s="13" t="s">
        <v>37</v>
      </c>
      <c r="L136" s="13" t="s">
        <v>27</v>
      </c>
      <c r="M136" s="14">
        <v>222.666</v>
      </c>
      <c r="N136" s="14">
        <v>221.73</v>
      </c>
      <c r="O136" s="13">
        <v>9.0</v>
      </c>
      <c r="P136" s="14">
        <f t="shared" ref="P136:Q136" si="119">M136*O136</f>
        <v>2003.994</v>
      </c>
      <c r="Q136" s="14">
        <f t="shared" si="119"/>
        <v>444345.5896</v>
      </c>
    </row>
    <row r="137">
      <c r="A137" s="12">
        <v>42258.0</v>
      </c>
      <c r="B137" s="12" t="s">
        <v>2329</v>
      </c>
      <c r="C137" s="5">
        <v>42319.0</v>
      </c>
      <c r="D137" s="15" t="str">
        <f t="shared" si="2"/>
        <v>Nov</v>
      </c>
      <c r="E137" s="13" t="s">
        <v>20</v>
      </c>
      <c r="F137" s="13" t="s">
        <v>2570</v>
      </c>
      <c r="G137" s="13" t="s">
        <v>2634</v>
      </c>
      <c r="H137" s="13" t="s">
        <v>23</v>
      </c>
      <c r="I137" s="13" t="s">
        <v>87</v>
      </c>
      <c r="J137" s="13" t="s">
        <v>52</v>
      </c>
      <c r="K137" s="13" t="s">
        <v>37</v>
      </c>
      <c r="L137" s="13" t="s">
        <v>51</v>
      </c>
      <c r="M137" s="14">
        <v>703.968</v>
      </c>
      <c r="N137" s="14">
        <v>703.77</v>
      </c>
      <c r="O137" s="13">
        <v>9.0</v>
      </c>
      <c r="P137" s="14">
        <f t="shared" ref="P137:Q137" si="120">M137*O137</f>
        <v>6335.712</v>
      </c>
      <c r="Q137" s="14">
        <f t="shared" si="120"/>
        <v>4458884.034</v>
      </c>
    </row>
    <row r="138">
      <c r="A138" s="12">
        <v>42258.0</v>
      </c>
      <c r="B138" s="12" t="s">
        <v>2329</v>
      </c>
      <c r="C138" s="5">
        <v>42319.0</v>
      </c>
      <c r="D138" s="15" t="str">
        <f t="shared" si="2"/>
        <v>Nov</v>
      </c>
      <c r="E138" s="13" t="s">
        <v>20</v>
      </c>
      <c r="F138" s="13" t="s">
        <v>2570</v>
      </c>
      <c r="G138" s="13" t="s">
        <v>2634</v>
      </c>
      <c r="H138" s="13" t="s">
        <v>23</v>
      </c>
      <c r="I138" s="13" t="s">
        <v>87</v>
      </c>
      <c r="J138" s="13" t="s">
        <v>52</v>
      </c>
      <c r="K138" s="13" t="s">
        <v>37</v>
      </c>
      <c r="L138" s="13" t="s">
        <v>38</v>
      </c>
      <c r="M138" s="14">
        <v>92.52</v>
      </c>
      <c r="N138" s="14">
        <v>91.76</v>
      </c>
      <c r="O138" s="13">
        <v>9.0</v>
      </c>
      <c r="P138" s="14">
        <f t="shared" ref="P138:Q138" si="121">M138*O138</f>
        <v>832.68</v>
      </c>
      <c r="Q138" s="14">
        <f t="shared" si="121"/>
        <v>76406.7168</v>
      </c>
    </row>
    <row r="139">
      <c r="A139" s="12">
        <v>42258.0</v>
      </c>
      <c r="B139" s="12" t="s">
        <v>2329</v>
      </c>
      <c r="C139" s="5">
        <v>42319.0</v>
      </c>
      <c r="D139" s="15" t="str">
        <f t="shared" si="2"/>
        <v>Nov</v>
      </c>
      <c r="E139" s="13" t="s">
        <v>20</v>
      </c>
      <c r="F139" s="13" t="s">
        <v>2570</v>
      </c>
      <c r="G139" s="13" t="s">
        <v>2634</v>
      </c>
      <c r="H139" s="13" t="s">
        <v>23</v>
      </c>
      <c r="I139" s="13" t="s">
        <v>87</v>
      </c>
      <c r="J139" s="13" t="s">
        <v>52</v>
      </c>
      <c r="K139" s="13" t="s">
        <v>37</v>
      </c>
      <c r="L139" s="13" t="s">
        <v>38</v>
      </c>
      <c r="M139" s="14">
        <v>62.65</v>
      </c>
      <c r="N139" s="14">
        <v>61.71</v>
      </c>
      <c r="O139" s="13">
        <v>9.0</v>
      </c>
      <c r="P139" s="14">
        <f t="shared" ref="P139:Q139" si="122">M139*O139</f>
        <v>563.85</v>
      </c>
      <c r="Q139" s="14">
        <f t="shared" si="122"/>
        <v>34795.1835</v>
      </c>
    </row>
    <row r="140">
      <c r="A140" s="12">
        <v>42258.0</v>
      </c>
      <c r="B140" s="12" t="s">
        <v>2329</v>
      </c>
      <c r="C140" s="5">
        <v>42319.0</v>
      </c>
      <c r="D140" s="15" t="str">
        <f t="shared" si="2"/>
        <v>Nov</v>
      </c>
      <c r="E140" s="13" t="s">
        <v>20</v>
      </c>
      <c r="F140" s="13" t="s">
        <v>2570</v>
      </c>
      <c r="G140" s="13" t="s">
        <v>2634</v>
      </c>
      <c r="H140" s="13" t="s">
        <v>23</v>
      </c>
      <c r="I140" s="13" t="s">
        <v>87</v>
      </c>
      <c r="J140" s="13" t="s">
        <v>52</v>
      </c>
      <c r="K140" s="13" t="s">
        <v>37</v>
      </c>
      <c r="L140" s="13" t="s">
        <v>38</v>
      </c>
      <c r="M140" s="14">
        <v>94.85</v>
      </c>
      <c r="N140" s="14">
        <v>94.19</v>
      </c>
      <c r="O140" s="13">
        <v>9.0</v>
      </c>
      <c r="P140" s="14">
        <f t="shared" ref="P140:Q140" si="123">M140*O140</f>
        <v>853.65</v>
      </c>
      <c r="Q140" s="14">
        <f t="shared" si="123"/>
        <v>80405.2935</v>
      </c>
    </row>
    <row r="141">
      <c r="A141" s="12">
        <v>42253.0</v>
      </c>
      <c r="B141" s="12" t="s">
        <v>2329</v>
      </c>
      <c r="C141" s="1" t="s">
        <v>925</v>
      </c>
      <c r="D141" s="15" t="str">
        <f t="shared" si="2"/>
        <v>Jun</v>
      </c>
      <c r="E141" s="13" t="s">
        <v>20</v>
      </c>
      <c r="F141" s="13" t="s">
        <v>2640</v>
      </c>
      <c r="G141" s="13" t="s">
        <v>2641</v>
      </c>
      <c r="H141" s="13" t="s">
        <v>68</v>
      </c>
      <c r="I141" s="13" t="s">
        <v>928</v>
      </c>
      <c r="J141" s="13" t="s">
        <v>70</v>
      </c>
      <c r="K141" s="13" t="s">
        <v>71</v>
      </c>
      <c r="L141" s="13" t="s">
        <v>51</v>
      </c>
      <c r="M141" s="14">
        <v>7.992</v>
      </c>
      <c r="N141" s="14">
        <v>7.29</v>
      </c>
      <c r="O141" s="13">
        <v>7.0</v>
      </c>
      <c r="P141" s="14">
        <f t="shared" ref="P141:Q141" si="124">M141*O141</f>
        <v>55.944</v>
      </c>
      <c r="Q141" s="14">
        <f t="shared" si="124"/>
        <v>407.83176</v>
      </c>
    </row>
    <row r="142">
      <c r="A142" s="12">
        <v>42253.0</v>
      </c>
      <c r="B142" s="12" t="s">
        <v>2329</v>
      </c>
      <c r="C142" s="1" t="s">
        <v>925</v>
      </c>
      <c r="D142" s="15" t="str">
        <f t="shared" si="2"/>
        <v>Jun</v>
      </c>
      <c r="E142" s="13" t="s">
        <v>20</v>
      </c>
      <c r="F142" s="13" t="s">
        <v>2640</v>
      </c>
      <c r="G142" s="13" t="s">
        <v>2641</v>
      </c>
      <c r="H142" s="13" t="s">
        <v>68</v>
      </c>
      <c r="I142" s="13" t="s">
        <v>928</v>
      </c>
      <c r="J142" s="13" t="s">
        <v>70</v>
      </c>
      <c r="K142" s="13" t="s">
        <v>71</v>
      </c>
      <c r="L142" s="13" t="s">
        <v>51</v>
      </c>
      <c r="M142" s="14">
        <v>63.984</v>
      </c>
      <c r="N142" s="14">
        <v>63.56</v>
      </c>
      <c r="O142" s="13">
        <v>7.0</v>
      </c>
      <c r="P142" s="14">
        <f t="shared" ref="P142:Q142" si="125">M142*O142</f>
        <v>447.888</v>
      </c>
      <c r="Q142" s="14">
        <f t="shared" si="125"/>
        <v>28467.76128</v>
      </c>
    </row>
    <row r="143">
      <c r="A143" s="12">
        <v>42253.0</v>
      </c>
      <c r="B143" s="12" t="s">
        <v>2329</v>
      </c>
      <c r="C143" s="1" t="s">
        <v>925</v>
      </c>
      <c r="D143" s="15" t="str">
        <f t="shared" si="2"/>
        <v>Jun</v>
      </c>
      <c r="E143" s="13" t="s">
        <v>20</v>
      </c>
      <c r="F143" s="13" t="s">
        <v>2640</v>
      </c>
      <c r="G143" s="13" t="s">
        <v>2641</v>
      </c>
      <c r="H143" s="13" t="s">
        <v>68</v>
      </c>
      <c r="I143" s="13" t="s">
        <v>928</v>
      </c>
      <c r="J143" s="13" t="s">
        <v>70</v>
      </c>
      <c r="K143" s="13" t="s">
        <v>71</v>
      </c>
      <c r="L143" s="13" t="s">
        <v>38</v>
      </c>
      <c r="M143" s="14">
        <v>70.368</v>
      </c>
      <c r="N143" s="14">
        <v>69.68</v>
      </c>
      <c r="O143" s="13">
        <v>7.0</v>
      </c>
      <c r="P143" s="14">
        <f t="shared" ref="P143:Q143" si="126">M143*O143</f>
        <v>492.576</v>
      </c>
      <c r="Q143" s="14">
        <f t="shared" si="126"/>
        <v>34322.69568</v>
      </c>
    </row>
    <row r="144">
      <c r="A144" s="12">
        <v>42812.0</v>
      </c>
      <c r="B144" s="12" t="s">
        <v>2399</v>
      </c>
      <c r="C144" s="1" t="s">
        <v>937</v>
      </c>
      <c r="D144" s="15" t="str">
        <f t="shared" si="2"/>
        <v>Mar</v>
      </c>
      <c r="E144" s="13" t="s">
        <v>20</v>
      </c>
      <c r="F144" s="13" t="s">
        <v>2645</v>
      </c>
      <c r="G144" s="13" t="s">
        <v>2646</v>
      </c>
      <c r="H144" s="13" t="s">
        <v>23</v>
      </c>
      <c r="I144" s="13" t="s">
        <v>209</v>
      </c>
      <c r="J144" s="13" t="s">
        <v>210</v>
      </c>
      <c r="K144" s="13" t="s">
        <v>26</v>
      </c>
      <c r="L144" s="13" t="s">
        <v>27</v>
      </c>
      <c r="M144" s="14">
        <v>189.882</v>
      </c>
      <c r="N144" s="14">
        <v>189.64</v>
      </c>
      <c r="O144" s="13">
        <v>3.0</v>
      </c>
      <c r="P144" s="14">
        <f t="shared" ref="P144:Q144" si="127">M144*O144</f>
        <v>569.646</v>
      </c>
      <c r="Q144" s="14">
        <f t="shared" si="127"/>
        <v>108027.6674</v>
      </c>
    </row>
    <row r="145">
      <c r="A145" s="12">
        <v>43445.0</v>
      </c>
      <c r="B145" s="12" t="s">
        <v>2325</v>
      </c>
      <c r="C145" s="1" t="s">
        <v>953</v>
      </c>
      <c r="D145" s="15" t="str">
        <f t="shared" si="2"/>
        <v>Nov</v>
      </c>
      <c r="E145" s="13" t="s">
        <v>20</v>
      </c>
      <c r="F145" s="13" t="s">
        <v>2626</v>
      </c>
      <c r="G145" s="13" t="s">
        <v>2476</v>
      </c>
      <c r="H145" s="13" t="s">
        <v>34</v>
      </c>
      <c r="I145" s="13" t="s">
        <v>174</v>
      </c>
      <c r="J145" s="13" t="s">
        <v>175</v>
      </c>
      <c r="K145" s="13" t="s">
        <v>100</v>
      </c>
      <c r="L145" s="13" t="s">
        <v>38</v>
      </c>
      <c r="M145" s="14">
        <v>15.92</v>
      </c>
      <c r="N145" s="14">
        <v>15.15</v>
      </c>
      <c r="O145" s="13">
        <v>1.0</v>
      </c>
      <c r="P145" s="14">
        <f t="shared" ref="P145:Q145" si="128">M145*O145</f>
        <v>15.92</v>
      </c>
      <c r="Q145" s="14">
        <f t="shared" si="128"/>
        <v>241.188</v>
      </c>
    </row>
    <row r="146">
      <c r="A146" s="12">
        <v>42562.0</v>
      </c>
      <c r="B146" s="12" t="s">
        <v>2348</v>
      </c>
      <c r="C146" s="6">
        <v>42624.0</v>
      </c>
      <c r="D146" s="15" t="str">
        <f t="shared" si="2"/>
        <v>Sep</v>
      </c>
      <c r="E146" s="13" t="s">
        <v>20</v>
      </c>
      <c r="F146" s="13" t="s">
        <v>2388</v>
      </c>
      <c r="G146" s="13" t="s">
        <v>2659</v>
      </c>
      <c r="H146" s="13" t="s">
        <v>34</v>
      </c>
      <c r="I146" s="13" t="s">
        <v>35</v>
      </c>
      <c r="J146" s="13" t="s">
        <v>52</v>
      </c>
      <c r="K146" s="13" t="s">
        <v>37</v>
      </c>
      <c r="L146" s="13" t="s">
        <v>27</v>
      </c>
      <c r="M146" s="14">
        <v>190.72</v>
      </c>
      <c r="N146" s="14">
        <v>190.15</v>
      </c>
      <c r="O146" s="13">
        <v>9.0</v>
      </c>
      <c r="P146" s="14">
        <f t="shared" ref="P146:Q146" si="129">M146*O146</f>
        <v>1716.48</v>
      </c>
      <c r="Q146" s="14">
        <f t="shared" si="129"/>
        <v>326388.672</v>
      </c>
    </row>
    <row r="147">
      <c r="A147" s="12">
        <v>42884.0</v>
      </c>
      <c r="B147" s="12" t="s">
        <v>2335</v>
      </c>
      <c r="C147" s="6">
        <v>42741.0</v>
      </c>
      <c r="D147" s="15" t="str">
        <f t="shared" si="2"/>
        <v>Jan</v>
      </c>
      <c r="E147" s="13" t="s">
        <v>20</v>
      </c>
      <c r="F147" s="13" t="s">
        <v>2661</v>
      </c>
      <c r="G147" s="13" t="s">
        <v>2561</v>
      </c>
      <c r="H147" s="13" t="s">
        <v>23</v>
      </c>
      <c r="I147" s="13" t="s">
        <v>1004</v>
      </c>
      <c r="J147" s="13" t="s">
        <v>220</v>
      </c>
      <c r="K147" s="13" t="s">
        <v>26</v>
      </c>
      <c r="L147" s="13" t="s">
        <v>51</v>
      </c>
      <c r="M147" s="14">
        <v>979.95</v>
      </c>
      <c r="N147" s="14">
        <v>979.35</v>
      </c>
      <c r="O147" s="13">
        <v>3.0</v>
      </c>
      <c r="P147" s="14">
        <f t="shared" ref="P147:Q147" si="130">M147*O147</f>
        <v>2939.85</v>
      </c>
      <c r="Q147" s="14">
        <f t="shared" si="130"/>
        <v>2879142.098</v>
      </c>
    </row>
    <row r="148">
      <c r="A148" s="12">
        <v>42884.0</v>
      </c>
      <c r="B148" s="12" t="s">
        <v>2335</v>
      </c>
      <c r="C148" s="6">
        <v>42741.0</v>
      </c>
      <c r="D148" s="15" t="str">
        <f t="shared" si="2"/>
        <v>Jan</v>
      </c>
      <c r="E148" s="13" t="s">
        <v>20</v>
      </c>
      <c r="F148" s="13" t="s">
        <v>2661</v>
      </c>
      <c r="G148" s="13" t="s">
        <v>2561</v>
      </c>
      <c r="H148" s="13" t="s">
        <v>23</v>
      </c>
      <c r="I148" s="13" t="s">
        <v>1004</v>
      </c>
      <c r="J148" s="13" t="s">
        <v>220</v>
      </c>
      <c r="K148" s="13" t="s">
        <v>26</v>
      </c>
      <c r="L148" s="13" t="s">
        <v>38</v>
      </c>
      <c r="M148" s="14">
        <v>22.75</v>
      </c>
      <c r="N148" s="14">
        <v>22.51</v>
      </c>
      <c r="O148" s="13">
        <v>3.0</v>
      </c>
      <c r="P148" s="14">
        <f t="shared" ref="P148:Q148" si="131">M148*O148</f>
        <v>68.25</v>
      </c>
      <c r="Q148" s="14">
        <f t="shared" si="131"/>
        <v>1536.3075</v>
      </c>
    </row>
    <row r="149">
      <c r="A149" s="12">
        <v>43168.0</v>
      </c>
      <c r="B149" s="12" t="s">
        <v>2399</v>
      </c>
      <c r="C149" s="6">
        <v>43321.0</v>
      </c>
      <c r="D149" s="15" t="str">
        <f t="shared" si="2"/>
        <v>Aug</v>
      </c>
      <c r="E149" s="13" t="s">
        <v>20</v>
      </c>
      <c r="F149" s="13" t="s">
        <v>2351</v>
      </c>
      <c r="G149" s="13" t="s">
        <v>2663</v>
      </c>
      <c r="H149" s="13" t="s">
        <v>23</v>
      </c>
      <c r="I149" s="13" t="s">
        <v>188</v>
      </c>
      <c r="J149" s="13" t="s">
        <v>135</v>
      </c>
      <c r="K149" s="13" t="s">
        <v>71</v>
      </c>
      <c r="L149" s="13" t="s">
        <v>38</v>
      </c>
      <c r="M149" s="14">
        <v>42.616</v>
      </c>
      <c r="N149" s="14">
        <v>41.78</v>
      </c>
      <c r="O149" s="13">
        <v>6.0</v>
      </c>
      <c r="P149" s="14">
        <f t="shared" ref="P149:Q149" si="132">M149*O149</f>
        <v>255.696</v>
      </c>
      <c r="Q149" s="14">
        <f t="shared" si="132"/>
        <v>10682.97888</v>
      </c>
    </row>
    <row r="150">
      <c r="A150" s="12">
        <v>42689.0</v>
      </c>
      <c r="B150" s="12" t="s">
        <v>2326</v>
      </c>
      <c r="C150" s="1" t="s">
        <v>275</v>
      </c>
      <c r="D150" s="15" t="str">
        <f t="shared" si="2"/>
        <v>Nov</v>
      </c>
      <c r="E150" s="13" t="s">
        <v>20</v>
      </c>
      <c r="F150" s="13" t="s">
        <v>2589</v>
      </c>
      <c r="G150" s="13" t="s">
        <v>2590</v>
      </c>
      <c r="H150" s="13" t="s">
        <v>34</v>
      </c>
      <c r="I150" s="13" t="s">
        <v>188</v>
      </c>
      <c r="J150" s="13" t="s">
        <v>135</v>
      </c>
      <c r="K150" s="13" t="s">
        <v>71</v>
      </c>
      <c r="L150" s="13" t="s">
        <v>38</v>
      </c>
      <c r="M150" s="14">
        <v>250.272</v>
      </c>
      <c r="N150" s="14">
        <v>249.83</v>
      </c>
      <c r="O150" s="13">
        <v>6.0</v>
      </c>
      <c r="P150" s="14">
        <f t="shared" ref="P150:Q150" si="133">M150*O150</f>
        <v>1501.632</v>
      </c>
      <c r="Q150" s="14">
        <f t="shared" si="133"/>
        <v>375152.7226</v>
      </c>
    </row>
    <row r="151">
      <c r="A151" s="12">
        <v>42689.0</v>
      </c>
      <c r="B151" s="12" t="s">
        <v>2326</v>
      </c>
      <c r="C151" s="1" t="s">
        <v>275</v>
      </c>
      <c r="D151" s="15" t="str">
        <f t="shared" si="2"/>
        <v>Nov</v>
      </c>
      <c r="E151" s="13" t="s">
        <v>20</v>
      </c>
      <c r="F151" s="13" t="s">
        <v>2589</v>
      </c>
      <c r="G151" s="13" t="s">
        <v>2590</v>
      </c>
      <c r="H151" s="13" t="s">
        <v>34</v>
      </c>
      <c r="I151" s="13" t="s">
        <v>188</v>
      </c>
      <c r="J151" s="13" t="s">
        <v>135</v>
      </c>
      <c r="K151" s="13" t="s">
        <v>71</v>
      </c>
      <c r="L151" s="13" t="s">
        <v>38</v>
      </c>
      <c r="M151" s="14">
        <v>11.364</v>
      </c>
      <c r="N151" s="14">
        <v>10.83</v>
      </c>
      <c r="O151" s="13">
        <v>6.0</v>
      </c>
      <c r="P151" s="14">
        <f t="shared" ref="P151:Q151" si="134">M151*O151</f>
        <v>68.184</v>
      </c>
      <c r="Q151" s="14">
        <f t="shared" si="134"/>
        <v>738.43272</v>
      </c>
    </row>
    <row r="152">
      <c r="A152" s="12">
        <v>42689.0</v>
      </c>
      <c r="B152" s="12" t="s">
        <v>2326</v>
      </c>
      <c r="C152" s="1" t="s">
        <v>275</v>
      </c>
      <c r="D152" s="15" t="str">
        <f t="shared" si="2"/>
        <v>Nov</v>
      </c>
      <c r="E152" s="13" t="s">
        <v>20</v>
      </c>
      <c r="F152" s="13" t="s">
        <v>2589</v>
      </c>
      <c r="G152" s="13" t="s">
        <v>2590</v>
      </c>
      <c r="H152" s="13" t="s">
        <v>34</v>
      </c>
      <c r="I152" s="13" t="s">
        <v>188</v>
      </c>
      <c r="J152" s="13" t="s">
        <v>135</v>
      </c>
      <c r="K152" s="13" t="s">
        <v>71</v>
      </c>
      <c r="L152" s="13" t="s">
        <v>38</v>
      </c>
      <c r="M152" s="14">
        <v>8.72</v>
      </c>
      <c r="N152" s="14">
        <v>7.76</v>
      </c>
      <c r="O152" s="13">
        <v>6.0</v>
      </c>
      <c r="P152" s="14">
        <f t="shared" ref="P152:Q152" si="135">M152*O152</f>
        <v>52.32</v>
      </c>
      <c r="Q152" s="14">
        <f t="shared" si="135"/>
        <v>406.0032</v>
      </c>
    </row>
    <row r="153">
      <c r="A153" s="12">
        <v>42840.0</v>
      </c>
      <c r="B153" s="12" t="s">
        <v>2332</v>
      </c>
      <c r="C153" s="1" t="s">
        <v>1035</v>
      </c>
      <c r="D153" s="15" t="str">
        <f t="shared" si="2"/>
        <v>Apr</v>
      </c>
      <c r="E153" s="13" t="s">
        <v>20</v>
      </c>
      <c r="F153" s="13" t="s">
        <v>2670</v>
      </c>
      <c r="G153" s="13" t="s">
        <v>2345</v>
      </c>
      <c r="H153" s="13" t="s">
        <v>23</v>
      </c>
      <c r="I153" s="13" t="s">
        <v>87</v>
      </c>
      <c r="J153" s="13" t="s">
        <v>52</v>
      </c>
      <c r="K153" s="13" t="s">
        <v>37</v>
      </c>
      <c r="L153" s="13" t="s">
        <v>27</v>
      </c>
      <c r="M153" s="14">
        <v>1121.568</v>
      </c>
      <c r="N153" s="14">
        <v>1120.83</v>
      </c>
      <c r="O153" s="13">
        <v>9.0</v>
      </c>
      <c r="P153" s="14">
        <f t="shared" ref="P153:Q153" si="136">M153*O153</f>
        <v>10094.112</v>
      </c>
      <c r="Q153" s="14">
        <f t="shared" si="136"/>
        <v>11313783.55</v>
      </c>
    </row>
    <row r="154">
      <c r="A154" s="12">
        <v>43280.0</v>
      </c>
      <c r="B154" s="12" t="s">
        <v>2374</v>
      </c>
      <c r="C154" s="6">
        <v>43166.0</v>
      </c>
      <c r="D154" s="15" t="str">
        <f t="shared" si="2"/>
        <v>Mar</v>
      </c>
      <c r="E154" s="13" t="s">
        <v>20</v>
      </c>
      <c r="F154" s="13" t="s">
        <v>2589</v>
      </c>
      <c r="G154" s="13" t="s">
        <v>2590</v>
      </c>
      <c r="H154" s="13" t="s">
        <v>34</v>
      </c>
      <c r="I154" s="13" t="s">
        <v>1043</v>
      </c>
      <c r="J154" s="13" t="s">
        <v>52</v>
      </c>
      <c r="K154" s="13" t="s">
        <v>37</v>
      </c>
      <c r="L154" s="13" t="s">
        <v>38</v>
      </c>
      <c r="M154" s="14">
        <v>1295.78</v>
      </c>
      <c r="N154" s="14">
        <v>1295.24</v>
      </c>
      <c r="O154" s="13">
        <v>9.0</v>
      </c>
      <c r="P154" s="14">
        <f t="shared" ref="P154:Q154" si="137">M154*O154</f>
        <v>11662.02</v>
      </c>
      <c r="Q154" s="14">
        <f t="shared" si="137"/>
        <v>15105114.78</v>
      </c>
    </row>
    <row r="155">
      <c r="A155" s="12">
        <v>42066.0</v>
      </c>
      <c r="B155" s="12" t="s">
        <v>2399</v>
      </c>
      <c r="C155" s="6">
        <v>42188.0</v>
      </c>
      <c r="D155" s="15" t="str">
        <f t="shared" si="2"/>
        <v>Jul</v>
      </c>
      <c r="E155" s="13" t="s">
        <v>20</v>
      </c>
      <c r="F155" s="13" t="s">
        <v>2671</v>
      </c>
      <c r="G155" s="13" t="s">
        <v>2672</v>
      </c>
      <c r="H155" s="13" t="s">
        <v>23</v>
      </c>
      <c r="I155" s="13" t="s">
        <v>315</v>
      </c>
      <c r="J155" s="13" t="s">
        <v>58</v>
      </c>
      <c r="K155" s="13" t="s">
        <v>26</v>
      </c>
      <c r="L155" s="13" t="s">
        <v>38</v>
      </c>
      <c r="M155" s="14">
        <v>19.456</v>
      </c>
      <c r="N155" s="14">
        <v>18.87</v>
      </c>
      <c r="O155" s="13">
        <v>2.0</v>
      </c>
      <c r="P155" s="14">
        <f t="shared" ref="P155:Q155" si="138">M155*O155</f>
        <v>38.912</v>
      </c>
      <c r="Q155" s="14">
        <f t="shared" si="138"/>
        <v>734.26944</v>
      </c>
    </row>
    <row r="156">
      <c r="A156" s="12">
        <v>43424.0</v>
      </c>
      <c r="B156" s="12" t="s">
        <v>2326</v>
      </c>
      <c r="C156" s="1" t="s">
        <v>1030</v>
      </c>
      <c r="D156" s="15" t="str">
        <f t="shared" si="2"/>
        <v>Nov</v>
      </c>
      <c r="E156" s="13" t="s">
        <v>20</v>
      </c>
      <c r="F156" s="13" t="s">
        <v>2666</v>
      </c>
      <c r="G156" s="13" t="s">
        <v>2675</v>
      </c>
      <c r="H156" s="13" t="s">
        <v>23</v>
      </c>
      <c r="I156" s="13" t="s">
        <v>87</v>
      </c>
      <c r="J156" s="13" t="s">
        <v>52</v>
      </c>
      <c r="K156" s="13" t="s">
        <v>37</v>
      </c>
      <c r="L156" s="13" t="s">
        <v>27</v>
      </c>
      <c r="M156" s="14">
        <v>42.6</v>
      </c>
      <c r="N156" s="14">
        <v>41.71</v>
      </c>
      <c r="O156" s="13">
        <v>9.0</v>
      </c>
      <c r="P156" s="14">
        <f t="shared" ref="P156:Q156" si="139">M156*O156</f>
        <v>383.4</v>
      </c>
      <c r="Q156" s="14">
        <f t="shared" si="139"/>
        <v>15991.614</v>
      </c>
    </row>
    <row r="157">
      <c r="A157" s="12">
        <v>43424.0</v>
      </c>
      <c r="B157" s="12" t="s">
        <v>2326</v>
      </c>
      <c r="C157" s="1" t="s">
        <v>1030</v>
      </c>
      <c r="D157" s="15" t="str">
        <f t="shared" si="2"/>
        <v>Nov</v>
      </c>
      <c r="E157" s="13" t="s">
        <v>20</v>
      </c>
      <c r="F157" s="13" t="s">
        <v>2666</v>
      </c>
      <c r="G157" s="13" t="s">
        <v>2675</v>
      </c>
      <c r="H157" s="13" t="s">
        <v>23</v>
      </c>
      <c r="I157" s="13" t="s">
        <v>87</v>
      </c>
      <c r="J157" s="13" t="s">
        <v>52</v>
      </c>
      <c r="K157" s="13" t="s">
        <v>37</v>
      </c>
      <c r="L157" s="13" t="s">
        <v>38</v>
      </c>
      <c r="M157" s="14">
        <v>84.056</v>
      </c>
      <c r="N157" s="14">
        <v>83.54</v>
      </c>
      <c r="O157" s="13">
        <v>9.0</v>
      </c>
      <c r="P157" s="14">
        <f t="shared" ref="P157:Q157" si="140">M157*O157</f>
        <v>756.504</v>
      </c>
      <c r="Q157" s="14">
        <f t="shared" si="140"/>
        <v>63198.34416</v>
      </c>
    </row>
    <row r="158">
      <c r="A158" s="12">
        <v>42261.0</v>
      </c>
      <c r="B158" s="12" t="s">
        <v>2329</v>
      </c>
      <c r="C158" s="1" t="s">
        <v>1054</v>
      </c>
      <c r="D158" s="15" t="str">
        <f t="shared" si="2"/>
        <v>Sep</v>
      </c>
      <c r="E158" s="13" t="s">
        <v>20</v>
      </c>
      <c r="F158" s="13" t="s">
        <v>2425</v>
      </c>
      <c r="G158" s="13" t="s">
        <v>2676</v>
      </c>
      <c r="H158" s="13" t="s">
        <v>23</v>
      </c>
      <c r="I158" s="13" t="s">
        <v>522</v>
      </c>
      <c r="J158" s="13" t="s">
        <v>145</v>
      </c>
      <c r="K158" s="13" t="s">
        <v>26</v>
      </c>
      <c r="L158" s="13" t="s">
        <v>38</v>
      </c>
      <c r="M158" s="14">
        <v>13.0</v>
      </c>
      <c r="N158" s="14">
        <v>12.2</v>
      </c>
      <c r="O158" s="13">
        <v>3.0</v>
      </c>
      <c r="P158" s="14">
        <f t="shared" ref="P158:Q158" si="141">M158*O158</f>
        <v>39</v>
      </c>
      <c r="Q158" s="14">
        <f t="shared" si="141"/>
        <v>475.8</v>
      </c>
    </row>
    <row r="159">
      <c r="A159" s="12">
        <v>42261.0</v>
      </c>
      <c r="B159" s="12" t="s">
        <v>2329</v>
      </c>
      <c r="C159" s="1" t="s">
        <v>1054</v>
      </c>
      <c r="D159" s="15" t="str">
        <f t="shared" si="2"/>
        <v>Sep</v>
      </c>
      <c r="E159" s="13" t="s">
        <v>20</v>
      </c>
      <c r="F159" s="13" t="s">
        <v>2425</v>
      </c>
      <c r="G159" s="13" t="s">
        <v>2676</v>
      </c>
      <c r="H159" s="13" t="s">
        <v>23</v>
      </c>
      <c r="I159" s="13" t="s">
        <v>522</v>
      </c>
      <c r="J159" s="13" t="s">
        <v>145</v>
      </c>
      <c r="K159" s="13" t="s">
        <v>26</v>
      </c>
      <c r="L159" s="13" t="s">
        <v>27</v>
      </c>
      <c r="M159" s="14">
        <v>13.128</v>
      </c>
      <c r="N159" s="14">
        <v>13.05</v>
      </c>
      <c r="O159" s="13">
        <v>3.0</v>
      </c>
      <c r="P159" s="14">
        <f t="shared" ref="P159:Q159" si="142">M159*O159</f>
        <v>39.384</v>
      </c>
      <c r="Q159" s="14">
        <f t="shared" si="142"/>
        <v>513.9612</v>
      </c>
    </row>
    <row r="160">
      <c r="A160" s="12">
        <v>42631.0</v>
      </c>
      <c r="B160" s="12" t="s">
        <v>2329</v>
      </c>
      <c r="C160" s="1" t="s">
        <v>1074</v>
      </c>
      <c r="D160" s="15" t="str">
        <f t="shared" si="2"/>
        <v>Sep</v>
      </c>
      <c r="E160" s="13" t="s">
        <v>20</v>
      </c>
      <c r="F160" s="13" t="s">
        <v>2682</v>
      </c>
      <c r="G160" s="13" t="s">
        <v>2683</v>
      </c>
      <c r="H160" s="13" t="s">
        <v>23</v>
      </c>
      <c r="I160" s="13" t="s">
        <v>654</v>
      </c>
      <c r="J160" s="13" t="s">
        <v>52</v>
      </c>
      <c r="K160" s="13" t="s">
        <v>37</v>
      </c>
      <c r="L160" s="13" t="s">
        <v>38</v>
      </c>
      <c r="M160" s="14">
        <v>160.72</v>
      </c>
      <c r="N160" s="14">
        <v>160.1</v>
      </c>
      <c r="O160" s="13">
        <v>9.0</v>
      </c>
      <c r="P160" s="14">
        <f t="shared" ref="P160:Q160" si="143">M160*O160</f>
        <v>1446.48</v>
      </c>
      <c r="Q160" s="14">
        <f t="shared" si="143"/>
        <v>231581.448</v>
      </c>
    </row>
    <row r="161">
      <c r="A161" s="12">
        <v>42631.0</v>
      </c>
      <c r="B161" s="12" t="s">
        <v>2329</v>
      </c>
      <c r="C161" s="1" t="s">
        <v>1074</v>
      </c>
      <c r="D161" s="15" t="str">
        <f t="shared" si="2"/>
        <v>Sep</v>
      </c>
      <c r="E161" s="13" t="s">
        <v>20</v>
      </c>
      <c r="F161" s="13" t="s">
        <v>2682</v>
      </c>
      <c r="G161" s="13" t="s">
        <v>2683</v>
      </c>
      <c r="H161" s="13" t="s">
        <v>23</v>
      </c>
      <c r="I161" s="13" t="s">
        <v>654</v>
      </c>
      <c r="J161" s="13" t="s">
        <v>52</v>
      </c>
      <c r="K161" s="13" t="s">
        <v>37</v>
      </c>
      <c r="L161" s="13" t="s">
        <v>38</v>
      </c>
      <c r="M161" s="14">
        <v>19.92</v>
      </c>
      <c r="N161" s="14">
        <v>19.4</v>
      </c>
      <c r="O161" s="13">
        <v>9.0</v>
      </c>
      <c r="P161" s="14">
        <f t="shared" ref="P161:Q161" si="144">M161*O161</f>
        <v>179.28</v>
      </c>
      <c r="Q161" s="14">
        <f t="shared" si="144"/>
        <v>3478.032</v>
      </c>
    </row>
    <row r="162">
      <c r="A162" s="12">
        <v>42631.0</v>
      </c>
      <c r="B162" s="12" t="s">
        <v>2329</v>
      </c>
      <c r="C162" s="1" t="s">
        <v>1074</v>
      </c>
      <c r="D162" s="15" t="str">
        <f t="shared" si="2"/>
        <v>Sep</v>
      </c>
      <c r="E162" s="13" t="s">
        <v>20</v>
      </c>
      <c r="F162" s="13" t="s">
        <v>2682</v>
      </c>
      <c r="G162" s="13" t="s">
        <v>2683</v>
      </c>
      <c r="H162" s="13" t="s">
        <v>23</v>
      </c>
      <c r="I162" s="13" t="s">
        <v>654</v>
      </c>
      <c r="J162" s="13" t="s">
        <v>52</v>
      </c>
      <c r="K162" s="13" t="s">
        <v>37</v>
      </c>
      <c r="L162" s="13" t="s">
        <v>38</v>
      </c>
      <c r="M162" s="14">
        <v>7.3</v>
      </c>
      <c r="N162" s="14">
        <v>6.4</v>
      </c>
      <c r="O162" s="13">
        <v>9.0</v>
      </c>
      <c r="P162" s="14">
        <f t="shared" ref="P162:Q162" si="145">M162*O162</f>
        <v>65.7</v>
      </c>
      <c r="Q162" s="14">
        <f t="shared" si="145"/>
        <v>420.48</v>
      </c>
    </row>
    <row r="163">
      <c r="A163" s="12">
        <v>43048.0</v>
      </c>
      <c r="B163" s="12" t="s">
        <v>2326</v>
      </c>
      <c r="C163" s="1" t="s">
        <v>1124</v>
      </c>
      <c r="D163" s="15" t="str">
        <f t="shared" si="2"/>
        <v>Sep</v>
      </c>
      <c r="E163" s="13" t="s">
        <v>20</v>
      </c>
      <c r="F163" s="13" t="s">
        <v>2701</v>
      </c>
      <c r="G163" s="13" t="s">
        <v>2702</v>
      </c>
      <c r="H163" s="13" t="s">
        <v>34</v>
      </c>
      <c r="I163" s="13" t="s">
        <v>98</v>
      </c>
      <c r="J163" s="13" t="s">
        <v>99</v>
      </c>
      <c r="K163" s="13" t="s">
        <v>100</v>
      </c>
      <c r="L163" s="13" t="s">
        <v>38</v>
      </c>
      <c r="M163" s="14">
        <v>8.448</v>
      </c>
      <c r="N163" s="14">
        <v>7.49</v>
      </c>
      <c r="O163" s="13">
        <v>1.0</v>
      </c>
      <c r="P163" s="14">
        <f t="shared" ref="P163:Q163" si="146">M163*O163</f>
        <v>8.448</v>
      </c>
      <c r="Q163" s="14">
        <f t="shared" si="146"/>
        <v>63.27552</v>
      </c>
    </row>
    <row r="164">
      <c r="A164" s="12">
        <v>43048.0</v>
      </c>
      <c r="B164" s="12" t="s">
        <v>2326</v>
      </c>
      <c r="C164" s="1" t="s">
        <v>1124</v>
      </c>
      <c r="D164" s="15" t="str">
        <f t="shared" si="2"/>
        <v>Sep</v>
      </c>
      <c r="E164" s="13" t="s">
        <v>20</v>
      </c>
      <c r="F164" s="13" t="s">
        <v>2701</v>
      </c>
      <c r="G164" s="13" t="s">
        <v>2702</v>
      </c>
      <c r="H164" s="13" t="s">
        <v>34</v>
      </c>
      <c r="I164" s="13" t="s">
        <v>98</v>
      </c>
      <c r="J164" s="13" t="s">
        <v>99</v>
      </c>
      <c r="K164" s="13" t="s">
        <v>100</v>
      </c>
      <c r="L164" s="13" t="s">
        <v>51</v>
      </c>
      <c r="M164" s="14">
        <v>728.946</v>
      </c>
      <c r="N164" s="14">
        <v>727.99</v>
      </c>
      <c r="O164" s="13">
        <v>1.0</v>
      </c>
      <c r="P164" s="14">
        <f t="shared" ref="P164:Q164" si="147">M164*O164</f>
        <v>728.946</v>
      </c>
      <c r="Q164" s="14">
        <f t="shared" si="147"/>
        <v>530665.3985</v>
      </c>
    </row>
    <row r="165">
      <c r="A165" s="12">
        <v>43418.0</v>
      </c>
      <c r="B165" s="12" t="s">
        <v>2326</v>
      </c>
      <c r="C165" s="1" t="s">
        <v>1128</v>
      </c>
      <c r="D165" s="15" t="str">
        <f t="shared" si="2"/>
        <v>Nov</v>
      </c>
      <c r="E165" s="13" t="s">
        <v>20</v>
      </c>
      <c r="F165" s="13" t="s">
        <v>2703</v>
      </c>
      <c r="G165" s="13" t="s">
        <v>2704</v>
      </c>
      <c r="H165" s="13" t="s">
        <v>23</v>
      </c>
      <c r="I165" s="13" t="s">
        <v>1131</v>
      </c>
      <c r="J165" s="13" t="s">
        <v>304</v>
      </c>
      <c r="K165" s="13" t="s">
        <v>100</v>
      </c>
      <c r="L165" s="13" t="s">
        <v>51</v>
      </c>
      <c r="M165" s="14">
        <v>119.94</v>
      </c>
      <c r="N165" s="14">
        <v>119.72</v>
      </c>
      <c r="O165" s="13">
        <v>4.0</v>
      </c>
      <c r="P165" s="14">
        <f t="shared" ref="P165:Q165" si="148">M165*O165</f>
        <v>479.76</v>
      </c>
      <c r="Q165" s="14">
        <f t="shared" si="148"/>
        <v>57436.8672</v>
      </c>
    </row>
    <row r="166">
      <c r="A166" s="12">
        <v>43418.0</v>
      </c>
      <c r="B166" s="12" t="s">
        <v>2326</v>
      </c>
      <c r="C166" s="1" t="s">
        <v>1128</v>
      </c>
      <c r="D166" s="15" t="str">
        <f t="shared" si="2"/>
        <v>Nov</v>
      </c>
      <c r="E166" s="13" t="s">
        <v>20</v>
      </c>
      <c r="F166" s="13" t="s">
        <v>2703</v>
      </c>
      <c r="G166" s="13" t="s">
        <v>2704</v>
      </c>
      <c r="H166" s="13" t="s">
        <v>23</v>
      </c>
      <c r="I166" s="13" t="s">
        <v>1131</v>
      </c>
      <c r="J166" s="13" t="s">
        <v>304</v>
      </c>
      <c r="K166" s="13" t="s">
        <v>100</v>
      </c>
      <c r="L166" s="13" t="s">
        <v>38</v>
      </c>
      <c r="M166" s="14">
        <v>3.648</v>
      </c>
      <c r="N166" s="14">
        <v>2.81</v>
      </c>
      <c r="O166" s="13">
        <v>4.0</v>
      </c>
      <c r="P166" s="14">
        <f t="shared" ref="P166:Q166" si="149">M166*O166</f>
        <v>14.592</v>
      </c>
      <c r="Q166" s="14">
        <f t="shared" si="149"/>
        <v>41.00352</v>
      </c>
    </row>
    <row r="167">
      <c r="A167" s="12">
        <v>43330.0</v>
      </c>
      <c r="B167" s="12" t="s">
        <v>2322</v>
      </c>
      <c r="C167" s="1" t="s">
        <v>824</v>
      </c>
      <c r="D167" s="15" t="str">
        <f t="shared" si="2"/>
        <v>Aug</v>
      </c>
      <c r="E167" s="13" t="s">
        <v>20</v>
      </c>
      <c r="F167" s="13" t="s">
        <v>2705</v>
      </c>
      <c r="G167" s="13" t="s">
        <v>2706</v>
      </c>
      <c r="H167" s="13" t="s">
        <v>34</v>
      </c>
      <c r="I167" s="13" t="s">
        <v>174</v>
      </c>
      <c r="J167" s="13" t="s">
        <v>175</v>
      </c>
      <c r="K167" s="13" t="s">
        <v>100</v>
      </c>
      <c r="L167" s="13" t="s">
        <v>27</v>
      </c>
      <c r="M167" s="14">
        <v>40.48</v>
      </c>
      <c r="N167" s="14">
        <v>40.35</v>
      </c>
      <c r="O167" s="13">
        <v>1.0</v>
      </c>
      <c r="P167" s="14">
        <f t="shared" ref="P167:Q167" si="150">M167*O167</f>
        <v>40.48</v>
      </c>
      <c r="Q167" s="14">
        <f t="shared" si="150"/>
        <v>1633.368</v>
      </c>
    </row>
    <row r="168">
      <c r="A168" s="12">
        <v>43330.0</v>
      </c>
      <c r="B168" s="12" t="s">
        <v>2322</v>
      </c>
      <c r="C168" s="1" t="s">
        <v>824</v>
      </c>
      <c r="D168" s="15" t="str">
        <f t="shared" si="2"/>
        <v>Aug</v>
      </c>
      <c r="E168" s="13" t="s">
        <v>20</v>
      </c>
      <c r="F168" s="13" t="s">
        <v>2705</v>
      </c>
      <c r="G168" s="13" t="s">
        <v>2706</v>
      </c>
      <c r="H168" s="13" t="s">
        <v>34</v>
      </c>
      <c r="I168" s="13" t="s">
        <v>174</v>
      </c>
      <c r="J168" s="13" t="s">
        <v>175</v>
      </c>
      <c r="K168" s="13" t="s">
        <v>100</v>
      </c>
      <c r="L168" s="13" t="s">
        <v>27</v>
      </c>
      <c r="M168" s="14">
        <v>9.94</v>
      </c>
      <c r="N168" s="14">
        <v>9.42</v>
      </c>
      <c r="O168" s="13">
        <v>1.0</v>
      </c>
      <c r="P168" s="14">
        <f t="shared" ref="P168:Q168" si="151">M168*O168</f>
        <v>9.94</v>
      </c>
      <c r="Q168" s="14">
        <f t="shared" si="151"/>
        <v>93.6348</v>
      </c>
    </row>
    <row r="169">
      <c r="A169" s="12">
        <v>43330.0</v>
      </c>
      <c r="B169" s="12" t="s">
        <v>2322</v>
      </c>
      <c r="C169" s="1" t="s">
        <v>824</v>
      </c>
      <c r="D169" s="15" t="str">
        <f t="shared" si="2"/>
        <v>Aug</v>
      </c>
      <c r="E169" s="13" t="s">
        <v>20</v>
      </c>
      <c r="F169" s="13" t="s">
        <v>2705</v>
      </c>
      <c r="G169" s="13" t="s">
        <v>2706</v>
      </c>
      <c r="H169" s="13" t="s">
        <v>34</v>
      </c>
      <c r="I169" s="13" t="s">
        <v>174</v>
      </c>
      <c r="J169" s="13" t="s">
        <v>175</v>
      </c>
      <c r="K169" s="13" t="s">
        <v>100</v>
      </c>
      <c r="L169" s="13" t="s">
        <v>38</v>
      </c>
      <c r="M169" s="14">
        <v>107.424</v>
      </c>
      <c r="N169" s="14">
        <v>107.26</v>
      </c>
      <c r="O169" s="13">
        <v>1.0</v>
      </c>
      <c r="P169" s="14">
        <f t="shared" ref="P169:Q169" si="152">M169*O169</f>
        <v>107.424</v>
      </c>
      <c r="Q169" s="14">
        <f t="shared" si="152"/>
        <v>11522.29824</v>
      </c>
    </row>
    <row r="170">
      <c r="A170" s="12">
        <v>43330.0</v>
      </c>
      <c r="B170" s="12" t="s">
        <v>2322</v>
      </c>
      <c r="C170" s="1" t="s">
        <v>824</v>
      </c>
      <c r="D170" s="15" t="str">
        <f t="shared" si="2"/>
        <v>Aug</v>
      </c>
      <c r="E170" s="13" t="s">
        <v>20</v>
      </c>
      <c r="F170" s="13" t="s">
        <v>2705</v>
      </c>
      <c r="G170" s="13" t="s">
        <v>2706</v>
      </c>
      <c r="H170" s="13" t="s">
        <v>34</v>
      </c>
      <c r="I170" s="13" t="s">
        <v>174</v>
      </c>
      <c r="J170" s="13" t="s">
        <v>175</v>
      </c>
      <c r="K170" s="13" t="s">
        <v>100</v>
      </c>
      <c r="L170" s="13" t="s">
        <v>51</v>
      </c>
      <c r="M170" s="14">
        <v>37.91</v>
      </c>
      <c r="N170" s="14">
        <v>37.76</v>
      </c>
      <c r="O170" s="13">
        <v>1.0</v>
      </c>
      <c r="P170" s="14">
        <f t="shared" ref="P170:Q170" si="153">M170*O170</f>
        <v>37.91</v>
      </c>
      <c r="Q170" s="14">
        <f t="shared" si="153"/>
        <v>1431.4816</v>
      </c>
    </row>
    <row r="171">
      <c r="A171" s="12">
        <v>43330.0</v>
      </c>
      <c r="B171" s="12" t="s">
        <v>2322</v>
      </c>
      <c r="C171" s="1" t="s">
        <v>824</v>
      </c>
      <c r="D171" s="15" t="str">
        <f t="shared" si="2"/>
        <v>Aug</v>
      </c>
      <c r="E171" s="13" t="s">
        <v>20</v>
      </c>
      <c r="F171" s="13" t="s">
        <v>2705</v>
      </c>
      <c r="G171" s="13" t="s">
        <v>2706</v>
      </c>
      <c r="H171" s="13" t="s">
        <v>34</v>
      </c>
      <c r="I171" s="13" t="s">
        <v>174</v>
      </c>
      <c r="J171" s="13" t="s">
        <v>175</v>
      </c>
      <c r="K171" s="13" t="s">
        <v>100</v>
      </c>
      <c r="L171" s="13" t="s">
        <v>27</v>
      </c>
      <c r="M171" s="14">
        <v>88.02</v>
      </c>
      <c r="N171" s="14">
        <v>87.89</v>
      </c>
      <c r="O171" s="13">
        <v>1.0</v>
      </c>
      <c r="P171" s="14">
        <f t="shared" ref="P171:Q171" si="154">M171*O171</f>
        <v>88.02</v>
      </c>
      <c r="Q171" s="14">
        <f t="shared" si="154"/>
        <v>7736.0778</v>
      </c>
    </row>
    <row r="172">
      <c r="A172" s="12">
        <v>43051.0</v>
      </c>
      <c r="B172" s="12" t="s">
        <v>2326</v>
      </c>
      <c r="C172" s="1" t="s">
        <v>89</v>
      </c>
      <c r="D172" s="15" t="str">
        <f t="shared" si="2"/>
        <v>Dec</v>
      </c>
      <c r="E172" s="13" t="s">
        <v>20</v>
      </c>
      <c r="F172" s="13" t="s">
        <v>2494</v>
      </c>
      <c r="G172" s="13" t="s">
        <v>2715</v>
      </c>
      <c r="H172" s="13" t="s">
        <v>23</v>
      </c>
      <c r="I172" s="13" t="s">
        <v>278</v>
      </c>
      <c r="J172" s="13" t="s">
        <v>279</v>
      </c>
      <c r="K172" s="13" t="s">
        <v>37</v>
      </c>
      <c r="L172" s="13" t="s">
        <v>38</v>
      </c>
      <c r="M172" s="14">
        <v>243.384</v>
      </c>
      <c r="N172" s="14">
        <v>242.8</v>
      </c>
      <c r="O172" s="13">
        <v>8.0</v>
      </c>
      <c r="P172" s="14">
        <f t="shared" ref="P172:Q172" si="155">M172*O172</f>
        <v>1947.072</v>
      </c>
      <c r="Q172" s="14">
        <f t="shared" si="155"/>
        <v>472749.0816</v>
      </c>
    </row>
    <row r="173">
      <c r="A173" s="12">
        <v>43051.0</v>
      </c>
      <c r="B173" s="12" t="s">
        <v>2326</v>
      </c>
      <c r="C173" s="1" t="s">
        <v>89</v>
      </c>
      <c r="D173" s="15" t="str">
        <f t="shared" si="2"/>
        <v>Dec</v>
      </c>
      <c r="E173" s="13" t="s">
        <v>20</v>
      </c>
      <c r="F173" s="13" t="s">
        <v>2494</v>
      </c>
      <c r="G173" s="13" t="s">
        <v>2715</v>
      </c>
      <c r="H173" s="13" t="s">
        <v>23</v>
      </c>
      <c r="I173" s="13" t="s">
        <v>278</v>
      </c>
      <c r="J173" s="13" t="s">
        <v>279</v>
      </c>
      <c r="K173" s="13" t="s">
        <v>37</v>
      </c>
      <c r="L173" s="13" t="s">
        <v>51</v>
      </c>
      <c r="M173" s="14">
        <v>119.8</v>
      </c>
      <c r="N173" s="14">
        <v>119.49</v>
      </c>
      <c r="O173" s="13">
        <v>8.0</v>
      </c>
      <c r="P173" s="14">
        <f t="shared" ref="P173:Q173" si="156">M173*O173</f>
        <v>958.4</v>
      </c>
      <c r="Q173" s="14">
        <f t="shared" si="156"/>
        <v>114519.216</v>
      </c>
    </row>
    <row r="174">
      <c r="A174" s="12">
        <v>43051.0</v>
      </c>
      <c r="B174" s="12" t="s">
        <v>2326</v>
      </c>
      <c r="C174" s="1" t="s">
        <v>89</v>
      </c>
      <c r="D174" s="15" t="str">
        <f t="shared" si="2"/>
        <v>Dec</v>
      </c>
      <c r="E174" s="13" t="s">
        <v>20</v>
      </c>
      <c r="F174" s="13" t="s">
        <v>2494</v>
      </c>
      <c r="G174" s="13" t="s">
        <v>2715</v>
      </c>
      <c r="H174" s="13" t="s">
        <v>23</v>
      </c>
      <c r="I174" s="13" t="s">
        <v>278</v>
      </c>
      <c r="J174" s="13" t="s">
        <v>279</v>
      </c>
      <c r="K174" s="13" t="s">
        <v>37</v>
      </c>
      <c r="L174" s="13" t="s">
        <v>51</v>
      </c>
      <c r="M174" s="14">
        <v>300.768</v>
      </c>
      <c r="N174" s="14">
        <v>300.09</v>
      </c>
      <c r="O174" s="13">
        <v>8.0</v>
      </c>
      <c r="P174" s="14">
        <f t="shared" ref="P174:Q174" si="157">M174*O174</f>
        <v>2406.144</v>
      </c>
      <c r="Q174" s="14">
        <f t="shared" si="157"/>
        <v>722059.753</v>
      </c>
    </row>
    <row r="175">
      <c r="A175" s="12">
        <v>43367.0</v>
      </c>
      <c r="B175" s="12" t="s">
        <v>2329</v>
      </c>
      <c r="C175" s="1" t="s">
        <v>1155</v>
      </c>
      <c r="D175" s="15" t="str">
        <f t="shared" si="2"/>
        <v>Sep</v>
      </c>
      <c r="E175" s="13" t="s">
        <v>20</v>
      </c>
      <c r="F175" s="13" t="s">
        <v>2655</v>
      </c>
      <c r="G175" s="13" t="s">
        <v>2567</v>
      </c>
      <c r="H175" s="13" t="s">
        <v>23</v>
      </c>
      <c r="I175" s="13" t="s">
        <v>791</v>
      </c>
      <c r="J175" s="13" t="s">
        <v>145</v>
      </c>
      <c r="K175" s="13" t="s">
        <v>26</v>
      </c>
      <c r="L175" s="13" t="s">
        <v>51</v>
      </c>
      <c r="M175" s="14">
        <v>17.88</v>
      </c>
      <c r="N175" s="14">
        <v>16.89</v>
      </c>
      <c r="O175" s="13">
        <v>3.0</v>
      </c>
      <c r="P175" s="14">
        <f t="shared" ref="P175:Q175" si="158">M175*O175</f>
        <v>53.64</v>
      </c>
      <c r="Q175" s="14">
        <f t="shared" si="158"/>
        <v>905.9796</v>
      </c>
    </row>
    <row r="176">
      <c r="A176" s="12">
        <v>43367.0</v>
      </c>
      <c r="B176" s="12" t="s">
        <v>2329</v>
      </c>
      <c r="C176" s="1" t="s">
        <v>1155</v>
      </c>
      <c r="D176" s="15" t="str">
        <f t="shared" si="2"/>
        <v>Sep</v>
      </c>
      <c r="E176" s="13" t="s">
        <v>20</v>
      </c>
      <c r="F176" s="13" t="s">
        <v>2655</v>
      </c>
      <c r="G176" s="13" t="s">
        <v>2567</v>
      </c>
      <c r="H176" s="13" t="s">
        <v>23</v>
      </c>
      <c r="I176" s="13" t="s">
        <v>791</v>
      </c>
      <c r="J176" s="13" t="s">
        <v>145</v>
      </c>
      <c r="K176" s="13" t="s">
        <v>26</v>
      </c>
      <c r="L176" s="13" t="s">
        <v>38</v>
      </c>
      <c r="M176" s="14">
        <v>235.944</v>
      </c>
      <c r="N176" s="14">
        <v>235.05</v>
      </c>
      <c r="O176" s="13">
        <v>3.0</v>
      </c>
      <c r="P176" s="14">
        <f t="shared" ref="P176:Q176" si="159">M176*O176</f>
        <v>707.832</v>
      </c>
      <c r="Q176" s="14">
        <f t="shared" si="159"/>
        <v>166375.9116</v>
      </c>
    </row>
    <row r="177">
      <c r="A177" s="12">
        <v>42470.0</v>
      </c>
      <c r="B177" s="12" t="s">
        <v>2332</v>
      </c>
      <c r="C177" s="6">
        <v>42623.0</v>
      </c>
      <c r="D177" s="15" t="str">
        <f t="shared" si="2"/>
        <v>Sep</v>
      </c>
      <c r="E177" s="13" t="s">
        <v>20</v>
      </c>
      <c r="F177" s="13" t="s">
        <v>2587</v>
      </c>
      <c r="G177" s="13" t="s">
        <v>2716</v>
      </c>
      <c r="H177" s="13" t="s">
        <v>34</v>
      </c>
      <c r="I177" s="13" t="s">
        <v>1159</v>
      </c>
      <c r="J177" s="13" t="s">
        <v>707</v>
      </c>
      <c r="K177" s="13" t="s">
        <v>26</v>
      </c>
      <c r="L177" s="13" t="s">
        <v>27</v>
      </c>
      <c r="M177" s="14">
        <v>392.94</v>
      </c>
      <c r="N177" s="14">
        <v>392.3</v>
      </c>
      <c r="O177" s="13">
        <v>3.0</v>
      </c>
      <c r="P177" s="14">
        <f t="shared" ref="P177:Q177" si="160">M177*O177</f>
        <v>1178.82</v>
      </c>
      <c r="Q177" s="14">
        <f t="shared" si="160"/>
        <v>462451.086</v>
      </c>
    </row>
    <row r="178">
      <c r="A178" s="12">
        <v>43311.0</v>
      </c>
      <c r="B178" s="12" t="s">
        <v>2348</v>
      </c>
      <c r="C178" s="6">
        <v>43167.0</v>
      </c>
      <c r="D178" s="15" t="str">
        <f t="shared" si="2"/>
        <v>Mar</v>
      </c>
      <c r="E178" s="13" t="s">
        <v>20</v>
      </c>
      <c r="F178" s="13" t="s">
        <v>2560</v>
      </c>
      <c r="G178" s="13" t="s">
        <v>2719</v>
      </c>
      <c r="H178" s="13" t="s">
        <v>23</v>
      </c>
      <c r="I178" s="13" t="s">
        <v>1174</v>
      </c>
      <c r="J178" s="13" t="s">
        <v>52</v>
      </c>
      <c r="K178" s="13" t="s">
        <v>37</v>
      </c>
      <c r="L178" s="13" t="s">
        <v>38</v>
      </c>
      <c r="M178" s="14">
        <v>330.4</v>
      </c>
      <c r="N178" s="14">
        <v>330.19</v>
      </c>
      <c r="O178" s="13">
        <v>9.0</v>
      </c>
      <c r="P178" s="14">
        <f t="shared" ref="P178:Q178" si="161">M178*O178</f>
        <v>2973.6</v>
      </c>
      <c r="Q178" s="14">
        <f t="shared" si="161"/>
        <v>981852.984</v>
      </c>
    </row>
    <row r="179">
      <c r="A179" s="12">
        <v>43311.0</v>
      </c>
      <c r="B179" s="12" t="s">
        <v>2348</v>
      </c>
      <c r="C179" s="6">
        <v>43167.0</v>
      </c>
      <c r="D179" s="15" t="str">
        <f t="shared" si="2"/>
        <v>Mar</v>
      </c>
      <c r="E179" s="13" t="s">
        <v>20</v>
      </c>
      <c r="F179" s="13" t="s">
        <v>2560</v>
      </c>
      <c r="G179" s="13" t="s">
        <v>2719</v>
      </c>
      <c r="H179" s="13" t="s">
        <v>23</v>
      </c>
      <c r="I179" s="13" t="s">
        <v>1174</v>
      </c>
      <c r="J179" s="13" t="s">
        <v>52</v>
      </c>
      <c r="K179" s="13" t="s">
        <v>37</v>
      </c>
      <c r="L179" s="13" t="s">
        <v>38</v>
      </c>
      <c r="M179" s="14">
        <v>26.25</v>
      </c>
      <c r="N179" s="14">
        <v>25.55</v>
      </c>
      <c r="O179" s="13">
        <v>9.0</v>
      </c>
      <c r="P179" s="14">
        <f t="shared" ref="P179:Q179" si="162">M179*O179</f>
        <v>236.25</v>
      </c>
      <c r="Q179" s="14">
        <f t="shared" si="162"/>
        <v>6036.1875</v>
      </c>
    </row>
    <row r="180">
      <c r="A180" s="12">
        <v>43051.0</v>
      </c>
      <c r="B180" s="12" t="s">
        <v>2326</v>
      </c>
      <c r="C180" s="1" t="s">
        <v>1189</v>
      </c>
      <c r="D180" s="15" t="str">
        <f t="shared" si="2"/>
        <v>Dec</v>
      </c>
      <c r="E180" s="13" t="s">
        <v>20</v>
      </c>
      <c r="F180" s="13" t="s">
        <v>2723</v>
      </c>
      <c r="G180" s="13" t="s">
        <v>2724</v>
      </c>
      <c r="H180" s="13" t="s">
        <v>34</v>
      </c>
      <c r="I180" s="13" t="s">
        <v>1192</v>
      </c>
      <c r="J180" s="13" t="s">
        <v>63</v>
      </c>
      <c r="K180" s="13" t="s">
        <v>37</v>
      </c>
      <c r="L180" s="13" t="s">
        <v>27</v>
      </c>
      <c r="M180" s="14">
        <v>14.8</v>
      </c>
      <c r="N180" s="14">
        <v>14.73</v>
      </c>
      <c r="O180" s="13">
        <v>9.0</v>
      </c>
      <c r="P180" s="14">
        <f t="shared" ref="P180:Q180" si="163">M180*O180</f>
        <v>133.2</v>
      </c>
      <c r="Q180" s="14">
        <f t="shared" si="163"/>
        <v>1962.036</v>
      </c>
    </row>
    <row r="181">
      <c r="A181" s="12">
        <v>43051.0</v>
      </c>
      <c r="B181" s="12" t="s">
        <v>2326</v>
      </c>
      <c r="C181" s="1" t="s">
        <v>1189</v>
      </c>
      <c r="D181" s="15" t="str">
        <f t="shared" si="2"/>
        <v>Dec</v>
      </c>
      <c r="E181" s="13" t="s">
        <v>20</v>
      </c>
      <c r="F181" s="13" t="s">
        <v>2723</v>
      </c>
      <c r="G181" s="13" t="s">
        <v>2724</v>
      </c>
      <c r="H181" s="13" t="s">
        <v>34</v>
      </c>
      <c r="I181" s="13" t="s">
        <v>1192</v>
      </c>
      <c r="J181" s="13" t="s">
        <v>63</v>
      </c>
      <c r="K181" s="13" t="s">
        <v>37</v>
      </c>
      <c r="L181" s="13" t="s">
        <v>51</v>
      </c>
      <c r="M181" s="14">
        <v>302.376</v>
      </c>
      <c r="N181" s="14">
        <v>301.45</v>
      </c>
      <c r="O181" s="13">
        <v>9.0</v>
      </c>
      <c r="P181" s="14">
        <f t="shared" ref="P181:Q181" si="164">M181*O181</f>
        <v>2721.384</v>
      </c>
      <c r="Q181" s="14">
        <f t="shared" si="164"/>
        <v>820361.2068</v>
      </c>
    </row>
    <row r="182">
      <c r="A182" s="12">
        <v>43051.0</v>
      </c>
      <c r="B182" s="12" t="s">
        <v>2326</v>
      </c>
      <c r="C182" s="1" t="s">
        <v>1189</v>
      </c>
      <c r="D182" s="15" t="str">
        <f t="shared" si="2"/>
        <v>Dec</v>
      </c>
      <c r="E182" s="13" t="s">
        <v>20</v>
      </c>
      <c r="F182" s="13" t="s">
        <v>2723</v>
      </c>
      <c r="G182" s="13" t="s">
        <v>2724</v>
      </c>
      <c r="H182" s="13" t="s">
        <v>34</v>
      </c>
      <c r="I182" s="13" t="s">
        <v>1192</v>
      </c>
      <c r="J182" s="13" t="s">
        <v>63</v>
      </c>
      <c r="K182" s="13" t="s">
        <v>37</v>
      </c>
      <c r="L182" s="13" t="s">
        <v>51</v>
      </c>
      <c r="M182" s="14">
        <v>316.0</v>
      </c>
      <c r="N182" s="14">
        <v>315.0</v>
      </c>
      <c r="O182" s="13">
        <v>9.0</v>
      </c>
      <c r="P182" s="14">
        <f t="shared" ref="P182:Q182" si="165">M182*O182</f>
        <v>2844</v>
      </c>
      <c r="Q182" s="14">
        <f t="shared" si="165"/>
        <v>895860</v>
      </c>
    </row>
    <row r="183">
      <c r="A183" s="12">
        <v>43318.0</v>
      </c>
      <c r="B183" s="12" t="s">
        <v>2322</v>
      </c>
      <c r="C183" s="6">
        <v>43379.0</v>
      </c>
      <c r="D183" s="15" t="str">
        <f t="shared" si="2"/>
        <v>Oct</v>
      </c>
      <c r="E183" s="13" t="s">
        <v>20</v>
      </c>
      <c r="F183" s="13" t="s">
        <v>2731</v>
      </c>
      <c r="G183" s="13" t="s">
        <v>2732</v>
      </c>
      <c r="H183" s="13" t="s">
        <v>34</v>
      </c>
      <c r="I183" s="13" t="s">
        <v>480</v>
      </c>
      <c r="J183" s="13" t="s">
        <v>70</v>
      </c>
      <c r="K183" s="13" t="s">
        <v>71</v>
      </c>
      <c r="L183" s="13" t="s">
        <v>38</v>
      </c>
      <c r="M183" s="14">
        <v>23.76</v>
      </c>
      <c r="N183" s="14">
        <v>23.17</v>
      </c>
      <c r="O183" s="13">
        <v>7.0</v>
      </c>
      <c r="P183" s="14">
        <f t="shared" ref="P183:Q183" si="166">M183*O183</f>
        <v>166.32</v>
      </c>
      <c r="Q183" s="14">
        <f t="shared" si="166"/>
        <v>3853.6344</v>
      </c>
    </row>
    <row r="184">
      <c r="A184" s="12">
        <v>43318.0</v>
      </c>
      <c r="B184" s="12" t="s">
        <v>2322</v>
      </c>
      <c r="C184" s="6">
        <v>43379.0</v>
      </c>
      <c r="D184" s="15" t="str">
        <f t="shared" si="2"/>
        <v>Oct</v>
      </c>
      <c r="E184" s="13" t="s">
        <v>20</v>
      </c>
      <c r="F184" s="13" t="s">
        <v>2731</v>
      </c>
      <c r="G184" s="13" t="s">
        <v>2732</v>
      </c>
      <c r="H184" s="13" t="s">
        <v>34</v>
      </c>
      <c r="I184" s="13" t="s">
        <v>480</v>
      </c>
      <c r="J184" s="13" t="s">
        <v>70</v>
      </c>
      <c r="K184" s="13" t="s">
        <v>71</v>
      </c>
      <c r="L184" s="13" t="s">
        <v>38</v>
      </c>
      <c r="M184" s="14">
        <v>85.056</v>
      </c>
      <c r="N184" s="14">
        <v>84.29</v>
      </c>
      <c r="O184" s="13">
        <v>7.0</v>
      </c>
      <c r="P184" s="14">
        <f t="shared" ref="P184:Q184" si="167">M184*O184</f>
        <v>595.392</v>
      </c>
      <c r="Q184" s="14">
        <f t="shared" si="167"/>
        <v>50185.59168</v>
      </c>
    </row>
    <row r="185">
      <c r="A185" s="12">
        <v>43318.0</v>
      </c>
      <c r="B185" s="12" t="s">
        <v>2322</v>
      </c>
      <c r="C185" s="6">
        <v>43379.0</v>
      </c>
      <c r="D185" s="15" t="str">
        <f t="shared" si="2"/>
        <v>Oct</v>
      </c>
      <c r="E185" s="13" t="s">
        <v>20</v>
      </c>
      <c r="F185" s="13" t="s">
        <v>2731</v>
      </c>
      <c r="G185" s="13" t="s">
        <v>2732</v>
      </c>
      <c r="H185" s="13" t="s">
        <v>34</v>
      </c>
      <c r="I185" s="13" t="s">
        <v>480</v>
      </c>
      <c r="J185" s="13" t="s">
        <v>70</v>
      </c>
      <c r="K185" s="13" t="s">
        <v>71</v>
      </c>
      <c r="L185" s="13" t="s">
        <v>51</v>
      </c>
      <c r="M185" s="14">
        <v>381.576</v>
      </c>
      <c r="N185" s="14">
        <v>380.78</v>
      </c>
      <c r="O185" s="13">
        <v>7.0</v>
      </c>
      <c r="P185" s="14">
        <f t="shared" ref="P185:Q185" si="168">M185*O185</f>
        <v>2671.032</v>
      </c>
      <c r="Q185" s="14">
        <f t="shared" si="168"/>
        <v>1017075.565</v>
      </c>
    </row>
    <row r="186">
      <c r="A186" s="12">
        <v>42176.0</v>
      </c>
      <c r="B186" s="12" t="s">
        <v>2374</v>
      </c>
      <c r="C186" s="1" t="s">
        <v>1245</v>
      </c>
      <c r="D186" s="15" t="str">
        <f t="shared" si="2"/>
        <v>Jun</v>
      </c>
      <c r="E186" s="13" t="s">
        <v>20</v>
      </c>
      <c r="F186" s="13" t="s">
        <v>2743</v>
      </c>
      <c r="G186" s="13" t="s">
        <v>2744</v>
      </c>
      <c r="H186" s="13" t="s">
        <v>23</v>
      </c>
      <c r="I186" s="13" t="s">
        <v>1248</v>
      </c>
      <c r="J186" s="13" t="s">
        <v>198</v>
      </c>
      <c r="K186" s="13" t="s">
        <v>26</v>
      </c>
      <c r="L186" s="13" t="s">
        <v>27</v>
      </c>
      <c r="M186" s="14">
        <v>104.01</v>
      </c>
      <c r="N186" s="14">
        <v>103.23</v>
      </c>
      <c r="O186" s="13">
        <v>2.0</v>
      </c>
      <c r="P186" s="14">
        <f t="shared" ref="P186:Q186" si="169">M186*O186</f>
        <v>208.02</v>
      </c>
      <c r="Q186" s="14">
        <f t="shared" si="169"/>
        <v>21473.9046</v>
      </c>
    </row>
    <row r="187">
      <c r="A187" s="12">
        <v>42176.0</v>
      </c>
      <c r="B187" s="12" t="s">
        <v>2374</v>
      </c>
      <c r="C187" s="1" t="s">
        <v>1245</v>
      </c>
      <c r="D187" s="15" t="str">
        <f t="shared" si="2"/>
        <v>Jun</v>
      </c>
      <c r="E187" s="13" t="s">
        <v>20</v>
      </c>
      <c r="F187" s="13" t="s">
        <v>2743</v>
      </c>
      <c r="G187" s="13" t="s">
        <v>2744</v>
      </c>
      <c r="H187" s="13" t="s">
        <v>23</v>
      </c>
      <c r="I187" s="13" t="s">
        <v>1248</v>
      </c>
      <c r="J187" s="13" t="s">
        <v>198</v>
      </c>
      <c r="K187" s="13" t="s">
        <v>26</v>
      </c>
      <c r="L187" s="13" t="s">
        <v>51</v>
      </c>
      <c r="M187" s="14">
        <v>284.82</v>
      </c>
      <c r="N187" s="14">
        <v>284.3</v>
      </c>
      <c r="O187" s="13">
        <v>2.0</v>
      </c>
      <c r="P187" s="14">
        <f t="shared" ref="P187:Q187" si="170">M187*O187</f>
        <v>569.64</v>
      </c>
      <c r="Q187" s="14">
        <f t="shared" si="170"/>
        <v>161948.652</v>
      </c>
    </row>
    <row r="188">
      <c r="A188" s="12">
        <v>42176.0</v>
      </c>
      <c r="B188" s="12" t="s">
        <v>2374</v>
      </c>
      <c r="C188" s="1" t="s">
        <v>1245</v>
      </c>
      <c r="D188" s="15" t="str">
        <f t="shared" si="2"/>
        <v>Jun</v>
      </c>
      <c r="E188" s="13" t="s">
        <v>20</v>
      </c>
      <c r="F188" s="13" t="s">
        <v>2743</v>
      </c>
      <c r="G188" s="13" t="s">
        <v>2744</v>
      </c>
      <c r="H188" s="13" t="s">
        <v>23</v>
      </c>
      <c r="I188" s="13" t="s">
        <v>1248</v>
      </c>
      <c r="J188" s="13" t="s">
        <v>198</v>
      </c>
      <c r="K188" s="13" t="s">
        <v>26</v>
      </c>
      <c r="L188" s="13" t="s">
        <v>38</v>
      </c>
      <c r="M188" s="14">
        <v>36.84</v>
      </c>
      <c r="N188" s="14">
        <v>35.94</v>
      </c>
      <c r="O188" s="13">
        <v>2.0</v>
      </c>
      <c r="P188" s="14">
        <f t="shared" ref="P188:Q188" si="171">M188*O188</f>
        <v>73.68</v>
      </c>
      <c r="Q188" s="14">
        <f t="shared" si="171"/>
        <v>2648.0592</v>
      </c>
    </row>
    <row r="189">
      <c r="A189" s="12">
        <v>42836.0</v>
      </c>
      <c r="B189" s="12" t="s">
        <v>2332</v>
      </c>
      <c r="C189" s="6">
        <v>42958.0</v>
      </c>
      <c r="D189" s="15" t="str">
        <f t="shared" si="2"/>
        <v>Aug</v>
      </c>
      <c r="E189" s="13" t="s">
        <v>20</v>
      </c>
      <c r="F189" s="13" t="s">
        <v>2342</v>
      </c>
      <c r="G189" s="13" t="s">
        <v>2585</v>
      </c>
      <c r="H189" s="13" t="s">
        <v>34</v>
      </c>
      <c r="I189" s="13" t="s">
        <v>62</v>
      </c>
      <c r="J189" s="13" t="s">
        <v>63</v>
      </c>
      <c r="K189" s="13" t="s">
        <v>37</v>
      </c>
      <c r="L189" s="13" t="s">
        <v>27</v>
      </c>
      <c r="M189" s="14">
        <v>209.88</v>
      </c>
      <c r="N189" s="14">
        <v>209.67</v>
      </c>
      <c r="O189" s="13">
        <v>9.0</v>
      </c>
      <c r="P189" s="14">
        <f t="shared" ref="P189:Q189" si="172">M189*O189</f>
        <v>1888.92</v>
      </c>
      <c r="Q189" s="14">
        <f t="shared" si="172"/>
        <v>396049.8564</v>
      </c>
    </row>
    <row r="190">
      <c r="A190" s="12">
        <v>42011.0</v>
      </c>
      <c r="B190" s="12" t="s">
        <v>2353</v>
      </c>
      <c r="C190" s="6">
        <v>42162.0</v>
      </c>
      <c r="D190" s="15" t="str">
        <f t="shared" si="2"/>
        <v>Jun</v>
      </c>
      <c r="E190" s="13" t="s">
        <v>20</v>
      </c>
      <c r="F190" s="13" t="s">
        <v>2525</v>
      </c>
      <c r="G190" s="13" t="s">
        <v>2526</v>
      </c>
      <c r="H190" s="13" t="s">
        <v>34</v>
      </c>
      <c r="I190" s="13" t="s">
        <v>62</v>
      </c>
      <c r="J190" s="13" t="s">
        <v>63</v>
      </c>
      <c r="K190" s="13" t="s">
        <v>37</v>
      </c>
      <c r="L190" s="13" t="s">
        <v>38</v>
      </c>
      <c r="M190" s="14">
        <v>19.92</v>
      </c>
      <c r="N190" s="14">
        <v>19.36</v>
      </c>
      <c r="O190" s="13">
        <v>9.0</v>
      </c>
      <c r="P190" s="14">
        <f t="shared" ref="P190:Q190" si="173">M190*O190</f>
        <v>179.28</v>
      </c>
      <c r="Q190" s="14">
        <f t="shared" si="173"/>
        <v>3470.8608</v>
      </c>
    </row>
    <row r="191">
      <c r="A191" s="12">
        <v>42814.0</v>
      </c>
      <c r="B191" s="12" t="s">
        <v>2399</v>
      </c>
      <c r="C191" s="1" t="s">
        <v>1326</v>
      </c>
      <c r="D191" s="15" t="str">
        <f t="shared" si="2"/>
        <v>Mar</v>
      </c>
      <c r="E191" s="13" t="s">
        <v>20</v>
      </c>
      <c r="F191" s="13" t="s">
        <v>2767</v>
      </c>
      <c r="G191" s="13" t="s">
        <v>2768</v>
      </c>
      <c r="H191" s="13" t="s">
        <v>23</v>
      </c>
      <c r="I191" s="13" t="s">
        <v>1329</v>
      </c>
      <c r="J191" s="13" t="s">
        <v>135</v>
      </c>
      <c r="K191" s="13" t="s">
        <v>71</v>
      </c>
      <c r="L191" s="13" t="s">
        <v>51</v>
      </c>
      <c r="M191" s="14">
        <v>11.992</v>
      </c>
      <c r="N191" s="14">
        <v>11.93</v>
      </c>
      <c r="O191" s="13">
        <v>6.0</v>
      </c>
      <c r="P191" s="14">
        <f t="shared" ref="P191:Q191" si="174">M191*O191</f>
        <v>71.952</v>
      </c>
      <c r="Q191" s="14">
        <f t="shared" si="174"/>
        <v>858.38736</v>
      </c>
    </row>
    <row r="192">
      <c r="A192" s="12">
        <v>42017.0</v>
      </c>
      <c r="B192" s="12" t="s">
        <v>2353</v>
      </c>
      <c r="C192" s="1" t="s">
        <v>1357</v>
      </c>
      <c r="D192" s="15" t="str">
        <f t="shared" si="2"/>
        <v>Jan</v>
      </c>
      <c r="E192" s="13" t="s">
        <v>20</v>
      </c>
      <c r="F192" s="13" t="s">
        <v>2775</v>
      </c>
      <c r="G192" s="13" t="s">
        <v>2776</v>
      </c>
      <c r="H192" s="13" t="s">
        <v>34</v>
      </c>
      <c r="I192" s="13" t="s">
        <v>1360</v>
      </c>
      <c r="J192" s="13" t="s">
        <v>430</v>
      </c>
      <c r="K192" s="13" t="s">
        <v>26</v>
      </c>
      <c r="L192" s="13" t="s">
        <v>38</v>
      </c>
      <c r="M192" s="14">
        <v>11.36</v>
      </c>
      <c r="N192" s="14">
        <v>10.46</v>
      </c>
      <c r="O192" s="13">
        <v>7.0</v>
      </c>
      <c r="P192" s="14">
        <f t="shared" ref="P192:Q192" si="175">M192*O192</f>
        <v>79.52</v>
      </c>
      <c r="Q192" s="14">
        <f t="shared" si="175"/>
        <v>831.7792</v>
      </c>
    </row>
    <row r="193">
      <c r="A193" s="12">
        <v>42017.0</v>
      </c>
      <c r="B193" s="12" t="s">
        <v>2353</v>
      </c>
      <c r="C193" s="1" t="s">
        <v>1357</v>
      </c>
      <c r="D193" s="15" t="str">
        <f t="shared" si="2"/>
        <v>Jan</v>
      </c>
      <c r="E193" s="13" t="s">
        <v>20</v>
      </c>
      <c r="F193" s="13" t="s">
        <v>2775</v>
      </c>
      <c r="G193" s="13" t="s">
        <v>2776</v>
      </c>
      <c r="H193" s="13" t="s">
        <v>34</v>
      </c>
      <c r="I193" s="13" t="s">
        <v>1360</v>
      </c>
      <c r="J193" s="13" t="s">
        <v>430</v>
      </c>
      <c r="K193" s="13" t="s">
        <v>26</v>
      </c>
      <c r="L193" s="13" t="s">
        <v>38</v>
      </c>
      <c r="M193" s="14">
        <v>50.94</v>
      </c>
      <c r="N193" s="14">
        <v>50.37</v>
      </c>
      <c r="O193" s="13">
        <v>7.0</v>
      </c>
      <c r="P193" s="14">
        <f t="shared" ref="P193:Q193" si="176">M193*O193</f>
        <v>356.58</v>
      </c>
      <c r="Q193" s="14">
        <f t="shared" si="176"/>
        <v>17960.9346</v>
      </c>
    </row>
    <row r="194">
      <c r="A194" s="12">
        <v>42017.0</v>
      </c>
      <c r="B194" s="12" t="s">
        <v>2353</v>
      </c>
      <c r="C194" s="1" t="s">
        <v>1357</v>
      </c>
      <c r="D194" s="15" t="str">
        <f t="shared" si="2"/>
        <v>Jan</v>
      </c>
      <c r="E194" s="13" t="s">
        <v>20</v>
      </c>
      <c r="F194" s="13" t="s">
        <v>2775</v>
      </c>
      <c r="G194" s="13" t="s">
        <v>2776</v>
      </c>
      <c r="H194" s="13" t="s">
        <v>34</v>
      </c>
      <c r="I194" s="13" t="s">
        <v>1360</v>
      </c>
      <c r="J194" s="13" t="s">
        <v>430</v>
      </c>
      <c r="K194" s="13" t="s">
        <v>26</v>
      </c>
      <c r="L194" s="13" t="s">
        <v>51</v>
      </c>
      <c r="M194" s="14">
        <v>646.74</v>
      </c>
      <c r="N194" s="14">
        <v>646.38</v>
      </c>
      <c r="O194" s="13">
        <v>7.0</v>
      </c>
      <c r="P194" s="14">
        <f t="shared" ref="P194:Q194" si="177">M194*O194</f>
        <v>4527.18</v>
      </c>
      <c r="Q194" s="14">
        <f t="shared" si="177"/>
        <v>2926278.608</v>
      </c>
    </row>
    <row r="195">
      <c r="A195" s="12">
        <v>42017.0</v>
      </c>
      <c r="B195" s="12" t="s">
        <v>2353</v>
      </c>
      <c r="C195" s="1" t="s">
        <v>1357</v>
      </c>
      <c r="D195" s="15" t="str">
        <f t="shared" si="2"/>
        <v>Jan</v>
      </c>
      <c r="E195" s="13" t="s">
        <v>20</v>
      </c>
      <c r="F195" s="13" t="s">
        <v>2775</v>
      </c>
      <c r="G195" s="13" t="s">
        <v>2776</v>
      </c>
      <c r="H195" s="13" t="s">
        <v>34</v>
      </c>
      <c r="I195" s="13" t="s">
        <v>1360</v>
      </c>
      <c r="J195" s="13" t="s">
        <v>430</v>
      </c>
      <c r="K195" s="13" t="s">
        <v>26</v>
      </c>
      <c r="L195" s="13" t="s">
        <v>38</v>
      </c>
      <c r="M195" s="14">
        <v>5.64</v>
      </c>
      <c r="N195" s="14">
        <v>4.98</v>
      </c>
      <c r="O195" s="13">
        <v>7.0</v>
      </c>
      <c r="P195" s="14">
        <f t="shared" ref="P195:Q195" si="178">M195*O195</f>
        <v>39.48</v>
      </c>
      <c r="Q195" s="14">
        <f t="shared" si="178"/>
        <v>196.6104</v>
      </c>
    </row>
    <row r="196">
      <c r="A196" s="12">
        <v>42017.0</v>
      </c>
      <c r="B196" s="12" t="s">
        <v>2353</v>
      </c>
      <c r="C196" s="1" t="s">
        <v>1357</v>
      </c>
      <c r="D196" s="15" t="str">
        <f t="shared" si="2"/>
        <v>Jan</v>
      </c>
      <c r="E196" s="13" t="s">
        <v>20</v>
      </c>
      <c r="F196" s="13" t="s">
        <v>2775</v>
      </c>
      <c r="G196" s="13" t="s">
        <v>2776</v>
      </c>
      <c r="H196" s="13" t="s">
        <v>34</v>
      </c>
      <c r="I196" s="13" t="s">
        <v>1360</v>
      </c>
      <c r="J196" s="13" t="s">
        <v>430</v>
      </c>
      <c r="K196" s="13" t="s">
        <v>26</v>
      </c>
      <c r="L196" s="13" t="s">
        <v>38</v>
      </c>
      <c r="M196" s="14">
        <v>572.58</v>
      </c>
      <c r="N196" s="14">
        <v>572.37</v>
      </c>
      <c r="O196" s="13">
        <v>7.0</v>
      </c>
      <c r="P196" s="14">
        <f t="shared" ref="P196:Q196" si="179">M196*O196</f>
        <v>4008.06</v>
      </c>
      <c r="Q196" s="14">
        <f t="shared" si="179"/>
        <v>2294093.302</v>
      </c>
    </row>
    <row r="197">
      <c r="A197" s="12">
        <v>42439.0</v>
      </c>
      <c r="B197" s="12" t="s">
        <v>2399</v>
      </c>
      <c r="C197" s="6">
        <v>42531.0</v>
      </c>
      <c r="D197" s="15" t="str">
        <f t="shared" si="2"/>
        <v>Jun</v>
      </c>
      <c r="E197" s="13" t="s">
        <v>20</v>
      </c>
      <c r="F197" s="13" t="s">
        <v>2781</v>
      </c>
      <c r="G197" s="13" t="s">
        <v>2782</v>
      </c>
      <c r="H197" s="13" t="s">
        <v>23</v>
      </c>
      <c r="I197" s="13" t="s">
        <v>303</v>
      </c>
      <c r="J197" s="13" t="s">
        <v>304</v>
      </c>
      <c r="K197" s="13" t="s">
        <v>100</v>
      </c>
      <c r="L197" s="13" t="s">
        <v>38</v>
      </c>
      <c r="M197" s="14">
        <v>32.07</v>
      </c>
      <c r="N197" s="14">
        <v>31.46</v>
      </c>
      <c r="O197" s="13">
        <v>4.0</v>
      </c>
      <c r="P197" s="14">
        <f t="shared" ref="P197:Q197" si="180">M197*O197</f>
        <v>128.28</v>
      </c>
      <c r="Q197" s="14">
        <f t="shared" si="180"/>
        <v>4035.6888</v>
      </c>
    </row>
    <row r="198">
      <c r="A198" s="12">
        <v>42439.0</v>
      </c>
      <c r="B198" s="12" t="s">
        <v>2399</v>
      </c>
      <c r="C198" s="6">
        <v>42531.0</v>
      </c>
      <c r="D198" s="15" t="str">
        <f t="shared" si="2"/>
        <v>Jun</v>
      </c>
      <c r="E198" s="13" t="s">
        <v>20</v>
      </c>
      <c r="F198" s="13" t="s">
        <v>2781</v>
      </c>
      <c r="G198" s="13" t="s">
        <v>2782</v>
      </c>
      <c r="H198" s="13" t="s">
        <v>23</v>
      </c>
      <c r="I198" s="13" t="s">
        <v>303</v>
      </c>
      <c r="J198" s="13" t="s">
        <v>304</v>
      </c>
      <c r="K198" s="13" t="s">
        <v>100</v>
      </c>
      <c r="L198" s="13" t="s">
        <v>51</v>
      </c>
      <c r="M198" s="14">
        <v>24.0</v>
      </c>
      <c r="N198" s="14">
        <v>23.28</v>
      </c>
      <c r="O198" s="13">
        <v>4.0</v>
      </c>
      <c r="P198" s="14">
        <f t="shared" ref="P198:Q198" si="181">M198*O198</f>
        <v>96</v>
      </c>
      <c r="Q198" s="14">
        <f t="shared" si="181"/>
        <v>2234.88</v>
      </c>
    </row>
    <row r="199">
      <c r="A199" s="12">
        <v>42439.0</v>
      </c>
      <c r="B199" s="12" t="s">
        <v>2399</v>
      </c>
      <c r="C199" s="6">
        <v>42531.0</v>
      </c>
      <c r="D199" s="15" t="str">
        <f t="shared" si="2"/>
        <v>Jun</v>
      </c>
      <c r="E199" s="13" t="s">
        <v>20</v>
      </c>
      <c r="F199" s="13" t="s">
        <v>2781</v>
      </c>
      <c r="G199" s="13" t="s">
        <v>2782</v>
      </c>
      <c r="H199" s="13" t="s">
        <v>23</v>
      </c>
      <c r="I199" s="13" t="s">
        <v>303</v>
      </c>
      <c r="J199" s="13" t="s">
        <v>304</v>
      </c>
      <c r="K199" s="13" t="s">
        <v>100</v>
      </c>
      <c r="L199" s="13" t="s">
        <v>27</v>
      </c>
      <c r="M199" s="14">
        <v>35.49</v>
      </c>
      <c r="N199" s="14">
        <v>34.93</v>
      </c>
      <c r="O199" s="13">
        <v>4.0</v>
      </c>
      <c r="P199" s="14">
        <f t="shared" ref="P199:Q199" si="182">M199*O199</f>
        <v>141.96</v>
      </c>
      <c r="Q199" s="14">
        <f t="shared" si="182"/>
        <v>4958.6628</v>
      </c>
    </row>
    <row r="200">
      <c r="A200" s="12">
        <v>42439.0</v>
      </c>
      <c r="B200" s="12" t="s">
        <v>2399</v>
      </c>
      <c r="C200" s="6">
        <v>42531.0</v>
      </c>
      <c r="D200" s="15" t="str">
        <f t="shared" si="2"/>
        <v>Jun</v>
      </c>
      <c r="E200" s="13" t="s">
        <v>20</v>
      </c>
      <c r="F200" s="13" t="s">
        <v>2781</v>
      </c>
      <c r="G200" s="13" t="s">
        <v>2782</v>
      </c>
      <c r="H200" s="13" t="s">
        <v>23</v>
      </c>
      <c r="I200" s="13" t="s">
        <v>303</v>
      </c>
      <c r="J200" s="13" t="s">
        <v>304</v>
      </c>
      <c r="K200" s="13" t="s">
        <v>100</v>
      </c>
      <c r="L200" s="13" t="s">
        <v>51</v>
      </c>
      <c r="M200" s="14">
        <v>47.984</v>
      </c>
      <c r="N200" s="14">
        <v>46.99</v>
      </c>
      <c r="O200" s="13">
        <v>4.0</v>
      </c>
      <c r="P200" s="14">
        <f t="shared" ref="P200:Q200" si="183">M200*O200</f>
        <v>191.936</v>
      </c>
      <c r="Q200" s="14">
        <f t="shared" si="183"/>
        <v>9019.07264</v>
      </c>
    </row>
    <row r="201">
      <c r="A201" s="12">
        <v>43176.0</v>
      </c>
      <c r="B201" s="12" t="s">
        <v>2399</v>
      </c>
      <c r="C201" s="1" t="s">
        <v>1381</v>
      </c>
      <c r="D201" s="15" t="str">
        <f t="shared" si="2"/>
        <v>Mar</v>
      </c>
      <c r="E201" s="13" t="s">
        <v>20</v>
      </c>
      <c r="F201" s="13" t="s">
        <v>2427</v>
      </c>
      <c r="G201" s="13" t="s">
        <v>2428</v>
      </c>
      <c r="H201" s="13" t="s">
        <v>23</v>
      </c>
      <c r="I201" s="13" t="s">
        <v>1382</v>
      </c>
      <c r="J201" s="13" t="s">
        <v>52</v>
      </c>
      <c r="K201" s="13" t="s">
        <v>37</v>
      </c>
      <c r="L201" s="13" t="s">
        <v>38</v>
      </c>
      <c r="M201" s="14">
        <v>17.456</v>
      </c>
      <c r="N201" s="14">
        <v>16.96</v>
      </c>
      <c r="O201" s="13">
        <v>9.0</v>
      </c>
      <c r="P201" s="14">
        <f t="shared" ref="P201:Q201" si="184">M201*O201</f>
        <v>157.104</v>
      </c>
      <c r="Q201" s="14">
        <f t="shared" si="184"/>
        <v>2664.48384</v>
      </c>
    </row>
    <row r="202">
      <c r="A202" s="12">
        <v>42965.0</v>
      </c>
      <c r="B202" s="12" t="s">
        <v>2322</v>
      </c>
      <c r="C202" s="1" t="s">
        <v>1412</v>
      </c>
      <c r="D202" s="15" t="str">
        <f t="shared" si="2"/>
        <v>Aug</v>
      </c>
      <c r="E202" s="13" t="s">
        <v>20</v>
      </c>
      <c r="F202" s="13" t="s">
        <v>2452</v>
      </c>
      <c r="G202" s="13" t="s">
        <v>2789</v>
      </c>
      <c r="H202" s="13" t="s">
        <v>34</v>
      </c>
      <c r="I202" s="13" t="s">
        <v>174</v>
      </c>
      <c r="J202" s="13" t="s">
        <v>175</v>
      </c>
      <c r="K202" s="13" t="s">
        <v>100</v>
      </c>
      <c r="L202" s="13" t="s">
        <v>38</v>
      </c>
      <c r="M202" s="14">
        <v>355.32</v>
      </c>
      <c r="N202" s="14">
        <v>354.85</v>
      </c>
      <c r="O202" s="13">
        <v>1.0</v>
      </c>
      <c r="P202" s="14">
        <f t="shared" ref="P202:Q202" si="185">M202*O202</f>
        <v>355.32</v>
      </c>
      <c r="Q202" s="14">
        <f t="shared" si="185"/>
        <v>126085.302</v>
      </c>
    </row>
    <row r="203">
      <c r="A203" s="12">
        <v>43267.0</v>
      </c>
      <c r="B203" s="12" t="s">
        <v>2374</v>
      </c>
      <c r="C203" s="1" t="s">
        <v>1449</v>
      </c>
      <c r="D203" s="15" t="str">
        <f t="shared" si="2"/>
        <v>Jun</v>
      </c>
      <c r="E203" s="13" t="s">
        <v>20</v>
      </c>
      <c r="F203" s="13" t="s">
        <v>2392</v>
      </c>
      <c r="G203" s="13" t="s">
        <v>2393</v>
      </c>
      <c r="H203" s="13" t="s">
        <v>23</v>
      </c>
      <c r="I203" s="13" t="s">
        <v>1450</v>
      </c>
      <c r="J203" s="13" t="s">
        <v>25</v>
      </c>
      <c r="K203" s="13" t="s">
        <v>26</v>
      </c>
      <c r="L203" s="13" t="s">
        <v>27</v>
      </c>
      <c r="M203" s="14">
        <v>301.96</v>
      </c>
      <c r="N203" s="14">
        <v>301.63</v>
      </c>
      <c r="O203" s="13">
        <v>4.0</v>
      </c>
      <c r="P203" s="14">
        <f t="shared" ref="P203:Q203" si="186">M203*O203</f>
        <v>1207.84</v>
      </c>
      <c r="Q203" s="14">
        <f t="shared" si="186"/>
        <v>364320.7792</v>
      </c>
    </row>
    <row r="204">
      <c r="A204" s="12">
        <v>43267.0</v>
      </c>
      <c r="B204" s="12" t="s">
        <v>2374</v>
      </c>
      <c r="C204" s="1" t="s">
        <v>1449</v>
      </c>
      <c r="D204" s="15" t="str">
        <f t="shared" si="2"/>
        <v>Jun</v>
      </c>
      <c r="E204" s="13" t="s">
        <v>20</v>
      </c>
      <c r="F204" s="13" t="s">
        <v>2392</v>
      </c>
      <c r="G204" s="13" t="s">
        <v>2393</v>
      </c>
      <c r="H204" s="13" t="s">
        <v>23</v>
      </c>
      <c r="I204" s="13" t="s">
        <v>1450</v>
      </c>
      <c r="J204" s="13" t="s">
        <v>25</v>
      </c>
      <c r="K204" s="13" t="s">
        <v>26</v>
      </c>
      <c r="L204" s="13" t="s">
        <v>38</v>
      </c>
      <c r="M204" s="14">
        <v>180.66</v>
      </c>
      <c r="N204" s="14">
        <v>180.35</v>
      </c>
      <c r="O204" s="13">
        <v>4.0</v>
      </c>
      <c r="P204" s="14">
        <f t="shared" ref="P204:Q204" si="187">M204*O204</f>
        <v>722.64</v>
      </c>
      <c r="Q204" s="14">
        <f t="shared" si="187"/>
        <v>130328.124</v>
      </c>
    </row>
    <row r="205">
      <c r="A205" s="12">
        <v>43267.0</v>
      </c>
      <c r="B205" s="12" t="s">
        <v>2374</v>
      </c>
      <c r="C205" s="1" t="s">
        <v>1449</v>
      </c>
      <c r="D205" s="15" t="str">
        <f t="shared" si="2"/>
        <v>Jun</v>
      </c>
      <c r="E205" s="13" t="s">
        <v>20</v>
      </c>
      <c r="F205" s="13" t="s">
        <v>2392</v>
      </c>
      <c r="G205" s="13" t="s">
        <v>2393</v>
      </c>
      <c r="H205" s="13" t="s">
        <v>23</v>
      </c>
      <c r="I205" s="13" t="s">
        <v>1450</v>
      </c>
      <c r="J205" s="13" t="s">
        <v>25</v>
      </c>
      <c r="K205" s="13" t="s">
        <v>26</v>
      </c>
      <c r="L205" s="13" t="s">
        <v>51</v>
      </c>
      <c r="M205" s="14">
        <v>191.98</v>
      </c>
      <c r="N205" s="14">
        <v>191.97</v>
      </c>
      <c r="O205" s="13">
        <v>4.0</v>
      </c>
      <c r="P205" s="14">
        <f t="shared" ref="P205:Q205" si="188">M205*O205</f>
        <v>767.92</v>
      </c>
      <c r="Q205" s="14">
        <f t="shared" si="188"/>
        <v>147417.6024</v>
      </c>
    </row>
    <row r="206">
      <c r="A206" s="12">
        <v>43267.0</v>
      </c>
      <c r="B206" s="12" t="s">
        <v>2374</v>
      </c>
      <c r="C206" s="1" t="s">
        <v>1449</v>
      </c>
      <c r="D206" s="15" t="str">
        <f t="shared" si="2"/>
        <v>Jun</v>
      </c>
      <c r="E206" s="13" t="s">
        <v>20</v>
      </c>
      <c r="F206" s="13" t="s">
        <v>2392</v>
      </c>
      <c r="G206" s="13" t="s">
        <v>2393</v>
      </c>
      <c r="H206" s="13" t="s">
        <v>23</v>
      </c>
      <c r="I206" s="13" t="s">
        <v>1450</v>
      </c>
      <c r="J206" s="13" t="s">
        <v>25</v>
      </c>
      <c r="K206" s="13" t="s">
        <v>26</v>
      </c>
      <c r="L206" s="13" t="s">
        <v>51</v>
      </c>
      <c r="M206" s="14">
        <v>65.99</v>
      </c>
      <c r="N206" s="14">
        <v>65.98</v>
      </c>
      <c r="O206" s="13">
        <v>4.0</v>
      </c>
      <c r="P206" s="14">
        <f t="shared" ref="P206:Q206" si="189">M206*O206</f>
        <v>263.96</v>
      </c>
      <c r="Q206" s="14">
        <f t="shared" si="189"/>
        <v>17416.0808</v>
      </c>
    </row>
    <row r="207">
      <c r="A207" s="12">
        <v>42225.0</v>
      </c>
      <c r="B207" s="12" t="s">
        <v>2322</v>
      </c>
      <c r="C207" s="1" t="s">
        <v>832</v>
      </c>
      <c r="D207" s="15" t="str">
        <f t="shared" si="2"/>
        <v>Sep</v>
      </c>
      <c r="E207" s="13" t="s">
        <v>20</v>
      </c>
      <c r="F207" s="13" t="s">
        <v>2773</v>
      </c>
      <c r="G207" s="13" t="s">
        <v>2774</v>
      </c>
      <c r="H207" s="13" t="s">
        <v>23</v>
      </c>
      <c r="I207" s="13" t="s">
        <v>1230</v>
      </c>
      <c r="J207" s="13" t="s">
        <v>70</v>
      </c>
      <c r="K207" s="13" t="s">
        <v>71</v>
      </c>
      <c r="L207" s="13" t="s">
        <v>38</v>
      </c>
      <c r="M207" s="14">
        <v>51.184</v>
      </c>
      <c r="N207" s="14">
        <v>51.02</v>
      </c>
      <c r="O207" s="13">
        <v>7.0</v>
      </c>
      <c r="P207" s="14">
        <f t="shared" ref="P207:Q207" si="190">M207*O207</f>
        <v>358.288</v>
      </c>
      <c r="Q207" s="14">
        <f t="shared" si="190"/>
        <v>18279.85376</v>
      </c>
    </row>
    <row r="208">
      <c r="A208" s="12">
        <v>42906.0</v>
      </c>
      <c r="B208" s="12" t="s">
        <v>2374</v>
      </c>
      <c r="C208" s="1" t="s">
        <v>159</v>
      </c>
      <c r="D208" s="15" t="str">
        <f t="shared" si="2"/>
        <v>Jun</v>
      </c>
      <c r="E208" s="13" t="s">
        <v>20</v>
      </c>
      <c r="F208" s="13" t="s">
        <v>2432</v>
      </c>
      <c r="G208" s="13" t="s">
        <v>2804</v>
      </c>
      <c r="H208" s="13" t="s">
        <v>34</v>
      </c>
      <c r="I208" s="13" t="s">
        <v>1480</v>
      </c>
      <c r="J208" s="13" t="s">
        <v>52</v>
      </c>
      <c r="K208" s="13" t="s">
        <v>37</v>
      </c>
      <c r="L208" s="13" t="s">
        <v>38</v>
      </c>
      <c r="M208" s="14">
        <v>5.16</v>
      </c>
      <c r="N208" s="14">
        <v>5.02</v>
      </c>
      <c r="O208" s="13">
        <v>9.0</v>
      </c>
      <c r="P208" s="14">
        <f t="shared" ref="P208:Q208" si="191">M208*O208</f>
        <v>46.44</v>
      </c>
      <c r="Q208" s="14">
        <f t="shared" si="191"/>
        <v>233.1288</v>
      </c>
    </row>
    <row r="209">
      <c r="A209" s="12">
        <v>42906.0</v>
      </c>
      <c r="B209" s="12" t="s">
        <v>2374</v>
      </c>
      <c r="C209" s="1" t="s">
        <v>159</v>
      </c>
      <c r="D209" s="15" t="str">
        <f t="shared" si="2"/>
        <v>Jun</v>
      </c>
      <c r="E209" s="13" t="s">
        <v>20</v>
      </c>
      <c r="F209" s="13" t="s">
        <v>2432</v>
      </c>
      <c r="G209" s="13" t="s">
        <v>2804</v>
      </c>
      <c r="H209" s="13" t="s">
        <v>34</v>
      </c>
      <c r="I209" s="13" t="s">
        <v>1480</v>
      </c>
      <c r="J209" s="13" t="s">
        <v>52</v>
      </c>
      <c r="K209" s="13" t="s">
        <v>37</v>
      </c>
      <c r="L209" s="13" t="s">
        <v>38</v>
      </c>
      <c r="M209" s="14">
        <v>38.88</v>
      </c>
      <c r="N209" s="14">
        <v>38.86</v>
      </c>
      <c r="O209" s="13">
        <v>9.0</v>
      </c>
      <c r="P209" s="14">
        <f t="shared" ref="P209:Q209" si="192">M209*O209</f>
        <v>349.92</v>
      </c>
      <c r="Q209" s="14">
        <f t="shared" si="192"/>
        <v>13597.8912</v>
      </c>
    </row>
    <row r="210">
      <c r="A210" s="12">
        <v>42856.0</v>
      </c>
      <c r="B210" s="12" t="s">
        <v>2335</v>
      </c>
      <c r="C210" s="6">
        <v>42917.0</v>
      </c>
      <c r="D210" s="15" t="str">
        <f t="shared" si="2"/>
        <v>Jul</v>
      </c>
      <c r="E210" s="13" t="s">
        <v>20</v>
      </c>
      <c r="F210" s="13" t="s">
        <v>2723</v>
      </c>
      <c r="G210" s="13" t="s">
        <v>2777</v>
      </c>
      <c r="H210" s="13" t="s">
        <v>34</v>
      </c>
      <c r="I210" s="13" t="s">
        <v>849</v>
      </c>
      <c r="J210" s="13" t="s">
        <v>145</v>
      </c>
      <c r="K210" s="13" t="s">
        <v>26</v>
      </c>
      <c r="L210" s="13" t="s">
        <v>51</v>
      </c>
      <c r="M210" s="14">
        <v>191.472</v>
      </c>
      <c r="N210" s="14">
        <v>190.66</v>
      </c>
      <c r="O210" s="13">
        <v>3.0</v>
      </c>
      <c r="P210" s="14">
        <f t="shared" ref="P210:Q210" si="193">M210*O210</f>
        <v>574.416</v>
      </c>
      <c r="Q210" s="14">
        <f t="shared" si="193"/>
        <v>109518.1546</v>
      </c>
    </row>
    <row r="211">
      <c r="A211" s="12">
        <v>42856.0</v>
      </c>
      <c r="B211" s="12" t="s">
        <v>2335</v>
      </c>
      <c r="C211" s="6">
        <v>42917.0</v>
      </c>
      <c r="D211" s="15" t="str">
        <f t="shared" si="2"/>
        <v>Jul</v>
      </c>
      <c r="E211" s="13" t="s">
        <v>20</v>
      </c>
      <c r="F211" s="13" t="s">
        <v>2723</v>
      </c>
      <c r="G211" s="13" t="s">
        <v>2777</v>
      </c>
      <c r="H211" s="13" t="s">
        <v>34</v>
      </c>
      <c r="I211" s="13" t="s">
        <v>849</v>
      </c>
      <c r="J211" s="13" t="s">
        <v>145</v>
      </c>
      <c r="K211" s="13" t="s">
        <v>26</v>
      </c>
      <c r="L211" s="13" t="s">
        <v>38</v>
      </c>
      <c r="M211" s="14">
        <v>5.248</v>
      </c>
      <c r="N211" s="14">
        <v>4.47</v>
      </c>
      <c r="O211" s="13">
        <v>3.0</v>
      </c>
      <c r="P211" s="14">
        <f t="shared" ref="P211:Q211" si="194">M211*O211</f>
        <v>15.744</v>
      </c>
      <c r="Q211" s="14">
        <f t="shared" si="194"/>
        <v>70.37568</v>
      </c>
    </row>
    <row r="212">
      <c r="A212" s="12">
        <v>42856.0</v>
      </c>
      <c r="B212" s="12" t="s">
        <v>2335</v>
      </c>
      <c r="C212" s="6">
        <v>42917.0</v>
      </c>
      <c r="D212" s="15" t="str">
        <f t="shared" si="2"/>
        <v>Jul</v>
      </c>
      <c r="E212" s="13" t="s">
        <v>20</v>
      </c>
      <c r="F212" s="13" t="s">
        <v>2723</v>
      </c>
      <c r="G212" s="13" t="s">
        <v>2777</v>
      </c>
      <c r="H212" s="13" t="s">
        <v>34</v>
      </c>
      <c r="I212" s="13" t="s">
        <v>849</v>
      </c>
      <c r="J212" s="13" t="s">
        <v>145</v>
      </c>
      <c r="K212" s="13" t="s">
        <v>26</v>
      </c>
      <c r="L212" s="13" t="s">
        <v>51</v>
      </c>
      <c r="M212" s="14">
        <v>59.184</v>
      </c>
      <c r="N212" s="14">
        <v>59.09</v>
      </c>
      <c r="O212" s="13">
        <v>3.0</v>
      </c>
      <c r="P212" s="14">
        <f t="shared" ref="P212:Q212" si="195">M212*O212</f>
        <v>177.552</v>
      </c>
      <c r="Q212" s="14">
        <f t="shared" si="195"/>
        <v>10491.54768</v>
      </c>
    </row>
    <row r="213">
      <c r="A213" s="12">
        <v>43434.0</v>
      </c>
      <c r="B213" s="12" t="s">
        <v>2326</v>
      </c>
      <c r="C213" s="6">
        <v>43143.0</v>
      </c>
      <c r="D213" s="15" t="str">
        <f t="shared" si="2"/>
        <v>Feb</v>
      </c>
      <c r="E213" s="13" t="s">
        <v>20</v>
      </c>
      <c r="F213" s="13" t="s">
        <v>2338</v>
      </c>
      <c r="G213" s="13" t="s">
        <v>2339</v>
      </c>
      <c r="H213" s="13" t="s">
        <v>68</v>
      </c>
      <c r="I213" s="13" t="s">
        <v>174</v>
      </c>
      <c r="J213" s="13" t="s">
        <v>175</v>
      </c>
      <c r="K213" s="13" t="s">
        <v>100</v>
      </c>
      <c r="L213" s="13" t="s">
        <v>38</v>
      </c>
      <c r="M213" s="14">
        <v>68.472</v>
      </c>
      <c r="N213" s="14">
        <v>68.14</v>
      </c>
      <c r="O213" s="13">
        <v>1.0</v>
      </c>
      <c r="P213" s="14">
        <f t="shared" ref="P213:Q213" si="196">M213*O213</f>
        <v>68.472</v>
      </c>
      <c r="Q213" s="14">
        <f t="shared" si="196"/>
        <v>4665.68208</v>
      </c>
    </row>
    <row r="214">
      <c r="A214" s="12">
        <v>43434.0</v>
      </c>
      <c r="B214" s="12" t="s">
        <v>2326</v>
      </c>
      <c r="C214" s="6">
        <v>43143.0</v>
      </c>
      <c r="D214" s="15" t="str">
        <f t="shared" si="2"/>
        <v>Feb</v>
      </c>
      <c r="E214" s="13" t="s">
        <v>20</v>
      </c>
      <c r="F214" s="13" t="s">
        <v>2338</v>
      </c>
      <c r="G214" s="13" t="s">
        <v>2339</v>
      </c>
      <c r="H214" s="13" t="s">
        <v>68</v>
      </c>
      <c r="I214" s="13" t="s">
        <v>174</v>
      </c>
      <c r="J214" s="13" t="s">
        <v>175</v>
      </c>
      <c r="K214" s="13" t="s">
        <v>100</v>
      </c>
      <c r="L214" s="13" t="s">
        <v>27</v>
      </c>
      <c r="M214" s="14">
        <v>1242.9</v>
      </c>
      <c r="N214" s="14">
        <v>1242.58</v>
      </c>
      <c r="O214" s="13">
        <v>1.0</v>
      </c>
      <c r="P214" s="14">
        <f t="shared" ref="P214:Q214" si="197">M214*O214</f>
        <v>1242.9</v>
      </c>
      <c r="Q214" s="14">
        <f t="shared" si="197"/>
        <v>1544402.682</v>
      </c>
    </row>
    <row r="215">
      <c r="A215" s="12">
        <v>42485.0</v>
      </c>
      <c r="B215" s="12" t="s">
        <v>2332</v>
      </c>
      <c r="C215" s="1" t="s">
        <v>1535</v>
      </c>
      <c r="D215" s="15" t="str">
        <f t="shared" si="2"/>
        <v>Apr</v>
      </c>
      <c r="E215" s="13" t="s">
        <v>20</v>
      </c>
      <c r="F215" s="13" t="s">
        <v>2815</v>
      </c>
      <c r="G215" s="13" t="s">
        <v>2385</v>
      </c>
      <c r="H215" s="13" t="s">
        <v>34</v>
      </c>
      <c r="I215" s="13" t="s">
        <v>35</v>
      </c>
      <c r="J215" s="13" t="s">
        <v>52</v>
      </c>
      <c r="K215" s="13" t="s">
        <v>37</v>
      </c>
      <c r="L215" s="13" t="s">
        <v>38</v>
      </c>
      <c r="M215" s="14">
        <v>13.944</v>
      </c>
      <c r="N215" s="14">
        <v>13.63</v>
      </c>
      <c r="O215" s="13">
        <v>9.0</v>
      </c>
      <c r="P215" s="14">
        <f t="shared" ref="P215:Q215" si="198">M215*O215</f>
        <v>125.496</v>
      </c>
      <c r="Q215" s="14">
        <f t="shared" si="198"/>
        <v>1710.51048</v>
      </c>
    </row>
    <row r="216">
      <c r="A216" s="12">
        <v>42804.0</v>
      </c>
      <c r="B216" s="12" t="s">
        <v>2399</v>
      </c>
      <c r="C216" s="6">
        <v>42896.0</v>
      </c>
      <c r="D216" s="15" t="str">
        <f t="shared" si="2"/>
        <v>Jun</v>
      </c>
      <c r="E216" s="13" t="s">
        <v>20</v>
      </c>
      <c r="F216" s="13" t="s">
        <v>2819</v>
      </c>
      <c r="G216" s="13" t="s">
        <v>2820</v>
      </c>
      <c r="H216" s="13" t="s">
        <v>23</v>
      </c>
      <c r="I216" s="13" t="s">
        <v>129</v>
      </c>
      <c r="J216" s="13" t="s">
        <v>70</v>
      </c>
      <c r="K216" s="13" t="s">
        <v>71</v>
      </c>
      <c r="L216" s="13" t="s">
        <v>38</v>
      </c>
      <c r="M216" s="14">
        <v>15.648</v>
      </c>
      <c r="N216" s="14">
        <v>14.69</v>
      </c>
      <c r="O216" s="13">
        <v>7.0</v>
      </c>
      <c r="P216" s="14">
        <f t="shared" ref="P216:Q216" si="199">M216*O216</f>
        <v>109.536</v>
      </c>
      <c r="Q216" s="14">
        <f t="shared" si="199"/>
        <v>1609.08384</v>
      </c>
    </row>
    <row r="217">
      <c r="A217" s="12">
        <v>43402.0</v>
      </c>
      <c r="B217" s="12" t="s">
        <v>2358</v>
      </c>
      <c r="C217" s="1" t="s">
        <v>1559</v>
      </c>
      <c r="D217" s="15" t="str">
        <f t="shared" si="2"/>
        <v>Oct</v>
      </c>
      <c r="E217" s="13" t="s">
        <v>20</v>
      </c>
      <c r="F217" s="13" t="s">
        <v>2822</v>
      </c>
      <c r="G217" s="13" t="s">
        <v>2823</v>
      </c>
      <c r="H217" s="13" t="s">
        <v>34</v>
      </c>
      <c r="I217" s="13" t="s">
        <v>868</v>
      </c>
      <c r="J217" s="13" t="s">
        <v>175</v>
      </c>
      <c r="K217" s="13" t="s">
        <v>100</v>
      </c>
      <c r="L217" s="13" t="s">
        <v>38</v>
      </c>
      <c r="M217" s="14">
        <v>46.96</v>
      </c>
      <c r="N217" s="14">
        <v>46.9</v>
      </c>
      <c r="O217" s="13">
        <v>1.0</v>
      </c>
      <c r="P217" s="14">
        <f t="shared" ref="P217:Q217" si="200">M217*O217</f>
        <v>46.96</v>
      </c>
      <c r="Q217" s="14">
        <f t="shared" si="200"/>
        <v>2202.424</v>
      </c>
    </row>
    <row r="218">
      <c r="A218" s="12">
        <v>43235.0</v>
      </c>
      <c r="B218" s="12" t="s">
        <v>2335</v>
      </c>
      <c r="C218" s="1" t="s">
        <v>1634</v>
      </c>
      <c r="D218" s="15" t="str">
        <f t="shared" si="2"/>
        <v>May</v>
      </c>
      <c r="E218" s="13" t="s">
        <v>20</v>
      </c>
      <c r="F218" s="13" t="s">
        <v>2505</v>
      </c>
      <c r="G218" s="13" t="s">
        <v>2838</v>
      </c>
      <c r="H218" s="13" t="s">
        <v>23</v>
      </c>
      <c r="I218" s="13" t="s">
        <v>328</v>
      </c>
      <c r="J218" s="13" t="s">
        <v>193</v>
      </c>
      <c r="K218" s="13" t="s">
        <v>37</v>
      </c>
      <c r="L218" s="13" t="s">
        <v>51</v>
      </c>
      <c r="M218" s="14">
        <v>29.592</v>
      </c>
      <c r="N218" s="14">
        <v>28.89</v>
      </c>
      <c r="O218" s="13">
        <v>8.0</v>
      </c>
      <c r="P218" s="14">
        <f t="shared" ref="P218:Q218" si="201">M218*O218</f>
        <v>236.736</v>
      </c>
      <c r="Q218" s="14">
        <f t="shared" si="201"/>
        <v>6839.30304</v>
      </c>
    </row>
    <row r="219">
      <c r="A219" s="12">
        <v>43235.0</v>
      </c>
      <c r="B219" s="12" t="s">
        <v>2335</v>
      </c>
      <c r="C219" s="1" t="s">
        <v>1634</v>
      </c>
      <c r="D219" s="15" t="str">
        <f t="shared" si="2"/>
        <v>May</v>
      </c>
      <c r="E219" s="13" t="s">
        <v>20</v>
      </c>
      <c r="F219" s="13" t="s">
        <v>2505</v>
      </c>
      <c r="G219" s="13" t="s">
        <v>2838</v>
      </c>
      <c r="H219" s="13" t="s">
        <v>23</v>
      </c>
      <c r="I219" s="13" t="s">
        <v>328</v>
      </c>
      <c r="J219" s="13" t="s">
        <v>193</v>
      </c>
      <c r="K219" s="13" t="s">
        <v>37</v>
      </c>
      <c r="L219" s="13" t="s">
        <v>38</v>
      </c>
      <c r="M219" s="14">
        <v>4.752</v>
      </c>
      <c r="N219" s="14">
        <v>3.8</v>
      </c>
      <c r="O219" s="13">
        <v>8.0</v>
      </c>
      <c r="P219" s="14">
        <f t="shared" ref="P219:Q219" si="202">M219*O219</f>
        <v>38.016</v>
      </c>
      <c r="Q219" s="14">
        <f t="shared" si="202"/>
        <v>144.4608</v>
      </c>
    </row>
    <row r="220">
      <c r="A220" s="12">
        <v>43235.0</v>
      </c>
      <c r="B220" s="12" t="s">
        <v>2335</v>
      </c>
      <c r="C220" s="1" t="s">
        <v>1634</v>
      </c>
      <c r="D220" s="15" t="str">
        <f t="shared" si="2"/>
        <v>May</v>
      </c>
      <c r="E220" s="13" t="s">
        <v>20</v>
      </c>
      <c r="F220" s="13" t="s">
        <v>2505</v>
      </c>
      <c r="G220" s="13" t="s">
        <v>2838</v>
      </c>
      <c r="H220" s="13" t="s">
        <v>23</v>
      </c>
      <c r="I220" s="13" t="s">
        <v>328</v>
      </c>
      <c r="J220" s="13" t="s">
        <v>193</v>
      </c>
      <c r="K220" s="13" t="s">
        <v>37</v>
      </c>
      <c r="L220" s="13" t="s">
        <v>38</v>
      </c>
      <c r="M220" s="14">
        <v>15.552</v>
      </c>
      <c r="N220" s="14">
        <v>15.55</v>
      </c>
      <c r="O220" s="13">
        <v>8.0</v>
      </c>
      <c r="P220" s="14">
        <f t="shared" ref="P220:Q220" si="203">M220*O220</f>
        <v>124.416</v>
      </c>
      <c r="Q220" s="14">
        <f t="shared" si="203"/>
        <v>1934.6688</v>
      </c>
    </row>
    <row r="221">
      <c r="A221" s="12">
        <v>42269.0</v>
      </c>
      <c r="B221" s="12" t="s">
        <v>2329</v>
      </c>
      <c r="C221" s="1" t="s">
        <v>651</v>
      </c>
      <c r="D221" s="15" t="str">
        <f t="shared" si="2"/>
        <v>Sep</v>
      </c>
      <c r="E221" s="13" t="s">
        <v>20</v>
      </c>
      <c r="F221" s="13" t="s">
        <v>2647</v>
      </c>
      <c r="G221" s="13" t="s">
        <v>2821</v>
      </c>
      <c r="H221" s="13" t="s">
        <v>23</v>
      </c>
      <c r="I221" s="13" t="s">
        <v>1649</v>
      </c>
      <c r="J221" s="13" t="s">
        <v>145</v>
      </c>
      <c r="K221" s="13" t="s">
        <v>26</v>
      </c>
      <c r="L221" s="13" t="s">
        <v>38</v>
      </c>
      <c r="M221" s="14">
        <v>4.608</v>
      </c>
      <c r="N221" s="14">
        <v>3.7</v>
      </c>
      <c r="O221" s="13">
        <v>3.0</v>
      </c>
      <c r="P221" s="14">
        <f t="shared" ref="P221:Q221" si="204">M221*O221</f>
        <v>13.824</v>
      </c>
      <c r="Q221" s="14">
        <f t="shared" si="204"/>
        <v>51.1488</v>
      </c>
    </row>
    <row r="222">
      <c r="A222" s="12">
        <v>42020.0</v>
      </c>
      <c r="B222" s="12" t="s">
        <v>2353</v>
      </c>
      <c r="C222" s="1" t="s">
        <v>1654</v>
      </c>
      <c r="D222" s="15" t="str">
        <f t="shared" si="2"/>
        <v>Jan</v>
      </c>
      <c r="E222" s="13" t="s">
        <v>20</v>
      </c>
      <c r="F222" s="13" t="s">
        <v>2519</v>
      </c>
      <c r="G222" s="13" t="s">
        <v>2520</v>
      </c>
      <c r="H222" s="13" t="s">
        <v>23</v>
      </c>
      <c r="I222" s="13" t="s">
        <v>98</v>
      </c>
      <c r="J222" s="13" t="s">
        <v>99</v>
      </c>
      <c r="K222" s="13" t="s">
        <v>100</v>
      </c>
      <c r="L222" s="13" t="s">
        <v>27</v>
      </c>
      <c r="M222" s="14">
        <v>127.104</v>
      </c>
      <c r="N222" s="14">
        <v>126.74</v>
      </c>
      <c r="O222" s="13">
        <v>1.0</v>
      </c>
      <c r="P222" s="14">
        <f t="shared" ref="P222:Q222" si="205">M222*O222</f>
        <v>127.104</v>
      </c>
      <c r="Q222" s="14">
        <f t="shared" si="205"/>
        <v>16109.16096</v>
      </c>
    </row>
    <row r="223">
      <c r="A223" s="12">
        <v>42020.0</v>
      </c>
      <c r="B223" s="12" t="s">
        <v>2353</v>
      </c>
      <c r="C223" s="1" t="s">
        <v>1654</v>
      </c>
      <c r="D223" s="15" t="str">
        <f t="shared" si="2"/>
        <v>Jan</v>
      </c>
      <c r="E223" s="13" t="s">
        <v>20</v>
      </c>
      <c r="F223" s="13" t="s">
        <v>2519</v>
      </c>
      <c r="G223" s="13" t="s">
        <v>2520</v>
      </c>
      <c r="H223" s="13" t="s">
        <v>23</v>
      </c>
      <c r="I223" s="13" t="s">
        <v>98</v>
      </c>
      <c r="J223" s="13" t="s">
        <v>99</v>
      </c>
      <c r="K223" s="13" t="s">
        <v>100</v>
      </c>
      <c r="L223" s="13" t="s">
        <v>51</v>
      </c>
      <c r="M223" s="14">
        <v>124.2</v>
      </c>
      <c r="N223" s="14">
        <v>123.49</v>
      </c>
      <c r="O223" s="13">
        <v>1.0</v>
      </c>
      <c r="P223" s="14">
        <f t="shared" ref="P223:Q223" si="206">M223*O223</f>
        <v>124.2</v>
      </c>
      <c r="Q223" s="14">
        <f t="shared" si="206"/>
        <v>15337.458</v>
      </c>
    </row>
    <row r="224">
      <c r="A224" s="12">
        <v>42020.0</v>
      </c>
      <c r="B224" s="12" t="s">
        <v>2353</v>
      </c>
      <c r="C224" s="1" t="s">
        <v>1654</v>
      </c>
      <c r="D224" s="15" t="str">
        <f t="shared" si="2"/>
        <v>Jan</v>
      </c>
      <c r="E224" s="13" t="s">
        <v>20</v>
      </c>
      <c r="F224" s="13" t="s">
        <v>2519</v>
      </c>
      <c r="G224" s="13" t="s">
        <v>2520</v>
      </c>
      <c r="H224" s="13" t="s">
        <v>23</v>
      </c>
      <c r="I224" s="13" t="s">
        <v>98</v>
      </c>
      <c r="J224" s="13" t="s">
        <v>99</v>
      </c>
      <c r="K224" s="13" t="s">
        <v>100</v>
      </c>
      <c r="L224" s="13" t="s">
        <v>38</v>
      </c>
      <c r="M224" s="14">
        <v>18.588</v>
      </c>
      <c r="N224" s="14">
        <v>18.21</v>
      </c>
      <c r="O224" s="13">
        <v>1.0</v>
      </c>
      <c r="P224" s="14">
        <f t="shared" ref="P224:Q224" si="207">M224*O224</f>
        <v>18.588</v>
      </c>
      <c r="Q224" s="14">
        <f t="shared" si="207"/>
        <v>338.48748</v>
      </c>
    </row>
    <row r="225">
      <c r="A225" s="12">
        <v>42020.0</v>
      </c>
      <c r="B225" s="12" t="s">
        <v>2353</v>
      </c>
      <c r="C225" s="1" t="s">
        <v>1654</v>
      </c>
      <c r="D225" s="15" t="str">
        <f t="shared" si="2"/>
        <v>Jan</v>
      </c>
      <c r="E225" s="13" t="s">
        <v>20</v>
      </c>
      <c r="F225" s="13" t="s">
        <v>2519</v>
      </c>
      <c r="G225" s="13" t="s">
        <v>2520</v>
      </c>
      <c r="H225" s="13" t="s">
        <v>23</v>
      </c>
      <c r="I225" s="13" t="s">
        <v>98</v>
      </c>
      <c r="J225" s="13" t="s">
        <v>99</v>
      </c>
      <c r="K225" s="13" t="s">
        <v>100</v>
      </c>
      <c r="L225" s="13" t="s">
        <v>38</v>
      </c>
      <c r="M225" s="14">
        <v>30.072</v>
      </c>
      <c r="N225" s="14">
        <v>29.51</v>
      </c>
      <c r="O225" s="13">
        <v>1.0</v>
      </c>
      <c r="P225" s="14">
        <f t="shared" ref="P225:Q225" si="208">M225*O225</f>
        <v>30.072</v>
      </c>
      <c r="Q225" s="14">
        <f t="shared" si="208"/>
        <v>887.42472</v>
      </c>
    </row>
    <row r="226">
      <c r="A226" s="12">
        <v>43230.0</v>
      </c>
      <c r="B226" s="12" t="s">
        <v>2335</v>
      </c>
      <c r="C226" s="6">
        <v>43322.0</v>
      </c>
      <c r="D226" s="15" t="str">
        <f t="shared" si="2"/>
        <v>Aug</v>
      </c>
      <c r="E226" s="13" t="s">
        <v>20</v>
      </c>
      <c r="F226" s="13" t="s">
        <v>2764</v>
      </c>
      <c r="G226" s="13" t="s">
        <v>2765</v>
      </c>
      <c r="H226" s="13" t="s">
        <v>68</v>
      </c>
      <c r="I226" s="13" t="s">
        <v>174</v>
      </c>
      <c r="J226" s="13" t="s">
        <v>175</v>
      </c>
      <c r="K226" s="13" t="s">
        <v>100</v>
      </c>
      <c r="L226" s="13" t="s">
        <v>51</v>
      </c>
      <c r="M226" s="14">
        <v>160.93</v>
      </c>
      <c r="N226" s="14">
        <v>160.25</v>
      </c>
      <c r="O226" s="13">
        <v>1.0</v>
      </c>
      <c r="P226" s="14">
        <f t="shared" ref="P226:Q226" si="209">M226*O226</f>
        <v>160.93</v>
      </c>
      <c r="Q226" s="14">
        <f t="shared" si="209"/>
        <v>25789.0325</v>
      </c>
    </row>
    <row r="227">
      <c r="A227" s="12">
        <v>43230.0</v>
      </c>
      <c r="B227" s="12" t="s">
        <v>2335</v>
      </c>
      <c r="C227" s="6">
        <v>43322.0</v>
      </c>
      <c r="D227" s="15" t="str">
        <f t="shared" si="2"/>
        <v>Aug</v>
      </c>
      <c r="E227" s="13" t="s">
        <v>20</v>
      </c>
      <c r="F227" s="13" t="s">
        <v>2764</v>
      </c>
      <c r="G227" s="13" t="s">
        <v>2765</v>
      </c>
      <c r="H227" s="13" t="s">
        <v>68</v>
      </c>
      <c r="I227" s="13" t="s">
        <v>174</v>
      </c>
      <c r="J227" s="13" t="s">
        <v>175</v>
      </c>
      <c r="K227" s="13" t="s">
        <v>100</v>
      </c>
      <c r="L227" s="13" t="s">
        <v>38</v>
      </c>
      <c r="M227" s="14">
        <v>75.792</v>
      </c>
      <c r="N227" s="14">
        <v>75.6</v>
      </c>
      <c r="O227" s="13">
        <v>1.0</v>
      </c>
      <c r="P227" s="14">
        <f t="shared" ref="P227:Q227" si="210">M227*O227</f>
        <v>75.792</v>
      </c>
      <c r="Q227" s="14">
        <f t="shared" si="210"/>
        <v>5729.8752</v>
      </c>
    </row>
    <row r="228">
      <c r="A228" s="12">
        <v>42319.0</v>
      </c>
      <c r="B228" s="12" t="s">
        <v>2326</v>
      </c>
      <c r="C228" s="1" t="s">
        <v>1666</v>
      </c>
      <c r="D228" s="15" t="str">
        <f t="shared" si="2"/>
        <v>Nov</v>
      </c>
      <c r="E228" s="13" t="s">
        <v>20</v>
      </c>
      <c r="F228" s="13" t="s">
        <v>2356</v>
      </c>
      <c r="G228" s="13" t="s">
        <v>2844</v>
      </c>
      <c r="H228" s="13" t="s">
        <v>23</v>
      </c>
      <c r="I228" s="13" t="s">
        <v>818</v>
      </c>
      <c r="J228" s="13" t="s">
        <v>279</v>
      </c>
      <c r="K228" s="13" t="s">
        <v>37</v>
      </c>
      <c r="L228" s="13" t="s">
        <v>38</v>
      </c>
      <c r="M228" s="14">
        <v>3.392</v>
      </c>
      <c r="N228" s="14">
        <v>3.21</v>
      </c>
      <c r="O228" s="13">
        <v>8.0</v>
      </c>
      <c r="P228" s="14">
        <f t="shared" ref="P228:Q228" si="211">M228*O228</f>
        <v>27.136</v>
      </c>
      <c r="Q228" s="14">
        <f t="shared" si="211"/>
        <v>87.10656</v>
      </c>
    </row>
    <row r="229">
      <c r="A229" s="12">
        <v>42319.0</v>
      </c>
      <c r="B229" s="12" t="s">
        <v>2326</v>
      </c>
      <c r="C229" s="1" t="s">
        <v>1666</v>
      </c>
      <c r="D229" s="15" t="str">
        <f t="shared" si="2"/>
        <v>Nov</v>
      </c>
      <c r="E229" s="13" t="s">
        <v>20</v>
      </c>
      <c r="F229" s="13" t="s">
        <v>2356</v>
      </c>
      <c r="G229" s="13" t="s">
        <v>2844</v>
      </c>
      <c r="H229" s="13" t="s">
        <v>23</v>
      </c>
      <c r="I229" s="13" t="s">
        <v>818</v>
      </c>
      <c r="J229" s="13" t="s">
        <v>279</v>
      </c>
      <c r="K229" s="13" t="s">
        <v>37</v>
      </c>
      <c r="L229" s="13" t="s">
        <v>51</v>
      </c>
      <c r="M229" s="14">
        <v>559.984</v>
      </c>
      <c r="N229" s="14">
        <v>559.5</v>
      </c>
      <c r="O229" s="13">
        <v>8.0</v>
      </c>
      <c r="P229" s="14">
        <f t="shared" ref="P229:Q229" si="212">M229*O229</f>
        <v>4479.872</v>
      </c>
      <c r="Q229" s="14">
        <f t="shared" si="212"/>
        <v>2506488.384</v>
      </c>
    </row>
    <row r="230">
      <c r="A230" s="12">
        <v>42319.0</v>
      </c>
      <c r="B230" s="12" t="s">
        <v>2326</v>
      </c>
      <c r="C230" s="1" t="s">
        <v>1666</v>
      </c>
      <c r="D230" s="15" t="str">
        <f t="shared" si="2"/>
        <v>Nov</v>
      </c>
      <c r="E230" s="13" t="s">
        <v>20</v>
      </c>
      <c r="F230" s="13" t="s">
        <v>2356</v>
      </c>
      <c r="G230" s="13" t="s">
        <v>2844</v>
      </c>
      <c r="H230" s="13" t="s">
        <v>23</v>
      </c>
      <c r="I230" s="13" t="s">
        <v>818</v>
      </c>
      <c r="J230" s="13" t="s">
        <v>279</v>
      </c>
      <c r="K230" s="13" t="s">
        <v>37</v>
      </c>
      <c r="L230" s="13" t="s">
        <v>27</v>
      </c>
      <c r="M230" s="14">
        <v>603.92</v>
      </c>
      <c r="N230" s="14">
        <v>603.59</v>
      </c>
      <c r="O230" s="13">
        <v>8.0</v>
      </c>
      <c r="P230" s="14">
        <f t="shared" ref="P230:Q230" si="213">M230*O230</f>
        <v>4831.36</v>
      </c>
      <c r="Q230" s="14">
        <f t="shared" si="213"/>
        <v>2916160.582</v>
      </c>
    </row>
    <row r="231">
      <c r="A231" s="12">
        <v>42458.0</v>
      </c>
      <c r="B231" s="12" t="s">
        <v>2399</v>
      </c>
      <c r="C231" s="1" t="s">
        <v>1678</v>
      </c>
      <c r="D231" s="15" t="str">
        <f t="shared" si="2"/>
        <v>Mar</v>
      </c>
      <c r="E231" s="13" t="s">
        <v>20</v>
      </c>
      <c r="F231" s="13" t="s">
        <v>2848</v>
      </c>
      <c r="G231" s="13" t="s">
        <v>2849</v>
      </c>
      <c r="H231" s="13" t="s">
        <v>68</v>
      </c>
      <c r="I231" s="13" t="s">
        <v>849</v>
      </c>
      <c r="J231" s="13" t="s">
        <v>145</v>
      </c>
      <c r="K231" s="13" t="s">
        <v>26</v>
      </c>
      <c r="L231" s="13" t="s">
        <v>27</v>
      </c>
      <c r="M231" s="14">
        <v>1166.92</v>
      </c>
      <c r="N231" s="14">
        <v>1166.52</v>
      </c>
      <c r="O231" s="13">
        <v>3.0</v>
      </c>
      <c r="P231" s="14">
        <f t="shared" ref="P231:Q231" si="214">M231*O231</f>
        <v>3500.76</v>
      </c>
      <c r="Q231" s="14">
        <f t="shared" si="214"/>
        <v>4083706.555</v>
      </c>
    </row>
    <row r="232">
      <c r="A232" s="12">
        <v>43268.0</v>
      </c>
      <c r="B232" s="12" t="s">
        <v>2374</v>
      </c>
      <c r="C232" s="1" t="s">
        <v>1449</v>
      </c>
      <c r="D232" s="15" t="str">
        <f t="shared" si="2"/>
        <v>Jun</v>
      </c>
      <c r="E232" s="13" t="s">
        <v>20</v>
      </c>
      <c r="F232" s="13" t="s">
        <v>2440</v>
      </c>
      <c r="G232" s="13" t="s">
        <v>2441</v>
      </c>
      <c r="H232" s="13" t="s">
        <v>23</v>
      </c>
      <c r="I232" s="13" t="s">
        <v>1710</v>
      </c>
      <c r="J232" s="13" t="s">
        <v>63</v>
      </c>
      <c r="K232" s="13" t="s">
        <v>37</v>
      </c>
      <c r="L232" s="13" t="s">
        <v>27</v>
      </c>
      <c r="M232" s="14">
        <v>155.25</v>
      </c>
      <c r="N232" s="14">
        <v>155.14</v>
      </c>
      <c r="O232" s="13">
        <v>9.0</v>
      </c>
      <c r="P232" s="14">
        <f t="shared" ref="P232:Q232" si="215">M232*O232</f>
        <v>1397.25</v>
      </c>
      <c r="Q232" s="14">
        <f t="shared" si="215"/>
        <v>216769.365</v>
      </c>
    </row>
    <row r="233">
      <c r="A233" s="12">
        <v>43268.0</v>
      </c>
      <c r="B233" s="12" t="s">
        <v>2374</v>
      </c>
      <c r="C233" s="1" t="s">
        <v>1449</v>
      </c>
      <c r="D233" s="15" t="str">
        <f t="shared" si="2"/>
        <v>Jun</v>
      </c>
      <c r="E233" s="13" t="s">
        <v>20</v>
      </c>
      <c r="F233" s="13" t="s">
        <v>2440</v>
      </c>
      <c r="G233" s="13" t="s">
        <v>2441</v>
      </c>
      <c r="H233" s="13" t="s">
        <v>23</v>
      </c>
      <c r="I233" s="13" t="s">
        <v>1710</v>
      </c>
      <c r="J233" s="13" t="s">
        <v>63</v>
      </c>
      <c r="K233" s="13" t="s">
        <v>37</v>
      </c>
      <c r="L233" s="13" t="s">
        <v>38</v>
      </c>
      <c r="M233" s="14">
        <v>14.03</v>
      </c>
      <c r="N233" s="14">
        <v>13.25</v>
      </c>
      <c r="O233" s="13">
        <v>9.0</v>
      </c>
      <c r="P233" s="14">
        <f t="shared" ref="P233:Q233" si="216">M233*O233</f>
        <v>126.27</v>
      </c>
      <c r="Q233" s="14">
        <f t="shared" si="216"/>
        <v>1673.0775</v>
      </c>
    </row>
    <row r="234">
      <c r="A234" s="12">
        <v>42725.0</v>
      </c>
      <c r="B234" s="12" t="s">
        <v>2325</v>
      </c>
      <c r="C234" s="1" t="s">
        <v>684</v>
      </c>
      <c r="D234" s="15" t="str">
        <f t="shared" si="2"/>
        <v>Dec</v>
      </c>
      <c r="E234" s="13" t="s">
        <v>20</v>
      </c>
      <c r="F234" s="13" t="s">
        <v>2560</v>
      </c>
      <c r="G234" s="13" t="s">
        <v>2385</v>
      </c>
      <c r="H234" s="13" t="s">
        <v>23</v>
      </c>
      <c r="I234" s="13" t="s">
        <v>62</v>
      </c>
      <c r="J234" s="13" t="s">
        <v>63</v>
      </c>
      <c r="K234" s="13" t="s">
        <v>37</v>
      </c>
      <c r="L234" s="13" t="s">
        <v>27</v>
      </c>
      <c r="M234" s="14">
        <v>1618.37</v>
      </c>
      <c r="N234" s="14">
        <v>1618.18</v>
      </c>
      <c r="O234" s="13">
        <v>9.0</v>
      </c>
      <c r="P234" s="14">
        <f t="shared" ref="P234:Q234" si="217">M234*O234</f>
        <v>14565.33</v>
      </c>
      <c r="Q234" s="14">
        <f t="shared" si="217"/>
        <v>23569325.7</v>
      </c>
    </row>
    <row r="235">
      <c r="A235" s="12">
        <v>42725.0</v>
      </c>
      <c r="B235" s="12" t="s">
        <v>2325</v>
      </c>
      <c r="C235" s="1" t="s">
        <v>684</v>
      </c>
      <c r="D235" s="15" t="str">
        <f t="shared" si="2"/>
        <v>Dec</v>
      </c>
      <c r="E235" s="13" t="s">
        <v>20</v>
      </c>
      <c r="F235" s="13" t="s">
        <v>2560</v>
      </c>
      <c r="G235" s="13" t="s">
        <v>2385</v>
      </c>
      <c r="H235" s="13" t="s">
        <v>23</v>
      </c>
      <c r="I235" s="13" t="s">
        <v>62</v>
      </c>
      <c r="J235" s="13" t="s">
        <v>63</v>
      </c>
      <c r="K235" s="13" t="s">
        <v>37</v>
      </c>
      <c r="L235" s="13" t="s">
        <v>51</v>
      </c>
      <c r="M235" s="14">
        <v>99.6</v>
      </c>
      <c r="N235" s="14">
        <v>98.63</v>
      </c>
      <c r="O235" s="13">
        <v>9.0</v>
      </c>
      <c r="P235" s="14">
        <f t="shared" ref="P235:Q235" si="218">M235*O235</f>
        <v>896.4</v>
      </c>
      <c r="Q235" s="14">
        <f t="shared" si="218"/>
        <v>88411.932</v>
      </c>
    </row>
    <row r="236">
      <c r="A236" s="12">
        <v>42630.0</v>
      </c>
      <c r="B236" s="12" t="s">
        <v>2329</v>
      </c>
      <c r="C236" s="1" t="s">
        <v>1715</v>
      </c>
      <c r="D236" s="15" t="str">
        <f t="shared" si="2"/>
        <v>Sep</v>
      </c>
      <c r="E236" s="13" t="s">
        <v>20</v>
      </c>
      <c r="F236" s="13" t="s">
        <v>2711</v>
      </c>
      <c r="G236" s="13" t="s">
        <v>2712</v>
      </c>
      <c r="H236" s="13" t="s">
        <v>68</v>
      </c>
      <c r="I236" s="13" t="s">
        <v>35</v>
      </c>
      <c r="J236" s="13" t="s">
        <v>52</v>
      </c>
      <c r="K236" s="13" t="s">
        <v>37</v>
      </c>
      <c r="L236" s="13" t="s">
        <v>38</v>
      </c>
      <c r="M236" s="14">
        <v>32.4</v>
      </c>
      <c r="N236" s="14">
        <v>31.92</v>
      </c>
      <c r="O236" s="13">
        <v>9.0</v>
      </c>
      <c r="P236" s="14">
        <f t="shared" ref="P236:Q236" si="219">M236*O236</f>
        <v>291.6</v>
      </c>
      <c r="Q236" s="14">
        <f t="shared" si="219"/>
        <v>9307.872</v>
      </c>
    </row>
    <row r="237">
      <c r="A237" s="12">
        <v>43040.0</v>
      </c>
      <c r="B237" s="12" t="s">
        <v>2326</v>
      </c>
      <c r="C237" s="1" t="s">
        <v>1728</v>
      </c>
      <c r="D237" s="15" t="str">
        <f t="shared" si="2"/>
        <v>Jan</v>
      </c>
      <c r="E237" s="13" t="s">
        <v>20</v>
      </c>
      <c r="F237" s="13" t="s">
        <v>2860</v>
      </c>
      <c r="G237" s="13" t="s">
        <v>2861</v>
      </c>
      <c r="H237" s="13" t="s">
        <v>68</v>
      </c>
      <c r="I237" s="13" t="s">
        <v>197</v>
      </c>
      <c r="J237" s="13" t="s">
        <v>304</v>
      </c>
      <c r="K237" s="13" t="s">
        <v>100</v>
      </c>
      <c r="L237" s="13" t="s">
        <v>38</v>
      </c>
      <c r="M237" s="14">
        <v>15.552</v>
      </c>
      <c r="N237" s="14">
        <v>15.04</v>
      </c>
      <c r="O237" s="13">
        <v>4.0</v>
      </c>
      <c r="P237" s="14">
        <f t="shared" ref="P237:Q237" si="220">M237*O237</f>
        <v>62.208</v>
      </c>
      <c r="Q237" s="14">
        <f t="shared" si="220"/>
        <v>935.60832</v>
      </c>
    </row>
    <row r="238">
      <c r="A238" s="12">
        <v>43040.0</v>
      </c>
      <c r="B238" s="12" t="s">
        <v>2326</v>
      </c>
      <c r="C238" s="1" t="s">
        <v>1728</v>
      </c>
      <c r="D238" s="15" t="str">
        <f t="shared" si="2"/>
        <v>Jan</v>
      </c>
      <c r="E238" s="13" t="s">
        <v>20</v>
      </c>
      <c r="F238" s="13" t="s">
        <v>2860</v>
      </c>
      <c r="G238" s="13" t="s">
        <v>2861</v>
      </c>
      <c r="H238" s="13" t="s">
        <v>68</v>
      </c>
      <c r="I238" s="13" t="s">
        <v>197</v>
      </c>
      <c r="J238" s="13" t="s">
        <v>304</v>
      </c>
      <c r="K238" s="13" t="s">
        <v>100</v>
      </c>
      <c r="L238" s="13" t="s">
        <v>38</v>
      </c>
      <c r="M238" s="14">
        <v>63.312</v>
      </c>
      <c r="N238" s="14">
        <v>63.23</v>
      </c>
      <c r="O238" s="13">
        <v>4.0</v>
      </c>
      <c r="P238" s="14">
        <f t="shared" ref="P238:Q238" si="221">M238*O238</f>
        <v>253.248</v>
      </c>
      <c r="Q238" s="14">
        <f t="shared" si="221"/>
        <v>16012.87104</v>
      </c>
    </row>
    <row r="239">
      <c r="A239" s="12">
        <v>43040.0</v>
      </c>
      <c r="B239" s="12" t="s">
        <v>2326</v>
      </c>
      <c r="C239" s="1" t="s">
        <v>1728</v>
      </c>
      <c r="D239" s="15" t="str">
        <f t="shared" si="2"/>
        <v>Jan</v>
      </c>
      <c r="E239" s="13" t="s">
        <v>20</v>
      </c>
      <c r="F239" s="13" t="s">
        <v>2860</v>
      </c>
      <c r="G239" s="13" t="s">
        <v>2861</v>
      </c>
      <c r="H239" s="13" t="s">
        <v>68</v>
      </c>
      <c r="I239" s="13" t="s">
        <v>197</v>
      </c>
      <c r="J239" s="13" t="s">
        <v>304</v>
      </c>
      <c r="K239" s="13" t="s">
        <v>100</v>
      </c>
      <c r="L239" s="13" t="s">
        <v>51</v>
      </c>
      <c r="M239" s="14">
        <v>15.588</v>
      </c>
      <c r="N239" s="14">
        <v>15.5</v>
      </c>
      <c r="O239" s="13">
        <v>4.0</v>
      </c>
      <c r="P239" s="14">
        <f t="shared" ref="P239:Q239" si="222">M239*O239</f>
        <v>62.352</v>
      </c>
      <c r="Q239" s="14">
        <f t="shared" si="222"/>
        <v>966.456</v>
      </c>
    </row>
    <row r="240">
      <c r="A240" s="12">
        <v>42895.0</v>
      </c>
      <c r="B240" s="12" t="s">
        <v>2374</v>
      </c>
      <c r="C240" s="6">
        <v>42987.0</v>
      </c>
      <c r="D240" s="15" t="str">
        <f t="shared" si="2"/>
        <v>Sep</v>
      </c>
      <c r="E240" s="13" t="s">
        <v>20</v>
      </c>
      <c r="F240" s="13" t="s">
        <v>2489</v>
      </c>
      <c r="G240" s="13" t="s">
        <v>2865</v>
      </c>
      <c r="H240" s="13" t="s">
        <v>23</v>
      </c>
      <c r="I240" s="13" t="s">
        <v>174</v>
      </c>
      <c r="J240" s="13" t="s">
        <v>175</v>
      </c>
      <c r="K240" s="13" t="s">
        <v>100</v>
      </c>
      <c r="L240" s="13" t="s">
        <v>51</v>
      </c>
      <c r="M240" s="14">
        <v>31.86</v>
      </c>
      <c r="N240" s="14">
        <v>31.06</v>
      </c>
      <c r="O240" s="13">
        <v>1.0</v>
      </c>
      <c r="P240" s="14">
        <f t="shared" ref="P240:Q240" si="223">M240*O240</f>
        <v>31.86</v>
      </c>
      <c r="Q240" s="14">
        <f t="shared" si="223"/>
        <v>989.5716</v>
      </c>
    </row>
    <row r="241">
      <c r="A241" s="12">
        <v>42895.0</v>
      </c>
      <c r="B241" s="12" t="s">
        <v>2374</v>
      </c>
      <c r="C241" s="6">
        <v>42987.0</v>
      </c>
      <c r="D241" s="15" t="str">
        <f t="shared" si="2"/>
        <v>Sep</v>
      </c>
      <c r="E241" s="13" t="s">
        <v>20</v>
      </c>
      <c r="F241" s="13" t="s">
        <v>2489</v>
      </c>
      <c r="G241" s="13" t="s">
        <v>2865</v>
      </c>
      <c r="H241" s="13" t="s">
        <v>23</v>
      </c>
      <c r="I241" s="13" t="s">
        <v>174</v>
      </c>
      <c r="J241" s="13" t="s">
        <v>175</v>
      </c>
      <c r="K241" s="13" t="s">
        <v>100</v>
      </c>
      <c r="L241" s="13" t="s">
        <v>27</v>
      </c>
      <c r="M241" s="14">
        <v>722.352</v>
      </c>
      <c r="N241" s="14">
        <v>721.86</v>
      </c>
      <c r="O241" s="13">
        <v>1.0</v>
      </c>
      <c r="P241" s="14">
        <f t="shared" ref="P241:Q241" si="224">M241*O241</f>
        <v>722.352</v>
      </c>
      <c r="Q241" s="14">
        <f t="shared" si="224"/>
        <v>521437.0147</v>
      </c>
    </row>
    <row r="242">
      <c r="A242" s="12">
        <v>42151.0</v>
      </c>
      <c r="B242" s="12" t="s">
        <v>2335</v>
      </c>
      <c r="C242" s="6">
        <v>42010.0</v>
      </c>
      <c r="D242" s="15" t="str">
        <f t="shared" si="2"/>
        <v>Jan</v>
      </c>
      <c r="E242" s="13" t="s">
        <v>20</v>
      </c>
      <c r="F242" s="13" t="s">
        <v>2375</v>
      </c>
      <c r="G242" s="13" t="s">
        <v>2401</v>
      </c>
      <c r="H242" s="13" t="s">
        <v>23</v>
      </c>
      <c r="I242" s="13" t="s">
        <v>87</v>
      </c>
      <c r="J242" s="13" t="s">
        <v>52</v>
      </c>
      <c r="K242" s="13" t="s">
        <v>37</v>
      </c>
      <c r="L242" s="13" t="s">
        <v>51</v>
      </c>
      <c r="M242" s="14">
        <v>1113.504</v>
      </c>
      <c r="N242" s="14">
        <v>1113.45</v>
      </c>
      <c r="O242" s="13">
        <v>9.0</v>
      </c>
      <c r="P242" s="14">
        <f t="shared" ref="P242:Q242" si="225">M242*O242</f>
        <v>10021.536</v>
      </c>
      <c r="Q242" s="14">
        <f t="shared" si="225"/>
        <v>11158479.26</v>
      </c>
    </row>
    <row r="243">
      <c r="A243" s="12">
        <v>42151.0</v>
      </c>
      <c r="B243" s="12" t="s">
        <v>2335</v>
      </c>
      <c r="C243" s="6">
        <v>42010.0</v>
      </c>
      <c r="D243" s="15" t="str">
        <f t="shared" si="2"/>
        <v>Jan</v>
      </c>
      <c r="E243" s="13" t="s">
        <v>20</v>
      </c>
      <c r="F243" s="13" t="s">
        <v>2375</v>
      </c>
      <c r="G243" s="13" t="s">
        <v>2401</v>
      </c>
      <c r="H243" s="13" t="s">
        <v>23</v>
      </c>
      <c r="I243" s="13" t="s">
        <v>87</v>
      </c>
      <c r="J243" s="13" t="s">
        <v>52</v>
      </c>
      <c r="K243" s="13" t="s">
        <v>37</v>
      </c>
      <c r="L243" s="13" t="s">
        <v>51</v>
      </c>
      <c r="M243" s="14">
        <v>99.99</v>
      </c>
      <c r="N243" s="14">
        <v>99.38</v>
      </c>
      <c r="O243" s="13">
        <v>9.0</v>
      </c>
      <c r="P243" s="14">
        <f t="shared" ref="P243:Q243" si="226">M243*O243</f>
        <v>899.91</v>
      </c>
      <c r="Q243" s="14">
        <f t="shared" si="226"/>
        <v>89433.0558</v>
      </c>
    </row>
    <row r="244">
      <c r="A244" s="12">
        <v>43371.0</v>
      </c>
      <c r="B244" s="12" t="s">
        <v>2329</v>
      </c>
      <c r="C244" s="1" t="s">
        <v>1784</v>
      </c>
      <c r="D244" s="15" t="str">
        <f t="shared" si="2"/>
        <v>Sep</v>
      </c>
      <c r="E244" s="13" t="s">
        <v>20</v>
      </c>
      <c r="F244" s="13" t="s">
        <v>2686</v>
      </c>
      <c r="G244" s="13" t="s">
        <v>2876</v>
      </c>
      <c r="H244" s="13" t="s">
        <v>23</v>
      </c>
      <c r="I244" s="13" t="s">
        <v>1787</v>
      </c>
      <c r="J244" s="13" t="s">
        <v>70</v>
      </c>
      <c r="K244" s="13" t="s">
        <v>71</v>
      </c>
      <c r="L244" s="13" t="s">
        <v>38</v>
      </c>
      <c r="M244" s="14">
        <v>1.744</v>
      </c>
      <c r="N244" s="14">
        <v>0.85</v>
      </c>
      <c r="O244" s="13">
        <v>7.0</v>
      </c>
      <c r="P244" s="14">
        <f t="shared" ref="P244:Q244" si="227">M244*O244</f>
        <v>12.208</v>
      </c>
      <c r="Q244" s="14">
        <f t="shared" si="227"/>
        <v>10.3768</v>
      </c>
    </row>
    <row r="245">
      <c r="A245" s="12">
        <v>43366.0</v>
      </c>
      <c r="B245" s="12" t="s">
        <v>2329</v>
      </c>
      <c r="C245" s="1" t="s">
        <v>1808</v>
      </c>
      <c r="D245" s="15" t="str">
        <f t="shared" si="2"/>
        <v>Sep</v>
      </c>
      <c r="E245" s="13" t="s">
        <v>20</v>
      </c>
      <c r="F245" s="13" t="s">
        <v>2558</v>
      </c>
      <c r="G245" s="13" t="s">
        <v>2641</v>
      </c>
      <c r="H245" s="13" t="s">
        <v>23</v>
      </c>
      <c r="I245" s="13" t="s">
        <v>62</v>
      </c>
      <c r="J245" s="13" t="s">
        <v>63</v>
      </c>
      <c r="K245" s="13" t="s">
        <v>37</v>
      </c>
      <c r="L245" s="13" t="s">
        <v>38</v>
      </c>
      <c r="M245" s="14">
        <v>119.96</v>
      </c>
      <c r="N245" s="14">
        <v>119.86</v>
      </c>
      <c r="O245" s="13">
        <v>9.0</v>
      </c>
      <c r="P245" s="14">
        <f t="shared" ref="P245:Q245" si="228">M245*O245</f>
        <v>1079.64</v>
      </c>
      <c r="Q245" s="14">
        <f t="shared" si="228"/>
        <v>129405.6504</v>
      </c>
    </row>
    <row r="246">
      <c r="A246" s="12">
        <v>43366.0</v>
      </c>
      <c r="B246" s="12" t="s">
        <v>2329</v>
      </c>
      <c r="C246" s="1" t="s">
        <v>1808</v>
      </c>
      <c r="D246" s="15" t="str">
        <f t="shared" si="2"/>
        <v>Sep</v>
      </c>
      <c r="E246" s="13" t="s">
        <v>20</v>
      </c>
      <c r="F246" s="13" t="s">
        <v>2558</v>
      </c>
      <c r="G246" s="13" t="s">
        <v>2641</v>
      </c>
      <c r="H246" s="13" t="s">
        <v>23</v>
      </c>
      <c r="I246" s="13" t="s">
        <v>62</v>
      </c>
      <c r="J246" s="13" t="s">
        <v>63</v>
      </c>
      <c r="K246" s="13" t="s">
        <v>37</v>
      </c>
      <c r="L246" s="13" t="s">
        <v>38</v>
      </c>
      <c r="M246" s="14">
        <v>31.44</v>
      </c>
      <c r="N246" s="14">
        <v>30.57</v>
      </c>
      <c r="O246" s="13">
        <v>9.0</v>
      </c>
      <c r="P246" s="14">
        <f t="shared" ref="P246:Q246" si="229">M246*O246</f>
        <v>282.96</v>
      </c>
      <c r="Q246" s="14">
        <f t="shared" si="229"/>
        <v>8650.0872</v>
      </c>
    </row>
    <row r="247">
      <c r="A247" s="12">
        <v>43366.0</v>
      </c>
      <c r="B247" s="12" t="s">
        <v>2329</v>
      </c>
      <c r="C247" s="1" t="s">
        <v>1808</v>
      </c>
      <c r="D247" s="15" t="str">
        <f t="shared" si="2"/>
        <v>Sep</v>
      </c>
      <c r="E247" s="13" t="s">
        <v>20</v>
      </c>
      <c r="F247" s="13" t="s">
        <v>2558</v>
      </c>
      <c r="G247" s="13" t="s">
        <v>2641</v>
      </c>
      <c r="H247" s="13" t="s">
        <v>23</v>
      </c>
      <c r="I247" s="13" t="s">
        <v>62</v>
      </c>
      <c r="J247" s="13" t="s">
        <v>63</v>
      </c>
      <c r="K247" s="13" t="s">
        <v>37</v>
      </c>
      <c r="L247" s="13" t="s">
        <v>38</v>
      </c>
      <c r="M247" s="14">
        <v>6.88</v>
      </c>
      <c r="N247" s="14">
        <v>6.42</v>
      </c>
      <c r="O247" s="13">
        <v>9.0</v>
      </c>
      <c r="P247" s="14">
        <f t="shared" ref="P247:Q247" si="230">M247*O247</f>
        <v>61.92</v>
      </c>
      <c r="Q247" s="14">
        <f t="shared" si="230"/>
        <v>397.5264</v>
      </c>
    </row>
    <row r="248">
      <c r="A248" s="12">
        <v>42962.0</v>
      </c>
      <c r="B248" s="12" t="s">
        <v>2322</v>
      </c>
      <c r="C248" s="1" t="s">
        <v>1818</v>
      </c>
      <c r="D248" s="15" t="str">
        <f t="shared" si="2"/>
        <v>Aug</v>
      </c>
      <c r="E248" s="13" t="s">
        <v>20</v>
      </c>
      <c r="F248" s="13" t="s">
        <v>2523</v>
      </c>
      <c r="G248" s="13" t="s">
        <v>2649</v>
      </c>
      <c r="H248" s="13" t="s">
        <v>34</v>
      </c>
      <c r="I248" s="13" t="s">
        <v>1821</v>
      </c>
      <c r="J248" s="13" t="s">
        <v>52</v>
      </c>
      <c r="K248" s="13" t="s">
        <v>37</v>
      </c>
      <c r="L248" s="13" t="s">
        <v>51</v>
      </c>
      <c r="M248" s="14">
        <v>71.976</v>
      </c>
      <c r="N248" s="14">
        <v>71.17</v>
      </c>
      <c r="O248" s="13">
        <v>9.0</v>
      </c>
      <c r="P248" s="14">
        <f t="shared" ref="P248:Q248" si="231">M248*O248</f>
        <v>647.784</v>
      </c>
      <c r="Q248" s="14">
        <f t="shared" si="231"/>
        <v>46102.78728</v>
      </c>
    </row>
    <row r="249">
      <c r="A249" s="12">
        <v>42962.0</v>
      </c>
      <c r="B249" s="12" t="s">
        <v>2322</v>
      </c>
      <c r="C249" s="1" t="s">
        <v>1818</v>
      </c>
      <c r="D249" s="15" t="str">
        <f t="shared" si="2"/>
        <v>Aug</v>
      </c>
      <c r="E249" s="13" t="s">
        <v>20</v>
      </c>
      <c r="F249" s="13" t="s">
        <v>2523</v>
      </c>
      <c r="G249" s="13" t="s">
        <v>2649</v>
      </c>
      <c r="H249" s="13" t="s">
        <v>34</v>
      </c>
      <c r="I249" s="13" t="s">
        <v>1821</v>
      </c>
      <c r="J249" s="13" t="s">
        <v>52</v>
      </c>
      <c r="K249" s="13" t="s">
        <v>37</v>
      </c>
      <c r="L249" s="13" t="s">
        <v>38</v>
      </c>
      <c r="M249" s="14">
        <v>3.15</v>
      </c>
      <c r="N249" s="14">
        <v>2.16</v>
      </c>
      <c r="O249" s="13">
        <v>9.0</v>
      </c>
      <c r="P249" s="14">
        <f t="shared" ref="P249:Q249" si="232">M249*O249</f>
        <v>28.35</v>
      </c>
      <c r="Q249" s="14">
        <f t="shared" si="232"/>
        <v>61.236</v>
      </c>
    </row>
    <row r="250">
      <c r="A250" s="12">
        <v>43452.0</v>
      </c>
      <c r="B250" s="12" t="s">
        <v>2325</v>
      </c>
      <c r="C250" s="1" t="s">
        <v>1526</v>
      </c>
      <c r="D250" s="15" t="str">
        <f t="shared" si="2"/>
        <v>Dec</v>
      </c>
      <c r="E250" s="13" t="s">
        <v>20</v>
      </c>
      <c r="F250" s="13" t="s">
        <v>2583</v>
      </c>
      <c r="G250" s="13" t="s">
        <v>2584</v>
      </c>
      <c r="H250" s="13" t="s">
        <v>23</v>
      </c>
      <c r="I250" s="13" t="s">
        <v>1849</v>
      </c>
      <c r="J250" s="13" t="s">
        <v>52</v>
      </c>
      <c r="K250" s="13" t="s">
        <v>37</v>
      </c>
      <c r="L250" s="13" t="s">
        <v>38</v>
      </c>
      <c r="M250" s="14">
        <v>46.672</v>
      </c>
      <c r="N250" s="14">
        <v>46.01</v>
      </c>
      <c r="O250" s="13">
        <v>9.0</v>
      </c>
      <c r="P250" s="14">
        <f t="shared" ref="P250:Q250" si="233">M250*O250</f>
        <v>420.048</v>
      </c>
      <c r="Q250" s="14">
        <f t="shared" si="233"/>
        <v>19326.40848</v>
      </c>
    </row>
    <row r="251">
      <c r="A251" s="12">
        <v>43452.0</v>
      </c>
      <c r="B251" s="12" t="s">
        <v>2325</v>
      </c>
      <c r="C251" s="1" t="s">
        <v>1526</v>
      </c>
      <c r="D251" s="15" t="str">
        <f t="shared" si="2"/>
        <v>Dec</v>
      </c>
      <c r="E251" s="13" t="s">
        <v>20</v>
      </c>
      <c r="F251" s="13" t="s">
        <v>2583</v>
      </c>
      <c r="G251" s="13" t="s">
        <v>2584</v>
      </c>
      <c r="H251" s="13" t="s">
        <v>23</v>
      </c>
      <c r="I251" s="13" t="s">
        <v>1849</v>
      </c>
      <c r="J251" s="13" t="s">
        <v>52</v>
      </c>
      <c r="K251" s="13" t="s">
        <v>37</v>
      </c>
      <c r="L251" s="13" t="s">
        <v>27</v>
      </c>
      <c r="M251" s="14">
        <v>119.833</v>
      </c>
      <c r="N251" s="14">
        <v>119.49</v>
      </c>
      <c r="O251" s="13">
        <v>9.0</v>
      </c>
      <c r="P251" s="14">
        <f t="shared" ref="P251:Q251" si="234">M251*O251</f>
        <v>1078.497</v>
      </c>
      <c r="Q251" s="14">
        <f t="shared" si="234"/>
        <v>128869.6065</v>
      </c>
    </row>
    <row r="252">
      <c r="A252" s="12">
        <v>43452.0</v>
      </c>
      <c r="B252" s="12" t="s">
        <v>2325</v>
      </c>
      <c r="C252" s="1" t="s">
        <v>1526</v>
      </c>
      <c r="D252" s="15" t="str">
        <f t="shared" si="2"/>
        <v>Dec</v>
      </c>
      <c r="E252" s="13" t="s">
        <v>20</v>
      </c>
      <c r="F252" s="13" t="s">
        <v>2583</v>
      </c>
      <c r="G252" s="13" t="s">
        <v>2584</v>
      </c>
      <c r="H252" s="13" t="s">
        <v>23</v>
      </c>
      <c r="I252" s="13" t="s">
        <v>1849</v>
      </c>
      <c r="J252" s="13" t="s">
        <v>52</v>
      </c>
      <c r="K252" s="13" t="s">
        <v>37</v>
      </c>
      <c r="L252" s="13" t="s">
        <v>51</v>
      </c>
      <c r="M252" s="14">
        <v>119.98</v>
      </c>
      <c r="N252" s="14">
        <v>119.77</v>
      </c>
      <c r="O252" s="13">
        <v>9.0</v>
      </c>
      <c r="P252" s="14">
        <f t="shared" ref="P252:Q252" si="235">M252*O252</f>
        <v>1079.82</v>
      </c>
      <c r="Q252" s="14">
        <f t="shared" si="235"/>
        <v>129330.0414</v>
      </c>
    </row>
    <row r="253">
      <c r="A253" s="12">
        <v>42938.0</v>
      </c>
      <c r="B253" s="12" t="s">
        <v>2348</v>
      </c>
      <c r="C253" s="1" t="s">
        <v>1851</v>
      </c>
      <c r="D253" s="15" t="str">
        <f t="shared" si="2"/>
        <v>Jul</v>
      </c>
      <c r="E253" s="13" t="s">
        <v>20</v>
      </c>
      <c r="F253" s="13" t="s">
        <v>2886</v>
      </c>
      <c r="G253" s="13" t="s">
        <v>2887</v>
      </c>
      <c r="H253" s="13" t="s">
        <v>34</v>
      </c>
      <c r="I253" s="13" t="s">
        <v>87</v>
      </c>
      <c r="J253" s="13" t="s">
        <v>52</v>
      </c>
      <c r="K253" s="13" t="s">
        <v>37</v>
      </c>
      <c r="L253" s="13" t="s">
        <v>38</v>
      </c>
      <c r="M253" s="14">
        <v>6.3</v>
      </c>
      <c r="N253" s="14">
        <v>6.14</v>
      </c>
      <c r="O253" s="13">
        <v>9.0</v>
      </c>
      <c r="P253" s="14">
        <f t="shared" ref="P253:Q253" si="236">M253*O253</f>
        <v>56.7</v>
      </c>
      <c r="Q253" s="14">
        <f t="shared" si="236"/>
        <v>348.138</v>
      </c>
    </row>
    <row r="254">
      <c r="A254" s="12">
        <v>43080.0</v>
      </c>
      <c r="B254" s="12" t="s">
        <v>2325</v>
      </c>
      <c r="C254" s="1" t="s">
        <v>1870</v>
      </c>
      <c r="D254" s="15" t="str">
        <f t="shared" si="2"/>
        <v>Nov</v>
      </c>
      <c r="E254" s="13" t="s">
        <v>20</v>
      </c>
      <c r="F254" s="13" t="s">
        <v>2483</v>
      </c>
      <c r="G254" s="13" t="s">
        <v>2888</v>
      </c>
      <c r="H254" s="13" t="s">
        <v>34</v>
      </c>
      <c r="I254" s="13" t="s">
        <v>1873</v>
      </c>
      <c r="J254" s="13" t="s">
        <v>169</v>
      </c>
      <c r="K254" s="13" t="s">
        <v>71</v>
      </c>
      <c r="L254" s="13" t="s">
        <v>38</v>
      </c>
      <c r="M254" s="14">
        <v>287.52</v>
      </c>
      <c r="N254" s="14">
        <v>287.48</v>
      </c>
      <c r="O254" s="13">
        <v>4.0</v>
      </c>
      <c r="P254" s="14">
        <f t="shared" ref="P254:Q254" si="237">M254*O254</f>
        <v>1150.08</v>
      </c>
      <c r="Q254" s="14">
        <f t="shared" si="237"/>
        <v>330624.9984</v>
      </c>
    </row>
    <row r="255">
      <c r="A255" s="12">
        <v>43080.0</v>
      </c>
      <c r="B255" s="12" t="s">
        <v>2325</v>
      </c>
      <c r="C255" s="1" t="s">
        <v>1870</v>
      </c>
      <c r="D255" s="15" t="str">
        <f t="shared" si="2"/>
        <v>Nov</v>
      </c>
      <c r="E255" s="13" t="s">
        <v>20</v>
      </c>
      <c r="F255" s="13" t="s">
        <v>2483</v>
      </c>
      <c r="G255" s="13" t="s">
        <v>2888</v>
      </c>
      <c r="H255" s="13" t="s">
        <v>34</v>
      </c>
      <c r="I255" s="13" t="s">
        <v>1873</v>
      </c>
      <c r="J255" s="13" t="s">
        <v>169</v>
      </c>
      <c r="K255" s="13" t="s">
        <v>71</v>
      </c>
      <c r="L255" s="13" t="s">
        <v>38</v>
      </c>
      <c r="M255" s="14">
        <v>37.68</v>
      </c>
      <c r="N255" s="14">
        <v>37.68</v>
      </c>
      <c r="O255" s="13">
        <v>4.0</v>
      </c>
      <c r="P255" s="14">
        <f t="shared" ref="P255:Q255" si="238">M255*O255</f>
        <v>150.72</v>
      </c>
      <c r="Q255" s="14">
        <f t="shared" si="238"/>
        <v>5679.1296</v>
      </c>
    </row>
    <row r="256">
      <c r="A256" s="12">
        <v>43080.0</v>
      </c>
      <c r="B256" s="12" t="s">
        <v>2325</v>
      </c>
      <c r="C256" s="1" t="s">
        <v>1870</v>
      </c>
      <c r="D256" s="15" t="str">
        <f t="shared" si="2"/>
        <v>Nov</v>
      </c>
      <c r="E256" s="13" t="s">
        <v>20</v>
      </c>
      <c r="F256" s="13" t="s">
        <v>2483</v>
      </c>
      <c r="G256" s="13" t="s">
        <v>2888</v>
      </c>
      <c r="H256" s="13" t="s">
        <v>34</v>
      </c>
      <c r="I256" s="13" t="s">
        <v>1873</v>
      </c>
      <c r="J256" s="13" t="s">
        <v>169</v>
      </c>
      <c r="K256" s="13" t="s">
        <v>71</v>
      </c>
      <c r="L256" s="13" t="s">
        <v>38</v>
      </c>
      <c r="M256" s="14">
        <v>19.98</v>
      </c>
      <c r="N256" s="14">
        <v>19.01</v>
      </c>
      <c r="O256" s="13">
        <v>4.0</v>
      </c>
      <c r="P256" s="14">
        <f t="shared" ref="P256:Q256" si="239">M256*O256</f>
        <v>79.92</v>
      </c>
      <c r="Q256" s="14">
        <f t="shared" si="239"/>
        <v>1519.2792</v>
      </c>
    </row>
    <row r="257">
      <c r="A257" s="12">
        <v>43080.0</v>
      </c>
      <c r="B257" s="12" t="s">
        <v>2325</v>
      </c>
      <c r="C257" s="1" t="s">
        <v>1870</v>
      </c>
      <c r="D257" s="15" t="str">
        <f t="shared" si="2"/>
        <v>Nov</v>
      </c>
      <c r="E257" s="13" t="s">
        <v>20</v>
      </c>
      <c r="F257" s="13" t="s">
        <v>2483</v>
      </c>
      <c r="G257" s="13" t="s">
        <v>2888</v>
      </c>
      <c r="H257" s="13" t="s">
        <v>34</v>
      </c>
      <c r="I257" s="13" t="s">
        <v>1873</v>
      </c>
      <c r="J257" s="13" t="s">
        <v>169</v>
      </c>
      <c r="K257" s="13" t="s">
        <v>71</v>
      </c>
      <c r="L257" s="13" t="s">
        <v>38</v>
      </c>
      <c r="M257" s="14">
        <v>20.58</v>
      </c>
      <c r="N257" s="14">
        <v>20.44</v>
      </c>
      <c r="O257" s="13">
        <v>4.0</v>
      </c>
      <c r="P257" s="14">
        <f t="shared" ref="P257:Q257" si="240">M257*O257</f>
        <v>82.32</v>
      </c>
      <c r="Q257" s="14">
        <f t="shared" si="240"/>
        <v>1682.6208</v>
      </c>
    </row>
    <row r="258">
      <c r="A258" s="12">
        <v>43080.0</v>
      </c>
      <c r="B258" s="12" t="s">
        <v>2325</v>
      </c>
      <c r="C258" s="1" t="s">
        <v>1870</v>
      </c>
      <c r="D258" s="15" t="str">
        <f t="shared" si="2"/>
        <v>Nov</v>
      </c>
      <c r="E258" s="13" t="s">
        <v>20</v>
      </c>
      <c r="F258" s="13" t="s">
        <v>2483</v>
      </c>
      <c r="G258" s="13" t="s">
        <v>2888</v>
      </c>
      <c r="H258" s="13" t="s">
        <v>34</v>
      </c>
      <c r="I258" s="13" t="s">
        <v>1873</v>
      </c>
      <c r="J258" s="13" t="s">
        <v>169</v>
      </c>
      <c r="K258" s="13" t="s">
        <v>71</v>
      </c>
      <c r="L258" s="13" t="s">
        <v>38</v>
      </c>
      <c r="M258" s="14">
        <v>17.38</v>
      </c>
      <c r="N258" s="14">
        <v>16.85</v>
      </c>
      <c r="O258" s="13">
        <v>4.0</v>
      </c>
      <c r="P258" s="14">
        <f t="shared" ref="P258:Q258" si="241">M258*O258</f>
        <v>69.52</v>
      </c>
      <c r="Q258" s="14">
        <f t="shared" si="241"/>
        <v>1171.412</v>
      </c>
    </row>
    <row r="259">
      <c r="A259" s="12">
        <v>42773.0</v>
      </c>
      <c r="B259" s="12" t="s">
        <v>2431</v>
      </c>
      <c r="C259" s="6">
        <v>42923.0</v>
      </c>
      <c r="D259" s="15" t="str">
        <f t="shared" si="2"/>
        <v>Jul</v>
      </c>
      <c r="E259" s="13" t="s">
        <v>20</v>
      </c>
      <c r="F259" s="13" t="s">
        <v>2822</v>
      </c>
      <c r="G259" s="13" t="s">
        <v>2823</v>
      </c>
      <c r="H259" s="13" t="s">
        <v>34</v>
      </c>
      <c r="I259" s="13" t="s">
        <v>35</v>
      </c>
      <c r="J259" s="13" t="s">
        <v>52</v>
      </c>
      <c r="K259" s="13" t="s">
        <v>37</v>
      </c>
      <c r="L259" s="13" t="s">
        <v>27</v>
      </c>
      <c r="M259" s="14">
        <v>195.184</v>
      </c>
      <c r="N259" s="14">
        <v>195.02</v>
      </c>
      <c r="O259" s="13">
        <v>9.0</v>
      </c>
      <c r="P259" s="14">
        <f t="shared" ref="P259:Q259" si="242">M259*O259</f>
        <v>1756.656</v>
      </c>
      <c r="Q259" s="14">
        <f t="shared" si="242"/>
        <v>342583.0531</v>
      </c>
    </row>
    <row r="260">
      <c r="A260" s="12">
        <v>42013.0</v>
      </c>
      <c r="B260" s="12" t="s">
        <v>2353</v>
      </c>
      <c r="C260" s="6">
        <v>42133.0</v>
      </c>
      <c r="D260" s="15" t="str">
        <f t="shared" si="2"/>
        <v>May</v>
      </c>
      <c r="E260" s="13" t="s">
        <v>20</v>
      </c>
      <c r="F260" s="13" t="s">
        <v>2891</v>
      </c>
      <c r="G260" s="13" t="s">
        <v>2892</v>
      </c>
      <c r="H260" s="13" t="s">
        <v>23</v>
      </c>
      <c r="I260" s="13" t="s">
        <v>1894</v>
      </c>
      <c r="J260" s="13" t="s">
        <v>52</v>
      </c>
      <c r="K260" s="13" t="s">
        <v>37</v>
      </c>
      <c r="L260" s="13" t="s">
        <v>38</v>
      </c>
      <c r="M260" s="14">
        <v>53.94</v>
      </c>
      <c r="N260" s="14">
        <v>53.63</v>
      </c>
      <c r="O260" s="13">
        <v>9.0</v>
      </c>
      <c r="P260" s="14">
        <f t="shared" ref="P260:Q260" si="243">M260*O260</f>
        <v>485.46</v>
      </c>
      <c r="Q260" s="14">
        <f t="shared" si="243"/>
        <v>26035.2198</v>
      </c>
    </row>
    <row r="261">
      <c r="A261" s="12">
        <v>43324.0</v>
      </c>
      <c r="B261" s="12" t="s">
        <v>2322</v>
      </c>
      <c r="C261" s="5">
        <v>43385.0</v>
      </c>
      <c r="D261" s="15" t="str">
        <f t="shared" si="2"/>
        <v>Oct</v>
      </c>
      <c r="E261" s="13" t="s">
        <v>20</v>
      </c>
      <c r="F261" s="13" t="s">
        <v>2519</v>
      </c>
      <c r="G261" s="13" t="s">
        <v>2520</v>
      </c>
      <c r="H261" s="13" t="s">
        <v>23</v>
      </c>
      <c r="I261" s="13" t="s">
        <v>174</v>
      </c>
      <c r="J261" s="13" t="s">
        <v>175</v>
      </c>
      <c r="K261" s="13" t="s">
        <v>100</v>
      </c>
      <c r="L261" s="13" t="s">
        <v>27</v>
      </c>
      <c r="M261" s="14">
        <v>109.48</v>
      </c>
      <c r="N261" s="14">
        <v>109.47</v>
      </c>
      <c r="O261" s="13">
        <v>1.0</v>
      </c>
      <c r="P261" s="14">
        <f t="shared" ref="P261:Q261" si="244">M261*O261</f>
        <v>109.48</v>
      </c>
      <c r="Q261" s="14">
        <f t="shared" si="244"/>
        <v>11984.7756</v>
      </c>
    </row>
    <row r="262">
      <c r="A262" s="12">
        <v>43324.0</v>
      </c>
      <c r="B262" s="12" t="s">
        <v>2322</v>
      </c>
      <c r="C262" s="5">
        <v>43385.0</v>
      </c>
      <c r="D262" s="15" t="str">
        <f t="shared" si="2"/>
        <v>Oct</v>
      </c>
      <c r="E262" s="13" t="s">
        <v>20</v>
      </c>
      <c r="F262" s="13" t="s">
        <v>2519</v>
      </c>
      <c r="G262" s="13" t="s">
        <v>2520</v>
      </c>
      <c r="H262" s="13" t="s">
        <v>23</v>
      </c>
      <c r="I262" s="13" t="s">
        <v>174</v>
      </c>
      <c r="J262" s="13" t="s">
        <v>175</v>
      </c>
      <c r="K262" s="13" t="s">
        <v>100</v>
      </c>
      <c r="L262" s="13" t="s">
        <v>38</v>
      </c>
      <c r="M262" s="14">
        <v>272.94</v>
      </c>
      <c r="N262" s="14">
        <v>272.66</v>
      </c>
      <c r="O262" s="13">
        <v>1.0</v>
      </c>
      <c r="P262" s="14">
        <f t="shared" ref="P262:Q262" si="245">M262*O262</f>
        <v>272.94</v>
      </c>
      <c r="Q262" s="14">
        <f t="shared" si="245"/>
        <v>74419.8204</v>
      </c>
    </row>
    <row r="263">
      <c r="A263" s="12">
        <v>43324.0</v>
      </c>
      <c r="B263" s="12" t="s">
        <v>2322</v>
      </c>
      <c r="C263" s="5">
        <v>43385.0</v>
      </c>
      <c r="D263" s="15" t="str">
        <f t="shared" si="2"/>
        <v>Oct</v>
      </c>
      <c r="E263" s="13" t="s">
        <v>20</v>
      </c>
      <c r="F263" s="13" t="s">
        <v>2519</v>
      </c>
      <c r="G263" s="13" t="s">
        <v>2520</v>
      </c>
      <c r="H263" s="13" t="s">
        <v>23</v>
      </c>
      <c r="I263" s="13" t="s">
        <v>174</v>
      </c>
      <c r="J263" s="13" t="s">
        <v>175</v>
      </c>
      <c r="K263" s="13" t="s">
        <v>100</v>
      </c>
      <c r="L263" s="13" t="s">
        <v>38</v>
      </c>
      <c r="M263" s="14">
        <v>19.44</v>
      </c>
      <c r="N263" s="14">
        <v>19.4</v>
      </c>
      <c r="O263" s="13">
        <v>1.0</v>
      </c>
      <c r="P263" s="14">
        <f t="shared" ref="P263:Q263" si="246">M263*O263</f>
        <v>19.44</v>
      </c>
      <c r="Q263" s="14">
        <f t="shared" si="246"/>
        <v>377.136</v>
      </c>
    </row>
    <row r="264">
      <c r="A264" s="12">
        <v>43324.0</v>
      </c>
      <c r="B264" s="12" t="s">
        <v>2322</v>
      </c>
      <c r="C264" s="5">
        <v>43385.0</v>
      </c>
      <c r="D264" s="15" t="str">
        <f t="shared" si="2"/>
        <v>Oct</v>
      </c>
      <c r="E264" s="13" t="s">
        <v>20</v>
      </c>
      <c r="F264" s="13" t="s">
        <v>2519</v>
      </c>
      <c r="G264" s="13" t="s">
        <v>2520</v>
      </c>
      <c r="H264" s="13" t="s">
        <v>23</v>
      </c>
      <c r="I264" s="13" t="s">
        <v>174</v>
      </c>
      <c r="J264" s="13" t="s">
        <v>175</v>
      </c>
      <c r="K264" s="13" t="s">
        <v>100</v>
      </c>
      <c r="L264" s="13" t="s">
        <v>38</v>
      </c>
      <c r="M264" s="14">
        <v>31.92</v>
      </c>
      <c r="N264" s="14">
        <v>31.49</v>
      </c>
      <c r="O264" s="13">
        <v>1.0</v>
      </c>
      <c r="P264" s="14">
        <f t="shared" ref="P264:Q264" si="247">M264*O264</f>
        <v>31.92</v>
      </c>
      <c r="Q264" s="14">
        <f t="shared" si="247"/>
        <v>1005.1608</v>
      </c>
    </row>
    <row r="265">
      <c r="A265" s="12">
        <v>42365.0</v>
      </c>
      <c r="B265" s="12" t="s">
        <v>2325</v>
      </c>
      <c r="C265" s="1" t="s">
        <v>644</v>
      </c>
      <c r="D265" s="15" t="str">
        <f t="shared" si="2"/>
        <v>Dec</v>
      </c>
      <c r="E265" s="13" t="s">
        <v>20</v>
      </c>
      <c r="F265" s="13" t="s">
        <v>2564</v>
      </c>
      <c r="G265" s="13" t="s">
        <v>2895</v>
      </c>
      <c r="H265" s="13" t="s">
        <v>68</v>
      </c>
      <c r="I265" s="13" t="s">
        <v>35</v>
      </c>
      <c r="J265" s="13" t="s">
        <v>52</v>
      </c>
      <c r="K265" s="13" t="s">
        <v>37</v>
      </c>
      <c r="L265" s="13" t="s">
        <v>38</v>
      </c>
      <c r="M265" s="14">
        <v>11.56</v>
      </c>
      <c r="N265" s="14">
        <v>11.38</v>
      </c>
      <c r="O265" s="13">
        <v>9.0</v>
      </c>
      <c r="P265" s="14">
        <f t="shared" ref="P265:Q265" si="248">M265*O265</f>
        <v>104.04</v>
      </c>
      <c r="Q265" s="14">
        <f t="shared" si="248"/>
        <v>1183.9752</v>
      </c>
    </row>
    <row r="266">
      <c r="A266" s="12">
        <v>42849.0</v>
      </c>
      <c r="B266" s="12" t="s">
        <v>2332</v>
      </c>
      <c r="C266" s="1" t="s">
        <v>656</v>
      </c>
      <c r="D266" s="15" t="str">
        <f t="shared" si="2"/>
        <v>Apr</v>
      </c>
      <c r="E266" s="13" t="s">
        <v>20</v>
      </c>
      <c r="F266" s="13" t="s">
        <v>2896</v>
      </c>
      <c r="G266" s="13" t="s">
        <v>2424</v>
      </c>
      <c r="H266" s="13" t="s">
        <v>68</v>
      </c>
      <c r="I266" s="13" t="s">
        <v>129</v>
      </c>
      <c r="J266" s="13" t="s">
        <v>70</v>
      </c>
      <c r="K266" s="13" t="s">
        <v>71</v>
      </c>
      <c r="L266" s="13" t="s">
        <v>51</v>
      </c>
      <c r="M266" s="14">
        <v>258.696</v>
      </c>
      <c r="N266" s="14">
        <v>257.79</v>
      </c>
      <c r="O266" s="13">
        <v>7.0</v>
      </c>
      <c r="P266" s="14">
        <f t="shared" ref="P266:Q266" si="249">M266*O266</f>
        <v>1810.872</v>
      </c>
      <c r="Q266" s="14">
        <f t="shared" si="249"/>
        <v>466824.6929</v>
      </c>
    </row>
    <row r="267">
      <c r="A267" s="12">
        <v>43157.0</v>
      </c>
      <c r="B267" s="12" t="s">
        <v>2431</v>
      </c>
      <c r="C267" s="1" t="s">
        <v>1929</v>
      </c>
      <c r="D267" s="15" t="str">
        <f t="shared" si="2"/>
        <v>Feb</v>
      </c>
      <c r="E267" s="13" t="s">
        <v>20</v>
      </c>
      <c r="F267" s="13" t="s">
        <v>2652</v>
      </c>
      <c r="G267" s="13" t="s">
        <v>2897</v>
      </c>
      <c r="H267" s="13" t="s">
        <v>68</v>
      </c>
      <c r="I267" s="13" t="s">
        <v>35</v>
      </c>
      <c r="J267" s="13" t="s">
        <v>52</v>
      </c>
      <c r="K267" s="13" t="s">
        <v>37</v>
      </c>
      <c r="L267" s="13" t="s">
        <v>38</v>
      </c>
      <c r="M267" s="14">
        <v>81.92</v>
      </c>
      <c r="N267" s="14">
        <v>81.69</v>
      </c>
      <c r="O267" s="13">
        <v>9.0</v>
      </c>
      <c r="P267" s="14">
        <f t="shared" ref="P267:Q267" si="250">M267*O267</f>
        <v>737.28</v>
      </c>
      <c r="Q267" s="14">
        <f t="shared" si="250"/>
        <v>60228.4032</v>
      </c>
    </row>
    <row r="268">
      <c r="A268" s="12">
        <v>43157.0</v>
      </c>
      <c r="B268" s="12" t="s">
        <v>2431</v>
      </c>
      <c r="C268" s="1" t="s">
        <v>1929</v>
      </c>
      <c r="D268" s="15" t="str">
        <f t="shared" si="2"/>
        <v>Feb</v>
      </c>
      <c r="E268" s="13" t="s">
        <v>20</v>
      </c>
      <c r="F268" s="13" t="s">
        <v>2652</v>
      </c>
      <c r="G268" s="13" t="s">
        <v>2897</v>
      </c>
      <c r="H268" s="13" t="s">
        <v>68</v>
      </c>
      <c r="I268" s="13" t="s">
        <v>35</v>
      </c>
      <c r="J268" s="13" t="s">
        <v>52</v>
      </c>
      <c r="K268" s="13" t="s">
        <v>37</v>
      </c>
      <c r="L268" s="13" t="s">
        <v>51</v>
      </c>
      <c r="M268" s="14">
        <v>889.536</v>
      </c>
      <c r="N268" s="14">
        <v>889.08</v>
      </c>
      <c r="O268" s="13">
        <v>9.0</v>
      </c>
      <c r="P268" s="14">
        <f t="shared" ref="P268:Q268" si="251">M268*O268</f>
        <v>8005.824</v>
      </c>
      <c r="Q268" s="14">
        <f t="shared" si="251"/>
        <v>7117818.002</v>
      </c>
    </row>
    <row r="269">
      <c r="A269" s="12">
        <v>43157.0</v>
      </c>
      <c r="B269" s="12" t="s">
        <v>2431</v>
      </c>
      <c r="C269" s="1" t="s">
        <v>1929</v>
      </c>
      <c r="D269" s="15" t="str">
        <f t="shared" si="2"/>
        <v>Feb</v>
      </c>
      <c r="E269" s="13" t="s">
        <v>20</v>
      </c>
      <c r="F269" s="13" t="s">
        <v>2652</v>
      </c>
      <c r="G269" s="13" t="s">
        <v>2897</v>
      </c>
      <c r="H269" s="13" t="s">
        <v>68</v>
      </c>
      <c r="I269" s="13" t="s">
        <v>35</v>
      </c>
      <c r="J269" s="13" t="s">
        <v>52</v>
      </c>
      <c r="K269" s="13" t="s">
        <v>37</v>
      </c>
      <c r="L269" s="13" t="s">
        <v>27</v>
      </c>
      <c r="M269" s="14">
        <v>892.224</v>
      </c>
      <c r="N269" s="14">
        <v>891.53</v>
      </c>
      <c r="O269" s="13">
        <v>9.0</v>
      </c>
      <c r="P269" s="14">
        <f t="shared" ref="P269:Q269" si="252">M269*O269</f>
        <v>8030.016</v>
      </c>
      <c r="Q269" s="14">
        <f t="shared" si="252"/>
        <v>7159000.164</v>
      </c>
    </row>
    <row r="270">
      <c r="A270" s="12">
        <v>43157.0</v>
      </c>
      <c r="B270" s="12" t="s">
        <v>2431</v>
      </c>
      <c r="C270" s="1" t="s">
        <v>1929</v>
      </c>
      <c r="D270" s="15" t="str">
        <f t="shared" si="2"/>
        <v>Feb</v>
      </c>
      <c r="E270" s="13" t="s">
        <v>20</v>
      </c>
      <c r="F270" s="13" t="s">
        <v>2652</v>
      </c>
      <c r="G270" s="13" t="s">
        <v>2897</v>
      </c>
      <c r="H270" s="13" t="s">
        <v>68</v>
      </c>
      <c r="I270" s="13" t="s">
        <v>35</v>
      </c>
      <c r="J270" s="13" t="s">
        <v>52</v>
      </c>
      <c r="K270" s="13" t="s">
        <v>37</v>
      </c>
      <c r="L270" s="13" t="s">
        <v>38</v>
      </c>
      <c r="M270" s="14">
        <v>223.92</v>
      </c>
      <c r="N270" s="14">
        <v>223.32</v>
      </c>
      <c r="O270" s="13">
        <v>9.0</v>
      </c>
      <c r="P270" s="14">
        <f t="shared" ref="P270:Q270" si="253">M270*O270</f>
        <v>2015.28</v>
      </c>
      <c r="Q270" s="14">
        <f t="shared" si="253"/>
        <v>450052.3296</v>
      </c>
    </row>
    <row r="271">
      <c r="A271" s="12">
        <v>43157.0</v>
      </c>
      <c r="B271" s="12" t="s">
        <v>2431</v>
      </c>
      <c r="C271" s="1" t="s">
        <v>1929</v>
      </c>
      <c r="D271" s="15" t="str">
        <f t="shared" si="2"/>
        <v>Feb</v>
      </c>
      <c r="E271" s="13" t="s">
        <v>20</v>
      </c>
      <c r="F271" s="13" t="s">
        <v>2652</v>
      </c>
      <c r="G271" s="13" t="s">
        <v>2897</v>
      </c>
      <c r="H271" s="13" t="s">
        <v>68</v>
      </c>
      <c r="I271" s="13" t="s">
        <v>35</v>
      </c>
      <c r="J271" s="13" t="s">
        <v>52</v>
      </c>
      <c r="K271" s="13" t="s">
        <v>37</v>
      </c>
      <c r="L271" s="13" t="s">
        <v>38</v>
      </c>
      <c r="M271" s="14">
        <v>23.12</v>
      </c>
      <c r="N271" s="14">
        <v>22.75</v>
      </c>
      <c r="O271" s="13">
        <v>9.0</v>
      </c>
      <c r="P271" s="14">
        <f t="shared" ref="P271:Q271" si="254">M271*O271</f>
        <v>208.08</v>
      </c>
      <c r="Q271" s="14">
        <f t="shared" si="254"/>
        <v>4733.82</v>
      </c>
    </row>
    <row r="272">
      <c r="A272" s="12">
        <v>42930.0</v>
      </c>
      <c r="B272" s="12" t="s">
        <v>2348</v>
      </c>
      <c r="C272" s="1" t="s">
        <v>1941</v>
      </c>
      <c r="D272" s="15" t="str">
        <f t="shared" si="2"/>
        <v>Jul</v>
      </c>
      <c r="E272" s="13" t="s">
        <v>20</v>
      </c>
      <c r="F272" s="13" t="s">
        <v>2436</v>
      </c>
      <c r="G272" s="13" t="s">
        <v>2898</v>
      </c>
      <c r="H272" s="13" t="s">
        <v>34</v>
      </c>
      <c r="I272" s="13" t="s">
        <v>174</v>
      </c>
      <c r="J272" s="13" t="s">
        <v>175</v>
      </c>
      <c r="K272" s="13" t="s">
        <v>100</v>
      </c>
      <c r="L272" s="13" t="s">
        <v>38</v>
      </c>
      <c r="M272" s="14">
        <v>11.21</v>
      </c>
      <c r="N272" s="14">
        <v>10.64</v>
      </c>
      <c r="O272" s="13">
        <v>1.0</v>
      </c>
      <c r="P272" s="14">
        <f t="shared" ref="P272:Q272" si="255">M272*O272</f>
        <v>11.21</v>
      </c>
      <c r="Q272" s="14">
        <f t="shared" si="255"/>
        <v>119.2744</v>
      </c>
    </row>
    <row r="273">
      <c r="A273" s="12">
        <v>42930.0</v>
      </c>
      <c r="B273" s="12" t="s">
        <v>2348</v>
      </c>
      <c r="C273" s="1" t="s">
        <v>1941</v>
      </c>
      <c r="D273" s="15" t="str">
        <f t="shared" si="2"/>
        <v>Jul</v>
      </c>
      <c r="E273" s="13" t="s">
        <v>20</v>
      </c>
      <c r="F273" s="13" t="s">
        <v>2436</v>
      </c>
      <c r="G273" s="13" t="s">
        <v>2898</v>
      </c>
      <c r="H273" s="13" t="s">
        <v>34</v>
      </c>
      <c r="I273" s="13" t="s">
        <v>174</v>
      </c>
      <c r="J273" s="13" t="s">
        <v>175</v>
      </c>
      <c r="K273" s="13" t="s">
        <v>100</v>
      </c>
      <c r="L273" s="13" t="s">
        <v>38</v>
      </c>
      <c r="M273" s="14">
        <v>9.144</v>
      </c>
      <c r="N273" s="14">
        <v>8.57</v>
      </c>
      <c r="O273" s="13">
        <v>1.0</v>
      </c>
      <c r="P273" s="14">
        <f t="shared" ref="P273:Q273" si="256">M273*O273</f>
        <v>9.144</v>
      </c>
      <c r="Q273" s="14">
        <f t="shared" si="256"/>
        <v>78.36408</v>
      </c>
    </row>
    <row r="274">
      <c r="A274" s="12">
        <v>42930.0</v>
      </c>
      <c r="B274" s="12" t="s">
        <v>2348</v>
      </c>
      <c r="C274" s="1" t="s">
        <v>1941</v>
      </c>
      <c r="D274" s="15" t="str">
        <f t="shared" si="2"/>
        <v>Jul</v>
      </c>
      <c r="E274" s="13" t="s">
        <v>20</v>
      </c>
      <c r="F274" s="13" t="s">
        <v>2436</v>
      </c>
      <c r="G274" s="13" t="s">
        <v>2898</v>
      </c>
      <c r="H274" s="13" t="s">
        <v>34</v>
      </c>
      <c r="I274" s="13" t="s">
        <v>174</v>
      </c>
      <c r="J274" s="13" t="s">
        <v>175</v>
      </c>
      <c r="K274" s="13" t="s">
        <v>100</v>
      </c>
      <c r="L274" s="13" t="s">
        <v>38</v>
      </c>
      <c r="M274" s="14">
        <v>14.07</v>
      </c>
      <c r="N274" s="14">
        <v>13.85</v>
      </c>
      <c r="O274" s="13">
        <v>1.0</v>
      </c>
      <c r="P274" s="14">
        <f t="shared" ref="P274:Q274" si="257">M274*O274</f>
        <v>14.07</v>
      </c>
      <c r="Q274" s="14">
        <f t="shared" si="257"/>
        <v>194.8695</v>
      </c>
    </row>
    <row r="275">
      <c r="A275" s="12">
        <v>42930.0</v>
      </c>
      <c r="B275" s="12" t="s">
        <v>2348</v>
      </c>
      <c r="C275" s="1" t="s">
        <v>1941</v>
      </c>
      <c r="D275" s="15" t="str">
        <f t="shared" si="2"/>
        <v>Jul</v>
      </c>
      <c r="E275" s="13" t="s">
        <v>20</v>
      </c>
      <c r="F275" s="13" t="s">
        <v>2436</v>
      </c>
      <c r="G275" s="13" t="s">
        <v>2898</v>
      </c>
      <c r="H275" s="13" t="s">
        <v>34</v>
      </c>
      <c r="I275" s="13" t="s">
        <v>174</v>
      </c>
      <c r="J275" s="13" t="s">
        <v>175</v>
      </c>
      <c r="K275" s="13" t="s">
        <v>100</v>
      </c>
      <c r="L275" s="13" t="s">
        <v>38</v>
      </c>
      <c r="M275" s="14">
        <v>41.86</v>
      </c>
      <c r="N275" s="14">
        <v>41.19</v>
      </c>
      <c r="O275" s="13">
        <v>1.0</v>
      </c>
      <c r="P275" s="14">
        <f t="shared" ref="P275:Q275" si="258">M275*O275</f>
        <v>41.86</v>
      </c>
      <c r="Q275" s="14">
        <f t="shared" si="258"/>
        <v>1724.2134</v>
      </c>
    </row>
    <row r="276">
      <c r="A276" s="12">
        <v>42930.0</v>
      </c>
      <c r="B276" s="12" t="s">
        <v>2348</v>
      </c>
      <c r="C276" s="1" t="s">
        <v>1941</v>
      </c>
      <c r="D276" s="15" t="str">
        <f t="shared" si="2"/>
        <v>Jul</v>
      </c>
      <c r="E276" s="13" t="s">
        <v>20</v>
      </c>
      <c r="F276" s="13" t="s">
        <v>2436</v>
      </c>
      <c r="G276" s="13" t="s">
        <v>2898</v>
      </c>
      <c r="H276" s="13" t="s">
        <v>34</v>
      </c>
      <c r="I276" s="13" t="s">
        <v>174</v>
      </c>
      <c r="J276" s="13" t="s">
        <v>175</v>
      </c>
      <c r="K276" s="13" t="s">
        <v>100</v>
      </c>
      <c r="L276" s="13" t="s">
        <v>38</v>
      </c>
      <c r="M276" s="14">
        <v>8.544</v>
      </c>
      <c r="N276" s="14">
        <v>8.39</v>
      </c>
      <c r="O276" s="13">
        <v>1.0</v>
      </c>
      <c r="P276" s="14">
        <f t="shared" ref="P276:Q276" si="259">M276*O276</f>
        <v>8.544</v>
      </c>
      <c r="Q276" s="14">
        <f t="shared" si="259"/>
        <v>71.68416</v>
      </c>
    </row>
    <row r="277">
      <c r="A277" s="12">
        <v>42930.0</v>
      </c>
      <c r="B277" s="12" t="s">
        <v>2348</v>
      </c>
      <c r="C277" s="1" t="s">
        <v>1941</v>
      </c>
      <c r="D277" s="15" t="str">
        <f t="shared" si="2"/>
        <v>Jul</v>
      </c>
      <c r="E277" s="13" t="s">
        <v>20</v>
      </c>
      <c r="F277" s="13" t="s">
        <v>2436</v>
      </c>
      <c r="G277" s="13" t="s">
        <v>2898</v>
      </c>
      <c r="H277" s="13" t="s">
        <v>34</v>
      </c>
      <c r="I277" s="13" t="s">
        <v>174</v>
      </c>
      <c r="J277" s="13" t="s">
        <v>175</v>
      </c>
      <c r="K277" s="13" t="s">
        <v>100</v>
      </c>
      <c r="L277" s="13" t="s">
        <v>27</v>
      </c>
      <c r="M277" s="14">
        <v>579.136</v>
      </c>
      <c r="N277" s="14">
        <v>578.55</v>
      </c>
      <c r="O277" s="13">
        <v>1.0</v>
      </c>
      <c r="P277" s="14">
        <f t="shared" ref="P277:Q277" si="260">M277*O277</f>
        <v>579.136</v>
      </c>
      <c r="Q277" s="14">
        <f t="shared" si="260"/>
        <v>335059.1328</v>
      </c>
    </row>
    <row r="278">
      <c r="A278" s="12">
        <v>42674.0</v>
      </c>
      <c r="B278" s="12" t="s">
        <v>2358</v>
      </c>
      <c r="C278" s="6">
        <v>42411.0</v>
      </c>
      <c r="D278" s="15" t="str">
        <f t="shared" si="2"/>
        <v>Feb</v>
      </c>
      <c r="E278" s="13" t="s">
        <v>20</v>
      </c>
      <c r="F278" s="13" t="s">
        <v>2902</v>
      </c>
      <c r="G278" s="13" t="s">
        <v>2577</v>
      </c>
      <c r="H278" s="13" t="s">
        <v>23</v>
      </c>
      <c r="I278" s="13" t="s">
        <v>1957</v>
      </c>
      <c r="J278" s="13" t="s">
        <v>175</v>
      </c>
      <c r="K278" s="13" t="s">
        <v>100</v>
      </c>
      <c r="L278" s="13" t="s">
        <v>38</v>
      </c>
      <c r="M278" s="14">
        <v>2.78</v>
      </c>
      <c r="N278" s="14">
        <v>2.6</v>
      </c>
      <c r="O278" s="13">
        <v>1.0</v>
      </c>
      <c r="P278" s="14">
        <f t="shared" ref="P278:Q278" si="261">M278*O278</f>
        <v>2.78</v>
      </c>
      <c r="Q278" s="14">
        <f t="shared" si="261"/>
        <v>7.228</v>
      </c>
    </row>
    <row r="279">
      <c r="A279" s="12">
        <v>42674.0</v>
      </c>
      <c r="B279" s="12" t="s">
        <v>2358</v>
      </c>
      <c r="C279" s="6">
        <v>42411.0</v>
      </c>
      <c r="D279" s="15" t="str">
        <f t="shared" si="2"/>
        <v>Feb</v>
      </c>
      <c r="E279" s="13" t="s">
        <v>20</v>
      </c>
      <c r="F279" s="13" t="s">
        <v>2902</v>
      </c>
      <c r="G279" s="13" t="s">
        <v>2577</v>
      </c>
      <c r="H279" s="13" t="s">
        <v>23</v>
      </c>
      <c r="I279" s="13" t="s">
        <v>1957</v>
      </c>
      <c r="J279" s="13" t="s">
        <v>175</v>
      </c>
      <c r="K279" s="13" t="s">
        <v>100</v>
      </c>
      <c r="L279" s="13" t="s">
        <v>38</v>
      </c>
      <c r="M279" s="14">
        <v>79.96</v>
      </c>
      <c r="N279" s="14">
        <v>79.32</v>
      </c>
      <c r="O279" s="13">
        <v>1.0</v>
      </c>
      <c r="P279" s="14">
        <f t="shared" ref="P279:Q279" si="262">M279*O279</f>
        <v>79.96</v>
      </c>
      <c r="Q279" s="14">
        <f t="shared" si="262"/>
        <v>6342.4272</v>
      </c>
    </row>
    <row r="280">
      <c r="A280" s="12">
        <v>42350.0</v>
      </c>
      <c r="B280" s="12" t="s">
        <v>2325</v>
      </c>
      <c r="C280" s="1" t="s">
        <v>1976</v>
      </c>
      <c r="D280" s="15" t="str">
        <f t="shared" si="2"/>
        <v>Dec</v>
      </c>
      <c r="E280" s="13" t="s">
        <v>20</v>
      </c>
      <c r="F280" s="13" t="s">
        <v>2465</v>
      </c>
      <c r="G280" s="13" t="s">
        <v>2599</v>
      </c>
      <c r="H280" s="13" t="s">
        <v>23</v>
      </c>
      <c r="I280" s="13" t="s">
        <v>1979</v>
      </c>
      <c r="J280" s="13" t="s">
        <v>52</v>
      </c>
      <c r="K280" s="13" t="s">
        <v>37</v>
      </c>
      <c r="L280" s="13" t="s">
        <v>27</v>
      </c>
      <c r="M280" s="14">
        <v>764.688</v>
      </c>
      <c r="N280" s="14">
        <v>764.45</v>
      </c>
      <c r="O280" s="13">
        <v>9.0</v>
      </c>
      <c r="P280" s="14">
        <f t="shared" ref="P280:Q280" si="263">M280*O280</f>
        <v>6882.192</v>
      </c>
      <c r="Q280" s="14">
        <f t="shared" si="263"/>
        <v>5261091.674</v>
      </c>
    </row>
    <row r="281">
      <c r="A281" s="12">
        <v>42350.0</v>
      </c>
      <c r="B281" s="12" t="s">
        <v>2325</v>
      </c>
      <c r="C281" s="1" t="s">
        <v>1976</v>
      </c>
      <c r="D281" s="15" t="str">
        <f t="shared" si="2"/>
        <v>Dec</v>
      </c>
      <c r="E281" s="13" t="s">
        <v>20</v>
      </c>
      <c r="F281" s="13" t="s">
        <v>2465</v>
      </c>
      <c r="G281" s="13" t="s">
        <v>2599</v>
      </c>
      <c r="H281" s="13" t="s">
        <v>23</v>
      </c>
      <c r="I281" s="13" t="s">
        <v>1979</v>
      </c>
      <c r="J281" s="13" t="s">
        <v>52</v>
      </c>
      <c r="K281" s="13" t="s">
        <v>37</v>
      </c>
      <c r="L281" s="13" t="s">
        <v>27</v>
      </c>
      <c r="M281" s="14">
        <v>3610.848</v>
      </c>
      <c r="N281" s="14">
        <v>3610.76</v>
      </c>
      <c r="O281" s="13">
        <v>9.0</v>
      </c>
      <c r="P281" s="14">
        <f t="shared" ref="P281:Q281" si="264">M281*O281</f>
        <v>32497.632</v>
      </c>
      <c r="Q281" s="14">
        <f t="shared" si="264"/>
        <v>117341149.7</v>
      </c>
    </row>
    <row r="282">
      <c r="A282" s="12">
        <v>42350.0</v>
      </c>
      <c r="B282" s="12" t="s">
        <v>2325</v>
      </c>
      <c r="C282" s="1" t="s">
        <v>1976</v>
      </c>
      <c r="D282" s="15" t="str">
        <f t="shared" si="2"/>
        <v>Dec</v>
      </c>
      <c r="E282" s="13" t="s">
        <v>20</v>
      </c>
      <c r="F282" s="13" t="s">
        <v>2465</v>
      </c>
      <c r="G282" s="13" t="s">
        <v>2599</v>
      </c>
      <c r="H282" s="13" t="s">
        <v>23</v>
      </c>
      <c r="I282" s="13" t="s">
        <v>1979</v>
      </c>
      <c r="J282" s="13" t="s">
        <v>52</v>
      </c>
      <c r="K282" s="13" t="s">
        <v>37</v>
      </c>
      <c r="L282" s="13" t="s">
        <v>27</v>
      </c>
      <c r="M282" s="14">
        <v>254.9745</v>
      </c>
      <c r="N282" s="14">
        <v>254.54</v>
      </c>
      <c r="O282" s="13">
        <v>9.0</v>
      </c>
      <c r="P282" s="14">
        <f t="shared" ref="P282:Q282" si="265">M282*O282</f>
        <v>2294.7705</v>
      </c>
      <c r="Q282" s="14">
        <f t="shared" si="265"/>
        <v>584110.8831</v>
      </c>
    </row>
    <row r="283">
      <c r="A283" s="12">
        <v>43093.0</v>
      </c>
      <c r="B283" s="12" t="s">
        <v>2325</v>
      </c>
      <c r="C283" s="1" t="s">
        <v>1988</v>
      </c>
      <c r="D283" s="15" t="str">
        <f t="shared" si="2"/>
        <v>Dec</v>
      </c>
      <c r="E283" s="13" t="s">
        <v>20</v>
      </c>
      <c r="F283" s="13" t="s">
        <v>2617</v>
      </c>
      <c r="G283" s="13" t="s">
        <v>2618</v>
      </c>
      <c r="H283" s="13" t="s">
        <v>68</v>
      </c>
      <c r="I283" s="13" t="s">
        <v>284</v>
      </c>
      <c r="J283" s="13" t="s">
        <v>58</v>
      </c>
      <c r="K283" s="13" t="s">
        <v>26</v>
      </c>
      <c r="L283" s="13" t="s">
        <v>38</v>
      </c>
      <c r="M283" s="14">
        <v>27.882</v>
      </c>
      <c r="N283" s="14">
        <v>27.08</v>
      </c>
      <c r="O283" s="13">
        <v>2.0</v>
      </c>
      <c r="P283" s="14">
        <f t="shared" ref="P283:Q283" si="266">M283*O283</f>
        <v>55.764</v>
      </c>
      <c r="Q283" s="14">
        <f t="shared" si="266"/>
        <v>1510.08912</v>
      </c>
    </row>
    <row r="284">
      <c r="A284" s="12">
        <v>43093.0</v>
      </c>
      <c r="B284" s="12" t="s">
        <v>2325</v>
      </c>
      <c r="C284" s="1" t="s">
        <v>1988</v>
      </c>
      <c r="D284" s="15" t="str">
        <f t="shared" si="2"/>
        <v>Dec</v>
      </c>
      <c r="E284" s="13" t="s">
        <v>20</v>
      </c>
      <c r="F284" s="13" t="s">
        <v>2617</v>
      </c>
      <c r="G284" s="13" t="s">
        <v>2618</v>
      </c>
      <c r="H284" s="13" t="s">
        <v>68</v>
      </c>
      <c r="I284" s="13" t="s">
        <v>284</v>
      </c>
      <c r="J284" s="13" t="s">
        <v>58</v>
      </c>
      <c r="K284" s="13" t="s">
        <v>26</v>
      </c>
      <c r="L284" s="13" t="s">
        <v>38</v>
      </c>
      <c r="M284" s="14">
        <v>540.048</v>
      </c>
      <c r="N284" s="14">
        <v>539.46</v>
      </c>
      <c r="O284" s="13">
        <v>2.0</v>
      </c>
      <c r="P284" s="14">
        <f t="shared" ref="P284:Q284" si="267">M284*O284</f>
        <v>1080.096</v>
      </c>
      <c r="Q284" s="14">
        <f t="shared" si="267"/>
        <v>582668.5882</v>
      </c>
    </row>
    <row r="285">
      <c r="A285" s="12">
        <v>43093.0</v>
      </c>
      <c r="B285" s="12" t="s">
        <v>2325</v>
      </c>
      <c r="C285" s="1" t="s">
        <v>1988</v>
      </c>
      <c r="D285" s="15" t="str">
        <f t="shared" si="2"/>
        <v>Dec</v>
      </c>
      <c r="E285" s="13" t="s">
        <v>20</v>
      </c>
      <c r="F285" s="13" t="s">
        <v>2617</v>
      </c>
      <c r="G285" s="13" t="s">
        <v>2618</v>
      </c>
      <c r="H285" s="13" t="s">
        <v>68</v>
      </c>
      <c r="I285" s="13" t="s">
        <v>284</v>
      </c>
      <c r="J285" s="13" t="s">
        <v>58</v>
      </c>
      <c r="K285" s="13" t="s">
        <v>26</v>
      </c>
      <c r="L285" s="13" t="s">
        <v>51</v>
      </c>
      <c r="M285" s="14">
        <v>255.68</v>
      </c>
      <c r="N285" s="14">
        <v>255.03</v>
      </c>
      <c r="O285" s="13">
        <v>2.0</v>
      </c>
      <c r="P285" s="14">
        <f t="shared" ref="P285:Q285" si="268">M285*O285</f>
        <v>511.36</v>
      </c>
      <c r="Q285" s="14">
        <f t="shared" si="268"/>
        <v>130412.1408</v>
      </c>
    </row>
    <row r="286">
      <c r="A286" s="12">
        <v>43288.0</v>
      </c>
      <c r="B286" s="12" t="s">
        <v>2348</v>
      </c>
      <c r="C286" s="6">
        <v>43350.0</v>
      </c>
      <c r="D286" s="15" t="str">
        <f t="shared" si="2"/>
        <v>Sep</v>
      </c>
      <c r="E286" s="13" t="s">
        <v>20</v>
      </c>
      <c r="F286" s="13" t="s">
        <v>2532</v>
      </c>
      <c r="G286" s="13" t="s">
        <v>2631</v>
      </c>
      <c r="H286" s="13" t="s">
        <v>23</v>
      </c>
      <c r="I286" s="13" t="s">
        <v>654</v>
      </c>
      <c r="J286" s="13" t="s">
        <v>175</v>
      </c>
      <c r="K286" s="13" t="s">
        <v>100</v>
      </c>
      <c r="L286" s="13" t="s">
        <v>38</v>
      </c>
      <c r="M286" s="14">
        <v>17.472</v>
      </c>
      <c r="N286" s="14">
        <v>17.28</v>
      </c>
      <c r="O286" s="13">
        <v>1.0</v>
      </c>
      <c r="P286" s="14">
        <f t="shared" ref="P286:Q286" si="269">M286*O286</f>
        <v>17.472</v>
      </c>
      <c r="Q286" s="14">
        <f t="shared" si="269"/>
        <v>301.91616</v>
      </c>
    </row>
    <row r="287">
      <c r="A287" s="12">
        <v>42959.0</v>
      </c>
      <c r="B287" s="12" t="s">
        <v>2322</v>
      </c>
      <c r="C287" s="5">
        <v>43081.0</v>
      </c>
      <c r="D287" s="15" t="str">
        <f t="shared" si="2"/>
        <v>Dec</v>
      </c>
      <c r="E287" s="13" t="s">
        <v>20</v>
      </c>
      <c r="F287" s="13" t="s">
        <v>733</v>
      </c>
      <c r="G287" s="13" t="s">
        <v>2471</v>
      </c>
      <c r="H287" s="13" t="s">
        <v>34</v>
      </c>
      <c r="I287" s="13" t="s">
        <v>267</v>
      </c>
      <c r="J287" s="13" t="s">
        <v>151</v>
      </c>
      <c r="K287" s="13" t="s">
        <v>71</v>
      </c>
      <c r="L287" s="13" t="s">
        <v>51</v>
      </c>
      <c r="M287" s="14">
        <v>114.95</v>
      </c>
      <c r="N287" s="14">
        <v>113.97</v>
      </c>
      <c r="O287" s="13">
        <v>5.0</v>
      </c>
      <c r="P287" s="14">
        <f t="shared" ref="P287:Q287" si="270">M287*O287</f>
        <v>574.75</v>
      </c>
      <c r="Q287" s="14">
        <f t="shared" si="270"/>
        <v>65504.2575</v>
      </c>
    </row>
    <row r="288">
      <c r="A288" s="12">
        <v>43092.0</v>
      </c>
      <c r="B288" s="12" t="s">
        <v>2325</v>
      </c>
      <c r="C288" s="1" t="s">
        <v>2047</v>
      </c>
      <c r="D288" s="15" t="str">
        <f t="shared" si="2"/>
        <v>Dec</v>
      </c>
      <c r="E288" s="13" t="s">
        <v>20</v>
      </c>
      <c r="F288" s="13" t="s">
        <v>2499</v>
      </c>
      <c r="G288" s="13" t="s">
        <v>2500</v>
      </c>
      <c r="H288" s="13" t="s">
        <v>23</v>
      </c>
      <c r="I288" s="13" t="s">
        <v>197</v>
      </c>
      <c r="J288" s="13" t="s">
        <v>198</v>
      </c>
      <c r="K288" s="13" t="s">
        <v>26</v>
      </c>
      <c r="L288" s="13" t="s">
        <v>27</v>
      </c>
      <c r="M288" s="14">
        <v>572.76</v>
      </c>
      <c r="N288" s="14">
        <v>572.23</v>
      </c>
      <c r="O288" s="13">
        <v>2.0</v>
      </c>
      <c r="P288" s="14">
        <f t="shared" ref="P288:Q288" si="271">M288*O288</f>
        <v>1145.52</v>
      </c>
      <c r="Q288" s="14">
        <f t="shared" si="271"/>
        <v>655500.9096</v>
      </c>
    </row>
    <row r="289">
      <c r="A289" s="12">
        <v>43092.0</v>
      </c>
      <c r="B289" s="12" t="s">
        <v>2325</v>
      </c>
      <c r="C289" s="1" t="s">
        <v>2047</v>
      </c>
      <c r="D289" s="15" t="str">
        <f t="shared" si="2"/>
        <v>Dec</v>
      </c>
      <c r="E289" s="13" t="s">
        <v>20</v>
      </c>
      <c r="F289" s="13" t="s">
        <v>2499</v>
      </c>
      <c r="G289" s="13" t="s">
        <v>2500</v>
      </c>
      <c r="H289" s="13" t="s">
        <v>23</v>
      </c>
      <c r="I289" s="13" t="s">
        <v>197</v>
      </c>
      <c r="J289" s="13" t="s">
        <v>198</v>
      </c>
      <c r="K289" s="13" t="s">
        <v>26</v>
      </c>
      <c r="L289" s="13" t="s">
        <v>27</v>
      </c>
      <c r="M289" s="14">
        <v>286.38</v>
      </c>
      <c r="N289" s="14">
        <v>285.56</v>
      </c>
      <c r="O289" s="13">
        <v>2.0</v>
      </c>
      <c r="P289" s="14">
        <f t="shared" ref="P289:Q289" si="272">M289*O289</f>
        <v>572.76</v>
      </c>
      <c r="Q289" s="14">
        <f t="shared" si="272"/>
        <v>163557.3456</v>
      </c>
    </row>
    <row r="290">
      <c r="A290" s="12">
        <v>42632.0</v>
      </c>
      <c r="B290" s="12" t="s">
        <v>2329</v>
      </c>
      <c r="C290" s="1" t="s">
        <v>2049</v>
      </c>
      <c r="D290" s="15" t="str">
        <f t="shared" si="2"/>
        <v>Sep</v>
      </c>
      <c r="E290" s="13" t="s">
        <v>20</v>
      </c>
      <c r="F290" s="13" t="s">
        <v>2356</v>
      </c>
      <c r="G290" s="13" t="s">
        <v>2528</v>
      </c>
      <c r="H290" s="13" t="s">
        <v>68</v>
      </c>
      <c r="I290" s="13" t="s">
        <v>628</v>
      </c>
      <c r="J290" s="13" t="s">
        <v>198</v>
      </c>
      <c r="K290" s="13" t="s">
        <v>26</v>
      </c>
      <c r="L290" s="13" t="s">
        <v>27</v>
      </c>
      <c r="M290" s="14">
        <v>61.96</v>
      </c>
      <c r="N290" s="14">
        <v>61.66</v>
      </c>
      <c r="O290" s="13">
        <v>2.0</v>
      </c>
      <c r="P290" s="14">
        <f t="shared" ref="P290:Q290" si="273">M290*O290</f>
        <v>123.92</v>
      </c>
      <c r="Q290" s="14">
        <f t="shared" si="273"/>
        <v>7640.9072</v>
      </c>
    </row>
    <row r="291">
      <c r="A291" s="12">
        <v>42930.0</v>
      </c>
      <c r="B291" s="12" t="s">
        <v>2348</v>
      </c>
      <c r="C291" s="1" t="s">
        <v>1006</v>
      </c>
      <c r="D291" s="15" t="str">
        <f t="shared" si="2"/>
        <v>Jul</v>
      </c>
      <c r="E291" s="13" t="s">
        <v>20</v>
      </c>
      <c r="F291" s="13" t="s">
        <v>2781</v>
      </c>
      <c r="G291" s="13" t="s">
        <v>2782</v>
      </c>
      <c r="H291" s="13" t="s">
        <v>23</v>
      </c>
      <c r="I291" s="13" t="s">
        <v>129</v>
      </c>
      <c r="J291" s="13" t="s">
        <v>70</v>
      </c>
      <c r="K291" s="13" t="s">
        <v>71</v>
      </c>
      <c r="L291" s="13" t="s">
        <v>51</v>
      </c>
      <c r="M291" s="14">
        <v>419.944</v>
      </c>
      <c r="N291" s="14">
        <v>419.72</v>
      </c>
      <c r="O291" s="13">
        <v>7.0</v>
      </c>
      <c r="P291" s="14">
        <f t="shared" ref="P291:Q291" si="274">M291*O291</f>
        <v>2939.608</v>
      </c>
      <c r="Q291" s="14">
        <f t="shared" si="274"/>
        <v>1233812.27</v>
      </c>
    </row>
    <row r="292">
      <c r="A292" s="12">
        <v>43388.0</v>
      </c>
      <c r="B292" s="12" t="s">
        <v>2358</v>
      </c>
      <c r="C292" s="1" t="s">
        <v>2091</v>
      </c>
      <c r="D292" s="15" t="str">
        <f t="shared" si="2"/>
        <v>Oct</v>
      </c>
      <c r="E292" s="13" t="s">
        <v>20</v>
      </c>
      <c r="F292" s="13" t="s">
        <v>2483</v>
      </c>
      <c r="G292" s="13" t="s">
        <v>2455</v>
      </c>
      <c r="H292" s="13" t="s">
        <v>68</v>
      </c>
      <c r="I292" s="13" t="s">
        <v>87</v>
      </c>
      <c r="J292" s="13" t="s">
        <v>52</v>
      </c>
      <c r="K292" s="13" t="s">
        <v>37</v>
      </c>
      <c r="L292" s="13" t="s">
        <v>38</v>
      </c>
      <c r="M292" s="14">
        <v>87.92</v>
      </c>
      <c r="N292" s="14">
        <v>87.9</v>
      </c>
      <c r="O292" s="13">
        <v>9.0</v>
      </c>
      <c r="P292" s="14">
        <f t="shared" ref="P292:Q292" si="275">M292*O292</f>
        <v>791.28</v>
      </c>
      <c r="Q292" s="14">
        <f t="shared" si="275"/>
        <v>69553.512</v>
      </c>
    </row>
    <row r="293">
      <c r="A293" s="12">
        <v>43190.0</v>
      </c>
      <c r="B293" s="12" t="s">
        <v>2399</v>
      </c>
      <c r="C293" s="6">
        <v>43135.0</v>
      </c>
      <c r="D293" s="15" t="str">
        <f t="shared" si="2"/>
        <v>Feb</v>
      </c>
      <c r="E293" s="13" t="s">
        <v>20</v>
      </c>
      <c r="F293" s="13" t="s">
        <v>2473</v>
      </c>
      <c r="G293" s="13" t="s">
        <v>2931</v>
      </c>
      <c r="H293" s="13" t="s">
        <v>23</v>
      </c>
      <c r="I293" s="13" t="s">
        <v>174</v>
      </c>
      <c r="J293" s="13" t="s">
        <v>175</v>
      </c>
      <c r="K293" s="13" t="s">
        <v>100</v>
      </c>
      <c r="L293" s="13" t="s">
        <v>27</v>
      </c>
      <c r="M293" s="14">
        <v>29.78</v>
      </c>
      <c r="N293" s="14">
        <v>29.58</v>
      </c>
      <c r="O293" s="13">
        <v>1.0</v>
      </c>
      <c r="P293" s="14">
        <f t="shared" ref="P293:Q293" si="276">M293*O293</f>
        <v>29.78</v>
      </c>
      <c r="Q293" s="14">
        <f t="shared" si="276"/>
        <v>880.8924</v>
      </c>
    </row>
    <row r="294">
      <c r="A294" s="12">
        <v>43190.0</v>
      </c>
      <c r="B294" s="12" t="s">
        <v>2399</v>
      </c>
      <c r="C294" s="6">
        <v>43135.0</v>
      </c>
      <c r="D294" s="15" t="str">
        <f t="shared" si="2"/>
        <v>Feb</v>
      </c>
      <c r="E294" s="13" t="s">
        <v>20</v>
      </c>
      <c r="F294" s="13" t="s">
        <v>2473</v>
      </c>
      <c r="G294" s="13" t="s">
        <v>2931</v>
      </c>
      <c r="H294" s="13" t="s">
        <v>23</v>
      </c>
      <c r="I294" s="13" t="s">
        <v>174</v>
      </c>
      <c r="J294" s="13" t="s">
        <v>175</v>
      </c>
      <c r="K294" s="13" t="s">
        <v>100</v>
      </c>
      <c r="L294" s="13" t="s">
        <v>51</v>
      </c>
      <c r="M294" s="14">
        <v>677.58</v>
      </c>
      <c r="N294" s="14">
        <v>677.48</v>
      </c>
      <c r="O294" s="13">
        <v>1.0</v>
      </c>
      <c r="P294" s="14">
        <f t="shared" ref="P294:Q294" si="277">M294*O294</f>
        <v>677.58</v>
      </c>
      <c r="Q294" s="14">
        <f t="shared" si="277"/>
        <v>459046.8984</v>
      </c>
    </row>
    <row r="295">
      <c r="A295" s="12">
        <v>43190.0</v>
      </c>
      <c r="B295" s="12" t="s">
        <v>2399</v>
      </c>
      <c r="C295" s="6">
        <v>43135.0</v>
      </c>
      <c r="D295" s="15" t="str">
        <f t="shared" si="2"/>
        <v>Feb</v>
      </c>
      <c r="E295" s="13" t="s">
        <v>20</v>
      </c>
      <c r="F295" s="13" t="s">
        <v>2473</v>
      </c>
      <c r="G295" s="13" t="s">
        <v>2931</v>
      </c>
      <c r="H295" s="13" t="s">
        <v>23</v>
      </c>
      <c r="I295" s="13" t="s">
        <v>174</v>
      </c>
      <c r="J295" s="13" t="s">
        <v>175</v>
      </c>
      <c r="K295" s="13" t="s">
        <v>100</v>
      </c>
      <c r="L295" s="13" t="s">
        <v>38</v>
      </c>
      <c r="M295" s="14">
        <v>75.04</v>
      </c>
      <c r="N295" s="14">
        <v>74.14</v>
      </c>
      <c r="O295" s="13">
        <v>1.0</v>
      </c>
      <c r="P295" s="14">
        <f t="shared" ref="P295:Q295" si="278">M295*O295</f>
        <v>75.04</v>
      </c>
      <c r="Q295" s="14">
        <f t="shared" si="278"/>
        <v>5563.4656</v>
      </c>
    </row>
    <row r="296">
      <c r="A296" s="12">
        <v>42073.0</v>
      </c>
      <c r="B296" s="12" t="s">
        <v>2399</v>
      </c>
      <c r="C296" s="6">
        <v>42226.0</v>
      </c>
      <c r="D296" s="15" t="str">
        <f t="shared" si="2"/>
        <v>Aug</v>
      </c>
      <c r="E296" s="13" t="s">
        <v>20</v>
      </c>
      <c r="F296" s="13" t="s">
        <v>2934</v>
      </c>
      <c r="G296" s="13" t="s">
        <v>2466</v>
      </c>
      <c r="H296" s="13" t="s">
        <v>23</v>
      </c>
      <c r="I296" s="13" t="s">
        <v>1329</v>
      </c>
      <c r="J296" s="13" t="s">
        <v>135</v>
      </c>
      <c r="K296" s="13" t="s">
        <v>71</v>
      </c>
      <c r="L296" s="13" t="s">
        <v>27</v>
      </c>
      <c r="M296" s="14">
        <v>258.279</v>
      </c>
      <c r="N296" s="14">
        <v>257.86</v>
      </c>
      <c r="O296" s="13">
        <v>6.0</v>
      </c>
      <c r="P296" s="14">
        <f t="shared" ref="P296:Q296" si="279">M296*O296</f>
        <v>1549.674</v>
      </c>
      <c r="Q296" s="14">
        <f t="shared" si="279"/>
        <v>399598.9376</v>
      </c>
    </row>
    <row r="297">
      <c r="A297" s="12">
        <v>42273.0</v>
      </c>
      <c r="B297" s="12" t="s">
        <v>2329</v>
      </c>
      <c r="C297" s="6">
        <v>42014.0</v>
      </c>
      <c r="D297" s="15" t="str">
        <f t="shared" si="2"/>
        <v>Jan</v>
      </c>
      <c r="E297" s="13" t="s">
        <v>20</v>
      </c>
      <c r="F297" s="13" t="s">
        <v>2902</v>
      </c>
      <c r="G297" s="13" t="s">
        <v>2936</v>
      </c>
      <c r="H297" s="13" t="s">
        <v>23</v>
      </c>
      <c r="I297" s="13" t="s">
        <v>35</v>
      </c>
      <c r="J297" s="13" t="s">
        <v>52</v>
      </c>
      <c r="K297" s="13" t="s">
        <v>37</v>
      </c>
      <c r="L297" s="13" t="s">
        <v>27</v>
      </c>
      <c r="M297" s="14">
        <v>145.568</v>
      </c>
      <c r="N297" s="14">
        <v>145.04</v>
      </c>
      <c r="O297" s="13">
        <v>9.0</v>
      </c>
      <c r="P297" s="14">
        <f t="shared" ref="P297:Q297" si="280">M297*O297</f>
        <v>1310.112</v>
      </c>
      <c r="Q297" s="14">
        <f t="shared" si="280"/>
        <v>190018.6445</v>
      </c>
    </row>
    <row r="298">
      <c r="A298" s="12">
        <v>42008.0</v>
      </c>
      <c r="B298" s="12" t="s">
        <v>2353</v>
      </c>
      <c r="C298" s="6">
        <v>42159.0</v>
      </c>
      <c r="D298" s="15" t="str">
        <f t="shared" si="2"/>
        <v>Jun</v>
      </c>
      <c r="E298" s="13" t="s">
        <v>20</v>
      </c>
      <c r="F298" s="13" t="s">
        <v>2383</v>
      </c>
      <c r="G298" s="13" t="s">
        <v>2384</v>
      </c>
      <c r="H298" s="13" t="s">
        <v>23</v>
      </c>
      <c r="I298" s="13" t="s">
        <v>1166</v>
      </c>
      <c r="J298" s="13" t="s">
        <v>52</v>
      </c>
      <c r="K298" s="13" t="s">
        <v>37</v>
      </c>
      <c r="L298" s="13" t="s">
        <v>38</v>
      </c>
      <c r="M298" s="14">
        <v>29.6</v>
      </c>
      <c r="N298" s="14">
        <v>29.5</v>
      </c>
      <c r="O298" s="13">
        <v>9.0</v>
      </c>
      <c r="P298" s="14">
        <f t="shared" ref="P298:Q298" si="281">M298*O298</f>
        <v>266.4</v>
      </c>
      <c r="Q298" s="14">
        <f t="shared" si="281"/>
        <v>7858.8</v>
      </c>
    </row>
    <row r="299">
      <c r="A299" s="12">
        <v>42008.0</v>
      </c>
      <c r="B299" s="12" t="s">
        <v>2353</v>
      </c>
      <c r="C299" s="6">
        <v>42159.0</v>
      </c>
      <c r="D299" s="15" t="str">
        <f t="shared" si="2"/>
        <v>Jun</v>
      </c>
      <c r="E299" s="13" t="s">
        <v>20</v>
      </c>
      <c r="F299" s="13" t="s">
        <v>2383</v>
      </c>
      <c r="G299" s="13" t="s">
        <v>2384</v>
      </c>
      <c r="H299" s="13" t="s">
        <v>23</v>
      </c>
      <c r="I299" s="13" t="s">
        <v>1166</v>
      </c>
      <c r="J299" s="13" t="s">
        <v>52</v>
      </c>
      <c r="K299" s="13" t="s">
        <v>37</v>
      </c>
      <c r="L299" s="13" t="s">
        <v>38</v>
      </c>
      <c r="M299" s="14">
        <v>17.088</v>
      </c>
      <c r="N299" s="14">
        <v>16.94</v>
      </c>
      <c r="O299" s="13">
        <v>9.0</v>
      </c>
      <c r="P299" s="14">
        <f t="shared" ref="P299:Q299" si="282">M299*O299</f>
        <v>153.792</v>
      </c>
      <c r="Q299" s="14">
        <f t="shared" si="282"/>
        <v>2605.23648</v>
      </c>
    </row>
    <row r="300">
      <c r="A300" s="12">
        <v>42102.0</v>
      </c>
      <c r="B300" s="12" t="s">
        <v>2332</v>
      </c>
      <c r="C300" s="6">
        <v>42255.0</v>
      </c>
      <c r="D300" s="15" t="str">
        <f t="shared" si="2"/>
        <v>Sep</v>
      </c>
      <c r="E300" s="13" t="s">
        <v>20</v>
      </c>
      <c r="F300" s="13" t="s">
        <v>2493</v>
      </c>
      <c r="G300" s="13" t="s">
        <v>2439</v>
      </c>
      <c r="H300" s="13" t="s">
        <v>23</v>
      </c>
      <c r="I300" s="13" t="s">
        <v>2159</v>
      </c>
      <c r="J300" s="13" t="s">
        <v>83</v>
      </c>
      <c r="K300" s="13" t="s">
        <v>37</v>
      </c>
      <c r="L300" s="13" t="s">
        <v>38</v>
      </c>
      <c r="M300" s="14">
        <v>1089.75</v>
      </c>
      <c r="N300" s="14">
        <v>1089.44</v>
      </c>
      <c r="O300" s="13">
        <v>8.0</v>
      </c>
      <c r="P300" s="14">
        <f t="shared" ref="P300:Q300" si="283">M300*O300</f>
        <v>8718</v>
      </c>
      <c r="Q300" s="14">
        <f t="shared" si="283"/>
        <v>9497737.92</v>
      </c>
    </row>
    <row r="301">
      <c r="A301" s="12">
        <v>42102.0</v>
      </c>
      <c r="B301" s="12" t="s">
        <v>2332</v>
      </c>
      <c r="C301" s="6">
        <v>42255.0</v>
      </c>
      <c r="D301" s="15" t="str">
        <f t="shared" si="2"/>
        <v>Sep</v>
      </c>
      <c r="E301" s="13" t="s">
        <v>20</v>
      </c>
      <c r="F301" s="13" t="s">
        <v>2493</v>
      </c>
      <c r="G301" s="13" t="s">
        <v>2439</v>
      </c>
      <c r="H301" s="13" t="s">
        <v>23</v>
      </c>
      <c r="I301" s="13" t="s">
        <v>2159</v>
      </c>
      <c r="J301" s="13" t="s">
        <v>83</v>
      </c>
      <c r="K301" s="13" t="s">
        <v>37</v>
      </c>
      <c r="L301" s="13" t="s">
        <v>38</v>
      </c>
      <c r="M301" s="14">
        <v>447.84</v>
      </c>
      <c r="N301" s="14">
        <v>447.4</v>
      </c>
      <c r="O301" s="13">
        <v>8.0</v>
      </c>
      <c r="P301" s="14">
        <f t="shared" ref="P301:Q301" si="284">M301*O301</f>
        <v>3582.72</v>
      </c>
      <c r="Q301" s="14">
        <f t="shared" si="284"/>
        <v>1602908.928</v>
      </c>
    </row>
    <row r="302">
      <c r="A302" s="12">
        <v>42102.0</v>
      </c>
      <c r="B302" s="12" t="s">
        <v>2332</v>
      </c>
      <c r="C302" s="6">
        <v>42255.0</v>
      </c>
      <c r="D302" s="15" t="str">
        <f t="shared" si="2"/>
        <v>Sep</v>
      </c>
      <c r="E302" s="13" t="s">
        <v>20</v>
      </c>
      <c r="F302" s="13" t="s">
        <v>2493</v>
      </c>
      <c r="G302" s="13" t="s">
        <v>2439</v>
      </c>
      <c r="H302" s="13" t="s">
        <v>23</v>
      </c>
      <c r="I302" s="13" t="s">
        <v>2159</v>
      </c>
      <c r="J302" s="13" t="s">
        <v>83</v>
      </c>
      <c r="K302" s="13" t="s">
        <v>37</v>
      </c>
      <c r="L302" s="13" t="s">
        <v>38</v>
      </c>
      <c r="M302" s="14">
        <v>16.4</v>
      </c>
      <c r="N302" s="14">
        <v>15.73</v>
      </c>
      <c r="O302" s="13">
        <v>8.0</v>
      </c>
      <c r="P302" s="14">
        <f t="shared" ref="P302:Q302" si="285">M302*O302</f>
        <v>131.2</v>
      </c>
      <c r="Q302" s="14">
        <f t="shared" si="285"/>
        <v>2063.776</v>
      </c>
    </row>
    <row r="303">
      <c r="A303" s="12">
        <v>42102.0</v>
      </c>
      <c r="B303" s="12" t="s">
        <v>2332</v>
      </c>
      <c r="C303" s="6">
        <v>42255.0</v>
      </c>
      <c r="D303" s="15" t="str">
        <f t="shared" si="2"/>
        <v>Sep</v>
      </c>
      <c r="E303" s="13" t="s">
        <v>20</v>
      </c>
      <c r="F303" s="13" t="s">
        <v>2493</v>
      </c>
      <c r="G303" s="13" t="s">
        <v>2439</v>
      </c>
      <c r="H303" s="13" t="s">
        <v>23</v>
      </c>
      <c r="I303" s="13" t="s">
        <v>2159</v>
      </c>
      <c r="J303" s="13" t="s">
        <v>83</v>
      </c>
      <c r="K303" s="13" t="s">
        <v>37</v>
      </c>
      <c r="L303" s="13" t="s">
        <v>51</v>
      </c>
      <c r="M303" s="14">
        <v>399.96</v>
      </c>
      <c r="N303" s="14">
        <v>399.87</v>
      </c>
      <c r="O303" s="13">
        <v>8.0</v>
      </c>
      <c r="P303" s="14">
        <f t="shared" ref="P303:Q303" si="286">M303*O303</f>
        <v>3199.68</v>
      </c>
      <c r="Q303" s="14">
        <f t="shared" si="286"/>
        <v>1279456.042</v>
      </c>
    </row>
    <row r="304">
      <c r="A304" s="12">
        <v>42102.0</v>
      </c>
      <c r="B304" s="12" t="s">
        <v>2332</v>
      </c>
      <c r="C304" s="6">
        <v>42255.0</v>
      </c>
      <c r="D304" s="15" t="str">
        <f t="shared" si="2"/>
        <v>Sep</v>
      </c>
      <c r="E304" s="13" t="s">
        <v>20</v>
      </c>
      <c r="F304" s="13" t="s">
        <v>2493</v>
      </c>
      <c r="G304" s="13" t="s">
        <v>2439</v>
      </c>
      <c r="H304" s="13" t="s">
        <v>23</v>
      </c>
      <c r="I304" s="13" t="s">
        <v>2159</v>
      </c>
      <c r="J304" s="13" t="s">
        <v>83</v>
      </c>
      <c r="K304" s="13" t="s">
        <v>37</v>
      </c>
      <c r="L304" s="13" t="s">
        <v>38</v>
      </c>
      <c r="M304" s="14">
        <v>158.9</v>
      </c>
      <c r="N304" s="14">
        <v>158.17</v>
      </c>
      <c r="O304" s="13">
        <v>8.0</v>
      </c>
      <c r="P304" s="14">
        <f t="shared" ref="P304:Q304" si="287">M304*O304</f>
        <v>1271.2</v>
      </c>
      <c r="Q304" s="14">
        <f t="shared" si="287"/>
        <v>201065.704</v>
      </c>
    </row>
    <row r="305">
      <c r="A305" s="12">
        <v>42102.0</v>
      </c>
      <c r="B305" s="12" t="s">
        <v>2332</v>
      </c>
      <c r="C305" s="6">
        <v>42255.0</v>
      </c>
      <c r="D305" s="15" t="str">
        <f t="shared" si="2"/>
        <v>Sep</v>
      </c>
      <c r="E305" s="13" t="s">
        <v>20</v>
      </c>
      <c r="F305" s="13" t="s">
        <v>2493</v>
      </c>
      <c r="G305" s="13" t="s">
        <v>2439</v>
      </c>
      <c r="H305" s="13" t="s">
        <v>23</v>
      </c>
      <c r="I305" s="13" t="s">
        <v>2159</v>
      </c>
      <c r="J305" s="13" t="s">
        <v>83</v>
      </c>
      <c r="K305" s="13" t="s">
        <v>37</v>
      </c>
      <c r="L305" s="13" t="s">
        <v>38</v>
      </c>
      <c r="M305" s="14">
        <v>13.184</v>
      </c>
      <c r="N305" s="14">
        <v>12.9</v>
      </c>
      <c r="O305" s="13">
        <v>8.0</v>
      </c>
      <c r="P305" s="14">
        <f t="shared" ref="P305:Q305" si="288">M305*O305</f>
        <v>105.472</v>
      </c>
      <c r="Q305" s="14">
        <f t="shared" si="288"/>
        <v>1360.5888</v>
      </c>
    </row>
    <row r="306">
      <c r="A306" s="12">
        <v>43128.0</v>
      </c>
      <c r="B306" s="12" t="s">
        <v>2353</v>
      </c>
      <c r="C306" s="1" t="s">
        <v>2190</v>
      </c>
      <c r="D306" s="15" t="str">
        <f t="shared" si="2"/>
        <v>Jan</v>
      </c>
      <c r="E306" s="13" t="s">
        <v>20</v>
      </c>
      <c r="F306" s="13" t="s">
        <v>2934</v>
      </c>
      <c r="G306" s="13" t="s">
        <v>2783</v>
      </c>
      <c r="H306" s="13" t="s">
        <v>68</v>
      </c>
      <c r="I306" s="13" t="s">
        <v>947</v>
      </c>
      <c r="J306" s="13" t="s">
        <v>52</v>
      </c>
      <c r="K306" s="13" t="s">
        <v>37</v>
      </c>
      <c r="L306" s="13" t="s">
        <v>51</v>
      </c>
      <c r="M306" s="14">
        <v>239.97</v>
      </c>
      <c r="N306" s="14">
        <v>239.38</v>
      </c>
      <c r="O306" s="13">
        <v>9.0</v>
      </c>
      <c r="P306" s="14">
        <f t="shared" ref="P306:Q306" si="289">M306*O306</f>
        <v>2159.73</v>
      </c>
      <c r="Q306" s="14">
        <f t="shared" si="289"/>
        <v>516996.1674</v>
      </c>
    </row>
    <row r="307">
      <c r="A307" s="12">
        <v>43128.0</v>
      </c>
      <c r="B307" s="12" t="s">
        <v>2353</v>
      </c>
      <c r="C307" s="1" t="s">
        <v>2190</v>
      </c>
      <c r="D307" s="15" t="str">
        <f t="shared" si="2"/>
        <v>Jan</v>
      </c>
      <c r="E307" s="13" t="s">
        <v>20</v>
      </c>
      <c r="F307" s="13" t="s">
        <v>2934</v>
      </c>
      <c r="G307" s="13" t="s">
        <v>2783</v>
      </c>
      <c r="H307" s="13" t="s">
        <v>68</v>
      </c>
      <c r="I307" s="13" t="s">
        <v>947</v>
      </c>
      <c r="J307" s="13" t="s">
        <v>52</v>
      </c>
      <c r="K307" s="13" t="s">
        <v>37</v>
      </c>
      <c r="L307" s="13" t="s">
        <v>27</v>
      </c>
      <c r="M307" s="14">
        <v>37.74</v>
      </c>
      <c r="N307" s="14">
        <v>37.36</v>
      </c>
      <c r="O307" s="13">
        <v>9.0</v>
      </c>
      <c r="P307" s="14">
        <f t="shared" ref="P307:Q307" si="290">M307*O307</f>
        <v>339.66</v>
      </c>
      <c r="Q307" s="14">
        <f t="shared" si="290"/>
        <v>12689.6976</v>
      </c>
    </row>
    <row r="308">
      <c r="A308" s="12">
        <v>42674.0</v>
      </c>
      <c r="B308" s="12" t="s">
        <v>2358</v>
      </c>
      <c r="C308" s="6">
        <v>42471.0</v>
      </c>
      <c r="D308" s="15" t="str">
        <f t="shared" si="2"/>
        <v>Apr</v>
      </c>
      <c r="E308" s="13" t="s">
        <v>20</v>
      </c>
      <c r="F308" s="13" t="s">
        <v>2949</v>
      </c>
      <c r="G308" s="13" t="s">
        <v>2950</v>
      </c>
      <c r="H308" s="13" t="s">
        <v>34</v>
      </c>
      <c r="I308" s="13" t="s">
        <v>1480</v>
      </c>
      <c r="J308" s="13" t="s">
        <v>52</v>
      </c>
      <c r="K308" s="13" t="s">
        <v>37</v>
      </c>
      <c r="L308" s="13" t="s">
        <v>38</v>
      </c>
      <c r="M308" s="14">
        <v>9.728</v>
      </c>
      <c r="N308" s="14">
        <v>9.0</v>
      </c>
      <c r="O308" s="13">
        <v>9.0</v>
      </c>
      <c r="P308" s="14">
        <f t="shared" ref="P308:Q308" si="291">M308*O308</f>
        <v>87.552</v>
      </c>
      <c r="Q308" s="14">
        <f t="shared" si="291"/>
        <v>787.968</v>
      </c>
    </row>
    <row r="309">
      <c r="A309" s="12">
        <v>42674.0</v>
      </c>
      <c r="B309" s="12" t="s">
        <v>2358</v>
      </c>
      <c r="C309" s="6">
        <v>42471.0</v>
      </c>
      <c r="D309" s="15" t="str">
        <f t="shared" si="2"/>
        <v>Apr</v>
      </c>
      <c r="E309" s="13" t="s">
        <v>20</v>
      </c>
      <c r="F309" s="13" t="s">
        <v>2949</v>
      </c>
      <c r="G309" s="13" t="s">
        <v>2950</v>
      </c>
      <c r="H309" s="13" t="s">
        <v>34</v>
      </c>
      <c r="I309" s="13" t="s">
        <v>1480</v>
      </c>
      <c r="J309" s="13" t="s">
        <v>52</v>
      </c>
      <c r="K309" s="13" t="s">
        <v>37</v>
      </c>
      <c r="L309" s="13" t="s">
        <v>38</v>
      </c>
      <c r="M309" s="14">
        <v>14.75</v>
      </c>
      <c r="N309" s="14">
        <v>14.38</v>
      </c>
      <c r="O309" s="13">
        <v>9.0</v>
      </c>
      <c r="P309" s="14">
        <f t="shared" ref="P309:Q309" si="292">M309*O309</f>
        <v>132.75</v>
      </c>
      <c r="Q309" s="14">
        <f t="shared" si="292"/>
        <v>1908.945</v>
      </c>
    </row>
    <row r="310">
      <c r="A310" s="12">
        <v>42674.0</v>
      </c>
      <c r="B310" s="12" t="s">
        <v>2358</v>
      </c>
      <c r="C310" s="6">
        <v>42471.0</v>
      </c>
      <c r="D310" s="15" t="str">
        <f t="shared" si="2"/>
        <v>Apr</v>
      </c>
      <c r="E310" s="13" t="s">
        <v>20</v>
      </c>
      <c r="F310" s="13" t="s">
        <v>2949</v>
      </c>
      <c r="G310" s="13" t="s">
        <v>2950</v>
      </c>
      <c r="H310" s="13" t="s">
        <v>34</v>
      </c>
      <c r="I310" s="13" t="s">
        <v>1480</v>
      </c>
      <c r="J310" s="13" t="s">
        <v>52</v>
      </c>
      <c r="K310" s="13" t="s">
        <v>37</v>
      </c>
      <c r="L310" s="13" t="s">
        <v>38</v>
      </c>
      <c r="M310" s="14">
        <v>29.8</v>
      </c>
      <c r="N310" s="14">
        <v>29.02</v>
      </c>
      <c r="O310" s="13">
        <v>9.0</v>
      </c>
      <c r="P310" s="14">
        <f t="shared" ref="P310:Q310" si="293">M310*O310</f>
        <v>268.2</v>
      </c>
      <c r="Q310" s="14">
        <f t="shared" si="293"/>
        <v>7783.164</v>
      </c>
    </row>
    <row r="311">
      <c r="A311" s="12">
        <v>42674.0</v>
      </c>
      <c r="B311" s="12" t="s">
        <v>2358</v>
      </c>
      <c r="C311" s="6">
        <v>42471.0</v>
      </c>
      <c r="D311" s="15" t="str">
        <f t="shared" si="2"/>
        <v>Apr</v>
      </c>
      <c r="E311" s="13" t="s">
        <v>20</v>
      </c>
      <c r="F311" s="13" t="s">
        <v>2949</v>
      </c>
      <c r="G311" s="13" t="s">
        <v>2950</v>
      </c>
      <c r="H311" s="13" t="s">
        <v>34</v>
      </c>
      <c r="I311" s="13" t="s">
        <v>1480</v>
      </c>
      <c r="J311" s="13" t="s">
        <v>52</v>
      </c>
      <c r="K311" s="13" t="s">
        <v>37</v>
      </c>
      <c r="L311" s="13" t="s">
        <v>38</v>
      </c>
      <c r="M311" s="14">
        <v>427.42</v>
      </c>
      <c r="N311" s="14">
        <v>427.03</v>
      </c>
      <c r="O311" s="13">
        <v>9.0</v>
      </c>
      <c r="P311" s="14">
        <f t="shared" ref="P311:Q311" si="294">M311*O311</f>
        <v>3846.78</v>
      </c>
      <c r="Q311" s="14">
        <f t="shared" si="294"/>
        <v>1642690.463</v>
      </c>
    </row>
    <row r="312">
      <c r="A312" s="12">
        <v>42357.0</v>
      </c>
      <c r="B312" s="12" t="s">
        <v>2325</v>
      </c>
      <c r="C312" s="1" t="s">
        <v>1885</v>
      </c>
      <c r="D312" s="15" t="str">
        <f t="shared" si="2"/>
        <v>Dec</v>
      </c>
      <c r="E312" s="13" t="s">
        <v>20</v>
      </c>
      <c r="F312" s="13" t="s">
        <v>2336</v>
      </c>
      <c r="G312" s="13" t="s">
        <v>2337</v>
      </c>
      <c r="H312" s="13" t="s">
        <v>23</v>
      </c>
      <c r="I312" s="13" t="s">
        <v>1450</v>
      </c>
      <c r="J312" s="13" t="s">
        <v>220</v>
      </c>
      <c r="K312" s="13" t="s">
        <v>26</v>
      </c>
      <c r="L312" s="13" t="s">
        <v>38</v>
      </c>
      <c r="M312" s="14">
        <v>152.76</v>
      </c>
      <c r="N312" s="14">
        <v>152.09</v>
      </c>
      <c r="O312" s="13">
        <v>3.0</v>
      </c>
      <c r="P312" s="14">
        <f t="shared" ref="P312:Q312" si="295">M312*O312</f>
        <v>458.28</v>
      </c>
      <c r="Q312" s="14">
        <f t="shared" si="295"/>
        <v>69699.8052</v>
      </c>
    </row>
    <row r="313">
      <c r="A313" s="12">
        <v>42357.0</v>
      </c>
      <c r="B313" s="12" t="s">
        <v>2325</v>
      </c>
      <c r="C313" s="1" t="s">
        <v>1885</v>
      </c>
      <c r="D313" s="15" t="str">
        <f t="shared" si="2"/>
        <v>Dec</v>
      </c>
      <c r="E313" s="13" t="s">
        <v>20</v>
      </c>
      <c r="F313" s="13" t="s">
        <v>2336</v>
      </c>
      <c r="G313" s="13" t="s">
        <v>2337</v>
      </c>
      <c r="H313" s="13" t="s">
        <v>23</v>
      </c>
      <c r="I313" s="13" t="s">
        <v>1450</v>
      </c>
      <c r="J313" s="13" t="s">
        <v>220</v>
      </c>
      <c r="K313" s="13" t="s">
        <v>26</v>
      </c>
      <c r="L313" s="13" t="s">
        <v>38</v>
      </c>
      <c r="M313" s="14">
        <v>7.27</v>
      </c>
      <c r="N313" s="14">
        <v>6.34</v>
      </c>
      <c r="O313" s="13">
        <v>3.0</v>
      </c>
      <c r="P313" s="14">
        <f t="shared" ref="P313:Q313" si="296">M313*O313</f>
        <v>21.81</v>
      </c>
      <c r="Q313" s="14">
        <f t="shared" si="296"/>
        <v>138.2754</v>
      </c>
    </row>
    <row r="314">
      <c r="A314" s="12">
        <v>42357.0</v>
      </c>
      <c r="B314" s="12" t="s">
        <v>2325</v>
      </c>
      <c r="C314" s="1" t="s">
        <v>1885</v>
      </c>
      <c r="D314" s="15" t="str">
        <f t="shared" si="2"/>
        <v>Dec</v>
      </c>
      <c r="E314" s="13" t="s">
        <v>20</v>
      </c>
      <c r="F314" s="13" t="s">
        <v>2336</v>
      </c>
      <c r="G314" s="13" t="s">
        <v>2337</v>
      </c>
      <c r="H314" s="13" t="s">
        <v>23</v>
      </c>
      <c r="I314" s="13" t="s">
        <v>1450</v>
      </c>
      <c r="J314" s="13" t="s">
        <v>220</v>
      </c>
      <c r="K314" s="13" t="s">
        <v>26</v>
      </c>
      <c r="L314" s="13" t="s">
        <v>27</v>
      </c>
      <c r="M314" s="14">
        <v>1819.86</v>
      </c>
      <c r="N314" s="14">
        <v>1818.88</v>
      </c>
      <c r="O314" s="13">
        <v>3.0</v>
      </c>
      <c r="P314" s="14">
        <f t="shared" ref="P314:Q314" si="297">M314*O314</f>
        <v>5459.58</v>
      </c>
      <c r="Q314" s="14">
        <f t="shared" si="297"/>
        <v>9930320.87</v>
      </c>
    </row>
    <row r="315">
      <c r="A315" s="12">
        <v>43438.0</v>
      </c>
      <c r="B315" s="12" t="s">
        <v>2325</v>
      </c>
      <c r="C315" s="1" t="s">
        <v>1488</v>
      </c>
      <c r="D315" s="15" t="str">
        <f t="shared" si="2"/>
        <v>Apr</v>
      </c>
      <c r="E315" s="13" t="s">
        <v>20</v>
      </c>
      <c r="F315" s="13" t="s">
        <v>2670</v>
      </c>
      <c r="G315" s="13" t="s">
        <v>2345</v>
      </c>
      <c r="H315" s="13" t="s">
        <v>23</v>
      </c>
      <c r="I315" s="13" t="s">
        <v>2026</v>
      </c>
      <c r="J315" s="13" t="s">
        <v>782</v>
      </c>
      <c r="K315" s="13" t="s">
        <v>100</v>
      </c>
      <c r="L315" s="13" t="s">
        <v>38</v>
      </c>
      <c r="M315" s="14">
        <v>29.7</v>
      </c>
      <c r="N315" s="14">
        <v>29.43</v>
      </c>
      <c r="O315" s="13">
        <v>2.0</v>
      </c>
      <c r="P315" s="14">
        <f t="shared" ref="P315:Q315" si="298">M315*O315</f>
        <v>59.4</v>
      </c>
      <c r="Q315" s="14">
        <f t="shared" si="298"/>
        <v>1748.142</v>
      </c>
    </row>
    <row r="316">
      <c r="A316" s="12">
        <v>43438.0</v>
      </c>
      <c r="B316" s="12" t="s">
        <v>2325</v>
      </c>
      <c r="C316" s="1" t="s">
        <v>1488</v>
      </c>
      <c r="D316" s="15" t="str">
        <f t="shared" si="2"/>
        <v>Apr</v>
      </c>
      <c r="E316" s="13" t="s">
        <v>20</v>
      </c>
      <c r="F316" s="13" t="s">
        <v>2670</v>
      </c>
      <c r="G316" s="13" t="s">
        <v>2345</v>
      </c>
      <c r="H316" s="13" t="s">
        <v>23</v>
      </c>
      <c r="I316" s="13" t="s">
        <v>2026</v>
      </c>
      <c r="J316" s="13" t="s">
        <v>782</v>
      </c>
      <c r="K316" s="13" t="s">
        <v>100</v>
      </c>
      <c r="L316" s="13" t="s">
        <v>38</v>
      </c>
      <c r="M316" s="14">
        <v>39.96</v>
      </c>
      <c r="N316" s="14">
        <v>39.24</v>
      </c>
      <c r="O316" s="13">
        <v>2.0</v>
      </c>
      <c r="P316" s="14">
        <f t="shared" ref="P316:Q316" si="299">M316*O316</f>
        <v>79.92</v>
      </c>
      <c r="Q316" s="14">
        <f t="shared" si="299"/>
        <v>3136.0608</v>
      </c>
    </row>
    <row r="317">
      <c r="A317" s="12">
        <v>43453.0</v>
      </c>
      <c r="B317" s="12" t="s">
        <v>2325</v>
      </c>
      <c r="C317" s="1" t="s">
        <v>1981</v>
      </c>
      <c r="D317" s="15" t="str">
        <f t="shared" si="2"/>
        <v>Dec</v>
      </c>
      <c r="E317" s="13" t="s">
        <v>20</v>
      </c>
      <c r="F317" s="13" t="s">
        <v>2507</v>
      </c>
      <c r="G317" s="13" t="s">
        <v>2953</v>
      </c>
      <c r="H317" s="13" t="s">
        <v>23</v>
      </c>
      <c r="I317" s="13" t="s">
        <v>87</v>
      </c>
      <c r="J317" s="13" t="s">
        <v>52</v>
      </c>
      <c r="K317" s="13" t="s">
        <v>37</v>
      </c>
      <c r="L317" s="13" t="s">
        <v>38</v>
      </c>
      <c r="M317" s="14">
        <v>36.672</v>
      </c>
      <c r="N317" s="14">
        <v>36.0</v>
      </c>
      <c r="O317" s="13">
        <v>9.0</v>
      </c>
      <c r="P317" s="14">
        <f t="shared" ref="P317:Q317" si="300">M317*O317</f>
        <v>330.048</v>
      </c>
      <c r="Q317" s="14">
        <f t="shared" si="300"/>
        <v>11881.728</v>
      </c>
    </row>
    <row r="318">
      <c r="A318" s="12">
        <v>42637.0</v>
      </c>
      <c r="B318" s="12" t="s">
        <v>2329</v>
      </c>
      <c r="C318" s="1" t="s">
        <v>2267</v>
      </c>
      <c r="D318" s="15" t="str">
        <f t="shared" si="2"/>
        <v>Sep</v>
      </c>
      <c r="E318" s="13" t="s">
        <v>20</v>
      </c>
      <c r="F318" s="13" t="s">
        <v>2371</v>
      </c>
      <c r="G318" s="13" t="s">
        <v>2372</v>
      </c>
      <c r="H318" s="13" t="s">
        <v>34</v>
      </c>
      <c r="I318" s="13" t="s">
        <v>98</v>
      </c>
      <c r="J318" s="13" t="s">
        <v>99</v>
      </c>
      <c r="K318" s="13" t="s">
        <v>100</v>
      </c>
      <c r="L318" s="13" t="s">
        <v>38</v>
      </c>
      <c r="M318" s="14">
        <v>6.848</v>
      </c>
      <c r="N318" s="14">
        <v>6.24</v>
      </c>
      <c r="O318" s="13">
        <v>1.0</v>
      </c>
      <c r="P318" s="14">
        <f t="shared" ref="P318:Q318" si="301">M318*O318</f>
        <v>6.848</v>
      </c>
      <c r="Q318" s="14">
        <f t="shared" si="301"/>
        <v>42.73152</v>
      </c>
    </row>
    <row r="319">
      <c r="A319" s="12">
        <v>43337.0</v>
      </c>
      <c r="B319" s="12" t="s">
        <v>2322</v>
      </c>
      <c r="C319" s="1" t="s">
        <v>1447</v>
      </c>
      <c r="D319" s="15" t="str">
        <f t="shared" si="2"/>
        <v>Aug</v>
      </c>
      <c r="E319" s="13" t="s">
        <v>20</v>
      </c>
      <c r="F319" s="13" t="s">
        <v>2558</v>
      </c>
      <c r="G319" s="13" t="s">
        <v>2641</v>
      </c>
      <c r="H319" s="13" t="s">
        <v>23</v>
      </c>
      <c r="I319" s="13" t="s">
        <v>205</v>
      </c>
      <c r="J319" s="13" t="s">
        <v>210</v>
      </c>
      <c r="K319" s="13" t="s">
        <v>26</v>
      </c>
      <c r="L319" s="13" t="s">
        <v>38</v>
      </c>
      <c r="M319" s="14">
        <v>9.728</v>
      </c>
      <c r="N319" s="14">
        <v>9.14</v>
      </c>
      <c r="O319" s="13">
        <v>3.0</v>
      </c>
      <c r="P319" s="14">
        <f t="shared" ref="P319:Q319" si="302">M319*O319</f>
        <v>29.184</v>
      </c>
      <c r="Q319" s="14">
        <f t="shared" si="302"/>
        <v>266.74176</v>
      </c>
    </row>
    <row r="320">
      <c r="A320" s="12">
        <v>43337.0</v>
      </c>
      <c r="B320" s="12" t="s">
        <v>2322</v>
      </c>
      <c r="C320" s="1" t="s">
        <v>1447</v>
      </c>
      <c r="D320" s="15" t="str">
        <f t="shared" si="2"/>
        <v>Aug</v>
      </c>
      <c r="E320" s="13" t="s">
        <v>20</v>
      </c>
      <c r="F320" s="13" t="s">
        <v>2558</v>
      </c>
      <c r="G320" s="13" t="s">
        <v>2641</v>
      </c>
      <c r="H320" s="13" t="s">
        <v>23</v>
      </c>
      <c r="I320" s="13" t="s">
        <v>205</v>
      </c>
      <c r="J320" s="13" t="s">
        <v>210</v>
      </c>
      <c r="K320" s="13" t="s">
        <v>26</v>
      </c>
      <c r="L320" s="13" t="s">
        <v>38</v>
      </c>
      <c r="M320" s="14">
        <v>3.424</v>
      </c>
      <c r="N320" s="14">
        <v>3.15</v>
      </c>
      <c r="O320" s="13">
        <v>3.0</v>
      </c>
      <c r="P320" s="14">
        <f t="shared" ref="P320:Q320" si="303">M320*O320</f>
        <v>10.272</v>
      </c>
      <c r="Q320" s="14">
        <f t="shared" si="303"/>
        <v>32.3568</v>
      </c>
    </row>
    <row r="321">
      <c r="A321" s="12">
        <v>43220.0</v>
      </c>
      <c r="B321" s="12" t="s">
        <v>2332</v>
      </c>
      <c r="C321" s="6">
        <v>43225.0</v>
      </c>
      <c r="D321" s="15" t="str">
        <f t="shared" si="2"/>
        <v>May</v>
      </c>
      <c r="E321" s="13" t="s">
        <v>20</v>
      </c>
      <c r="F321" s="13" t="s">
        <v>2886</v>
      </c>
      <c r="G321" s="13" t="s">
        <v>2887</v>
      </c>
      <c r="H321" s="13" t="s">
        <v>34</v>
      </c>
      <c r="I321" s="13" t="s">
        <v>174</v>
      </c>
      <c r="J321" s="13" t="s">
        <v>175</v>
      </c>
      <c r="K321" s="13" t="s">
        <v>100</v>
      </c>
      <c r="L321" s="13" t="s">
        <v>38</v>
      </c>
      <c r="M321" s="14">
        <v>62.96</v>
      </c>
      <c r="N321" s="14">
        <v>62.24</v>
      </c>
      <c r="O321" s="13">
        <v>1.0</v>
      </c>
      <c r="P321" s="14">
        <f t="shared" ref="P321:Q321" si="304">M321*O321</f>
        <v>62.96</v>
      </c>
      <c r="Q321" s="14">
        <f t="shared" si="304"/>
        <v>3918.6304</v>
      </c>
    </row>
    <row r="322">
      <c r="A322" s="12">
        <v>42355.0</v>
      </c>
      <c r="B322" s="12" t="s">
        <v>2325</v>
      </c>
      <c r="C322" s="1" t="s">
        <v>2307</v>
      </c>
      <c r="D322" s="15" t="str">
        <f t="shared" si="2"/>
        <v>Dec</v>
      </c>
      <c r="E322" s="13" t="s">
        <v>20</v>
      </c>
      <c r="F322" s="13" t="s">
        <v>2527</v>
      </c>
      <c r="G322" s="13" t="s">
        <v>2606</v>
      </c>
      <c r="H322" s="13" t="s">
        <v>23</v>
      </c>
      <c r="I322" s="13" t="s">
        <v>303</v>
      </c>
      <c r="J322" s="13" t="s">
        <v>707</v>
      </c>
      <c r="K322" s="13" t="s">
        <v>26</v>
      </c>
      <c r="L322" s="13" t="s">
        <v>38</v>
      </c>
      <c r="M322" s="14">
        <v>40.05</v>
      </c>
      <c r="N322" s="14">
        <v>39.83</v>
      </c>
      <c r="O322" s="13">
        <v>3.0</v>
      </c>
      <c r="P322" s="14">
        <f t="shared" ref="P322:Q322" si="305">M322*O322</f>
        <v>120.15</v>
      </c>
      <c r="Q322" s="14">
        <f t="shared" si="305"/>
        <v>4785.5745</v>
      </c>
    </row>
    <row r="324">
      <c r="A324" s="17" t="s">
        <v>2983</v>
      </c>
      <c r="B324" s="17" t="s">
        <v>2984</v>
      </c>
      <c r="D324" s="17" t="s">
        <v>2985</v>
      </c>
      <c r="E324" s="17" t="s">
        <v>2986</v>
      </c>
      <c r="F324" s="19"/>
      <c r="G324" s="19"/>
      <c r="I324" s="17" t="s">
        <v>2987</v>
      </c>
      <c r="J324" s="17" t="s">
        <v>2988</v>
      </c>
      <c r="K324" s="19"/>
      <c r="L324" s="19"/>
      <c r="M324" s="19"/>
    </row>
    <row r="325">
      <c r="A325" s="26" t="s">
        <v>2319</v>
      </c>
      <c r="B325" s="26" t="s">
        <v>2977</v>
      </c>
      <c r="D325" s="13" t="s">
        <v>193</v>
      </c>
      <c r="I325" s="21" t="str">
        <f>IFERROR(__xludf.DUMMYFUNCTION("filter(CleanedDataset!A:R, CleanedDataset!R:R &gt; 19000)"),"Order Date")</f>
        <v>Order Date</v>
      </c>
      <c r="J325" s="22" t="str">
        <f>IFERROR(__xludf.DUMMYFUNCTION("""COMPUTED_VALUE"""),"Order Month")</f>
        <v>Order Month</v>
      </c>
      <c r="K325" s="9" t="str">
        <f>IFERROR(__xludf.DUMMYFUNCTION("""COMPUTED_VALUE"""),"Ship Date")</f>
        <v>Ship Date</v>
      </c>
      <c r="L325" s="22" t="str">
        <f>IFERROR(__xludf.DUMMYFUNCTION("""COMPUTED_VALUE"""),"Month")</f>
        <v>Month</v>
      </c>
      <c r="M325" s="22" t="str">
        <f>IFERROR(__xludf.DUMMYFUNCTION("""COMPUTED_VALUE"""),"Years")</f>
        <v>Years</v>
      </c>
      <c r="N325" s="22" t="str">
        <f>IFERROR(__xludf.DUMMYFUNCTION("""COMPUTED_VALUE"""),"Ship Mode")</f>
        <v>Ship Mode</v>
      </c>
      <c r="O325" s="22" t="str">
        <f>IFERROR(__xludf.DUMMYFUNCTION("""COMPUTED_VALUE"""),"First Name")</f>
        <v>First Name</v>
      </c>
      <c r="P325" s="22" t="str">
        <f>IFERROR(__xludf.DUMMYFUNCTION("""COMPUTED_VALUE"""),"Surname")</f>
        <v>Surname</v>
      </c>
      <c r="Q325" s="22" t="str">
        <f>IFERROR(__xludf.DUMMYFUNCTION("""COMPUTED_VALUE"""),"Segment")</f>
        <v>Segment</v>
      </c>
      <c r="R325" s="22" t="str">
        <f>IFERROR(__xludf.DUMMYFUNCTION("""COMPUTED_VALUE"""),"City")</f>
        <v>City</v>
      </c>
      <c r="S325" s="22" t="str">
        <f>IFERROR(__xludf.DUMMYFUNCTION("""COMPUTED_VALUE"""),"State")</f>
        <v>State</v>
      </c>
      <c r="T325" s="22" t="str">
        <f>IFERROR(__xludf.DUMMYFUNCTION("""COMPUTED_VALUE"""),"Region")</f>
        <v>Region</v>
      </c>
      <c r="U325" s="22" t="str">
        <f>IFERROR(__xludf.DUMMYFUNCTION("""COMPUTED_VALUE"""),"Category")</f>
        <v>Category</v>
      </c>
      <c r="V325" s="18" t="str">
        <f>IFERROR(__xludf.DUMMYFUNCTION("""COMPUTED_VALUE"""),"Sale")</f>
        <v>Sale</v>
      </c>
      <c r="W325" s="18" t="str">
        <f>IFERROR(__xludf.DUMMYFUNCTION("""COMPUTED_VALUE"""),"Item Cost")</f>
        <v>Item Cost</v>
      </c>
      <c r="X325" s="22" t="str">
        <f>IFERROR(__xludf.DUMMYFUNCTION("""COMPUTED_VALUE"""),"Quantity")</f>
        <v>Quantity</v>
      </c>
      <c r="Y325" s="18" t="str">
        <f>IFERROR(__xludf.DUMMYFUNCTION("""COMPUTED_VALUE"""),"profit(without costs)")</f>
        <v>profit(without costs)</v>
      </c>
      <c r="Z325" s="18" t="str">
        <f>IFERROR(__xludf.DUMMYFUNCTION("""COMPUTED_VALUE"""),"Profit")</f>
        <v>Profit</v>
      </c>
    </row>
    <row r="326">
      <c r="A326" s="27">
        <v>261.96</v>
      </c>
      <c r="B326" s="27">
        <v>1047.84</v>
      </c>
      <c r="D326" s="13" t="s">
        <v>220</v>
      </c>
      <c r="I326" s="21">
        <f>IFERROR(__xludf.DUMMYFUNCTION("""COMPUTED_VALUE"""),42225.0)</f>
        <v>42225</v>
      </c>
      <c r="J326" s="21" t="str">
        <f>IFERROR(__xludf.DUMMYFUNCTION("""COMPUTED_VALUE"""),"Aug")</f>
        <v>Aug</v>
      </c>
      <c r="K326" s="9">
        <f>IFERROR(__xludf.DUMMYFUNCTION("""COMPUTED_VALUE"""),42347.0)</f>
        <v>42347</v>
      </c>
      <c r="L326" s="23" t="str">
        <f>IFERROR(__xludf.DUMMYFUNCTION("""COMPUTED_VALUE"""),"Dec")</f>
        <v>Dec</v>
      </c>
      <c r="M326" s="21" t="str">
        <f>IFERROR(__xludf.DUMMYFUNCTION("""COMPUTED_VALUE"""),"2015")</f>
        <v>2015</v>
      </c>
      <c r="N326" s="22" t="str">
        <f>IFERROR(__xludf.DUMMYFUNCTION("""COMPUTED_VALUE"""),"Standard Class")</f>
        <v>Standard Class</v>
      </c>
      <c r="O326" s="22" t="str">
        <f>IFERROR(__xludf.DUMMYFUNCTION("""COMPUTED_VALUE"""),"Becky")</f>
        <v>Becky</v>
      </c>
      <c r="P326" s="22" t="str">
        <f>IFERROR(__xludf.DUMMYFUNCTION("""COMPUTED_VALUE"""),"Martin")</f>
        <v>Martin</v>
      </c>
      <c r="Q326" s="22" t="str">
        <f>IFERROR(__xludf.DUMMYFUNCTION("""COMPUTED_VALUE"""),"Consumer")</f>
        <v>Consumer</v>
      </c>
      <c r="R326" s="22" t="str">
        <f>IFERROR(__xludf.DUMMYFUNCTION("""COMPUTED_VALUE"""),"San Antonio")</f>
        <v>San Antonio</v>
      </c>
      <c r="S326" s="22" t="str">
        <f>IFERROR(__xludf.DUMMYFUNCTION("""COMPUTED_VALUE"""),"Texas")</f>
        <v>Texas</v>
      </c>
      <c r="T326" s="22" t="str">
        <f>IFERROR(__xludf.DUMMYFUNCTION("""COMPUTED_VALUE"""),"Central")</f>
        <v>Central</v>
      </c>
      <c r="U326" s="22" t="str">
        <f>IFERROR(__xludf.DUMMYFUNCTION("""COMPUTED_VALUE"""),"Technology")</f>
        <v>Technology</v>
      </c>
      <c r="V326" s="18">
        <f>IFERROR(__xludf.DUMMYFUNCTION("""COMPUTED_VALUE"""),8159.952)</f>
        <v>8159.952</v>
      </c>
      <c r="W326" s="18">
        <f>IFERROR(__xludf.DUMMYFUNCTION("""COMPUTED_VALUE"""),8159.36)</f>
        <v>8159.36</v>
      </c>
      <c r="X326" s="22">
        <f>IFERROR(__xludf.DUMMYFUNCTION("""COMPUTED_VALUE"""),7.0)</f>
        <v>7</v>
      </c>
      <c r="Y326" s="18">
        <f>IFERROR(__xludf.DUMMYFUNCTION("""COMPUTED_VALUE"""),57119.664000000004)</f>
        <v>57119.664</v>
      </c>
      <c r="Z326" s="18">
        <f>IFERROR(__xludf.DUMMYFUNCTION("""COMPUTED_VALUE"""),48960.304000000004)</f>
        <v>48960.304</v>
      </c>
    </row>
    <row r="327">
      <c r="A327" s="27">
        <v>731.94</v>
      </c>
      <c r="B327" s="27">
        <v>2927.76</v>
      </c>
      <c r="D327" s="13" t="s">
        <v>52</v>
      </c>
      <c r="I327" s="21">
        <f>IFERROR(__xludf.DUMMYFUNCTION("""COMPUTED_VALUE"""),43048.0)</f>
        <v>43048</v>
      </c>
      <c r="J327" s="21" t="str">
        <f>IFERROR(__xludf.DUMMYFUNCTION("""COMPUTED_VALUE"""),"Nov")</f>
        <v>Nov</v>
      </c>
      <c r="K327" s="9">
        <f>IFERROR(__xludf.DUMMYFUNCTION("""COMPUTED_VALUE"""),42995.0)</f>
        <v>42995</v>
      </c>
      <c r="L327" s="23" t="str">
        <f>IFERROR(__xludf.DUMMYFUNCTION("""COMPUTED_VALUE"""),"Sep")</f>
        <v>Sep</v>
      </c>
      <c r="M327" s="21" t="str">
        <f>IFERROR(__xludf.DUMMYFUNCTION("""COMPUTED_VALUE"""),"2017")</f>
        <v>2017</v>
      </c>
      <c r="N327" s="22" t="str">
        <f>IFERROR(__xludf.DUMMYFUNCTION("""COMPUTED_VALUE"""),"Standard Class")</f>
        <v>Standard Class</v>
      </c>
      <c r="O327" s="22" t="str">
        <f>IFERROR(__xludf.DUMMYFUNCTION("""COMPUTED_VALUE"""),"Kelly")</f>
        <v>Kelly</v>
      </c>
      <c r="P327" s="22" t="str">
        <f>IFERROR(__xludf.DUMMYFUNCTION("""COMPUTED_VALUE"""),"Collister")</f>
        <v>Collister</v>
      </c>
      <c r="Q327" s="22" t="str">
        <f>IFERROR(__xludf.DUMMYFUNCTION("""COMPUTED_VALUE"""),"Consumer")</f>
        <v>Consumer</v>
      </c>
      <c r="R327" s="22" t="str">
        <f>IFERROR(__xludf.DUMMYFUNCTION("""COMPUTED_VALUE"""),"San Diego")</f>
        <v>San Diego</v>
      </c>
      <c r="S327" s="22" t="str">
        <f>IFERROR(__xludf.DUMMYFUNCTION("""COMPUTED_VALUE"""),"California")</f>
        <v>California</v>
      </c>
      <c r="T327" s="22" t="str">
        <f>IFERROR(__xludf.DUMMYFUNCTION("""COMPUTED_VALUE"""),"West")</f>
        <v>West</v>
      </c>
      <c r="U327" s="22" t="str">
        <f>IFERROR(__xludf.DUMMYFUNCTION("""COMPUTED_VALUE"""),"Technology")</f>
        <v>Technology</v>
      </c>
      <c r="V327" s="18">
        <f>IFERROR(__xludf.DUMMYFUNCTION("""COMPUTED_VALUE"""),3347.37)</f>
        <v>3347.37</v>
      </c>
      <c r="W327" s="18">
        <f>IFERROR(__xludf.DUMMYFUNCTION("""COMPUTED_VALUE"""),3347.33)</f>
        <v>3347.33</v>
      </c>
      <c r="X327" s="22">
        <f>IFERROR(__xludf.DUMMYFUNCTION("""COMPUTED_VALUE"""),9.0)</f>
        <v>9</v>
      </c>
      <c r="Y327" s="18">
        <f>IFERROR(__xludf.DUMMYFUNCTION("""COMPUTED_VALUE"""),30126.329999999998)</f>
        <v>30126.33</v>
      </c>
      <c r="Z327" s="18">
        <f>IFERROR(__xludf.DUMMYFUNCTION("""COMPUTED_VALUE"""),26779.0)</f>
        <v>26779</v>
      </c>
    </row>
    <row r="328">
      <c r="A328" s="27">
        <v>14.62</v>
      </c>
      <c r="B328" s="27">
        <v>131.57999999999998</v>
      </c>
      <c r="D328" s="13" t="s">
        <v>279</v>
      </c>
      <c r="I328" s="21">
        <f>IFERROR(__xludf.DUMMYFUNCTION("""COMPUTED_VALUE"""),42350.0)</f>
        <v>42350</v>
      </c>
      <c r="J328" s="21" t="str">
        <f>IFERROR(__xludf.DUMMYFUNCTION("""COMPUTED_VALUE"""),"Dec")</f>
        <v>Dec</v>
      </c>
      <c r="K328" s="9">
        <f>IFERROR(__xludf.DUMMYFUNCTION("""COMPUTED_VALUE"""),42352.0)</f>
        <v>42352</v>
      </c>
      <c r="L328" s="23" t="str">
        <f>IFERROR(__xludf.DUMMYFUNCTION("""COMPUTED_VALUE"""),"Dec")</f>
        <v>Dec</v>
      </c>
      <c r="M328" s="21" t="str">
        <f>IFERROR(__xludf.DUMMYFUNCTION("""COMPUTED_VALUE"""),"2015")</f>
        <v>2015</v>
      </c>
      <c r="N328" s="22" t="str">
        <f>IFERROR(__xludf.DUMMYFUNCTION("""COMPUTED_VALUE"""),"Second Class")</f>
        <v>Second Class</v>
      </c>
      <c r="O328" s="22" t="str">
        <f>IFERROR(__xludf.DUMMYFUNCTION("""COMPUTED_VALUE"""),"Nora")</f>
        <v>Nora</v>
      </c>
      <c r="P328" s="22" t="str">
        <f>IFERROR(__xludf.DUMMYFUNCTION("""COMPUTED_VALUE"""),"Preis")</f>
        <v>Preis</v>
      </c>
      <c r="Q328" s="22" t="str">
        <f>IFERROR(__xludf.DUMMYFUNCTION("""COMPUTED_VALUE"""),"Consumer")</f>
        <v>Consumer</v>
      </c>
      <c r="R328" s="22" t="str">
        <f>IFERROR(__xludf.DUMMYFUNCTION("""COMPUTED_VALUE"""),"Fresno")</f>
        <v>Fresno</v>
      </c>
      <c r="S328" s="22" t="str">
        <f>IFERROR(__xludf.DUMMYFUNCTION("""COMPUTED_VALUE"""),"California")</f>
        <v>California</v>
      </c>
      <c r="T328" s="22" t="str">
        <f>IFERROR(__xludf.DUMMYFUNCTION("""COMPUTED_VALUE"""),"West")</f>
        <v>West</v>
      </c>
      <c r="U328" s="22" t="str">
        <f>IFERROR(__xludf.DUMMYFUNCTION("""COMPUTED_VALUE"""),"Furniture")</f>
        <v>Furniture</v>
      </c>
      <c r="V328" s="18">
        <f>IFERROR(__xludf.DUMMYFUNCTION("""COMPUTED_VALUE"""),3610.848)</f>
        <v>3610.848</v>
      </c>
      <c r="W328" s="18">
        <f>IFERROR(__xludf.DUMMYFUNCTION("""COMPUTED_VALUE"""),3610.76)</f>
        <v>3610.76</v>
      </c>
      <c r="X328" s="22">
        <f>IFERROR(__xludf.DUMMYFUNCTION("""COMPUTED_VALUE"""),9.0)</f>
        <v>9</v>
      </c>
      <c r="Y328" s="18">
        <f>IFERROR(__xludf.DUMMYFUNCTION("""COMPUTED_VALUE"""),32497.631999999998)</f>
        <v>32497.632</v>
      </c>
      <c r="Z328" s="18">
        <f>IFERROR(__xludf.DUMMYFUNCTION("""COMPUTED_VALUE"""),28886.871999999996)</f>
        <v>28886.872</v>
      </c>
    </row>
    <row r="329">
      <c r="A329" s="27">
        <v>55.5</v>
      </c>
      <c r="B329" s="27">
        <v>444.0</v>
      </c>
      <c r="D329" s="13" t="s">
        <v>145</v>
      </c>
    </row>
    <row r="330">
      <c r="A330" s="27">
        <v>8.56</v>
      </c>
      <c r="B330" s="27">
        <v>77.04</v>
      </c>
      <c r="D330" s="13" t="s">
        <v>707</v>
      </c>
      <c r="I330" s="28"/>
      <c r="J330" s="28"/>
      <c r="K330" s="29"/>
      <c r="L330" s="29"/>
    </row>
    <row r="331">
      <c r="A331" s="27">
        <v>213.48</v>
      </c>
      <c r="B331" s="27">
        <v>1921.32</v>
      </c>
      <c r="D331" s="13" t="s">
        <v>135</v>
      </c>
      <c r="I331" s="17" t="s">
        <v>2989</v>
      </c>
      <c r="J331" s="17" t="s">
        <v>2990</v>
      </c>
      <c r="K331" s="19"/>
      <c r="L331" s="19"/>
      <c r="M331" s="19"/>
    </row>
    <row r="332">
      <c r="A332" s="27">
        <v>22.72</v>
      </c>
      <c r="B332" s="27">
        <v>204.48</v>
      </c>
      <c r="D332" s="13" t="s">
        <v>169</v>
      </c>
      <c r="I332" s="30">
        <f>sumif(CleanedDataset!M:M, "Furniture", CleanedDataset!R:R )</f>
        <v>514934.1248</v>
      </c>
    </row>
    <row r="333">
      <c r="A333" s="27">
        <v>71.372</v>
      </c>
      <c r="B333" s="27">
        <v>71.372</v>
      </c>
      <c r="D333" s="13" t="s">
        <v>430</v>
      </c>
    </row>
    <row r="334">
      <c r="A334" s="27">
        <v>11.648</v>
      </c>
      <c r="B334" s="27">
        <v>104.832</v>
      </c>
      <c r="D334" s="13" t="s">
        <v>25</v>
      </c>
    </row>
    <row r="335">
      <c r="A335" s="27">
        <v>90.57</v>
      </c>
      <c r="B335" s="27">
        <v>815.1299999999999</v>
      </c>
      <c r="D335" s="13" t="s">
        <v>157</v>
      </c>
    </row>
    <row r="336">
      <c r="A336" s="27">
        <v>29.472</v>
      </c>
      <c r="B336" s="27">
        <v>206.304</v>
      </c>
      <c r="D336" s="13" t="s">
        <v>151</v>
      </c>
    </row>
    <row r="337">
      <c r="A337" s="27">
        <v>211.96</v>
      </c>
      <c r="B337" s="27">
        <v>847.84</v>
      </c>
      <c r="D337" s="13" t="s">
        <v>827</v>
      </c>
    </row>
    <row r="338">
      <c r="A338" s="27">
        <v>19.05</v>
      </c>
      <c r="B338" s="27">
        <v>76.2</v>
      </c>
      <c r="D338" s="13" t="s">
        <v>175</v>
      </c>
    </row>
    <row r="339">
      <c r="A339" s="27">
        <v>19.3</v>
      </c>
      <c r="B339" s="27">
        <v>135.1</v>
      </c>
      <c r="D339" s="13" t="s">
        <v>58</v>
      </c>
    </row>
    <row r="340">
      <c r="A340" s="27">
        <v>301.96</v>
      </c>
      <c r="B340" s="27">
        <v>603.92</v>
      </c>
      <c r="D340" s="13" t="s">
        <v>304</v>
      </c>
    </row>
    <row r="341">
      <c r="A341" s="27">
        <v>158.368</v>
      </c>
      <c r="B341" s="27">
        <v>1108.576</v>
      </c>
      <c r="D341" s="13" t="s">
        <v>99</v>
      </c>
    </row>
    <row r="342">
      <c r="A342" s="27">
        <v>12.96</v>
      </c>
      <c r="B342" s="27">
        <v>64.80000000000001</v>
      </c>
      <c r="D342" s="13" t="s">
        <v>782</v>
      </c>
    </row>
    <row r="343">
      <c r="A343" s="27">
        <v>53.34</v>
      </c>
      <c r="B343" s="27">
        <v>266.70000000000005</v>
      </c>
      <c r="D343" s="13" t="s">
        <v>236</v>
      </c>
    </row>
    <row r="344">
      <c r="A344" s="27">
        <v>32.96</v>
      </c>
      <c r="B344" s="27">
        <v>164.8</v>
      </c>
      <c r="D344" s="13" t="s">
        <v>210</v>
      </c>
    </row>
    <row r="345">
      <c r="A345" s="27">
        <v>96.53</v>
      </c>
      <c r="B345" s="27">
        <v>96.53</v>
      </c>
      <c r="D345" s="13" t="s">
        <v>70</v>
      </c>
    </row>
    <row r="346">
      <c r="A346" s="27">
        <v>23.92</v>
      </c>
      <c r="B346" s="27">
        <v>119.60000000000001</v>
      </c>
      <c r="D346" s="13" t="s">
        <v>83</v>
      </c>
    </row>
    <row r="347">
      <c r="A347" s="27">
        <v>40.096</v>
      </c>
      <c r="B347" s="27">
        <v>160.384</v>
      </c>
      <c r="D347" s="13" t="s">
        <v>198</v>
      </c>
    </row>
    <row r="348">
      <c r="A348" s="27">
        <v>4.72</v>
      </c>
      <c r="B348" s="27">
        <v>18.88</v>
      </c>
      <c r="D348" s="13" t="s">
        <v>63</v>
      </c>
    </row>
    <row r="349">
      <c r="A349" s="27">
        <v>23.976</v>
      </c>
      <c r="B349" s="27">
        <v>95.904</v>
      </c>
    </row>
    <row r="350">
      <c r="A350" s="27">
        <v>130.464</v>
      </c>
      <c r="B350" s="27">
        <v>521.856</v>
      </c>
    </row>
    <row r="351">
      <c r="A351" s="27">
        <v>600.558</v>
      </c>
      <c r="B351" s="27">
        <v>4203.906</v>
      </c>
    </row>
    <row r="352">
      <c r="A352" s="27">
        <v>81.424</v>
      </c>
      <c r="B352" s="27">
        <v>732.816</v>
      </c>
    </row>
    <row r="353">
      <c r="A353" s="27">
        <v>238.56</v>
      </c>
      <c r="B353" s="27">
        <v>2147.04</v>
      </c>
    </row>
    <row r="354">
      <c r="A354" s="27">
        <v>82.8</v>
      </c>
      <c r="B354" s="27">
        <v>82.8</v>
      </c>
    </row>
    <row r="355">
      <c r="A355" s="27">
        <v>457.568</v>
      </c>
      <c r="B355" s="27">
        <v>4118.112</v>
      </c>
    </row>
    <row r="356">
      <c r="A356" s="27">
        <v>54.384</v>
      </c>
      <c r="B356" s="27">
        <v>54.384</v>
      </c>
    </row>
    <row r="357">
      <c r="A357" s="27">
        <v>97.264</v>
      </c>
      <c r="B357" s="27">
        <v>680.848</v>
      </c>
    </row>
    <row r="358">
      <c r="A358" s="27">
        <v>396.802</v>
      </c>
      <c r="B358" s="27">
        <v>1587.208</v>
      </c>
    </row>
    <row r="359">
      <c r="A359" s="27">
        <v>15.88</v>
      </c>
      <c r="B359" s="27">
        <v>63.52</v>
      </c>
    </row>
    <row r="360">
      <c r="A360" s="27">
        <v>24.816</v>
      </c>
      <c r="B360" s="27">
        <v>148.896</v>
      </c>
    </row>
    <row r="361">
      <c r="A361" s="27">
        <v>408.744</v>
      </c>
      <c r="B361" s="27">
        <v>2452.464</v>
      </c>
    </row>
    <row r="362">
      <c r="A362" s="27">
        <v>503.96</v>
      </c>
      <c r="B362" s="27">
        <v>3527.72</v>
      </c>
    </row>
    <row r="363">
      <c r="A363" s="27">
        <v>149.95</v>
      </c>
      <c r="B363" s="27">
        <v>1049.6499999999999</v>
      </c>
    </row>
    <row r="364">
      <c r="A364" s="27">
        <v>29.0</v>
      </c>
      <c r="B364" s="27">
        <v>203.0</v>
      </c>
    </row>
    <row r="365">
      <c r="A365" s="27">
        <v>66.284</v>
      </c>
      <c r="B365" s="27">
        <v>463.98800000000006</v>
      </c>
    </row>
    <row r="366">
      <c r="A366" s="27">
        <v>20.8</v>
      </c>
      <c r="B366" s="27">
        <v>145.6</v>
      </c>
    </row>
    <row r="367">
      <c r="A367" s="27">
        <v>25.92</v>
      </c>
      <c r="B367" s="27">
        <v>155.52</v>
      </c>
    </row>
    <row r="368">
      <c r="A368" s="27">
        <v>419.68</v>
      </c>
      <c r="B368" s="27">
        <v>2518.08</v>
      </c>
    </row>
    <row r="369">
      <c r="A369" s="27">
        <v>11.688</v>
      </c>
      <c r="B369" s="27">
        <v>70.128</v>
      </c>
    </row>
    <row r="370">
      <c r="A370" s="27">
        <v>31.984</v>
      </c>
      <c r="B370" s="27">
        <v>191.904</v>
      </c>
    </row>
    <row r="371">
      <c r="A371" s="27">
        <v>177.225</v>
      </c>
      <c r="B371" s="27">
        <v>1063.35</v>
      </c>
    </row>
    <row r="372">
      <c r="A372" s="27">
        <v>4.044</v>
      </c>
      <c r="B372" s="27">
        <v>24.263999999999996</v>
      </c>
    </row>
    <row r="373">
      <c r="A373" s="27">
        <v>7.408</v>
      </c>
      <c r="B373" s="27">
        <v>44.448</v>
      </c>
    </row>
    <row r="374">
      <c r="A374" s="27">
        <v>2001.86</v>
      </c>
      <c r="B374" s="27">
        <v>10009.3</v>
      </c>
    </row>
    <row r="375">
      <c r="A375" s="27">
        <v>166.72</v>
      </c>
      <c r="B375" s="27">
        <v>833.6</v>
      </c>
    </row>
    <row r="376">
      <c r="A376" s="27">
        <v>47.88</v>
      </c>
      <c r="B376" s="27">
        <v>239.4</v>
      </c>
    </row>
    <row r="377">
      <c r="A377" s="27">
        <v>1503.25</v>
      </c>
      <c r="B377" s="27">
        <v>7516.25</v>
      </c>
    </row>
    <row r="378">
      <c r="A378" s="27">
        <v>25.92</v>
      </c>
      <c r="B378" s="27">
        <v>129.60000000000002</v>
      </c>
    </row>
    <row r="379">
      <c r="A379" s="27">
        <v>321.568</v>
      </c>
      <c r="B379" s="27">
        <v>2894.112</v>
      </c>
    </row>
    <row r="380">
      <c r="A380" s="27">
        <v>20.37</v>
      </c>
      <c r="B380" s="27">
        <v>20.37</v>
      </c>
    </row>
    <row r="381">
      <c r="A381" s="27">
        <v>221.55</v>
      </c>
      <c r="B381" s="27">
        <v>221.55</v>
      </c>
    </row>
    <row r="382">
      <c r="A382" s="27">
        <v>17.52</v>
      </c>
      <c r="B382" s="27">
        <v>17.52</v>
      </c>
    </row>
    <row r="383">
      <c r="A383" s="27">
        <v>3059.982</v>
      </c>
      <c r="B383" s="27">
        <v>21419.874</v>
      </c>
    </row>
    <row r="384">
      <c r="A384" s="27">
        <v>2519.958</v>
      </c>
      <c r="B384" s="27">
        <v>17639.706000000002</v>
      </c>
    </row>
    <row r="385">
      <c r="A385" s="27">
        <v>725.84</v>
      </c>
      <c r="B385" s="27">
        <v>6532.56</v>
      </c>
    </row>
    <row r="386">
      <c r="A386" s="27">
        <v>2.08</v>
      </c>
      <c r="B386" s="27">
        <v>14.56</v>
      </c>
    </row>
    <row r="387">
      <c r="A387" s="27">
        <v>1114.4</v>
      </c>
      <c r="B387" s="27">
        <v>7800.800000000001</v>
      </c>
    </row>
    <row r="388">
      <c r="A388" s="27">
        <v>254.058</v>
      </c>
      <c r="B388" s="27">
        <v>762.174</v>
      </c>
    </row>
    <row r="389">
      <c r="A389" s="27">
        <v>194.528</v>
      </c>
      <c r="B389" s="27">
        <v>583.584</v>
      </c>
    </row>
    <row r="390">
      <c r="A390" s="27">
        <v>961.48</v>
      </c>
      <c r="B390" s="27">
        <v>2884.44</v>
      </c>
    </row>
    <row r="391">
      <c r="A391" s="27">
        <v>19.096</v>
      </c>
      <c r="B391" s="27">
        <v>76.384</v>
      </c>
    </row>
    <row r="392">
      <c r="A392" s="27">
        <v>18.496</v>
      </c>
      <c r="B392" s="27">
        <v>73.984</v>
      </c>
    </row>
    <row r="393">
      <c r="A393" s="27">
        <v>255.984</v>
      </c>
      <c r="B393" s="27">
        <v>1023.936</v>
      </c>
    </row>
    <row r="394">
      <c r="A394" s="27">
        <v>86.97</v>
      </c>
      <c r="B394" s="27">
        <v>347.88</v>
      </c>
    </row>
    <row r="395">
      <c r="A395" s="27">
        <v>26.8</v>
      </c>
      <c r="B395" s="27">
        <v>26.8</v>
      </c>
    </row>
    <row r="396">
      <c r="A396" s="27">
        <v>15.136</v>
      </c>
      <c r="B396" s="27">
        <v>121.088</v>
      </c>
    </row>
    <row r="397">
      <c r="A397" s="27">
        <v>466.768</v>
      </c>
      <c r="B397" s="27">
        <v>3734.144</v>
      </c>
    </row>
    <row r="398">
      <c r="A398" s="27">
        <v>15.232</v>
      </c>
      <c r="B398" s="27">
        <v>121.856</v>
      </c>
    </row>
    <row r="399">
      <c r="A399" s="27">
        <v>6.264</v>
      </c>
      <c r="B399" s="27">
        <v>50.112</v>
      </c>
    </row>
    <row r="400">
      <c r="A400" s="27">
        <v>15.992</v>
      </c>
      <c r="B400" s="27">
        <v>47.976</v>
      </c>
    </row>
    <row r="401">
      <c r="A401" s="27">
        <v>82.8</v>
      </c>
      <c r="B401" s="27">
        <v>82.8</v>
      </c>
    </row>
    <row r="402">
      <c r="A402" s="27">
        <v>20.724</v>
      </c>
      <c r="B402" s="27">
        <v>20.724</v>
      </c>
    </row>
    <row r="403">
      <c r="A403" s="27">
        <v>4.896</v>
      </c>
      <c r="B403" s="27">
        <v>4.896</v>
      </c>
    </row>
    <row r="404">
      <c r="A404" s="27">
        <v>4.752</v>
      </c>
      <c r="B404" s="27">
        <v>42.768</v>
      </c>
    </row>
    <row r="405">
      <c r="A405" s="27">
        <v>959.984</v>
      </c>
      <c r="B405" s="27">
        <v>8639.856</v>
      </c>
    </row>
    <row r="406">
      <c r="A406" s="27">
        <v>14.368</v>
      </c>
      <c r="B406" s="27">
        <v>129.312</v>
      </c>
    </row>
    <row r="407">
      <c r="A407" s="27">
        <v>4.96</v>
      </c>
      <c r="B407" s="27">
        <v>39.68</v>
      </c>
    </row>
    <row r="408">
      <c r="A408" s="27">
        <v>17.856</v>
      </c>
      <c r="B408" s="27">
        <v>17.856</v>
      </c>
    </row>
    <row r="409">
      <c r="A409" s="27">
        <v>509.97</v>
      </c>
      <c r="B409" s="27">
        <v>509.97</v>
      </c>
    </row>
    <row r="410">
      <c r="A410" s="27">
        <v>30.992</v>
      </c>
      <c r="B410" s="27">
        <v>30.992</v>
      </c>
    </row>
    <row r="411">
      <c r="A411" s="27">
        <v>71.928</v>
      </c>
      <c r="B411" s="27">
        <v>71.928</v>
      </c>
    </row>
    <row r="412">
      <c r="A412" s="27">
        <v>41.9</v>
      </c>
      <c r="B412" s="27">
        <v>167.6</v>
      </c>
    </row>
    <row r="413">
      <c r="A413" s="27">
        <v>246.384</v>
      </c>
      <c r="B413" s="27">
        <v>2217.4559999999997</v>
      </c>
    </row>
    <row r="414">
      <c r="A414" s="27">
        <v>1799.97</v>
      </c>
      <c r="B414" s="27">
        <v>16199.73</v>
      </c>
    </row>
    <row r="415">
      <c r="A415" s="27">
        <v>12.462</v>
      </c>
      <c r="B415" s="27">
        <v>74.77199999999999</v>
      </c>
    </row>
    <row r="416">
      <c r="A416" s="27">
        <v>49.96</v>
      </c>
      <c r="B416" s="27">
        <v>99.92</v>
      </c>
    </row>
    <row r="417">
      <c r="A417" s="27">
        <v>12.96</v>
      </c>
      <c r="B417" s="27">
        <v>25.92</v>
      </c>
    </row>
    <row r="418">
      <c r="A418" s="27">
        <v>35.952</v>
      </c>
      <c r="B418" s="27">
        <v>251.664</v>
      </c>
    </row>
    <row r="419">
      <c r="A419" s="27">
        <v>2396.2656</v>
      </c>
      <c r="B419" s="27">
        <v>16773.859200000003</v>
      </c>
    </row>
    <row r="420">
      <c r="A420" s="27">
        <v>131.136</v>
      </c>
      <c r="B420" s="27">
        <v>917.952</v>
      </c>
    </row>
    <row r="421">
      <c r="A421" s="27">
        <v>57.584</v>
      </c>
      <c r="B421" s="27">
        <v>403.088</v>
      </c>
    </row>
    <row r="422">
      <c r="A422" s="27">
        <v>866.4</v>
      </c>
      <c r="B422" s="27">
        <v>2599.2</v>
      </c>
    </row>
    <row r="423">
      <c r="A423" s="27">
        <v>28.4</v>
      </c>
      <c r="B423" s="27">
        <v>113.6</v>
      </c>
    </row>
    <row r="424">
      <c r="A424" s="27">
        <v>287.92</v>
      </c>
      <c r="B424" s="27">
        <v>1151.68</v>
      </c>
    </row>
    <row r="425">
      <c r="A425" s="27">
        <v>1007.979</v>
      </c>
      <c r="B425" s="27">
        <v>6047.874</v>
      </c>
    </row>
    <row r="426">
      <c r="A426" s="27">
        <v>313.488</v>
      </c>
      <c r="B426" s="27">
        <v>1880.9279999999999</v>
      </c>
    </row>
    <row r="427">
      <c r="A427" s="27">
        <v>207.846</v>
      </c>
      <c r="B427" s="27">
        <v>207.846</v>
      </c>
    </row>
    <row r="428">
      <c r="A428" s="27">
        <v>12.22</v>
      </c>
      <c r="B428" s="27">
        <v>48.88</v>
      </c>
    </row>
    <row r="429">
      <c r="A429" s="27">
        <v>194.94</v>
      </c>
      <c r="B429" s="27">
        <v>779.76</v>
      </c>
    </row>
    <row r="430">
      <c r="A430" s="27">
        <v>70.95</v>
      </c>
      <c r="B430" s="27">
        <v>283.8</v>
      </c>
    </row>
    <row r="431">
      <c r="A431" s="27">
        <v>91.36</v>
      </c>
      <c r="B431" s="27">
        <v>365.44</v>
      </c>
    </row>
    <row r="432">
      <c r="A432" s="27">
        <v>242.94</v>
      </c>
      <c r="B432" s="27">
        <v>971.76</v>
      </c>
    </row>
    <row r="433">
      <c r="A433" s="27">
        <v>22.05</v>
      </c>
      <c r="B433" s="27">
        <v>88.2</v>
      </c>
    </row>
    <row r="434">
      <c r="A434" s="27">
        <v>2.91</v>
      </c>
      <c r="B434" s="27">
        <v>11.64</v>
      </c>
    </row>
    <row r="435">
      <c r="A435" s="27">
        <v>59.52</v>
      </c>
      <c r="B435" s="27">
        <v>59.52</v>
      </c>
    </row>
    <row r="436">
      <c r="A436" s="27">
        <v>161.94</v>
      </c>
      <c r="B436" s="27">
        <v>161.94</v>
      </c>
    </row>
    <row r="437">
      <c r="A437" s="27">
        <v>263.88</v>
      </c>
      <c r="B437" s="27">
        <v>263.88</v>
      </c>
    </row>
    <row r="438">
      <c r="A438" s="27">
        <v>30.48</v>
      </c>
      <c r="B438" s="27">
        <v>30.48</v>
      </c>
    </row>
    <row r="439">
      <c r="A439" s="27">
        <v>9.84</v>
      </c>
      <c r="B439" s="27">
        <v>9.84</v>
      </c>
    </row>
    <row r="440">
      <c r="A440" s="27">
        <v>35.12</v>
      </c>
      <c r="B440" s="27">
        <v>35.12</v>
      </c>
    </row>
    <row r="441">
      <c r="A441" s="27">
        <v>4.788</v>
      </c>
      <c r="B441" s="27">
        <v>28.728</v>
      </c>
    </row>
    <row r="442">
      <c r="A442" s="27">
        <v>340.92</v>
      </c>
      <c r="B442" s="27">
        <v>3068.28</v>
      </c>
    </row>
    <row r="443">
      <c r="A443" s="27">
        <v>222.666</v>
      </c>
      <c r="B443" s="27">
        <v>2003.994</v>
      </c>
    </row>
    <row r="444">
      <c r="A444" s="27">
        <v>703.968</v>
      </c>
      <c r="B444" s="27">
        <v>6335.7119999999995</v>
      </c>
    </row>
    <row r="445">
      <c r="A445" s="27">
        <v>92.52</v>
      </c>
      <c r="B445" s="27">
        <v>832.68</v>
      </c>
    </row>
    <row r="446">
      <c r="A446" s="27">
        <v>62.65</v>
      </c>
      <c r="B446" s="27">
        <v>563.85</v>
      </c>
    </row>
    <row r="447">
      <c r="A447" s="27">
        <v>94.85</v>
      </c>
      <c r="B447" s="27">
        <v>853.65</v>
      </c>
    </row>
    <row r="448">
      <c r="A448" s="27">
        <v>7.992</v>
      </c>
      <c r="B448" s="27">
        <v>55.944</v>
      </c>
    </row>
    <row r="449">
      <c r="A449" s="27">
        <v>63.984</v>
      </c>
      <c r="B449" s="27">
        <v>447.88800000000003</v>
      </c>
    </row>
    <row r="450">
      <c r="A450" s="27">
        <v>70.368</v>
      </c>
      <c r="B450" s="27">
        <v>492.57599999999996</v>
      </c>
    </row>
    <row r="451">
      <c r="A451" s="27">
        <v>189.882</v>
      </c>
      <c r="B451" s="27">
        <v>569.646</v>
      </c>
    </row>
    <row r="452">
      <c r="A452" s="27">
        <v>15.92</v>
      </c>
      <c r="B452" s="27">
        <v>15.92</v>
      </c>
    </row>
    <row r="453">
      <c r="A453" s="27">
        <v>190.72</v>
      </c>
      <c r="B453" s="27">
        <v>1716.48</v>
      </c>
    </row>
    <row r="454">
      <c r="A454" s="27">
        <v>979.95</v>
      </c>
      <c r="B454" s="27">
        <v>2939.8500000000004</v>
      </c>
    </row>
    <row r="455">
      <c r="A455" s="27">
        <v>22.75</v>
      </c>
      <c r="B455" s="27">
        <v>68.25</v>
      </c>
    </row>
    <row r="456">
      <c r="A456" s="27">
        <v>42.616</v>
      </c>
      <c r="B456" s="27">
        <v>255.696</v>
      </c>
    </row>
    <row r="457">
      <c r="A457" s="27">
        <v>250.272</v>
      </c>
      <c r="B457" s="27">
        <v>1501.632</v>
      </c>
    </row>
    <row r="458">
      <c r="A458" s="27">
        <v>11.364</v>
      </c>
      <c r="B458" s="27">
        <v>68.184</v>
      </c>
    </row>
    <row r="459">
      <c r="A459" s="27">
        <v>8.72</v>
      </c>
      <c r="B459" s="27">
        <v>52.32000000000001</v>
      </c>
    </row>
    <row r="460">
      <c r="A460" s="27">
        <v>1121.568</v>
      </c>
      <c r="B460" s="27">
        <v>10094.112</v>
      </c>
    </row>
    <row r="461">
      <c r="A461" s="27">
        <v>1295.78</v>
      </c>
      <c r="B461" s="27">
        <v>11662.02</v>
      </c>
    </row>
    <row r="462">
      <c r="A462" s="27">
        <v>19.456</v>
      </c>
      <c r="B462" s="27">
        <v>38.912</v>
      </c>
    </row>
    <row r="463">
      <c r="A463" s="27">
        <v>42.6</v>
      </c>
      <c r="B463" s="27">
        <v>383.40000000000003</v>
      </c>
    </row>
    <row r="464">
      <c r="A464" s="27">
        <v>84.056</v>
      </c>
      <c r="B464" s="27">
        <v>756.504</v>
      </c>
    </row>
    <row r="465">
      <c r="A465" s="27">
        <v>13.0</v>
      </c>
      <c r="B465" s="27">
        <v>39.0</v>
      </c>
    </row>
    <row r="466">
      <c r="A466" s="27">
        <v>13.128</v>
      </c>
      <c r="B466" s="27">
        <v>39.384</v>
      </c>
    </row>
    <row r="467">
      <c r="A467" s="27">
        <v>160.72</v>
      </c>
      <c r="B467" s="27">
        <v>1446.48</v>
      </c>
    </row>
    <row r="468">
      <c r="A468" s="27">
        <v>19.92</v>
      </c>
      <c r="B468" s="27">
        <v>179.28000000000003</v>
      </c>
    </row>
    <row r="469">
      <c r="A469" s="27">
        <v>7.3</v>
      </c>
      <c r="B469" s="27">
        <v>65.7</v>
      </c>
    </row>
    <row r="470">
      <c r="A470" s="27">
        <v>8.448</v>
      </c>
      <c r="B470" s="27">
        <v>8.448</v>
      </c>
    </row>
    <row r="471">
      <c r="A471" s="27">
        <v>728.946</v>
      </c>
      <c r="B471" s="27">
        <v>728.946</v>
      </c>
    </row>
    <row r="472">
      <c r="A472" s="27">
        <v>119.94</v>
      </c>
      <c r="B472" s="27">
        <v>479.76</v>
      </c>
    </row>
    <row r="473">
      <c r="A473" s="27">
        <v>3.648</v>
      </c>
      <c r="B473" s="27">
        <v>14.592</v>
      </c>
    </row>
    <row r="474">
      <c r="A474" s="27">
        <v>40.48</v>
      </c>
      <c r="B474" s="27">
        <v>40.48</v>
      </c>
    </row>
    <row r="475">
      <c r="A475" s="27">
        <v>9.94</v>
      </c>
      <c r="B475" s="27">
        <v>9.94</v>
      </c>
    </row>
    <row r="476">
      <c r="A476" s="27">
        <v>107.424</v>
      </c>
      <c r="B476" s="27">
        <v>107.424</v>
      </c>
    </row>
    <row r="477">
      <c r="A477" s="27">
        <v>37.91</v>
      </c>
      <c r="B477" s="27">
        <v>37.91</v>
      </c>
    </row>
    <row r="478">
      <c r="A478" s="27">
        <v>88.02</v>
      </c>
      <c r="B478" s="27">
        <v>88.02</v>
      </c>
    </row>
    <row r="479">
      <c r="A479" s="27">
        <v>243.384</v>
      </c>
      <c r="B479" s="27">
        <v>1947.072</v>
      </c>
    </row>
    <row r="480">
      <c r="A480" s="27">
        <v>119.8</v>
      </c>
      <c r="B480" s="27">
        <v>958.4</v>
      </c>
    </row>
    <row r="481">
      <c r="A481" s="27">
        <v>300.768</v>
      </c>
      <c r="B481" s="27">
        <v>2406.144</v>
      </c>
    </row>
    <row r="482">
      <c r="A482" s="27">
        <v>17.88</v>
      </c>
      <c r="B482" s="27">
        <v>53.64</v>
      </c>
    </row>
    <row r="483">
      <c r="A483" s="27">
        <v>235.944</v>
      </c>
      <c r="B483" s="27">
        <v>707.832</v>
      </c>
    </row>
    <row r="484">
      <c r="A484" s="27">
        <v>392.94</v>
      </c>
      <c r="B484" s="27">
        <v>1178.82</v>
      </c>
    </row>
    <row r="485">
      <c r="A485" s="27">
        <v>330.4</v>
      </c>
      <c r="B485" s="27">
        <v>2973.6</v>
      </c>
    </row>
    <row r="486">
      <c r="A486" s="27">
        <v>26.25</v>
      </c>
      <c r="B486" s="27">
        <v>236.25</v>
      </c>
    </row>
    <row r="487">
      <c r="A487" s="27">
        <v>14.8</v>
      </c>
      <c r="B487" s="27">
        <v>133.20000000000002</v>
      </c>
    </row>
    <row r="488">
      <c r="A488" s="27">
        <v>302.376</v>
      </c>
      <c r="B488" s="27">
        <v>2721.384</v>
      </c>
    </row>
    <row r="489">
      <c r="A489" s="27">
        <v>316.0</v>
      </c>
      <c r="B489" s="27">
        <v>2844.0</v>
      </c>
    </row>
    <row r="490">
      <c r="A490" s="27">
        <v>23.76</v>
      </c>
      <c r="B490" s="27">
        <v>166.32000000000002</v>
      </c>
    </row>
    <row r="491">
      <c r="A491" s="27">
        <v>85.056</v>
      </c>
      <c r="B491" s="27">
        <v>595.3919999999999</v>
      </c>
    </row>
    <row r="492">
      <c r="A492" s="27">
        <v>381.576</v>
      </c>
      <c r="B492" s="27">
        <v>2671.032</v>
      </c>
    </row>
    <row r="493">
      <c r="A493" s="27">
        <v>104.01</v>
      </c>
      <c r="B493" s="27">
        <v>208.02</v>
      </c>
    </row>
    <row r="494">
      <c r="A494" s="27">
        <v>284.82</v>
      </c>
      <c r="B494" s="27">
        <v>569.64</v>
      </c>
    </row>
    <row r="495">
      <c r="A495" s="27">
        <v>36.84</v>
      </c>
      <c r="B495" s="27">
        <v>73.68</v>
      </c>
    </row>
    <row r="496">
      <c r="A496" s="27">
        <v>209.88</v>
      </c>
      <c r="B496" s="27">
        <v>1888.92</v>
      </c>
    </row>
    <row r="497">
      <c r="A497" s="27">
        <v>19.92</v>
      </c>
      <c r="B497" s="27">
        <v>179.28000000000003</v>
      </c>
    </row>
    <row r="498">
      <c r="A498" s="27">
        <v>11.992</v>
      </c>
      <c r="B498" s="27">
        <v>71.952</v>
      </c>
    </row>
    <row r="499">
      <c r="A499" s="27">
        <v>11.36</v>
      </c>
      <c r="B499" s="27">
        <v>79.52</v>
      </c>
    </row>
    <row r="500">
      <c r="A500" s="27">
        <v>50.94</v>
      </c>
      <c r="B500" s="27">
        <v>356.58</v>
      </c>
    </row>
    <row r="501">
      <c r="A501" s="27">
        <v>646.74</v>
      </c>
      <c r="B501" s="27">
        <v>4527.18</v>
      </c>
    </row>
    <row r="502">
      <c r="A502" s="27">
        <v>5.64</v>
      </c>
      <c r="B502" s="27">
        <v>39.48</v>
      </c>
    </row>
    <row r="503">
      <c r="A503" s="27">
        <v>572.58</v>
      </c>
      <c r="B503" s="27">
        <v>4008.0600000000004</v>
      </c>
    </row>
    <row r="504">
      <c r="A504" s="27">
        <v>32.07</v>
      </c>
      <c r="B504" s="27">
        <v>128.28</v>
      </c>
    </row>
    <row r="505">
      <c r="A505" s="27">
        <v>24.0</v>
      </c>
      <c r="B505" s="27">
        <v>96.0</v>
      </c>
    </row>
    <row r="506">
      <c r="A506" s="27">
        <v>35.49</v>
      </c>
      <c r="B506" s="27">
        <v>141.96</v>
      </c>
    </row>
    <row r="507">
      <c r="A507" s="27">
        <v>47.984</v>
      </c>
      <c r="B507" s="27">
        <v>191.936</v>
      </c>
    </row>
    <row r="508">
      <c r="A508" s="27">
        <v>17.456</v>
      </c>
      <c r="B508" s="27">
        <v>157.10399999999998</v>
      </c>
    </row>
    <row r="509">
      <c r="A509" s="27">
        <v>355.32</v>
      </c>
      <c r="B509" s="27">
        <v>355.32</v>
      </c>
    </row>
    <row r="510">
      <c r="A510" s="27">
        <v>301.96</v>
      </c>
      <c r="B510" s="27">
        <v>1207.84</v>
      </c>
    </row>
    <row r="511">
      <c r="A511" s="27">
        <v>180.66</v>
      </c>
      <c r="B511" s="27">
        <v>722.64</v>
      </c>
    </row>
    <row r="512">
      <c r="A512" s="27">
        <v>191.98</v>
      </c>
      <c r="B512" s="27">
        <v>767.92</v>
      </c>
    </row>
    <row r="513">
      <c r="A513" s="27">
        <v>65.99</v>
      </c>
      <c r="B513" s="27">
        <v>263.96</v>
      </c>
    </row>
    <row r="514">
      <c r="A514" s="27">
        <v>51.184</v>
      </c>
      <c r="B514" s="27">
        <v>358.288</v>
      </c>
    </row>
    <row r="515">
      <c r="A515" s="27">
        <v>5.16</v>
      </c>
      <c r="B515" s="27">
        <v>46.44</v>
      </c>
    </row>
    <row r="516">
      <c r="A516" s="27">
        <v>38.88</v>
      </c>
      <c r="B516" s="27">
        <v>349.92</v>
      </c>
    </row>
    <row r="517">
      <c r="A517" s="27">
        <v>191.472</v>
      </c>
      <c r="B517" s="27">
        <v>574.416</v>
      </c>
    </row>
    <row r="518">
      <c r="A518" s="27">
        <v>5.248</v>
      </c>
      <c r="B518" s="27">
        <v>15.744</v>
      </c>
    </row>
    <row r="519">
      <c r="A519" s="27">
        <v>59.184</v>
      </c>
      <c r="B519" s="27">
        <v>177.552</v>
      </c>
    </row>
    <row r="520">
      <c r="A520" s="27">
        <v>68.472</v>
      </c>
      <c r="B520" s="27">
        <v>68.472</v>
      </c>
    </row>
    <row r="521">
      <c r="A521" s="27">
        <v>1242.9</v>
      </c>
      <c r="B521" s="27">
        <v>1242.9</v>
      </c>
    </row>
    <row r="522">
      <c r="A522" s="27">
        <v>13.944</v>
      </c>
      <c r="B522" s="27">
        <v>125.49600000000001</v>
      </c>
    </row>
    <row r="523">
      <c r="A523" s="27">
        <v>15.648</v>
      </c>
      <c r="B523" s="27">
        <v>109.536</v>
      </c>
    </row>
    <row r="524">
      <c r="A524" s="27">
        <v>46.96</v>
      </c>
      <c r="B524" s="27">
        <v>46.96</v>
      </c>
    </row>
    <row r="525">
      <c r="A525" s="27">
        <v>29.592</v>
      </c>
      <c r="B525" s="27">
        <v>236.736</v>
      </c>
    </row>
    <row r="526">
      <c r="A526" s="27">
        <v>4.752</v>
      </c>
      <c r="B526" s="27">
        <v>38.016</v>
      </c>
    </row>
    <row r="527">
      <c r="A527" s="27">
        <v>15.552</v>
      </c>
      <c r="B527" s="27">
        <v>124.416</v>
      </c>
    </row>
    <row r="528">
      <c r="A528" s="27">
        <v>4.608</v>
      </c>
      <c r="B528" s="27">
        <v>13.823999999999998</v>
      </c>
    </row>
    <row r="529">
      <c r="A529" s="27">
        <v>127.104</v>
      </c>
      <c r="B529" s="27">
        <v>127.104</v>
      </c>
    </row>
    <row r="530">
      <c r="A530" s="27">
        <v>124.2</v>
      </c>
      <c r="B530" s="27">
        <v>124.2</v>
      </c>
    </row>
    <row r="531">
      <c r="A531" s="27">
        <v>18.588</v>
      </c>
      <c r="B531" s="27">
        <v>18.588</v>
      </c>
    </row>
    <row r="532">
      <c r="A532" s="27">
        <v>30.072</v>
      </c>
      <c r="B532" s="27">
        <v>30.072</v>
      </c>
    </row>
    <row r="533">
      <c r="A533" s="27">
        <v>160.93</v>
      </c>
      <c r="B533" s="27">
        <v>160.93</v>
      </c>
    </row>
    <row r="534">
      <c r="A534" s="27">
        <v>75.792</v>
      </c>
      <c r="B534" s="27">
        <v>75.792</v>
      </c>
    </row>
    <row r="535">
      <c r="A535" s="27">
        <v>3.392</v>
      </c>
      <c r="B535" s="27">
        <v>27.136</v>
      </c>
    </row>
    <row r="536">
      <c r="A536" s="27">
        <v>559.984</v>
      </c>
      <c r="B536" s="27">
        <v>4479.872</v>
      </c>
    </row>
    <row r="537">
      <c r="A537" s="27">
        <v>603.92</v>
      </c>
      <c r="B537" s="27">
        <v>4831.36</v>
      </c>
    </row>
    <row r="538">
      <c r="A538" s="27">
        <v>1166.92</v>
      </c>
      <c r="B538" s="27">
        <v>3500.76</v>
      </c>
    </row>
    <row r="539">
      <c r="A539" s="27">
        <v>155.25</v>
      </c>
      <c r="B539" s="27">
        <v>1397.25</v>
      </c>
    </row>
    <row r="540">
      <c r="A540" s="27">
        <v>14.03</v>
      </c>
      <c r="B540" s="27">
        <v>126.27</v>
      </c>
    </row>
    <row r="541">
      <c r="A541" s="27">
        <v>1618.37</v>
      </c>
      <c r="B541" s="27">
        <v>14565.329999999998</v>
      </c>
    </row>
    <row r="542">
      <c r="A542" s="27">
        <v>99.6</v>
      </c>
      <c r="B542" s="27">
        <v>896.4</v>
      </c>
    </row>
    <row r="543">
      <c r="A543" s="27">
        <v>32.4</v>
      </c>
      <c r="B543" s="27">
        <v>291.59999999999997</v>
      </c>
    </row>
    <row r="544">
      <c r="A544" s="27">
        <v>15.552</v>
      </c>
      <c r="B544" s="27">
        <v>62.208</v>
      </c>
    </row>
    <row r="545">
      <c r="A545" s="27">
        <v>63.312</v>
      </c>
      <c r="B545" s="27">
        <v>253.248</v>
      </c>
    </row>
    <row r="546">
      <c r="A546" s="27">
        <v>15.588</v>
      </c>
      <c r="B546" s="27">
        <v>62.352</v>
      </c>
    </row>
    <row r="547">
      <c r="A547" s="27">
        <v>31.86</v>
      </c>
      <c r="B547" s="27">
        <v>31.86</v>
      </c>
    </row>
    <row r="548">
      <c r="A548" s="27">
        <v>722.352</v>
      </c>
      <c r="B548" s="27">
        <v>722.352</v>
      </c>
    </row>
    <row r="549">
      <c r="A549" s="27">
        <v>1113.504</v>
      </c>
      <c r="B549" s="27">
        <v>10021.536</v>
      </c>
    </row>
    <row r="550">
      <c r="A550" s="27">
        <v>99.99</v>
      </c>
      <c r="B550" s="27">
        <v>899.91</v>
      </c>
    </row>
    <row r="551">
      <c r="A551" s="27">
        <v>1.744</v>
      </c>
      <c r="B551" s="27">
        <v>12.208</v>
      </c>
    </row>
    <row r="552">
      <c r="A552" s="27">
        <v>119.96</v>
      </c>
      <c r="B552" s="27">
        <v>1079.6399999999999</v>
      </c>
    </row>
    <row r="553">
      <c r="A553" s="27">
        <v>31.44</v>
      </c>
      <c r="B553" s="27">
        <v>282.96000000000004</v>
      </c>
    </row>
    <row r="554">
      <c r="A554" s="27">
        <v>6.88</v>
      </c>
      <c r="B554" s="27">
        <v>61.92</v>
      </c>
    </row>
    <row r="555">
      <c r="A555" s="27">
        <v>71.976</v>
      </c>
      <c r="B555" s="27">
        <v>647.784</v>
      </c>
    </row>
    <row r="556">
      <c r="A556" s="27">
        <v>3.15</v>
      </c>
      <c r="B556" s="27">
        <v>28.349999999999998</v>
      </c>
    </row>
    <row r="557">
      <c r="A557" s="27">
        <v>46.672</v>
      </c>
      <c r="B557" s="27">
        <v>420.048</v>
      </c>
    </row>
    <row r="558">
      <c r="A558" s="27">
        <v>119.833</v>
      </c>
      <c r="B558" s="27">
        <v>1078.497</v>
      </c>
    </row>
    <row r="559">
      <c r="A559" s="27">
        <v>119.98</v>
      </c>
      <c r="B559" s="27">
        <v>1079.82</v>
      </c>
    </row>
    <row r="560">
      <c r="A560" s="27">
        <v>6.3</v>
      </c>
      <c r="B560" s="27">
        <v>56.699999999999996</v>
      </c>
    </row>
    <row r="561">
      <c r="A561" s="27">
        <v>287.52</v>
      </c>
      <c r="B561" s="27">
        <v>1150.08</v>
      </c>
    </row>
    <row r="562">
      <c r="A562" s="27">
        <v>37.68</v>
      </c>
      <c r="B562" s="27">
        <v>150.72</v>
      </c>
    </row>
    <row r="563">
      <c r="A563" s="27">
        <v>19.98</v>
      </c>
      <c r="B563" s="27">
        <v>79.92</v>
      </c>
    </row>
    <row r="564">
      <c r="A564" s="27">
        <v>20.58</v>
      </c>
      <c r="B564" s="27">
        <v>82.32</v>
      </c>
    </row>
    <row r="565">
      <c r="A565" s="27">
        <v>17.38</v>
      </c>
      <c r="B565" s="27">
        <v>69.52</v>
      </c>
    </row>
    <row r="566">
      <c r="A566" s="27">
        <v>195.184</v>
      </c>
      <c r="B566" s="27">
        <v>1756.656</v>
      </c>
    </row>
    <row r="567">
      <c r="A567" s="27">
        <v>53.94</v>
      </c>
      <c r="B567" s="27">
        <v>485.46</v>
      </c>
    </row>
    <row r="568">
      <c r="A568" s="27">
        <v>109.48</v>
      </c>
      <c r="B568" s="27">
        <v>109.48</v>
      </c>
    </row>
    <row r="569">
      <c r="A569" s="27">
        <v>272.94</v>
      </c>
      <c r="B569" s="27">
        <v>272.94</v>
      </c>
    </row>
    <row r="570">
      <c r="A570" s="27">
        <v>19.44</v>
      </c>
      <c r="B570" s="27">
        <v>19.44</v>
      </c>
    </row>
    <row r="571">
      <c r="A571" s="27">
        <v>31.92</v>
      </c>
      <c r="B571" s="27">
        <v>31.92</v>
      </c>
    </row>
    <row r="572">
      <c r="A572" s="27">
        <v>11.56</v>
      </c>
      <c r="B572" s="27">
        <v>104.04</v>
      </c>
    </row>
    <row r="573">
      <c r="A573" s="27">
        <v>258.696</v>
      </c>
      <c r="B573" s="27">
        <v>1810.8720000000003</v>
      </c>
    </row>
    <row r="574">
      <c r="A574" s="27">
        <v>81.92</v>
      </c>
      <c r="B574" s="27">
        <v>737.28</v>
      </c>
    </row>
    <row r="575">
      <c r="A575" s="27">
        <v>889.536</v>
      </c>
      <c r="B575" s="27">
        <v>8005.824</v>
      </c>
    </row>
    <row r="576">
      <c r="A576" s="27">
        <v>892.224</v>
      </c>
      <c r="B576" s="27">
        <v>8030.0160000000005</v>
      </c>
    </row>
    <row r="577">
      <c r="A577" s="27">
        <v>223.92</v>
      </c>
      <c r="B577" s="27">
        <v>2015.28</v>
      </c>
    </row>
    <row r="578">
      <c r="A578" s="27">
        <v>23.12</v>
      </c>
      <c r="B578" s="27">
        <v>208.08</v>
      </c>
    </row>
    <row r="579">
      <c r="A579" s="27">
        <v>11.21</v>
      </c>
      <c r="B579" s="27">
        <v>11.21</v>
      </c>
    </row>
    <row r="580">
      <c r="A580" s="27">
        <v>9.144</v>
      </c>
      <c r="B580" s="27">
        <v>9.144</v>
      </c>
    </row>
    <row r="581">
      <c r="A581" s="27">
        <v>14.07</v>
      </c>
      <c r="B581" s="27">
        <v>14.07</v>
      </c>
    </row>
    <row r="582">
      <c r="A582" s="27">
        <v>41.86</v>
      </c>
      <c r="B582" s="27">
        <v>41.86</v>
      </c>
    </row>
    <row r="583">
      <c r="A583" s="27">
        <v>8.544</v>
      </c>
      <c r="B583" s="27">
        <v>8.544</v>
      </c>
    </row>
    <row r="584">
      <c r="A584" s="27">
        <v>579.136</v>
      </c>
      <c r="B584" s="27">
        <v>579.136</v>
      </c>
    </row>
    <row r="585">
      <c r="A585" s="27">
        <v>2.78</v>
      </c>
      <c r="B585" s="27">
        <v>2.78</v>
      </c>
    </row>
    <row r="586">
      <c r="A586" s="27">
        <v>79.96</v>
      </c>
      <c r="B586" s="27">
        <v>79.96</v>
      </c>
    </row>
    <row r="587">
      <c r="A587" s="27">
        <v>764.688</v>
      </c>
      <c r="B587" s="27">
        <v>6882.192</v>
      </c>
    </row>
    <row r="588">
      <c r="A588" s="27">
        <v>3610.848</v>
      </c>
      <c r="B588" s="27">
        <v>32497.631999999998</v>
      </c>
    </row>
    <row r="589">
      <c r="A589" s="27">
        <v>254.9745</v>
      </c>
      <c r="B589" s="27">
        <v>2294.7705</v>
      </c>
    </row>
    <row r="590">
      <c r="A590" s="27">
        <v>27.882</v>
      </c>
      <c r="B590" s="27">
        <v>55.764</v>
      </c>
    </row>
    <row r="591">
      <c r="A591" s="27">
        <v>540.048</v>
      </c>
      <c r="B591" s="27">
        <v>1080.096</v>
      </c>
    </row>
    <row r="592">
      <c r="A592" s="27">
        <v>255.68</v>
      </c>
      <c r="B592" s="27">
        <v>511.36</v>
      </c>
    </row>
    <row r="593">
      <c r="A593" s="27">
        <v>17.472</v>
      </c>
      <c r="B593" s="27">
        <v>17.472</v>
      </c>
    </row>
    <row r="594">
      <c r="A594" s="27">
        <v>114.95</v>
      </c>
      <c r="B594" s="27">
        <v>574.75</v>
      </c>
    </row>
    <row r="595">
      <c r="A595" s="27">
        <v>572.76</v>
      </c>
      <c r="B595" s="27">
        <v>1145.52</v>
      </c>
    </row>
    <row r="596">
      <c r="A596" s="27">
        <v>286.38</v>
      </c>
      <c r="B596" s="27">
        <v>572.76</v>
      </c>
    </row>
    <row r="597">
      <c r="A597" s="27">
        <v>61.96</v>
      </c>
      <c r="B597" s="27">
        <v>123.92</v>
      </c>
    </row>
    <row r="598">
      <c r="A598" s="27">
        <v>419.944</v>
      </c>
      <c r="B598" s="27">
        <v>2939.608</v>
      </c>
    </row>
    <row r="599">
      <c r="A599" s="27">
        <v>87.92</v>
      </c>
      <c r="B599" s="27">
        <v>791.28</v>
      </c>
    </row>
    <row r="600">
      <c r="A600" s="27">
        <v>29.78</v>
      </c>
      <c r="B600" s="27">
        <v>29.78</v>
      </c>
    </row>
    <row r="601">
      <c r="A601" s="27">
        <v>677.58</v>
      </c>
      <c r="B601" s="27">
        <v>677.58</v>
      </c>
    </row>
    <row r="602">
      <c r="A602" s="27">
        <v>75.04</v>
      </c>
      <c r="B602" s="27">
        <v>75.04</v>
      </c>
    </row>
    <row r="603">
      <c r="A603" s="27">
        <v>258.279</v>
      </c>
      <c r="B603" s="27">
        <v>1549.674</v>
      </c>
    </row>
    <row r="604">
      <c r="A604" s="27">
        <v>145.568</v>
      </c>
      <c r="B604" s="27">
        <v>1310.112</v>
      </c>
    </row>
    <row r="605">
      <c r="A605" s="27">
        <v>29.6</v>
      </c>
      <c r="B605" s="27">
        <v>266.40000000000003</v>
      </c>
    </row>
    <row r="606">
      <c r="A606" s="27">
        <v>17.088</v>
      </c>
      <c r="B606" s="27">
        <v>153.792</v>
      </c>
    </row>
    <row r="607">
      <c r="A607" s="27">
        <v>1089.75</v>
      </c>
      <c r="B607" s="27">
        <v>8718.0</v>
      </c>
    </row>
    <row r="608">
      <c r="A608" s="27">
        <v>447.84</v>
      </c>
      <c r="B608" s="27">
        <v>3582.72</v>
      </c>
    </row>
    <row r="609">
      <c r="A609" s="27">
        <v>16.4</v>
      </c>
      <c r="B609" s="27">
        <v>131.2</v>
      </c>
    </row>
    <row r="610">
      <c r="A610" s="27">
        <v>399.96</v>
      </c>
      <c r="B610" s="27">
        <v>3199.68</v>
      </c>
    </row>
    <row r="611">
      <c r="A611" s="27">
        <v>158.9</v>
      </c>
      <c r="B611" s="27">
        <v>1271.2</v>
      </c>
    </row>
    <row r="612">
      <c r="A612" s="27">
        <v>13.184</v>
      </c>
      <c r="B612" s="27">
        <v>105.472</v>
      </c>
    </row>
    <row r="613">
      <c r="A613" s="27">
        <v>239.97</v>
      </c>
      <c r="B613" s="27">
        <v>2159.73</v>
      </c>
    </row>
    <row r="614">
      <c r="A614" s="27">
        <v>37.74</v>
      </c>
      <c r="B614" s="27">
        <v>339.66</v>
      </c>
    </row>
    <row r="615">
      <c r="A615" s="27">
        <v>9.728</v>
      </c>
      <c r="B615" s="27">
        <v>87.55199999999999</v>
      </c>
    </row>
    <row r="616">
      <c r="A616" s="27">
        <v>14.75</v>
      </c>
      <c r="B616" s="27">
        <v>132.75</v>
      </c>
    </row>
    <row r="617">
      <c r="A617" s="27">
        <v>29.8</v>
      </c>
      <c r="B617" s="27">
        <v>268.2</v>
      </c>
    </row>
    <row r="618">
      <c r="A618" s="27">
        <v>427.42</v>
      </c>
      <c r="B618" s="27">
        <v>3846.78</v>
      </c>
    </row>
    <row r="619">
      <c r="A619" s="27">
        <v>152.76</v>
      </c>
      <c r="B619" s="27">
        <v>458.28</v>
      </c>
    </row>
    <row r="620">
      <c r="A620" s="27">
        <v>7.27</v>
      </c>
      <c r="B620" s="27">
        <v>21.81</v>
      </c>
    </row>
    <row r="621">
      <c r="A621" s="27">
        <v>1819.86</v>
      </c>
      <c r="B621" s="27">
        <v>5459.58</v>
      </c>
    </row>
    <row r="622">
      <c r="A622" s="27">
        <v>29.7</v>
      </c>
      <c r="B622" s="27">
        <v>59.4</v>
      </c>
    </row>
    <row r="623">
      <c r="A623" s="27">
        <v>39.96</v>
      </c>
      <c r="B623" s="27">
        <v>79.92</v>
      </c>
    </row>
    <row r="624">
      <c r="A624" s="27">
        <v>36.672</v>
      </c>
      <c r="B624" s="27">
        <v>330.048</v>
      </c>
    </row>
    <row r="625">
      <c r="A625" s="27">
        <v>6.848</v>
      </c>
      <c r="B625" s="27">
        <v>6.848</v>
      </c>
    </row>
    <row r="626">
      <c r="A626" s="27">
        <v>9.728</v>
      </c>
      <c r="B626" s="27">
        <v>29.183999999999997</v>
      </c>
    </row>
    <row r="627">
      <c r="A627" s="27">
        <v>3.424</v>
      </c>
      <c r="B627" s="27">
        <v>10.272</v>
      </c>
    </row>
    <row r="628">
      <c r="A628" s="27">
        <v>62.96</v>
      </c>
      <c r="B628" s="27">
        <v>62.96</v>
      </c>
    </row>
    <row r="629">
      <c r="A629" s="27">
        <v>40.05</v>
      </c>
      <c r="B629" s="27">
        <v>120.14999999999999</v>
      </c>
    </row>
    <row r="630">
      <c r="A630" s="31"/>
      <c r="B630" s="31"/>
    </row>
    <row r="631">
      <c r="A631" s="31"/>
      <c r="B631" s="31"/>
    </row>
    <row r="632">
      <c r="A632" s="31"/>
      <c r="B632" s="31"/>
    </row>
    <row r="633">
      <c r="A633" s="31"/>
      <c r="B633" s="31"/>
    </row>
    <row r="634">
      <c r="A634" s="31"/>
      <c r="B634" s="31"/>
    </row>
    <row r="635">
      <c r="A635" s="31"/>
      <c r="B635" s="31"/>
    </row>
    <row r="636">
      <c r="A636" s="31"/>
      <c r="B636" s="31"/>
    </row>
    <row r="637">
      <c r="A637" s="31"/>
      <c r="B637" s="31"/>
    </row>
    <row r="638">
      <c r="A638" s="31"/>
      <c r="B638" s="31"/>
    </row>
    <row r="639">
      <c r="A639" s="31"/>
      <c r="B639" s="31"/>
    </row>
    <row r="640">
      <c r="A640" s="31"/>
      <c r="B640" s="31"/>
    </row>
    <row r="641">
      <c r="A641" s="31"/>
      <c r="B641" s="31"/>
    </row>
    <row r="642">
      <c r="A642" s="31"/>
      <c r="B642" s="31"/>
    </row>
    <row r="643">
      <c r="A643" s="31"/>
      <c r="B643" s="31"/>
    </row>
    <row r="644">
      <c r="A644" s="31"/>
      <c r="B644" s="31"/>
    </row>
    <row r="645">
      <c r="A645" s="31"/>
      <c r="B645" s="31"/>
    </row>
    <row r="646">
      <c r="A646" s="31"/>
      <c r="B646" s="31"/>
    </row>
    <row r="647">
      <c r="A647" s="31"/>
      <c r="B647" s="31"/>
    </row>
    <row r="648">
      <c r="A648" s="31"/>
      <c r="B648" s="31"/>
    </row>
    <row r="649">
      <c r="A649" s="31"/>
      <c r="B649" s="31"/>
    </row>
    <row r="650">
      <c r="A650" s="31"/>
      <c r="B650" s="31"/>
    </row>
    <row r="651">
      <c r="A651" s="31"/>
      <c r="B651" s="31"/>
    </row>
    <row r="652">
      <c r="A652" s="31"/>
      <c r="B652" s="31"/>
    </row>
    <row r="653">
      <c r="A653" s="31"/>
      <c r="B653" s="31"/>
    </row>
    <row r="654">
      <c r="A654" s="31"/>
      <c r="B654" s="31"/>
    </row>
    <row r="655">
      <c r="A655" s="31"/>
      <c r="B655" s="31"/>
    </row>
    <row r="656">
      <c r="A656" s="31"/>
      <c r="B656" s="31"/>
    </row>
    <row r="657">
      <c r="A657" s="31"/>
      <c r="B657" s="31"/>
    </row>
    <row r="658">
      <c r="A658" s="31"/>
      <c r="B658" s="31"/>
    </row>
    <row r="659">
      <c r="A659" s="31"/>
      <c r="B659" s="31"/>
    </row>
    <row r="660">
      <c r="A660" s="31"/>
      <c r="B660" s="31"/>
    </row>
    <row r="661">
      <c r="A661" s="31"/>
      <c r="B661" s="31"/>
    </row>
    <row r="662">
      <c r="A662" s="31"/>
      <c r="B662" s="31"/>
    </row>
    <row r="663">
      <c r="A663" s="31"/>
      <c r="B663" s="31"/>
    </row>
    <row r="664">
      <c r="A664" s="31"/>
      <c r="B664" s="31"/>
    </row>
    <row r="665">
      <c r="A665" s="31"/>
      <c r="B665" s="31"/>
    </row>
    <row r="666">
      <c r="A666" s="31"/>
      <c r="B666" s="31"/>
    </row>
    <row r="667">
      <c r="A667" s="31"/>
      <c r="B667" s="31"/>
    </row>
    <row r="668">
      <c r="A668" s="31"/>
      <c r="B668" s="31"/>
    </row>
    <row r="669">
      <c r="A669" s="31"/>
      <c r="B669" s="31"/>
    </row>
    <row r="670">
      <c r="A670" s="31"/>
      <c r="B670" s="31"/>
    </row>
    <row r="671">
      <c r="A671" s="31"/>
      <c r="B671" s="31"/>
    </row>
    <row r="672">
      <c r="A672" s="31"/>
      <c r="B672" s="31"/>
    </row>
    <row r="673">
      <c r="A673" s="31"/>
      <c r="B673" s="31"/>
    </row>
    <row r="674">
      <c r="A674" s="31"/>
      <c r="B674" s="31"/>
    </row>
    <row r="675">
      <c r="A675" s="31"/>
      <c r="B675" s="31"/>
    </row>
    <row r="676">
      <c r="A676" s="31"/>
      <c r="B676" s="31"/>
    </row>
    <row r="677">
      <c r="A677" s="31"/>
      <c r="B677" s="31"/>
    </row>
    <row r="678">
      <c r="A678" s="31"/>
      <c r="B678" s="31"/>
    </row>
    <row r="679">
      <c r="A679" s="31"/>
      <c r="B679" s="31"/>
    </row>
    <row r="680">
      <c r="A680" s="31"/>
      <c r="B680" s="31"/>
    </row>
    <row r="681">
      <c r="A681" s="31"/>
      <c r="B681" s="31"/>
    </row>
    <row r="682">
      <c r="A682" s="31"/>
      <c r="B682" s="31"/>
    </row>
    <row r="683">
      <c r="A683" s="31"/>
      <c r="B683" s="31"/>
    </row>
    <row r="684">
      <c r="A684" s="31"/>
      <c r="B684" s="31"/>
    </row>
    <row r="685">
      <c r="A685" s="31"/>
      <c r="B685" s="31"/>
    </row>
    <row r="686">
      <c r="A686" s="31"/>
      <c r="B686" s="31"/>
    </row>
    <row r="687">
      <c r="A687" s="31"/>
      <c r="B687" s="31"/>
    </row>
    <row r="688">
      <c r="A688" s="31"/>
      <c r="B688" s="31"/>
    </row>
    <row r="689">
      <c r="A689" s="31"/>
      <c r="B689" s="31"/>
    </row>
    <row r="690">
      <c r="A690" s="31"/>
      <c r="B690" s="31"/>
    </row>
    <row r="691">
      <c r="A691" s="31"/>
      <c r="B691" s="31"/>
    </row>
    <row r="692">
      <c r="A692" s="31"/>
      <c r="B692" s="31"/>
    </row>
    <row r="693">
      <c r="A693" s="31"/>
      <c r="B693" s="31"/>
    </row>
    <row r="694">
      <c r="A694" s="31"/>
      <c r="B694" s="31"/>
    </row>
    <row r="695">
      <c r="A695" s="31"/>
      <c r="B695" s="31"/>
    </row>
    <row r="696">
      <c r="A696" s="31"/>
      <c r="B696" s="31"/>
    </row>
    <row r="697">
      <c r="A697" s="31"/>
      <c r="B697" s="31"/>
    </row>
    <row r="698">
      <c r="A698" s="31"/>
      <c r="B698" s="31"/>
    </row>
    <row r="699">
      <c r="A699" s="31"/>
      <c r="B699" s="31"/>
    </row>
    <row r="700">
      <c r="A700" s="31"/>
      <c r="B700" s="31"/>
    </row>
    <row r="701">
      <c r="A701" s="31"/>
      <c r="B701" s="31"/>
    </row>
    <row r="702">
      <c r="A702" s="31"/>
      <c r="B702" s="31"/>
    </row>
    <row r="703">
      <c r="A703" s="31"/>
      <c r="B703" s="31"/>
    </row>
    <row r="704">
      <c r="A704" s="31"/>
      <c r="B704" s="31"/>
    </row>
    <row r="705">
      <c r="A705" s="31"/>
      <c r="B705" s="31"/>
    </row>
    <row r="706">
      <c r="A706" s="31"/>
      <c r="B706" s="31"/>
    </row>
    <row r="707">
      <c r="A707" s="31"/>
      <c r="B707" s="31"/>
    </row>
    <row r="708">
      <c r="A708" s="31"/>
      <c r="B708" s="31"/>
    </row>
    <row r="709">
      <c r="A709" s="31"/>
      <c r="B709" s="31"/>
    </row>
    <row r="710">
      <c r="A710" s="31"/>
      <c r="B710" s="31"/>
    </row>
    <row r="711">
      <c r="A711" s="31"/>
      <c r="B711" s="31"/>
    </row>
    <row r="712">
      <c r="A712" s="31"/>
      <c r="B712" s="31"/>
    </row>
    <row r="713">
      <c r="A713" s="31"/>
      <c r="B713" s="31"/>
    </row>
    <row r="714">
      <c r="A714" s="31"/>
      <c r="B714" s="31"/>
    </row>
    <row r="715">
      <c r="A715" s="31"/>
      <c r="B715" s="31"/>
    </row>
    <row r="716">
      <c r="A716" s="31"/>
      <c r="B716" s="31"/>
    </row>
    <row r="717">
      <c r="A717" s="31"/>
      <c r="B717" s="31"/>
    </row>
    <row r="718">
      <c r="A718" s="31"/>
      <c r="B718" s="31"/>
    </row>
    <row r="719">
      <c r="A719" s="31"/>
      <c r="B719" s="31"/>
    </row>
    <row r="720">
      <c r="A720" s="31"/>
      <c r="B720" s="31"/>
    </row>
    <row r="721">
      <c r="A721" s="31"/>
      <c r="B721" s="31"/>
    </row>
    <row r="722">
      <c r="A722" s="31"/>
      <c r="B722" s="31"/>
    </row>
    <row r="723">
      <c r="A723" s="31"/>
      <c r="B723" s="31"/>
    </row>
    <row r="724">
      <c r="A724" s="31"/>
      <c r="B724" s="31"/>
    </row>
    <row r="725">
      <c r="A725" s="31"/>
      <c r="B725" s="31"/>
    </row>
    <row r="726">
      <c r="A726" s="31"/>
      <c r="B726" s="31"/>
    </row>
    <row r="727">
      <c r="A727" s="31"/>
      <c r="B727" s="31"/>
    </row>
    <row r="728">
      <c r="A728" s="31"/>
      <c r="B728" s="31"/>
    </row>
    <row r="729">
      <c r="A729" s="31"/>
      <c r="B729" s="31"/>
    </row>
    <row r="730">
      <c r="A730" s="31"/>
      <c r="B730" s="31"/>
    </row>
    <row r="731">
      <c r="A731" s="31"/>
      <c r="B731" s="31"/>
    </row>
    <row r="732">
      <c r="A732" s="31"/>
      <c r="B732" s="31"/>
    </row>
    <row r="733">
      <c r="A733" s="31"/>
      <c r="B733" s="31"/>
    </row>
    <row r="734">
      <c r="A734" s="31"/>
      <c r="B734" s="31"/>
    </row>
    <row r="735">
      <c r="A735" s="31"/>
      <c r="B735" s="31"/>
    </row>
    <row r="736">
      <c r="A736" s="31"/>
      <c r="B736" s="31"/>
    </row>
    <row r="737">
      <c r="A737" s="31"/>
      <c r="B737" s="31"/>
    </row>
    <row r="738">
      <c r="A738" s="31"/>
      <c r="B738" s="31"/>
    </row>
    <row r="739">
      <c r="A739" s="31"/>
      <c r="B739" s="31"/>
    </row>
    <row r="740">
      <c r="A740" s="31"/>
      <c r="B740" s="31"/>
    </row>
    <row r="741">
      <c r="A741" s="31"/>
      <c r="B741" s="31"/>
    </row>
    <row r="742">
      <c r="A742" s="31"/>
      <c r="B742" s="31"/>
    </row>
    <row r="743">
      <c r="A743" s="31"/>
      <c r="B743" s="31"/>
    </row>
    <row r="744">
      <c r="A744" s="31"/>
      <c r="B744" s="31"/>
    </row>
    <row r="745">
      <c r="A745" s="31"/>
      <c r="B745" s="31"/>
    </row>
    <row r="746">
      <c r="A746" s="31"/>
      <c r="B746" s="31"/>
    </row>
    <row r="747">
      <c r="A747" s="31"/>
      <c r="B747" s="31"/>
    </row>
    <row r="748">
      <c r="A748" s="31"/>
      <c r="B748" s="31"/>
    </row>
    <row r="749">
      <c r="A749" s="31"/>
      <c r="B749" s="31"/>
    </row>
    <row r="750">
      <c r="A750" s="31"/>
      <c r="B750" s="31"/>
    </row>
    <row r="751">
      <c r="A751" s="31"/>
      <c r="B751" s="31"/>
    </row>
    <row r="752">
      <c r="A752" s="31"/>
      <c r="B752" s="31"/>
    </row>
    <row r="753">
      <c r="A753" s="31"/>
      <c r="B753" s="31"/>
    </row>
    <row r="754">
      <c r="A754" s="31"/>
      <c r="B754" s="31"/>
    </row>
    <row r="755">
      <c r="A755" s="31"/>
      <c r="B755" s="31"/>
    </row>
    <row r="756">
      <c r="A756" s="31"/>
      <c r="B756" s="31"/>
    </row>
    <row r="757">
      <c r="A757" s="31"/>
      <c r="B757" s="31"/>
    </row>
    <row r="758">
      <c r="A758" s="31"/>
      <c r="B758" s="31"/>
    </row>
    <row r="759">
      <c r="A759" s="31"/>
      <c r="B759" s="31"/>
    </row>
    <row r="760">
      <c r="A760" s="31"/>
      <c r="B760" s="31"/>
    </row>
    <row r="761">
      <c r="A761" s="31"/>
      <c r="B761" s="31"/>
    </row>
    <row r="762">
      <c r="A762" s="31"/>
      <c r="B762" s="31"/>
    </row>
    <row r="763">
      <c r="A763" s="31"/>
      <c r="B763" s="31"/>
    </row>
    <row r="764">
      <c r="A764" s="31"/>
      <c r="B764" s="31"/>
    </row>
    <row r="765">
      <c r="A765" s="31"/>
      <c r="B765" s="31"/>
    </row>
    <row r="766">
      <c r="A766" s="31"/>
      <c r="B766" s="31"/>
    </row>
    <row r="767">
      <c r="A767" s="31"/>
      <c r="B767" s="31"/>
    </row>
    <row r="768">
      <c r="A768" s="31"/>
      <c r="B768" s="31"/>
    </row>
    <row r="769">
      <c r="A769" s="31"/>
      <c r="B769" s="31"/>
    </row>
    <row r="770">
      <c r="A770" s="31"/>
      <c r="B770" s="31"/>
    </row>
    <row r="771">
      <c r="A771" s="31"/>
      <c r="B771" s="31"/>
    </row>
    <row r="772">
      <c r="A772" s="31"/>
      <c r="B772" s="31"/>
    </row>
    <row r="773">
      <c r="A773" s="31"/>
      <c r="B773" s="31"/>
    </row>
    <row r="774">
      <c r="A774" s="31"/>
      <c r="B774" s="31"/>
    </row>
    <row r="775">
      <c r="A775" s="31"/>
      <c r="B775" s="31"/>
    </row>
    <row r="776">
      <c r="A776" s="31"/>
      <c r="B776" s="31"/>
    </row>
    <row r="777">
      <c r="A777" s="31"/>
      <c r="B777" s="31"/>
    </row>
    <row r="778">
      <c r="A778" s="31"/>
      <c r="B778" s="31"/>
    </row>
    <row r="779">
      <c r="A779" s="31"/>
      <c r="B779" s="31"/>
    </row>
    <row r="780">
      <c r="A780" s="31"/>
      <c r="B780" s="31"/>
    </row>
    <row r="781">
      <c r="A781" s="31"/>
      <c r="B781" s="31"/>
    </row>
    <row r="782">
      <c r="A782" s="31"/>
      <c r="B782" s="31"/>
    </row>
    <row r="783">
      <c r="A783" s="31"/>
      <c r="B783" s="31"/>
    </row>
    <row r="784">
      <c r="A784" s="31"/>
      <c r="B784" s="31"/>
    </row>
    <row r="785">
      <c r="A785" s="31"/>
      <c r="B785" s="31"/>
    </row>
    <row r="786">
      <c r="A786" s="31"/>
      <c r="B786" s="31"/>
    </row>
    <row r="787">
      <c r="A787" s="31"/>
      <c r="B787" s="31"/>
    </row>
    <row r="788">
      <c r="A788" s="31"/>
      <c r="B788" s="31"/>
    </row>
    <row r="789">
      <c r="A789" s="31"/>
      <c r="B789" s="31"/>
    </row>
    <row r="790">
      <c r="A790" s="31"/>
      <c r="B790" s="31"/>
    </row>
    <row r="791">
      <c r="A791" s="31"/>
      <c r="B791" s="31"/>
    </row>
    <row r="792">
      <c r="A792" s="31"/>
      <c r="B792" s="31"/>
    </row>
    <row r="793">
      <c r="A793" s="31"/>
      <c r="B793" s="31"/>
    </row>
    <row r="794">
      <c r="A794" s="31"/>
      <c r="B794" s="31"/>
    </row>
    <row r="795">
      <c r="A795" s="31"/>
      <c r="B795" s="31"/>
    </row>
    <row r="796">
      <c r="A796" s="31"/>
      <c r="B796" s="31"/>
    </row>
    <row r="797">
      <c r="A797" s="31"/>
      <c r="B797" s="31"/>
    </row>
    <row r="798">
      <c r="A798" s="31"/>
      <c r="B798" s="31"/>
    </row>
    <row r="799">
      <c r="A799" s="31"/>
      <c r="B799" s="31"/>
    </row>
    <row r="800">
      <c r="A800" s="31"/>
      <c r="B800" s="31"/>
    </row>
    <row r="801">
      <c r="A801" s="31"/>
      <c r="B801" s="31"/>
    </row>
    <row r="802">
      <c r="A802" s="31"/>
      <c r="B802" s="31"/>
    </row>
    <row r="803">
      <c r="A803" s="31"/>
      <c r="B803" s="31"/>
    </row>
    <row r="804">
      <c r="A804" s="31"/>
      <c r="B804" s="31"/>
    </row>
    <row r="805">
      <c r="A805" s="31"/>
      <c r="B805" s="31"/>
    </row>
    <row r="806">
      <c r="A806" s="31"/>
      <c r="B806" s="31"/>
    </row>
    <row r="807">
      <c r="A807" s="31"/>
      <c r="B807" s="31"/>
    </row>
    <row r="808">
      <c r="A808" s="31"/>
      <c r="B808" s="31"/>
    </row>
    <row r="809">
      <c r="A809" s="31"/>
      <c r="B809" s="31"/>
    </row>
    <row r="810">
      <c r="A810" s="31"/>
      <c r="B810" s="31"/>
    </row>
    <row r="811">
      <c r="A811" s="31"/>
      <c r="B811" s="31"/>
    </row>
    <row r="812">
      <c r="A812" s="31"/>
      <c r="B812" s="31"/>
    </row>
    <row r="813">
      <c r="A813" s="31"/>
      <c r="B813" s="31"/>
    </row>
    <row r="814">
      <c r="A814" s="31"/>
      <c r="B814" s="31"/>
    </row>
    <row r="815">
      <c r="A815" s="31"/>
      <c r="B815" s="31"/>
    </row>
    <row r="816">
      <c r="A816" s="31"/>
      <c r="B816" s="31"/>
    </row>
    <row r="817">
      <c r="A817" s="31"/>
      <c r="B817" s="31"/>
    </row>
    <row r="818">
      <c r="A818" s="31"/>
      <c r="B818" s="31"/>
    </row>
    <row r="819">
      <c r="A819" s="31"/>
      <c r="B819" s="31"/>
    </row>
    <row r="820">
      <c r="A820" s="31"/>
      <c r="B820" s="31"/>
    </row>
    <row r="821">
      <c r="A821" s="31"/>
      <c r="B821" s="31"/>
    </row>
    <row r="822">
      <c r="A822" s="31"/>
      <c r="B822" s="31"/>
    </row>
    <row r="823">
      <c r="A823" s="31"/>
      <c r="B823" s="31"/>
    </row>
    <row r="824">
      <c r="A824" s="31"/>
      <c r="B824" s="31"/>
    </row>
    <row r="825">
      <c r="A825" s="31"/>
      <c r="B825" s="31"/>
    </row>
    <row r="826">
      <c r="A826" s="31"/>
      <c r="B826" s="31"/>
    </row>
    <row r="827">
      <c r="A827" s="31"/>
      <c r="B827" s="31"/>
    </row>
    <row r="828">
      <c r="A828" s="31"/>
      <c r="B828" s="31"/>
    </row>
    <row r="829">
      <c r="A829" s="31"/>
      <c r="B829" s="31"/>
    </row>
    <row r="830">
      <c r="A830" s="31"/>
      <c r="B830" s="31"/>
    </row>
    <row r="831">
      <c r="A831" s="31"/>
      <c r="B831" s="31"/>
    </row>
    <row r="832">
      <c r="A832" s="31"/>
      <c r="B832" s="31"/>
    </row>
    <row r="833">
      <c r="A833" s="31"/>
      <c r="B833" s="31"/>
    </row>
    <row r="834">
      <c r="A834" s="31"/>
      <c r="B834" s="31"/>
    </row>
    <row r="835">
      <c r="A835" s="31"/>
      <c r="B835" s="31"/>
    </row>
    <row r="836">
      <c r="A836" s="31"/>
      <c r="B836" s="31"/>
    </row>
    <row r="837">
      <c r="A837" s="31"/>
      <c r="B837" s="31"/>
    </row>
    <row r="838">
      <c r="A838" s="31"/>
      <c r="B838" s="31"/>
    </row>
    <row r="839">
      <c r="A839" s="31"/>
      <c r="B839" s="31"/>
    </row>
    <row r="840">
      <c r="A840" s="31"/>
      <c r="B840" s="31"/>
    </row>
    <row r="841">
      <c r="A841" s="31"/>
      <c r="B841" s="31"/>
    </row>
    <row r="842">
      <c r="A842" s="31"/>
      <c r="B842" s="31"/>
    </row>
    <row r="843">
      <c r="A843" s="31"/>
      <c r="B843" s="31"/>
    </row>
    <row r="844">
      <c r="A844" s="31"/>
      <c r="B844" s="31"/>
    </row>
    <row r="845">
      <c r="A845" s="31"/>
      <c r="B845" s="31"/>
    </row>
    <row r="846">
      <c r="A846" s="31"/>
      <c r="B846" s="31"/>
    </row>
    <row r="847">
      <c r="A847" s="31"/>
      <c r="B847" s="31"/>
    </row>
    <row r="848">
      <c r="A848" s="31"/>
      <c r="B848" s="31"/>
    </row>
    <row r="849">
      <c r="A849" s="31"/>
      <c r="B849" s="31"/>
    </row>
    <row r="850">
      <c r="A850" s="31"/>
      <c r="B850" s="31"/>
    </row>
    <row r="851">
      <c r="A851" s="31"/>
      <c r="B851" s="31"/>
    </row>
    <row r="852">
      <c r="A852" s="31"/>
      <c r="B852" s="31"/>
    </row>
    <row r="853">
      <c r="A853" s="31"/>
      <c r="B853" s="31"/>
    </row>
    <row r="854">
      <c r="A854" s="31"/>
      <c r="B854" s="31"/>
    </row>
    <row r="855">
      <c r="A855" s="31"/>
      <c r="B855" s="31"/>
    </row>
    <row r="856">
      <c r="A856" s="31"/>
      <c r="B856" s="31"/>
    </row>
    <row r="857">
      <c r="A857" s="31"/>
      <c r="B857" s="31"/>
    </row>
    <row r="858">
      <c r="A858" s="31"/>
      <c r="B858" s="31"/>
    </row>
    <row r="859">
      <c r="A859" s="31"/>
      <c r="B859" s="31"/>
    </row>
    <row r="860">
      <c r="A860" s="31"/>
      <c r="B860" s="31"/>
    </row>
    <row r="861">
      <c r="A861" s="31"/>
      <c r="B861" s="31"/>
    </row>
    <row r="862">
      <c r="A862" s="31"/>
      <c r="B862" s="31"/>
    </row>
    <row r="863">
      <c r="A863" s="31"/>
      <c r="B863" s="31"/>
    </row>
    <row r="864">
      <c r="A864" s="31"/>
      <c r="B864" s="31"/>
    </row>
    <row r="865">
      <c r="A865" s="31"/>
      <c r="B865" s="31"/>
    </row>
    <row r="866">
      <c r="A866" s="31"/>
      <c r="B866" s="31"/>
    </row>
    <row r="867">
      <c r="A867" s="31"/>
      <c r="B867" s="31"/>
    </row>
    <row r="868">
      <c r="A868" s="31"/>
      <c r="B868" s="31"/>
    </row>
    <row r="869">
      <c r="A869" s="31"/>
      <c r="B869" s="31"/>
    </row>
    <row r="870">
      <c r="A870" s="31"/>
      <c r="B870" s="31"/>
    </row>
    <row r="871">
      <c r="A871" s="31"/>
      <c r="B871" s="31"/>
    </row>
    <row r="872">
      <c r="A872" s="31"/>
      <c r="B872" s="31"/>
    </row>
    <row r="873">
      <c r="A873" s="31"/>
      <c r="B873" s="31"/>
    </row>
    <row r="874">
      <c r="A874" s="31"/>
      <c r="B874" s="31"/>
    </row>
    <row r="875">
      <c r="A875" s="31"/>
      <c r="B875" s="31"/>
    </row>
    <row r="876">
      <c r="A876" s="31"/>
      <c r="B876" s="31"/>
    </row>
    <row r="877">
      <c r="A877" s="31"/>
      <c r="B877" s="31"/>
    </row>
    <row r="878">
      <c r="A878" s="31"/>
      <c r="B878" s="31"/>
    </row>
    <row r="879">
      <c r="A879" s="31"/>
      <c r="B879" s="31"/>
    </row>
    <row r="880">
      <c r="A880" s="31"/>
      <c r="B880" s="31"/>
    </row>
    <row r="881">
      <c r="A881" s="31"/>
      <c r="B881" s="31"/>
    </row>
    <row r="882">
      <c r="A882" s="31"/>
      <c r="B882" s="31"/>
    </row>
    <row r="883">
      <c r="A883" s="31"/>
      <c r="B883" s="31"/>
    </row>
    <row r="884">
      <c r="A884" s="31"/>
      <c r="B884" s="31"/>
    </row>
    <row r="885">
      <c r="A885" s="31"/>
      <c r="B885" s="31"/>
    </row>
    <row r="886">
      <c r="A886" s="31"/>
      <c r="B886" s="31"/>
    </row>
    <row r="887">
      <c r="A887" s="31"/>
      <c r="B887" s="31"/>
    </row>
    <row r="888">
      <c r="A888" s="31"/>
      <c r="B888" s="31"/>
    </row>
    <row r="889">
      <c r="A889" s="31"/>
      <c r="B889" s="31"/>
    </row>
    <row r="890">
      <c r="A890" s="31"/>
      <c r="B890" s="31"/>
    </row>
    <row r="891">
      <c r="A891" s="31"/>
      <c r="B891" s="31"/>
    </row>
    <row r="892">
      <c r="A892" s="31"/>
      <c r="B892" s="31"/>
    </row>
    <row r="893">
      <c r="A893" s="31"/>
      <c r="B893" s="31"/>
    </row>
    <row r="894">
      <c r="A894" s="31"/>
      <c r="B894" s="31"/>
    </row>
    <row r="895">
      <c r="A895" s="31"/>
      <c r="B895" s="31"/>
    </row>
    <row r="896">
      <c r="A896" s="31"/>
      <c r="B896" s="31"/>
    </row>
    <row r="897">
      <c r="A897" s="31"/>
      <c r="B897" s="31"/>
    </row>
    <row r="898">
      <c r="A898" s="31"/>
      <c r="B898" s="31"/>
    </row>
    <row r="899">
      <c r="A899" s="31"/>
      <c r="B899" s="31"/>
    </row>
    <row r="900">
      <c r="A900" s="31"/>
      <c r="B900" s="31"/>
    </row>
    <row r="901">
      <c r="A901" s="31"/>
      <c r="B901" s="31"/>
    </row>
    <row r="902">
      <c r="A902" s="31"/>
      <c r="B902" s="31"/>
    </row>
    <row r="903">
      <c r="A903" s="31"/>
      <c r="B903" s="31"/>
    </row>
    <row r="904">
      <c r="A904" s="31"/>
      <c r="B904" s="31"/>
    </row>
    <row r="905">
      <c r="A905" s="31"/>
      <c r="B905" s="31"/>
    </row>
    <row r="906">
      <c r="A906" s="31"/>
      <c r="B906" s="31"/>
    </row>
    <row r="907">
      <c r="A907" s="31"/>
      <c r="B907" s="31"/>
    </row>
    <row r="908">
      <c r="A908" s="31"/>
      <c r="B908" s="31"/>
    </row>
    <row r="909">
      <c r="A909" s="31"/>
      <c r="B909" s="31"/>
    </row>
    <row r="910">
      <c r="A910" s="31"/>
      <c r="B910" s="31"/>
    </row>
    <row r="911">
      <c r="A911" s="31"/>
      <c r="B911" s="31"/>
    </row>
    <row r="912">
      <c r="A912" s="31"/>
      <c r="B912" s="31"/>
    </row>
    <row r="913">
      <c r="A913" s="31"/>
      <c r="B913" s="31"/>
    </row>
    <row r="914">
      <c r="A914" s="31"/>
      <c r="B914" s="31"/>
    </row>
    <row r="915">
      <c r="A915" s="31"/>
      <c r="B915" s="31"/>
    </row>
    <row r="916">
      <c r="A916" s="31"/>
      <c r="B916" s="31"/>
    </row>
    <row r="917">
      <c r="A917" s="31"/>
      <c r="B917" s="31"/>
    </row>
    <row r="918">
      <c r="A918" s="31"/>
      <c r="B918" s="31"/>
    </row>
    <row r="919">
      <c r="A919" s="31"/>
      <c r="B919" s="31"/>
    </row>
    <row r="920">
      <c r="A920" s="31"/>
      <c r="B920" s="31"/>
    </row>
    <row r="921">
      <c r="A921" s="31"/>
      <c r="B921" s="31"/>
    </row>
    <row r="922">
      <c r="A922" s="31"/>
      <c r="B922" s="31"/>
    </row>
    <row r="923">
      <c r="A923" s="31"/>
      <c r="B923" s="31"/>
    </row>
    <row r="924">
      <c r="A924" s="31"/>
      <c r="B924" s="31"/>
    </row>
    <row r="925">
      <c r="A925" s="31"/>
      <c r="B925" s="31"/>
    </row>
    <row r="926">
      <c r="A926" s="31"/>
      <c r="B926" s="31"/>
    </row>
    <row r="927">
      <c r="A927" s="31"/>
      <c r="B927" s="31"/>
    </row>
    <row r="928">
      <c r="A928" s="31"/>
      <c r="B928" s="31"/>
    </row>
    <row r="929">
      <c r="A929" s="31"/>
      <c r="B929" s="31"/>
    </row>
    <row r="930">
      <c r="A930" s="31"/>
      <c r="B930" s="31"/>
    </row>
    <row r="931">
      <c r="A931" s="31"/>
      <c r="B931" s="31"/>
    </row>
    <row r="932">
      <c r="A932" s="31"/>
      <c r="B932" s="31"/>
    </row>
    <row r="933">
      <c r="A933" s="31"/>
      <c r="B933" s="31"/>
    </row>
    <row r="934">
      <c r="A934" s="31"/>
      <c r="B934" s="31"/>
    </row>
    <row r="935">
      <c r="A935" s="31"/>
      <c r="B935" s="31"/>
    </row>
    <row r="936">
      <c r="A936" s="31"/>
      <c r="B936" s="31"/>
    </row>
    <row r="937">
      <c r="A937" s="31"/>
      <c r="B937" s="31"/>
    </row>
    <row r="938">
      <c r="A938" s="31"/>
      <c r="B938" s="31"/>
    </row>
    <row r="939">
      <c r="A939" s="31"/>
      <c r="B939" s="31"/>
    </row>
    <row r="940">
      <c r="A940" s="31"/>
      <c r="B940" s="31"/>
    </row>
    <row r="941">
      <c r="A941" s="31"/>
      <c r="B941" s="31"/>
    </row>
    <row r="942">
      <c r="A942" s="31"/>
      <c r="B942" s="31"/>
    </row>
    <row r="943">
      <c r="A943" s="31"/>
      <c r="B943" s="31"/>
    </row>
    <row r="944">
      <c r="A944" s="31"/>
      <c r="B944" s="31"/>
    </row>
    <row r="945">
      <c r="A945" s="31"/>
      <c r="B945" s="31"/>
    </row>
    <row r="946">
      <c r="A946" s="31"/>
      <c r="B946" s="31"/>
    </row>
    <row r="947">
      <c r="A947" s="31"/>
      <c r="B947" s="31"/>
    </row>
    <row r="948">
      <c r="A948" s="31"/>
      <c r="B948" s="31"/>
    </row>
    <row r="949">
      <c r="A949" s="31"/>
      <c r="B949" s="31"/>
    </row>
    <row r="950">
      <c r="A950" s="31"/>
      <c r="B950" s="31"/>
    </row>
    <row r="951">
      <c r="A951" s="31"/>
      <c r="B951" s="31"/>
    </row>
    <row r="952">
      <c r="A952" s="31"/>
      <c r="B952" s="31"/>
    </row>
    <row r="953">
      <c r="A953" s="31"/>
      <c r="B953" s="31"/>
    </row>
    <row r="954">
      <c r="A954" s="31"/>
      <c r="B954" s="31"/>
    </row>
    <row r="955">
      <c r="A955" s="31"/>
      <c r="B955" s="31"/>
    </row>
    <row r="956">
      <c r="A956" s="31"/>
      <c r="B956" s="31"/>
    </row>
    <row r="957">
      <c r="A957" s="31"/>
      <c r="B957" s="31"/>
    </row>
    <row r="958">
      <c r="A958" s="31"/>
      <c r="B958" s="31"/>
    </row>
    <row r="959">
      <c r="A959" s="31"/>
      <c r="B959" s="31"/>
    </row>
    <row r="960">
      <c r="A960" s="31"/>
      <c r="B960" s="31"/>
    </row>
    <row r="961">
      <c r="A961" s="31"/>
      <c r="B961" s="31"/>
    </row>
    <row r="962">
      <c r="A962" s="31"/>
      <c r="B962" s="31"/>
    </row>
    <row r="963">
      <c r="A963" s="31"/>
      <c r="B963" s="31"/>
    </row>
    <row r="964">
      <c r="A964" s="31"/>
      <c r="B964" s="31"/>
    </row>
    <row r="965">
      <c r="A965" s="31"/>
      <c r="B965" s="31"/>
    </row>
    <row r="966">
      <c r="A966" s="31"/>
      <c r="B966" s="31"/>
    </row>
    <row r="967">
      <c r="A967" s="31"/>
      <c r="B967" s="31"/>
    </row>
    <row r="968">
      <c r="A968" s="31"/>
      <c r="B968" s="31"/>
    </row>
    <row r="969">
      <c r="A969" s="31"/>
      <c r="B969" s="31"/>
    </row>
    <row r="970">
      <c r="A970" s="31"/>
      <c r="B970" s="31"/>
    </row>
    <row r="971">
      <c r="A971" s="31"/>
      <c r="B971" s="31"/>
    </row>
    <row r="972">
      <c r="A972" s="31"/>
      <c r="B972" s="31"/>
    </row>
    <row r="973">
      <c r="A973" s="31"/>
      <c r="B973" s="31"/>
    </row>
    <row r="974">
      <c r="A974" s="31"/>
      <c r="B974" s="31"/>
    </row>
    <row r="975">
      <c r="A975" s="31"/>
      <c r="B975" s="31"/>
    </row>
    <row r="976">
      <c r="A976" s="31"/>
      <c r="B976" s="31"/>
    </row>
    <row r="977">
      <c r="A977" s="31"/>
      <c r="B977" s="31"/>
    </row>
    <row r="978">
      <c r="A978" s="31"/>
      <c r="B978" s="31"/>
    </row>
    <row r="979">
      <c r="A979" s="31"/>
      <c r="B979" s="31"/>
    </row>
    <row r="980">
      <c r="A980" s="31"/>
      <c r="B980" s="31"/>
    </row>
    <row r="981">
      <c r="A981" s="31"/>
      <c r="B981" s="31"/>
    </row>
    <row r="982">
      <c r="A982" s="31"/>
      <c r="B982" s="31"/>
    </row>
    <row r="983">
      <c r="A983" s="31"/>
      <c r="B983" s="31"/>
    </row>
    <row r="984">
      <c r="A984" s="31"/>
      <c r="B984" s="31"/>
    </row>
    <row r="985">
      <c r="A985" s="31"/>
      <c r="B985" s="31"/>
    </row>
    <row r="986">
      <c r="A986" s="31"/>
      <c r="B986" s="31"/>
    </row>
    <row r="987">
      <c r="A987" s="31"/>
      <c r="B987" s="31"/>
    </row>
    <row r="988">
      <c r="A988" s="31"/>
      <c r="B988" s="31"/>
    </row>
    <row r="989">
      <c r="A989" s="31"/>
      <c r="B989" s="31"/>
    </row>
    <row r="990">
      <c r="A990" s="31"/>
      <c r="B990" s="31"/>
    </row>
    <row r="991">
      <c r="A991" s="31"/>
      <c r="B991" s="31"/>
    </row>
    <row r="992">
      <c r="A992" s="31"/>
      <c r="B992" s="31"/>
    </row>
    <row r="993">
      <c r="A993" s="31"/>
      <c r="B993" s="31"/>
    </row>
    <row r="994">
      <c r="A994" s="31"/>
      <c r="B994" s="31"/>
    </row>
    <row r="995">
      <c r="A995" s="31"/>
      <c r="B995" s="31"/>
    </row>
    <row r="996">
      <c r="A996" s="31"/>
      <c r="B996" s="31"/>
    </row>
    <row r="997">
      <c r="A997" s="31"/>
      <c r="B997" s="31"/>
    </row>
    <row r="998">
      <c r="A998" s="31"/>
      <c r="B998" s="31"/>
    </row>
    <row r="999">
      <c r="A999" s="31"/>
      <c r="B999" s="31"/>
    </row>
    <row r="1000">
      <c r="A1000" s="31"/>
      <c r="B1000" s="31"/>
    </row>
    <row r="1001">
      <c r="A1001" s="31"/>
      <c r="B1001" s="31"/>
    </row>
    <row r="1002">
      <c r="A1002" s="31"/>
      <c r="B1002" s="31"/>
    </row>
    <row r="1003">
      <c r="A1003" s="31"/>
      <c r="B1003" s="31"/>
    </row>
    <row r="1004">
      <c r="A1004" s="31"/>
      <c r="B1004" s="31"/>
    </row>
    <row r="1005">
      <c r="A1005" s="31"/>
      <c r="B1005" s="31"/>
    </row>
    <row r="1006">
      <c r="A1006" s="31"/>
      <c r="B1006" s="31"/>
    </row>
    <row r="1007">
      <c r="A1007" s="31"/>
      <c r="B1007" s="31"/>
    </row>
    <row r="1008">
      <c r="A1008" s="31"/>
      <c r="B1008" s="31"/>
    </row>
    <row r="1009">
      <c r="A1009" s="31"/>
      <c r="B1009" s="31"/>
    </row>
    <row r="1010">
      <c r="A1010" s="31"/>
      <c r="B1010" s="31"/>
    </row>
    <row r="1011">
      <c r="A1011" s="31"/>
      <c r="B1011" s="31"/>
    </row>
    <row r="1012">
      <c r="A1012" s="31"/>
      <c r="B1012" s="31"/>
    </row>
    <row r="1013">
      <c r="A1013" s="31"/>
      <c r="B1013" s="31"/>
    </row>
    <row r="1014">
      <c r="A1014" s="31"/>
      <c r="B1014" s="31"/>
    </row>
    <row r="1015">
      <c r="A1015" s="31"/>
      <c r="B1015" s="31"/>
    </row>
    <row r="1016">
      <c r="A1016" s="31"/>
      <c r="B1016" s="31"/>
    </row>
    <row r="1017">
      <c r="A1017" s="31"/>
      <c r="B1017" s="31"/>
    </row>
    <row r="1018">
      <c r="A1018" s="31"/>
      <c r="B1018" s="31"/>
    </row>
    <row r="1019">
      <c r="A1019" s="31"/>
      <c r="B1019" s="31"/>
    </row>
    <row r="1020">
      <c r="A1020" s="31"/>
      <c r="B1020" s="31"/>
    </row>
    <row r="1021">
      <c r="A1021" s="31"/>
      <c r="B1021" s="31"/>
    </row>
    <row r="1022">
      <c r="A1022" s="31"/>
      <c r="B1022" s="31"/>
    </row>
    <row r="1023">
      <c r="A1023" s="31"/>
      <c r="B1023" s="31"/>
    </row>
    <row r="1024">
      <c r="A1024" s="31"/>
      <c r="B1024" s="31"/>
    </row>
    <row r="1025">
      <c r="A1025" s="31"/>
      <c r="B1025" s="31"/>
    </row>
    <row r="1026">
      <c r="A1026" s="31"/>
      <c r="B1026" s="31"/>
    </row>
    <row r="1027">
      <c r="A1027" s="31"/>
      <c r="B1027" s="31"/>
    </row>
    <row r="1028">
      <c r="A1028" s="31"/>
      <c r="B1028" s="31"/>
    </row>
    <row r="1029">
      <c r="A1029" s="31"/>
      <c r="B1029" s="31"/>
    </row>
    <row r="1030">
      <c r="A1030" s="31"/>
      <c r="B1030" s="31"/>
    </row>
    <row r="1031">
      <c r="A1031" s="31"/>
      <c r="B1031" s="31"/>
    </row>
    <row r="1032">
      <c r="A1032" s="31"/>
      <c r="B1032" s="31"/>
    </row>
    <row r="1033">
      <c r="A1033" s="31"/>
      <c r="B1033" s="31"/>
    </row>
    <row r="1034">
      <c r="A1034" s="31"/>
      <c r="B1034" s="31"/>
    </row>
    <row r="1035">
      <c r="A1035" s="31"/>
      <c r="B1035" s="31"/>
    </row>
    <row r="1036">
      <c r="A1036" s="31"/>
      <c r="B1036" s="31"/>
    </row>
    <row r="1037">
      <c r="A1037" s="31"/>
      <c r="B1037" s="31"/>
    </row>
    <row r="1038">
      <c r="A1038" s="31"/>
      <c r="B1038" s="31"/>
    </row>
    <row r="1039">
      <c r="A1039" s="31"/>
      <c r="B1039" s="31"/>
    </row>
    <row r="1040">
      <c r="A1040" s="31"/>
      <c r="B1040" s="31"/>
    </row>
    <row r="1041">
      <c r="A1041" s="31"/>
      <c r="B1041" s="31"/>
    </row>
    <row r="1042">
      <c r="A1042" s="31"/>
      <c r="B1042" s="31"/>
    </row>
    <row r="1043">
      <c r="A1043" s="31"/>
      <c r="B1043" s="31"/>
    </row>
    <row r="1044">
      <c r="A1044" s="31"/>
      <c r="B1044" s="31"/>
    </row>
    <row r="1045">
      <c r="A1045" s="31"/>
      <c r="B1045" s="31"/>
    </row>
    <row r="1046">
      <c r="A1046" s="31"/>
      <c r="B1046" s="31"/>
    </row>
    <row r="1047">
      <c r="A1047" s="31"/>
      <c r="B1047" s="31"/>
    </row>
    <row r="1048">
      <c r="A1048" s="31"/>
      <c r="B1048" s="31"/>
    </row>
    <row r="1049">
      <c r="A1049" s="31"/>
      <c r="B1049" s="31"/>
    </row>
    <row r="1050">
      <c r="A1050" s="31"/>
      <c r="B1050" s="31"/>
    </row>
    <row r="1051">
      <c r="A1051" s="31"/>
      <c r="B1051" s="31"/>
    </row>
    <row r="1052">
      <c r="A1052" s="31"/>
      <c r="B1052" s="31"/>
    </row>
    <row r="1053">
      <c r="A1053" s="31"/>
      <c r="B1053" s="31"/>
    </row>
    <row r="1054">
      <c r="A1054" s="31"/>
      <c r="B1054" s="31"/>
    </row>
    <row r="1055">
      <c r="A1055" s="31"/>
      <c r="B1055" s="31"/>
    </row>
    <row r="1056">
      <c r="A1056" s="31"/>
      <c r="B1056" s="31"/>
    </row>
    <row r="1057">
      <c r="A1057" s="31"/>
      <c r="B1057" s="31"/>
    </row>
    <row r="1058">
      <c r="A1058" s="31"/>
      <c r="B1058" s="31"/>
    </row>
    <row r="1059">
      <c r="A1059" s="31"/>
      <c r="B1059" s="31"/>
    </row>
    <row r="1060">
      <c r="A1060" s="31"/>
      <c r="B1060" s="31"/>
    </row>
    <row r="1061">
      <c r="A1061" s="31"/>
      <c r="B1061" s="31"/>
    </row>
    <row r="1062">
      <c r="A1062" s="31"/>
      <c r="B1062" s="31"/>
    </row>
    <row r="1063">
      <c r="A1063" s="31"/>
      <c r="B1063" s="31"/>
    </row>
    <row r="1064">
      <c r="A1064" s="31"/>
      <c r="B1064" s="31"/>
    </row>
    <row r="1065">
      <c r="A1065" s="31"/>
      <c r="B1065" s="31"/>
    </row>
    <row r="1066">
      <c r="A1066" s="31"/>
      <c r="B1066" s="31"/>
    </row>
    <row r="1067">
      <c r="A1067" s="31"/>
      <c r="B1067" s="31"/>
    </row>
    <row r="1068">
      <c r="A1068" s="31"/>
      <c r="B1068" s="31"/>
    </row>
    <row r="1069">
      <c r="A1069" s="31"/>
      <c r="B1069" s="31"/>
    </row>
    <row r="1070">
      <c r="A1070" s="31"/>
      <c r="B1070" s="31"/>
    </row>
    <row r="1071">
      <c r="A1071" s="31"/>
      <c r="B1071" s="31"/>
    </row>
    <row r="1072">
      <c r="A1072" s="31"/>
      <c r="B1072" s="31"/>
    </row>
    <row r="1073">
      <c r="A1073" s="31"/>
      <c r="B1073" s="31"/>
    </row>
    <row r="1074">
      <c r="A1074" s="31"/>
      <c r="B1074" s="31"/>
    </row>
    <row r="1075">
      <c r="A1075" s="31"/>
      <c r="B1075" s="31"/>
    </row>
    <row r="1076">
      <c r="A1076" s="31"/>
      <c r="B1076" s="31"/>
    </row>
    <row r="1077">
      <c r="A1077" s="31"/>
      <c r="B1077" s="31"/>
    </row>
    <row r="1078">
      <c r="A1078" s="31"/>
      <c r="B1078" s="31"/>
    </row>
    <row r="1079">
      <c r="A1079" s="31"/>
      <c r="B1079" s="31"/>
    </row>
    <row r="1080">
      <c r="A1080" s="31"/>
      <c r="B1080" s="31"/>
    </row>
    <row r="1081">
      <c r="A1081" s="31"/>
      <c r="B1081" s="31"/>
    </row>
    <row r="1082">
      <c r="A1082" s="31"/>
      <c r="B1082" s="31"/>
    </row>
    <row r="1083">
      <c r="A1083" s="31"/>
      <c r="B1083" s="31"/>
    </row>
    <row r="1084">
      <c r="A1084" s="31"/>
      <c r="B1084" s="31"/>
    </row>
    <row r="1085">
      <c r="A1085" s="31"/>
      <c r="B1085" s="31"/>
    </row>
    <row r="1086">
      <c r="A1086" s="31"/>
      <c r="B1086" s="31"/>
    </row>
    <row r="1087">
      <c r="A1087" s="31"/>
      <c r="B1087" s="31"/>
    </row>
    <row r="1088">
      <c r="A1088" s="31"/>
      <c r="B1088" s="31"/>
    </row>
    <row r="1089">
      <c r="A1089" s="31"/>
      <c r="B1089" s="31"/>
    </row>
    <row r="1090">
      <c r="A1090" s="31"/>
      <c r="B1090" s="31"/>
    </row>
    <row r="1091">
      <c r="A1091" s="31"/>
      <c r="B1091" s="31"/>
    </row>
    <row r="1092">
      <c r="A1092" s="31"/>
      <c r="B1092" s="31"/>
    </row>
    <row r="1093">
      <c r="A1093" s="31"/>
      <c r="B1093" s="31"/>
    </row>
    <row r="1094">
      <c r="A1094" s="31"/>
      <c r="B1094" s="31"/>
    </row>
    <row r="1095">
      <c r="A1095" s="31"/>
      <c r="B1095" s="31"/>
    </row>
    <row r="1096">
      <c r="A1096" s="31"/>
      <c r="B1096" s="31"/>
    </row>
    <row r="1097">
      <c r="A1097" s="31"/>
      <c r="B1097" s="31"/>
    </row>
    <row r="1098">
      <c r="A1098" s="31"/>
      <c r="B1098" s="31"/>
    </row>
    <row r="1099">
      <c r="A1099" s="31"/>
      <c r="B1099" s="31"/>
    </row>
    <row r="1100">
      <c r="A1100" s="31"/>
      <c r="B1100" s="31"/>
    </row>
    <row r="1101">
      <c r="A1101" s="31"/>
      <c r="B1101" s="31"/>
    </row>
    <row r="1102">
      <c r="A1102" s="31"/>
      <c r="B1102" s="31"/>
    </row>
    <row r="1103">
      <c r="A1103" s="31"/>
      <c r="B1103" s="31"/>
    </row>
    <row r="1104">
      <c r="A1104" s="31"/>
      <c r="B1104" s="31"/>
    </row>
    <row r="1105">
      <c r="A1105" s="31"/>
      <c r="B1105" s="31"/>
    </row>
    <row r="1106">
      <c r="A1106" s="31"/>
      <c r="B1106" s="31"/>
    </row>
    <row r="1107">
      <c r="A1107" s="31"/>
      <c r="B1107" s="31"/>
    </row>
    <row r="1108">
      <c r="A1108" s="31"/>
      <c r="B1108" s="31"/>
    </row>
    <row r="1109">
      <c r="A1109" s="31"/>
      <c r="B1109" s="31"/>
    </row>
    <row r="1110">
      <c r="A1110" s="31"/>
      <c r="B1110" s="31"/>
    </row>
    <row r="1111">
      <c r="A1111" s="31"/>
      <c r="B1111" s="31"/>
    </row>
    <row r="1112">
      <c r="A1112" s="31"/>
      <c r="B1112" s="31"/>
    </row>
    <row r="1113">
      <c r="A1113" s="31"/>
      <c r="B1113" s="31"/>
    </row>
    <row r="1114">
      <c r="A1114" s="31"/>
      <c r="B1114" s="31"/>
    </row>
    <row r="1115">
      <c r="A1115" s="31"/>
      <c r="B1115" s="31"/>
    </row>
    <row r="1116">
      <c r="A1116" s="31"/>
      <c r="B1116" s="31"/>
    </row>
    <row r="1117">
      <c r="A1117" s="31"/>
      <c r="B1117" s="31"/>
    </row>
    <row r="1118">
      <c r="A1118" s="31"/>
      <c r="B1118" s="31"/>
    </row>
    <row r="1119">
      <c r="A1119" s="31"/>
      <c r="B1119" s="31"/>
    </row>
    <row r="1120">
      <c r="A1120" s="31"/>
      <c r="B1120" s="31"/>
    </row>
    <row r="1121">
      <c r="A1121" s="31"/>
      <c r="B1121" s="31"/>
    </row>
    <row r="1122">
      <c r="A1122" s="31"/>
      <c r="B1122" s="31"/>
    </row>
    <row r="1123">
      <c r="A1123" s="31"/>
      <c r="B1123" s="31"/>
    </row>
    <row r="1124">
      <c r="A1124" s="31"/>
      <c r="B1124" s="31"/>
    </row>
    <row r="1125">
      <c r="A1125" s="31"/>
      <c r="B1125" s="31"/>
    </row>
    <row r="1126">
      <c r="A1126" s="31"/>
      <c r="B1126" s="31"/>
    </row>
    <row r="1127">
      <c r="A1127" s="31"/>
      <c r="B1127" s="31"/>
    </row>
    <row r="1128">
      <c r="A1128" s="31"/>
      <c r="B1128" s="31"/>
    </row>
    <row r="1129">
      <c r="A1129" s="31"/>
      <c r="B1129" s="31"/>
    </row>
    <row r="1130">
      <c r="A1130" s="31"/>
      <c r="B1130" s="31"/>
    </row>
    <row r="1131">
      <c r="A1131" s="31"/>
      <c r="B1131" s="31"/>
    </row>
    <row r="1132">
      <c r="A1132" s="31"/>
      <c r="B1132" s="31"/>
    </row>
    <row r="1133">
      <c r="A1133" s="31"/>
      <c r="B1133" s="31"/>
    </row>
    <row r="1134">
      <c r="A1134" s="31"/>
      <c r="B1134" s="31"/>
    </row>
    <row r="1135">
      <c r="A1135" s="31"/>
      <c r="B1135" s="31"/>
    </row>
    <row r="1136">
      <c r="A1136" s="31"/>
      <c r="B1136" s="31"/>
    </row>
    <row r="1137">
      <c r="A1137" s="31"/>
      <c r="B1137" s="31"/>
    </row>
    <row r="1138">
      <c r="A1138" s="31"/>
      <c r="B1138" s="31"/>
    </row>
    <row r="1139">
      <c r="A1139" s="31"/>
      <c r="B1139" s="31"/>
    </row>
    <row r="1140">
      <c r="A1140" s="31"/>
      <c r="B1140" s="31"/>
    </row>
    <row r="1141">
      <c r="A1141" s="31"/>
      <c r="B1141" s="31"/>
    </row>
    <row r="1142">
      <c r="A1142" s="31"/>
      <c r="B1142" s="31"/>
    </row>
    <row r="1143">
      <c r="A1143" s="31"/>
      <c r="B1143" s="31"/>
    </row>
    <row r="1144">
      <c r="A1144" s="31"/>
      <c r="B1144" s="31"/>
    </row>
    <row r="1145">
      <c r="A1145" s="31"/>
      <c r="B1145" s="31"/>
    </row>
    <row r="1146">
      <c r="A1146" s="31"/>
      <c r="B1146" s="31"/>
    </row>
    <row r="1147">
      <c r="A1147" s="31"/>
      <c r="B1147" s="31"/>
    </row>
    <row r="1148">
      <c r="A1148" s="31"/>
      <c r="B1148" s="31"/>
    </row>
    <row r="1149">
      <c r="A1149" s="31"/>
      <c r="B1149" s="31"/>
    </row>
    <row r="1150">
      <c r="A1150" s="31"/>
      <c r="B1150" s="31"/>
    </row>
    <row r="1151">
      <c r="A1151" s="31"/>
      <c r="B1151" s="31"/>
    </row>
    <row r="1152">
      <c r="A1152" s="31"/>
      <c r="B1152" s="31"/>
    </row>
    <row r="1153">
      <c r="A1153" s="31"/>
      <c r="B1153" s="31"/>
    </row>
    <row r="1154">
      <c r="A1154" s="31"/>
      <c r="B1154" s="31"/>
    </row>
    <row r="1155">
      <c r="A1155" s="31"/>
      <c r="B1155" s="31"/>
    </row>
    <row r="1156">
      <c r="A1156" s="31"/>
      <c r="B1156" s="31"/>
    </row>
    <row r="1157">
      <c r="A1157" s="31"/>
      <c r="B1157" s="31"/>
    </row>
    <row r="1158">
      <c r="A1158" s="31"/>
      <c r="B1158" s="31"/>
    </row>
    <row r="1159">
      <c r="A1159" s="31"/>
      <c r="B1159" s="31"/>
    </row>
    <row r="1160">
      <c r="A1160" s="31"/>
      <c r="B1160" s="31"/>
    </row>
    <row r="1161">
      <c r="A1161" s="31"/>
      <c r="B1161" s="31"/>
    </row>
    <row r="1162">
      <c r="A1162" s="31"/>
      <c r="B1162" s="31"/>
    </row>
    <row r="1163">
      <c r="A1163" s="31"/>
      <c r="B1163" s="31"/>
    </row>
    <row r="1164">
      <c r="A1164" s="31"/>
      <c r="B1164" s="31"/>
    </row>
    <row r="1165">
      <c r="A1165" s="31"/>
      <c r="B1165" s="31"/>
    </row>
    <row r="1166">
      <c r="A1166" s="31"/>
      <c r="B1166" s="31"/>
    </row>
    <row r="1167">
      <c r="A1167" s="31"/>
      <c r="B1167" s="31"/>
    </row>
    <row r="1168">
      <c r="A1168" s="31"/>
      <c r="B1168" s="31"/>
    </row>
    <row r="1169">
      <c r="A1169" s="31"/>
      <c r="B1169" s="31"/>
    </row>
    <row r="1170">
      <c r="A1170" s="31"/>
      <c r="B1170" s="31"/>
    </row>
    <row r="1171">
      <c r="A1171" s="31"/>
      <c r="B1171" s="31"/>
    </row>
    <row r="1172">
      <c r="A1172" s="31"/>
      <c r="B1172" s="31"/>
    </row>
    <row r="1173">
      <c r="A1173" s="31"/>
      <c r="B1173" s="31"/>
    </row>
    <row r="1174">
      <c r="A1174" s="31"/>
      <c r="B1174" s="31"/>
    </row>
    <row r="1175">
      <c r="A1175" s="31"/>
      <c r="B1175" s="31"/>
    </row>
    <row r="1176">
      <c r="A1176" s="31"/>
      <c r="B1176" s="31"/>
    </row>
    <row r="1177">
      <c r="A1177" s="31"/>
      <c r="B1177" s="31"/>
    </row>
    <row r="1178">
      <c r="A1178" s="31"/>
      <c r="B1178" s="31"/>
    </row>
    <row r="1179">
      <c r="A1179" s="31"/>
      <c r="B1179" s="31"/>
    </row>
    <row r="1180">
      <c r="A1180" s="31"/>
      <c r="B1180" s="31"/>
    </row>
    <row r="1181">
      <c r="A1181" s="31"/>
      <c r="B1181" s="31"/>
    </row>
    <row r="1182">
      <c r="A1182" s="31"/>
      <c r="B1182" s="31"/>
    </row>
    <row r="1183">
      <c r="A1183" s="31"/>
      <c r="B1183" s="31"/>
    </row>
    <row r="1184">
      <c r="A1184" s="31"/>
      <c r="B1184" s="31"/>
    </row>
    <row r="1185">
      <c r="A1185" s="31"/>
      <c r="B1185" s="31"/>
    </row>
    <row r="1186">
      <c r="A1186" s="31"/>
      <c r="B1186" s="31"/>
    </row>
    <row r="1187">
      <c r="A1187" s="31"/>
      <c r="B1187" s="31"/>
    </row>
    <row r="1188">
      <c r="A1188" s="31"/>
      <c r="B1188" s="31"/>
    </row>
    <row r="1189">
      <c r="A1189" s="31"/>
      <c r="B1189" s="31"/>
    </row>
    <row r="1190">
      <c r="A1190" s="31"/>
      <c r="B1190" s="31"/>
    </row>
    <row r="1191">
      <c r="A1191" s="31"/>
      <c r="B1191" s="31"/>
    </row>
    <row r="1192">
      <c r="A1192" s="31"/>
      <c r="B1192" s="31"/>
    </row>
    <row r="1193">
      <c r="A1193" s="31"/>
      <c r="B1193" s="31"/>
    </row>
    <row r="1194">
      <c r="A1194" s="31"/>
      <c r="B1194" s="31"/>
    </row>
    <row r="1195">
      <c r="A1195" s="31"/>
      <c r="B1195" s="31"/>
    </row>
    <row r="1196">
      <c r="A1196" s="31"/>
      <c r="B1196" s="31"/>
    </row>
    <row r="1197">
      <c r="A1197" s="31"/>
      <c r="B1197" s="31"/>
    </row>
    <row r="1198">
      <c r="A1198" s="31"/>
      <c r="B1198" s="31"/>
    </row>
    <row r="1199">
      <c r="A1199" s="31"/>
      <c r="B1199" s="31"/>
    </row>
    <row r="1200">
      <c r="A1200" s="31"/>
      <c r="B1200" s="31"/>
    </row>
    <row r="1201">
      <c r="A1201" s="31"/>
      <c r="B1201" s="31"/>
    </row>
    <row r="1202">
      <c r="A1202" s="31"/>
      <c r="B1202" s="31"/>
    </row>
    <row r="1203">
      <c r="A1203" s="31"/>
      <c r="B1203" s="31"/>
    </row>
    <row r="1204">
      <c r="A1204" s="31"/>
      <c r="B1204" s="31"/>
    </row>
    <row r="1205">
      <c r="A1205" s="31"/>
      <c r="B1205" s="31"/>
    </row>
    <row r="1206">
      <c r="A1206" s="31"/>
      <c r="B1206" s="31"/>
    </row>
    <row r="1207">
      <c r="A1207" s="31"/>
      <c r="B1207" s="31"/>
    </row>
    <row r="1208">
      <c r="A1208" s="31"/>
      <c r="B1208" s="31"/>
    </row>
    <row r="1209">
      <c r="A1209" s="31"/>
      <c r="B1209" s="31"/>
    </row>
    <row r="1210">
      <c r="A1210" s="31"/>
      <c r="B1210" s="31"/>
    </row>
    <row r="1211">
      <c r="A1211" s="31"/>
      <c r="B1211" s="31"/>
    </row>
    <row r="1212">
      <c r="A1212" s="31"/>
      <c r="B1212" s="31"/>
    </row>
    <row r="1213">
      <c r="A1213" s="31"/>
      <c r="B1213" s="31"/>
    </row>
    <row r="1214">
      <c r="A1214" s="31"/>
      <c r="B1214" s="31"/>
    </row>
    <row r="1215">
      <c r="A1215" s="31"/>
      <c r="B1215" s="31"/>
    </row>
    <row r="1216">
      <c r="A1216" s="31"/>
      <c r="B1216" s="31"/>
    </row>
    <row r="1217">
      <c r="A1217" s="31"/>
      <c r="B1217" s="31"/>
    </row>
    <row r="1218">
      <c r="A1218" s="31"/>
      <c r="B1218" s="31"/>
    </row>
    <row r="1219">
      <c r="A1219" s="31"/>
      <c r="B1219" s="31"/>
    </row>
    <row r="1220">
      <c r="A1220" s="31"/>
      <c r="B1220" s="31"/>
    </row>
    <row r="1221">
      <c r="A1221" s="31"/>
      <c r="B1221" s="31"/>
    </row>
    <row r="1222">
      <c r="A1222" s="31"/>
      <c r="B1222" s="31"/>
    </row>
    <row r="1223">
      <c r="A1223" s="31"/>
      <c r="B1223" s="31"/>
    </row>
    <row r="1224">
      <c r="A1224" s="31"/>
      <c r="B1224" s="31"/>
    </row>
    <row r="1225">
      <c r="A1225" s="31"/>
      <c r="B1225" s="31"/>
    </row>
    <row r="1226">
      <c r="A1226" s="31"/>
      <c r="B1226" s="31"/>
    </row>
    <row r="1227">
      <c r="A1227" s="31"/>
      <c r="B1227" s="31"/>
    </row>
    <row r="1228">
      <c r="A1228" s="31"/>
      <c r="B1228" s="31"/>
    </row>
    <row r="1229">
      <c r="A1229" s="31"/>
      <c r="B1229" s="31"/>
    </row>
    <row r="1230">
      <c r="A1230" s="31"/>
      <c r="B1230" s="31"/>
    </row>
    <row r="1231">
      <c r="A1231" s="31"/>
      <c r="B1231" s="31"/>
    </row>
    <row r="1232">
      <c r="A1232" s="31"/>
      <c r="B1232" s="31"/>
    </row>
    <row r="1233">
      <c r="A1233" s="31"/>
      <c r="B1233" s="31"/>
    </row>
    <row r="1234">
      <c r="A1234" s="31"/>
      <c r="B1234" s="31"/>
    </row>
    <row r="1235">
      <c r="A1235" s="31"/>
      <c r="B1235" s="31"/>
    </row>
    <row r="1236">
      <c r="A1236" s="31"/>
      <c r="B1236" s="31"/>
    </row>
    <row r="1237">
      <c r="A1237" s="31"/>
      <c r="B1237" s="31"/>
    </row>
    <row r="1238">
      <c r="A1238" s="31"/>
      <c r="B1238" s="31"/>
    </row>
    <row r="1239">
      <c r="A1239" s="31"/>
      <c r="B1239" s="31"/>
    </row>
    <row r="1240">
      <c r="A1240" s="31"/>
      <c r="B1240" s="31"/>
    </row>
    <row r="1241">
      <c r="A1241" s="31"/>
      <c r="B1241" s="31"/>
    </row>
    <row r="1242">
      <c r="A1242" s="31"/>
      <c r="B1242" s="31"/>
    </row>
    <row r="1243">
      <c r="A1243" s="31"/>
      <c r="B1243" s="31"/>
    </row>
    <row r="1244">
      <c r="A1244" s="31"/>
      <c r="B1244" s="31"/>
    </row>
    <row r="1245">
      <c r="A1245" s="31"/>
      <c r="B1245" s="31"/>
    </row>
    <row r="1246">
      <c r="A1246" s="31"/>
      <c r="B1246" s="31"/>
    </row>
    <row r="1247">
      <c r="A1247" s="31"/>
      <c r="B1247" s="31"/>
    </row>
    <row r="1248">
      <c r="A1248" s="31"/>
      <c r="B1248" s="31"/>
    </row>
    <row r="1249">
      <c r="A1249" s="31"/>
      <c r="B1249" s="31"/>
    </row>
    <row r="1250">
      <c r="A1250" s="31"/>
      <c r="B1250" s="31"/>
    </row>
    <row r="1251">
      <c r="A1251" s="31"/>
      <c r="B1251" s="31"/>
    </row>
    <row r="1252">
      <c r="A1252" s="31"/>
      <c r="B1252" s="31"/>
    </row>
    <row r="1253">
      <c r="A1253" s="31"/>
      <c r="B1253" s="31"/>
    </row>
    <row r="1254">
      <c r="A1254" s="31"/>
      <c r="B1254" s="31"/>
    </row>
    <row r="1255">
      <c r="A1255" s="31"/>
      <c r="B1255" s="31"/>
    </row>
    <row r="1256">
      <c r="A1256" s="31"/>
      <c r="B1256" s="31"/>
    </row>
    <row r="1257">
      <c r="A1257" s="31"/>
      <c r="B1257" s="31"/>
    </row>
    <row r="1258">
      <c r="A1258" s="31"/>
      <c r="B1258" s="31"/>
    </row>
    <row r="1259">
      <c r="A1259" s="31"/>
      <c r="B1259" s="31"/>
    </row>
    <row r="1260">
      <c r="A1260" s="31"/>
      <c r="B1260" s="31"/>
    </row>
    <row r="1261">
      <c r="A1261" s="31"/>
      <c r="B1261" s="31"/>
    </row>
    <row r="1262">
      <c r="A1262" s="31"/>
      <c r="B1262" s="31"/>
    </row>
    <row r="1263">
      <c r="A1263" s="31"/>
      <c r="B1263" s="31"/>
    </row>
    <row r="1264">
      <c r="A1264" s="31"/>
      <c r="B1264" s="31"/>
    </row>
    <row r="1265">
      <c r="A1265" s="31"/>
      <c r="B1265" s="31"/>
    </row>
    <row r="1266">
      <c r="A1266" s="31"/>
      <c r="B1266" s="31"/>
    </row>
    <row r="1267">
      <c r="A1267" s="31"/>
      <c r="B1267" s="31"/>
    </row>
    <row r="1268">
      <c r="A1268" s="31"/>
      <c r="B1268" s="31"/>
    </row>
    <row r="1269">
      <c r="A1269" s="31"/>
      <c r="B1269" s="31"/>
    </row>
    <row r="1270">
      <c r="A1270" s="31"/>
      <c r="B1270" s="31"/>
    </row>
    <row r="1271">
      <c r="A1271" s="31"/>
      <c r="B1271" s="31"/>
    </row>
    <row r="1272">
      <c r="A1272" s="31"/>
      <c r="B1272" s="31"/>
    </row>
    <row r="1273">
      <c r="A1273" s="31"/>
      <c r="B1273" s="31"/>
    </row>
    <row r="1274">
      <c r="A1274" s="31"/>
      <c r="B1274" s="31"/>
    </row>
    <row r="1275">
      <c r="A1275" s="31"/>
      <c r="B1275" s="31"/>
    </row>
    <row r="1276">
      <c r="A1276" s="31"/>
      <c r="B1276" s="31"/>
    </row>
    <row r="1277">
      <c r="A1277" s="31"/>
      <c r="B1277" s="31"/>
    </row>
    <row r="1278">
      <c r="A1278" s="31"/>
      <c r="B1278" s="31"/>
    </row>
    <row r="1279">
      <c r="A1279" s="31"/>
      <c r="B1279" s="31"/>
    </row>
    <row r="1280">
      <c r="A1280" s="31"/>
      <c r="B1280" s="31"/>
    </row>
    <row r="1281">
      <c r="A1281" s="31"/>
      <c r="B1281" s="31"/>
    </row>
    <row r="1282">
      <c r="A1282" s="31"/>
      <c r="B1282" s="31"/>
    </row>
    <row r="1283">
      <c r="A1283" s="31"/>
      <c r="B1283" s="31"/>
    </row>
    <row r="1284">
      <c r="A1284" s="31"/>
      <c r="B1284" s="31"/>
    </row>
    <row r="1285">
      <c r="A1285" s="31"/>
      <c r="B1285" s="31"/>
    </row>
    <row r="1286">
      <c r="A1286" s="31"/>
      <c r="B1286" s="31"/>
    </row>
    <row r="1287">
      <c r="A1287" s="31"/>
      <c r="B1287" s="31"/>
    </row>
    <row r="1288">
      <c r="A1288" s="31"/>
      <c r="B1288" s="31"/>
    </row>
    <row r="1289">
      <c r="A1289" s="31"/>
      <c r="B1289" s="31"/>
    </row>
    <row r="1290">
      <c r="A1290" s="31"/>
      <c r="B1290" s="31"/>
    </row>
    <row r="1291">
      <c r="A1291" s="31"/>
      <c r="B1291" s="31"/>
    </row>
    <row r="1292">
      <c r="A1292" s="31"/>
      <c r="B1292" s="31"/>
    </row>
    <row r="1293">
      <c r="A1293" s="31"/>
      <c r="B1293" s="31"/>
    </row>
    <row r="1294">
      <c r="A1294" s="31"/>
      <c r="B1294" s="31"/>
    </row>
    <row r="1295">
      <c r="A1295" s="31"/>
      <c r="B1295" s="31"/>
    </row>
    <row r="1296">
      <c r="A1296" s="31"/>
      <c r="B1296" s="31"/>
    </row>
    <row r="1297">
      <c r="A1297" s="31"/>
      <c r="B1297" s="31"/>
    </row>
    <row r="1298">
      <c r="A1298" s="31"/>
      <c r="B1298" s="31"/>
    </row>
    <row r="1299">
      <c r="A1299" s="31"/>
      <c r="B1299" s="31"/>
    </row>
    <row r="1300">
      <c r="A1300" s="31"/>
      <c r="B1300" s="31"/>
    </row>
    <row r="1301">
      <c r="A1301" s="31"/>
      <c r="B1301" s="31"/>
    </row>
    <row r="1302">
      <c r="A1302" s="31"/>
      <c r="B1302" s="31"/>
    </row>
    <row r="1303">
      <c r="A1303" s="31"/>
      <c r="B1303" s="31"/>
    </row>
    <row r="1304">
      <c r="A1304" s="31"/>
      <c r="B1304" s="31"/>
    </row>
    <row r="1305">
      <c r="A1305" s="31"/>
      <c r="B1305" s="31"/>
    </row>
    <row r="1306">
      <c r="A1306" s="31"/>
      <c r="B1306" s="31"/>
    </row>
    <row r="1307">
      <c r="A1307" s="31"/>
      <c r="B1307" s="31"/>
    </row>
    <row r="1308">
      <c r="A1308" s="31"/>
      <c r="B1308" s="31"/>
    </row>
    <row r="1309">
      <c r="A1309" s="31"/>
      <c r="B1309" s="31"/>
    </row>
    <row r="1310">
      <c r="A1310" s="31"/>
      <c r="B1310" s="31"/>
    </row>
    <row r="1311">
      <c r="A1311" s="31"/>
      <c r="B1311" s="31"/>
    </row>
    <row r="1312">
      <c r="A1312" s="31"/>
      <c r="B1312" s="31"/>
    </row>
    <row r="1313">
      <c r="A1313" s="31"/>
      <c r="B1313" s="31"/>
    </row>
    <row r="1314">
      <c r="A1314" s="31"/>
      <c r="B1314" s="31"/>
    </row>
    <row r="1315">
      <c r="A1315" s="31"/>
      <c r="B1315" s="31"/>
    </row>
    <row r="1316">
      <c r="A1316" s="31"/>
      <c r="B1316" s="31"/>
    </row>
    <row r="1317">
      <c r="A1317" s="31"/>
      <c r="B1317" s="31"/>
    </row>
    <row r="1318">
      <c r="A1318" s="31"/>
      <c r="B1318" s="31"/>
    </row>
    <row r="1319">
      <c r="A1319" s="31"/>
      <c r="B1319" s="31"/>
    </row>
    <row r="1320">
      <c r="A1320" s="31"/>
      <c r="B1320" s="31"/>
    </row>
    <row r="1321">
      <c r="A1321" s="31"/>
      <c r="B1321" s="31"/>
    </row>
    <row r="1322">
      <c r="A1322" s="31"/>
      <c r="B1322" s="31"/>
    </row>
    <row r="1323">
      <c r="A1323" s="31"/>
      <c r="B1323" s="31"/>
    </row>
    <row r="1324">
      <c r="A1324" s="31"/>
      <c r="B1324" s="3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9.75"/>
    <col customWidth="1" min="17" max="17" width="12.13"/>
  </cols>
  <sheetData>
    <row r="1">
      <c r="A1" s="21" t="s">
        <v>1</v>
      </c>
      <c r="B1" s="22" t="s">
        <v>2</v>
      </c>
      <c r="C1" s="8" t="s">
        <v>3</v>
      </c>
      <c r="D1" s="22" t="s">
        <v>2316</v>
      </c>
      <c r="E1" s="22" t="s">
        <v>4</v>
      </c>
      <c r="F1" s="22" t="s">
        <v>2317</v>
      </c>
      <c r="G1" s="22" t="s">
        <v>2318</v>
      </c>
      <c r="H1" s="22" t="s">
        <v>9</v>
      </c>
      <c r="I1" s="22" t="s">
        <v>10</v>
      </c>
      <c r="J1" s="22" t="s">
        <v>11</v>
      </c>
      <c r="K1" s="22" t="s">
        <v>14</v>
      </c>
      <c r="L1" s="22" t="s">
        <v>15</v>
      </c>
      <c r="M1" s="18" t="s">
        <v>2319</v>
      </c>
      <c r="N1" s="18" t="s">
        <v>2321</v>
      </c>
      <c r="O1" s="22" t="s">
        <v>17</v>
      </c>
      <c r="P1" s="14" t="s">
        <v>2991</v>
      </c>
      <c r="Q1" s="14" t="s">
        <v>2977</v>
      </c>
    </row>
    <row r="2">
      <c r="A2" s="21">
        <v>42958.0</v>
      </c>
      <c r="B2" s="21" t="s">
        <v>2322</v>
      </c>
      <c r="C2" s="32">
        <v>43050.0</v>
      </c>
      <c r="D2" s="23" t="s">
        <v>2326</v>
      </c>
      <c r="E2" s="22" t="s">
        <v>20</v>
      </c>
      <c r="F2" s="22" t="s">
        <v>2323</v>
      </c>
      <c r="G2" s="22" t="s">
        <v>2324</v>
      </c>
      <c r="H2" s="22" t="s">
        <v>23</v>
      </c>
      <c r="I2" s="22" t="s">
        <v>24</v>
      </c>
      <c r="J2" s="22" t="s">
        <v>25</v>
      </c>
      <c r="K2" s="22" t="s">
        <v>26</v>
      </c>
      <c r="L2" s="22" t="s">
        <v>27</v>
      </c>
      <c r="M2" s="18">
        <v>261.96</v>
      </c>
      <c r="N2" s="18">
        <v>261.26</v>
      </c>
      <c r="O2" s="22">
        <v>4.0</v>
      </c>
      <c r="P2" s="18">
        <v>1047.84</v>
      </c>
      <c r="Q2" s="14">
        <f t="shared" ref="Q2:Q1500" si="1">P:P-N:N</f>
        <v>786.58</v>
      </c>
    </row>
    <row r="3">
      <c r="A3" s="21">
        <v>42958.0</v>
      </c>
      <c r="B3" s="21" t="s">
        <v>2322</v>
      </c>
      <c r="C3" s="32">
        <v>43050.0</v>
      </c>
      <c r="D3" s="23" t="s">
        <v>2326</v>
      </c>
      <c r="E3" s="22" t="s">
        <v>20</v>
      </c>
      <c r="F3" s="22" t="s">
        <v>2323</v>
      </c>
      <c r="G3" s="22" t="s">
        <v>2324</v>
      </c>
      <c r="H3" s="22" t="s">
        <v>23</v>
      </c>
      <c r="I3" s="22" t="s">
        <v>24</v>
      </c>
      <c r="J3" s="22" t="s">
        <v>25</v>
      </c>
      <c r="K3" s="22" t="s">
        <v>26</v>
      </c>
      <c r="L3" s="22" t="s">
        <v>27</v>
      </c>
      <c r="M3" s="18">
        <v>731.94</v>
      </c>
      <c r="N3" s="18">
        <v>731.61</v>
      </c>
      <c r="O3" s="22">
        <v>4.0</v>
      </c>
      <c r="P3" s="18">
        <v>2927.76</v>
      </c>
      <c r="Q3" s="14">
        <f t="shared" si="1"/>
        <v>2196.15</v>
      </c>
    </row>
    <row r="4">
      <c r="A4" s="21">
        <v>43075.0</v>
      </c>
      <c r="B4" s="21" t="s">
        <v>2325</v>
      </c>
      <c r="C4" s="8" t="s">
        <v>29</v>
      </c>
      <c r="D4" s="23" t="s">
        <v>2374</v>
      </c>
      <c r="E4" s="22" t="s">
        <v>20</v>
      </c>
      <c r="F4" s="22" t="s">
        <v>32</v>
      </c>
      <c r="G4" s="22" t="s">
        <v>33</v>
      </c>
      <c r="H4" s="22" t="s">
        <v>34</v>
      </c>
      <c r="I4" s="22" t="s">
        <v>35</v>
      </c>
      <c r="J4" s="22" t="s">
        <v>52</v>
      </c>
      <c r="K4" s="22" t="s">
        <v>37</v>
      </c>
      <c r="L4" s="22" t="s">
        <v>38</v>
      </c>
      <c r="M4" s="18">
        <v>14.62</v>
      </c>
      <c r="N4" s="18">
        <v>13.97</v>
      </c>
      <c r="O4" s="22">
        <v>9.0</v>
      </c>
      <c r="P4" s="18">
        <v>131.57999999999998</v>
      </c>
      <c r="Q4" s="14">
        <f t="shared" si="1"/>
        <v>117.61</v>
      </c>
    </row>
    <row r="5">
      <c r="A5" s="21">
        <v>42137.0</v>
      </c>
      <c r="B5" s="21" t="s">
        <v>2335</v>
      </c>
      <c r="C5" s="8" t="s">
        <v>79</v>
      </c>
      <c r="D5" s="23" t="s">
        <v>2335</v>
      </c>
      <c r="E5" s="22" t="s">
        <v>20</v>
      </c>
      <c r="F5" s="22" t="s">
        <v>2342</v>
      </c>
      <c r="G5" s="22" t="s">
        <v>2343</v>
      </c>
      <c r="H5" s="22" t="s">
        <v>23</v>
      </c>
      <c r="I5" s="22" t="s">
        <v>82</v>
      </c>
      <c r="J5" s="22" t="s">
        <v>83</v>
      </c>
      <c r="K5" s="22" t="s">
        <v>37</v>
      </c>
      <c r="L5" s="22" t="s">
        <v>38</v>
      </c>
      <c r="M5" s="18">
        <v>55.5</v>
      </c>
      <c r="N5" s="18">
        <v>54.76</v>
      </c>
      <c r="O5" s="22">
        <v>8.0</v>
      </c>
      <c r="P5" s="18">
        <v>444.0</v>
      </c>
      <c r="Q5" s="14">
        <f t="shared" si="1"/>
        <v>389.24</v>
      </c>
    </row>
    <row r="6">
      <c r="A6" s="21">
        <v>42243.0</v>
      </c>
      <c r="B6" s="21" t="s">
        <v>2322</v>
      </c>
      <c r="C6" s="24">
        <v>42013.0</v>
      </c>
      <c r="D6" s="23" t="s">
        <v>2353</v>
      </c>
      <c r="E6" s="22" t="s">
        <v>20</v>
      </c>
      <c r="F6" s="22" t="s">
        <v>2344</v>
      </c>
      <c r="G6" s="22" t="s">
        <v>2345</v>
      </c>
      <c r="H6" s="22" t="s">
        <v>23</v>
      </c>
      <c r="I6" s="22" t="s">
        <v>87</v>
      </c>
      <c r="J6" s="22" t="s">
        <v>52</v>
      </c>
      <c r="K6" s="22" t="s">
        <v>37</v>
      </c>
      <c r="L6" s="22" t="s">
        <v>38</v>
      </c>
      <c r="M6" s="18">
        <v>8.56</v>
      </c>
      <c r="N6" s="18">
        <v>7.72</v>
      </c>
      <c r="O6" s="22">
        <v>9.0</v>
      </c>
      <c r="P6" s="18">
        <v>77.04</v>
      </c>
      <c r="Q6" s="14">
        <f t="shared" si="1"/>
        <v>69.32</v>
      </c>
    </row>
    <row r="7">
      <c r="A7" s="21">
        <v>42243.0</v>
      </c>
      <c r="B7" s="21" t="s">
        <v>2322</v>
      </c>
      <c r="C7" s="24">
        <v>42013.0</v>
      </c>
      <c r="D7" s="23" t="s">
        <v>2353</v>
      </c>
      <c r="E7" s="22" t="s">
        <v>20</v>
      </c>
      <c r="F7" s="22" t="s">
        <v>2344</v>
      </c>
      <c r="G7" s="22" t="s">
        <v>2345</v>
      </c>
      <c r="H7" s="22" t="s">
        <v>23</v>
      </c>
      <c r="I7" s="22" t="s">
        <v>87</v>
      </c>
      <c r="J7" s="22" t="s">
        <v>52</v>
      </c>
      <c r="K7" s="22" t="s">
        <v>37</v>
      </c>
      <c r="L7" s="22" t="s">
        <v>51</v>
      </c>
      <c r="M7" s="18">
        <v>213.48</v>
      </c>
      <c r="N7" s="18">
        <v>212.79</v>
      </c>
      <c r="O7" s="22">
        <v>9.0</v>
      </c>
      <c r="P7" s="18">
        <v>1921.32</v>
      </c>
      <c r="Q7" s="14">
        <f t="shared" si="1"/>
        <v>1708.53</v>
      </c>
    </row>
    <row r="8">
      <c r="A8" s="21">
        <v>42243.0</v>
      </c>
      <c r="B8" s="21" t="s">
        <v>2322</v>
      </c>
      <c r="C8" s="24">
        <v>42013.0</v>
      </c>
      <c r="D8" s="23" t="s">
        <v>2353</v>
      </c>
      <c r="E8" s="22" t="s">
        <v>20</v>
      </c>
      <c r="F8" s="22" t="s">
        <v>2344</v>
      </c>
      <c r="G8" s="22" t="s">
        <v>2345</v>
      </c>
      <c r="H8" s="22" t="s">
        <v>23</v>
      </c>
      <c r="I8" s="22" t="s">
        <v>87</v>
      </c>
      <c r="J8" s="22" t="s">
        <v>52</v>
      </c>
      <c r="K8" s="22" t="s">
        <v>37</v>
      </c>
      <c r="L8" s="22" t="s">
        <v>38</v>
      </c>
      <c r="M8" s="18">
        <v>22.72</v>
      </c>
      <c r="N8" s="18">
        <v>22.41</v>
      </c>
      <c r="O8" s="22">
        <v>9.0</v>
      </c>
      <c r="P8" s="18">
        <v>204.48</v>
      </c>
      <c r="Q8" s="14">
        <f t="shared" si="1"/>
        <v>182.07</v>
      </c>
    </row>
    <row r="9">
      <c r="A9" s="21">
        <v>43297.0</v>
      </c>
      <c r="B9" s="21" t="s">
        <v>2348</v>
      </c>
      <c r="C9" s="8" t="s">
        <v>95</v>
      </c>
      <c r="D9" s="23" t="s">
        <v>2348</v>
      </c>
      <c r="E9" s="22" t="s">
        <v>20</v>
      </c>
      <c r="F9" s="22" t="s">
        <v>2349</v>
      </c>
      <c r="G9" s="22" t="s">
        <v>2350</v>
      </c>
      <c r="H9" s="22" t="s">
        <v>23</v>
      </c>
      <c r="I9" s="22" t="s">
        <v>98</v>
      </c>
      <c r="J9" s="22" t="s">
        <v>99</v>
      </c>
      <c r="K9" s="22" t="s">
        <v>100</v>
      </c>
      <c r="L9" s="22" t="s">
        <v>27</v>
      </c>
      <c r="M9" s="18">
        <v>71.372</v>
      </c>
      <c r="N9" s="18">
        <v>70.8</v>
      </c>
      <c r="O9" s="22">
        <v>1.0</v>
      </c>
      <c r="P9" s="18">
        <v>71.372</v>
      </c>
      <c r="Q9" s="14">
        <f t="shared" si="1"/>
        <v>0.572</v>
      </c>
    </row>
    <row r="10">
      <c r="A10" s="21">
        <v>42751.0</v>
      </c>
      <c r="B10" s="21" t="s">
        <v>2353</v>
      </c>
      <c r="C10" s="8" t="s">
        <v>107</v>
      </c>
      <c r="D10" s="23" t="s">
        <v>2353</v>
      </c>
      <c r="E10" s="22" t="s">
        <v>20</v>
      </c>
      <c r="F10" s="22" t="s">
        <v>2354</v>
      </c>
      <c r="G10" s="22" t="s">
        <v>2355</v>
      </c>
      <c r="H10" s="22" t="s">
        <v>23</v>
      </c>
      <c r="I10" s="22" t="s">
        <v>35</v>
      </c>
      <c r="J10" s="22" t="s">
        <v>52</v>
      </c>
      <c r="K10" s="22" t="s">
        <v>37</v>
      </c>
      <c r="L10" s="22" t="s">
        <v>38</v>
      </c>
      <c r="M10" s="18">
        <v>11.648</v>
      </c>
      <c r="N10" s="18">
        <v>11.39</v>
      </c>
      <c r="O10" s="22">
        <v>9.0</v>
      </c>
      <c r="P10" s="18">
        <v>104.832</v>
      </c>
      <c r="Q10" s="14">
        <f t="shared" si="1"/>
        <v>93.442</v>
      </c>
    </row>
    <row r="11">
      <c r="A11" s="21">
        <v>42751.0</v>
      </c>
      <c r="B11" s="21" t="s">
        <v>2353</v>
      </c>
      <c r="C11" s="8" t="s">
        <v>107</v>
      </c>
      <c r="D11" s="23" t="s">
        <v>2353</v>
      </c>
      <c r="E11" s="22" t="s">
        <v>20</v>
      </c>
      <c r="F11" s="22" t="s">
        <v>2354</v>
      </c>
      <c r="G11" s="22" t="s">
        <v>2355</v>
      </c>
      <c r="H11" s="22" t="s">
        <v>23</v>
      </c>
      <c r="I11" s="22" t="s">
        <v>35</v>
      </c>
      <c r="J11" s="22" t="s">
        <v>52</v>
      </c>
      <c r="K11" s="22" t="s">
        <v>37</v>
      </c>
      <c r="L11" s="22" t="s">
        <v>51</v>
      </c>
      <c r="M11" s="18">
        <v>90.57</v>
      </c>
      <c r="N11" s="18">
        <v>89.64</v>
      </c>
      <c r="O11" s="22">
        <v>9.0</v>
      </c>
      <c r="P11" s="18">
        <v>815.1299999999999</v>
      </c>
      <c r="Q11" s="14">
        <f t="shared" si="1"/>
        <v>725.49</v>
      </c>
    </row>
    <row r="12">
      <c r="A12" s="21">
        <v>43392.0</v>
      </c>
      <c r="B12" s="21" t="s">
        <v>2358</v>
      </c>
      <c r="C12" s="8" t="s">
        <v>116</v>
      </c>
      <c r="D12" s="23" t="s">
        <v>2358</v>
      </c>
      <c r="E12" s="22" t="s">
        <v>20</v>
      </c>
      <c r="F12" s="22" t="s">
        <v>2359</v>
      </c>
      <c r="G12" s="22" t="s">
        <v>2360</v>
      </c>
      <c r="H12" s="22" t="s">
        <v>68</v>
      </c>
      <c r="I12" s="22" t="s">
        <v>129</v>
      </c>
      <c r="J12" s="22" t="s">
        <v>70</v>
      </c>
      <c r="K12" s="22" t="s">
        <v>71</v>
      </c>
      <c r="L12" s="22" t="s">
        <v>38</v>
      </c>
      <c r="M12" s="18">
        <v>29.472</v>
      </c>
      <c r="N12" s="18">
        <v>28.94</v>
      </c>
      <c r="O12" s="22">
        <v>7.0</v>
      </c>
      <c r="P12" s="18">
        <v>206.304</v>
      </c>
      <c r="Q12" s="14">
        <f t="shared" si="1"/>
        <v>177.364</v>
      </c>
    </row>
    <row r="13">
      <c r="A13" s="21">
        <v>42297.0</v>
      </c>
      <c r="B13" s="21" t="s">
        <v>2358</v>
      </c>
      <c r="C13" s="8" t="s">
        <v>153</v>
      </c>
      <c r="D13" s="23" t="s">
        <v>2358</v>
      </c>
      <c r="E13" s="22" t="s">
        <v>20</v>
      </c>
      <c r="F13" s="22" t="s">
        <v>2373</v>
      </c>
      <c r="G13" s="22" t="s">
        <v>2328</v>
      </c>
      <c r="H13" s="22" t="s">
        <v>23</v>
      </c>
      <c r="I13" s="22" t="s">
        <v>156</v>
      </c>
      <c r="J13" s="22" t="s">
        <v>157</v>
      </c>
      <c r="K13" s="22" t="s">
        <v>71</v>
      </c>
      <c r="L13" s="22" t="s">
        <v>38</v>
      </c>
      <c r="M13" s="18">
        <v>211.96</v>
      </c>
      <c r="N13" s="18">
        <v>211.46</v>
      </c>
      <c r="O13" s="22">
        <v>4.0</v>
      </c>
      <c r="P13" s="18">
        <v>847.84</v>
      </c>
      <c r="Q13" s="14">
        <f t="shared" si="1"/>
        <v>636.38</v>
      </c>
    </row>
    <row r="14">
      <c r="A14" s="21">
        <v>43357.0</v>
      </c>
      <c r="B14" s="21" t="s">
        <v>2329</v>
      </c>
      <c r="C14" s="8" t="s">
        <v>204</v>
      </c>
      <c r="D14" s="23" t="s">
        <v>2329</v>
      </c>
      <c r="E14" s="22" t="s">
        <v>20</v>
      </c>
      <c r="F14" s="22" t="s">
        <v>2356</v>
      </c>
      <c r="G14" s="22" t="s">
        <v>2357</v>
      </c>
      <c r="H14" s="22" t="s">
        <v>23</v>
      </c>
      <c r="I14" s="22" t="s">
        <v>205</v>
      </c>
      <c r="J14" s="22" t="s">
        <v>157</v>
      </c>
      <c r="K14" s="22" t="s">
        <v>71</v>
      </c>
      <c r="L14" s="22" t="s">
        <v>38</v>
      </c>
      <c r="M14" s="18">
        <v>19.05</v>
      </c>
      <c r="N14" s="18">
        <v>18.79</v>
      </c>
      <c r="O14" s="22">
        <v>4.0</v>
      </c>
      <c r="P14" s="18">
        <v>76.2</v>
      </c>
      <c r="Q14" s="14">
        <f t="shared" si="1"/>
        <v>57.41</v>
      </c>
    </row>
    <row r="15">
      <c r="A15" s="21">
        <v>42334.0</v>
      </c>
      <c r="B15" s="21" t="s">
        <v>2326</v>
      </c>
      <c r="C15" s="24">
        <v>42016.0</v>
      </c>
      <c r="D15" s="23" t="s">
        <v>2353</v>
      </c>
      <c r="E15" s="22" t="s">
        <v>20</v>
      </c>
      <c r="F15" s="22" t="s">
        <v>2392</v>
      </c>
      <c r="G15" s="22" t="s">
        <v>2393</v>
      </c>
      <c r="H15" s="22" t="s">
        <v>23</v>
      </c>
      <c r="I15" s="22" t="s">
        <v>129</v>
      </c>
      <c r="J15" s="22" t="s">
        <v>70</v>
      </c>
      <c r="K15" s="22" t="s">
        <v>71</v>
      </c>
      <c r="L15" s="22" t="s">
        <v>27</v>
      </c>
      <c r="M15" s="18">
        <v>19.3</v>
      </c>
      <c r="N15" s="18">
        <v>18.65</v>
      </c>
      <c r="O15" s="22">
        <v>7.0</v>
      </c>
      <c r="P15" s="18">
        <v>135.1</v>
      </c>
      <c r="Q15" s="14">
        <f t="shared" si="1"/>
        <v>116.45</v>
      </c>
    </row>
    <row r="16">
      <c r="A16" s="21">
        <v>43248.0</v>
      </c>
      <c r="B16" s="21" t="s">
        <v>2335</v>
      </c>
      <c r="C16" s="8" t="s">
        <v>234</v>
      </c>
      <c r="D16" s="23" t="s">
        <v>2335</v>
      </c>
      <c r="E16" s="22" t="s">
        <v>20</v>
      </c>
      <c r="F16" s="22" t="s">
        <v>2373</v>
      </c>
      <c r="G16" s="22" t="s">
        <v>2328</v>
      </c>
      <c r="H16" s="22" t="s">
        <v>23</v>
      </c>
      <c r="I16" s="22" t="s">
        <v>235</v>
      </c>
      <c r="J16" s="22" t="s">
        <v>236</v>
      </c>
      <c r="K16" s="22" t="s">
        <v>26</v>
      </c>
      <c r="L16" s="22" t="s">
        <v>27</v>
      </c>
      <c r="M16" s="18">
        <v>301.96</v>
      </c>
      <c r="N16" s="18">
        <v>301.07</v>
      </c>
      <c r="O16" s="22">
        <v>2.0</v>
      </c>
      <c r="P16" s="18">
        <v>603.92</v>
      </c>
      <c r="Q16" s="14">
        <f t="shared" si="1"/>
        <v>302.85</v>
      </c>
    </row>
    <row r="17">
      <c r="A17" s="21">
        <v>42859.0</v>
      </c>
      <c r="B17" s="21" t="s">
        <v>2335</v>
      </c>
      <c r="C17" s="24">
        <v>43012.0</v>
      </c>
      <c r="D17" s="23" t="s">
        <v>2358</v>
      </c>
      <c r="E17" s="22" t="s">
        <v>20</v>
      </c>
      <c r="F17" s="22" t="s">
        <v>2405</v>
      </c>
      <c r="G17" s="22" t="s">
        <v>2406</v>
      </c>
      <c r="H17" s="22" t="s">
        <v>68</v>
      </c>
      <c r="I17" s="22" t="s">
        <v>129</v>
      </c>
      <c r="J17" s="22" t="s">
        <v>70</v>
      </c>
      <c r="K17" s="22" t="s">
        <v>71</v>
      </c>
      <c r="L17" s="22" t="s">
        <v>38</v>
      </c>
      <c r="M17" s="18">
        <v>158.368</v>
      </c>
      <c r="N17" s="18">
        <v>158.13</v>
      </c>
      <c r="O17" s="22">
        <v>7.0</v>
      </c>
      <c r="P17" s="18">
        <v>1108.576</v>
      </c>
      <c r="Q17" s="14">
        <f t="shared" si="1"/>
        <v>950.446</v>
      </c>
    </row>
    <row r="18">
      <c r="A18" s="21">
        <v>42400.0</v>
      </c>
      <c r="B18" s="21" t="s">
        <v>2353</v>
      </c>
      <c r="C18" s="24">
        <v>42492.0</v>
      </c>
      <c r="D18" s="23" t="s">
        <v>2335</v>
      </c>
      <c r="E18" s="22" t="s">
        <v>20</v>
      </c>
      <c r="F18" s="22" t="s">
        <v>2409</v>
      </c>
      <c r="G18" s="22" t="s">
        <v>2410</v>
      </c>
      <c r="H18" s="22" t="s">
        <v>23</v>
      </c>
      <c r="I18" s="22" t="s">
        <v>251</v>
      </c>
      <c r="J18" s="22" t="s">
        <v>151</v>
      </c>
      <c r="K18" s="22" t="s">
        <v>71</v>
      </c>
      <c r="L18" s="22" t="s">
        <v>38</v>
      </c>
      <c r="M18" s="18">
        <v>12.96</v>
      </c>
      <c r="N18" s="18">
        <v>12.69</v>
      </c>
      <c r="O18" s="22">
        <v>5.0</v>
      </c>
      <c r="P18" s="18">
        <v>64.80000000000001</v>
      </c>
      <c r="Q18" s="14">
        <f t="shared" si="1"/>
        <v>52.11</v>
      </c>
    </row>
    <row r="19">
      <c r="A19" s="21">
        <v>42400.0</v>
      </c>
      <c r="B19" s="21" t="s">
        <v>2353</v>
      </c>
      <c r="C19" s="24">
        <v>42492.0</v>
      </c>
      <c r="D19" s="23" t="s">
        <v>2335</v>
      </c>
      <c r="E19" s="22" t="s">
        <v>20</v>
      </c>
      <c r="F19" s="22" t="s">
        <v>2409</v>
      </c>
      <c r="G19" s="22" t="s">
        <v>2410</v>
      </c>
      <c r="H19" s="22" t="s">
        <v>23</v>
      </c>
      <c r="I19" s="22" t="s">
        <v>251</v>
      </c>
      <c r="J19" s="22" t="s">
        <v>151</v>
      </c>
      <c r="K19" s="22" t="s">
        <v>71</v>
      </c>
      <c r="L19" s="22" t="s">
        <v>27</v>
      </c>
      <c r="M19" s="18">
        <v>53.34</v>
      </c>
      <c r="N19" s="18">
        <v>53.3</v>
      </c>
      <c r="O19" s="22">
        <v>5.0</v>
      </c>
      <c r="P19" s="18">
        <v>266.70000000000005</v>
      </c>
      <c r="Q19" s="14">
        <f t="shared" si="1"/>
        <v>213.4</v>
      </c>
    </row>
    <row r="20">
      <c r="A20" s="21">
        <v>42400.0</v>
      </c>
      <c r="B20" s="21" t="s">
        <v>2353</v>
      </c>
      <c r="C20" s="24">
        <v>42492.0</v>
      </c>
      <c r="D20" s="23" t="s">
        <v>2335</v>
      </c>
      <c r="E20" s="22" t="s">
        <v>20</v>
      </c>
      <c r="F20" s="22" t="s">
        <v>2409</v>
      </c>
      <c r="G20" s="22" t="s">
        <v>2410</v>
      </c>
      <c r="H20" s="22" t="s">
        <v>23</v>
      </c>
      <c r="I20" s="22" t="s">
        <v>251</v>
      </c>
      <c r="J20" s="22" t="s">
        <v>151</v>
      </c>
      <c r="K20" s="22" t="s">
        <v>71</v>
      </c>
      <c r="L20" s="22" t="s">
        <v>38</v>
      </c>
      <c r="M20" s="18">
        <v>32.96</v>
      </c>
      <c r="N20" s="18">
        <v>32.55</v>
      </c>
      <c r="O20" s="22">
        <v>5.0</v>
      </c>
      <c r="P20" s="18">
        <v>164.8</v>
      </c>
      <c r="Q20" s="14">
        <f t="shared" si="1"/>
        <v>132.25</v>
      </c>
    </row>
    <row r="21">
      <c r="A21" s="21">
        <v>43354.0</v>
      </c>
      <c r="B21" s="21" t="s">
        <v>2329</v>
      </c>
      <c r="C21" s="32">
        <v>43415.0</v>
      </c>
      <c r="D21" s="23" t="s">
        <v>2326</v>
      </c>
      <c r="E21" s="22" t="s">
        <v>20</v>
      </c>
      <c r="F21" s="22" t="s">
        <v>2413</v>
      </c>
      <c r="G21" s="22" t="s">
        <v>2414</v>
      </c>
      <c r="H21" s="22" t="s">
        <v>68</v>
      </c>
      <c r="I21" s="22" t="s">
        <v>174</v>
      </c>
      <c r="J21" s="22" t="s">
        <v>175</v>
      </c>
      <c r="K21" s="22" t="s">
        <v>100</v>
      </c>
      <c r="L21" s="22" t="s">
        <v>27</v>
      </c>
      <c r="M21" s="18">
        <v>96.53</v>
      </c>
      <c r="N21" s="18">
        <v>95.66</v>
      </c>
      <c r="O21" s="22">
        <v>1.0</v>
      </c>
      <c r="P21" s="18">
        <v>96.53</v>
      </c>
      <c r="Q21" s="14">
        <f t="shared" si="1"/>
        <v>0.87</v>
      </c>
    </row>
    <row r="22">
      <c r="A22" s="21">
        <v>42747.0</v>
      </c>
      <c r="B22" s="21" t="s">
        <v>2353</v>
      </c>
      <c r="C22" s="24">
        <v>42837.0</v>
      </c>
      <c r="D22" s="23" t="s">
        <v>2332</v>
      </c>
      <c r="E22" s="22" t="s">
        <v>20</v>
      </c>
      <c r="F22" s="22" t="s">
        <v>2405</v>
      </c>
      <c r="G22" s="22" t="s">
        <v>2421</v>
      </c>
      <c r="H22" s="22" t="s">
        <v>23</v>
      </c>
      <c r="I22" s="22" t="s">
        <v>240</v>
      </c>
      <c r="J22" s="22" t="s">
        <v>151</v>
      </c>
      <c r="K22" s="22" t="s">
        <v>71</v>
      </c>
      <c r="L22" s="22" t="s">
        <v>38</v>
      </c>
      <c r="M22" s="18">
        <v>23.92</v>
      </c>
      <c r="N22" s="18">
        <v>23.15</v>
      </c>
      <c r="O22" s="22">
        <v>5.0</v>
      </c>
      <c r="P22" s="18">
        <v>119.60000000000001</v>
      </c>
      <c r="Q22" s="14">
        <f t="shared" si="1"/>
        <v>96.45</v>
      </c>
    </row>
    <row r="23">
      <c r="A23" s="21">
        <v>42241.0</v>
      </c>
      <c r="B23" s="21" t="s">
        <v>2322</v>
      </c>
      <c r="C23" s="8" t="s">
        <v>300</v>
      </c>
      <c r="D23" s="23" t="s">
        <v>2322</v>
      </c>
      <c r="E23" s="22" t="s">
        <v>20</v>
      </c>
      <c r="F23" s="22" t="s">
        <v>2429</v>
      </c>
      <c r="G23" s="22" t="s">
        <v>2430</v>
      </c>
      <c r="H23" s="22" t="s">
        <v>23</v>
      </c>
      <c r="I23" s="22" t="s">
        <v>303</v>
      </c>
      <c r="J23" s="22" t="s">
        <v>304</v>
      </c>
      <c r="K23" s="22" t="s">
        <v>100</v>
      </c>
      <c r="L23" s="22" t="s">
        <v>38</v>
      </c>
      <c r="M23" s="18">
        <v>40.096</v>
      </c>
      <c r="N23" s="18">
        <v>39.18</v>
      </c>
      <c r="O23" s="22">
        <v>4.0</v>
      </c>
      <c r="P23" s="18">
        <v>160.384</v>
      </c>
      <c r="Q23" s="14">
        <f t="shared" si="1"/>
        <v>121.204</v>
      </c>
    </row>
    <row r="24">
      <c r="A24" s="21">
        <v>42241.0</v>
      </c>
      <c r="B24" s="21" t="s">
        <v>2322</v>
      </c>
      <c r="C24" s="8" t="s">
        <v>300</v>
      </c>
      <c r="D24" s="23" t="s">
        <v>2322</v>
      </c>
      <c r="E24" s="22" t="s">
        <v>20</v>
      </c>
      <c r="F24" s="22" t="s">
        <v>2429</v>
      </c>
      <c r="G24" s="22" t="s">
        <v>2430</v>
      </c>
      <c r="H24" s="22" t="s">
        <v>23</v>
      </c>
      <c r="I24" s="22" t="s">
        <v>303</v>
      </c>
      <c r="J24" s="22" t="s">
        <v>304</v>
      </c>
      <c r="K24" s="22" t="s">
        <v>100</v>
      </c>
      <c r="L24" s="22" t="s">
        <v>38</v>
      </c>
      <c r="M24" s="18">
        <v>4.72</v>
      </c>
      <c r="N24" s="18">
        <v>4.56</v>
      </c>
      <c r="O24" s="22">
        <v>4.0</v>
      </c>
      <c r="P24" s="18">
        <v>18.88</v>
      </c>
      <c r="Q24" s="14">
        <f t="shared" si="1"/>
        <v>14.32</v>
      </c>
    </row>
    <row r="25">
      <c r="A25" s="21">
        <v>42241.0</v>
      </c>
      <c r="B25" s="21" t="s">
        <v>2322</v>
      </c>
      <c r="C25" s="8" t="s">
        <v>300</v>
      </c>
      <c r="D25" s="23" t="s">
        <v>2322</v>
      </c>
      <c r="E25" s="22" t="s">
        <v>20</v>
      </c>
      <c r="F25" s="22" t="s">
        <v>2429</v>
      </c>
      <c r="G25" s="22" t="s">
        <v>2430</v>
      </c>
      <c r="H25" s="22" t="s">
        <v>23</v>
      </c>
      <c r="I25" s="22" t="s">
        <v>303</v>
      </c>
      <c r="J25" s="22" t="s">
        <v>304</v>
      </c>
      <c r="K25" s="22" t="s">
        <v>100</v>
      </c>
      <c r="L25" s="22" t="s">
        <v>38</v>
      </c>
      <c r="M25" s="18">
        <v>23.976</v>
      </c>
      <c r="N25" s="18">
        <v>23.97</v>
      </c>
      <c r="O25" s="22">
        <v>4.0</v>
      </c>
      <c r="P25" s="18">
        <v>95.904</v>
      </c>
      <c r="Q25" s="14">
        <f t="shared" si="1"/>
        <v>71.934</v>
      </c>
    </row>
    <row r="26">
      <c r="A26" s="21">
        <v>42241.0</v>
      </c>
      <c r="B26" s="21" t="s">
        <v>2322</v>
      </c>
      <c r="C26" s="8" t="s">
        <v>300</v>
      </c>
      <c r="D26" s="23" t="s">
        <v>2322</v>
      </c>
      <c r="E26" s="22" t="s">
        <v>20</v>
      </c>
      <c r="F26" s="22" t="s">
        <v>2429</v>
      </c>
      <c r="G26" s="22" t="s">
        <v>2430</v>
      </c>
      <c r="H26" s="22" t="s">
        <v>23</v>
      </c>
      <c r="I26" s="22" t="s">
        <v>303</v>
      </c>
      <c r="J26" s="22" t="s">
        <v>304</v>
      </c>
      <c r="K26" s="22" t="s">
        <v>100</v>
      </c>
      <c r="L26" s="22" t="s">
        <v>38</v>
      </c>
      <c r="M26" s="18">
        <v>130.464</v>
      </c>
      <c r="N26" s="18">
        <v>129.68</v>
      </c>
      <c r="O26" s="22">
        <v>4.0</v>
      </c>
      <c r="P26" s="18">
        <v>521.856</v>
      </c>
      <c r="Q26" s="14">
        <f t="shared" si="1"/>
        <v>392.176</v>
      </c>
    </row>
    <row r="27">
      <c r="A27" s="21">
        <v>42364.0</v>
      </c>
      <c r="B27" s="21" t="s">
        <v>2325</v>
      </c>
      <c r="C27" s="8" t="s">
        <v>317</v>
      </c>
      <c r="D27" s="23" t="s">
        <v>2325</v>
      </c>
      <c r="E27" s="22" t="s">
        <v>20</v>
      </c>
      <c r="F27" s="22" t="s">
        <v>2438</v>
      </c>
      <c r="G27" s="22" t="s">
        <v>2439</v>
      </c>
      <c r="H27" s="22" t="s">
        <v>68</v>
      </c>
      <c r="I27" s="22" t="s">
        <v>129</v>
      </c>
      <c r="J27" s="22" t="s">
        <v>70</v>
      </c>
      <c r="K27" s="22" t="s">
        <v>71</v>
      </c>
      <c r="L27" s="22" t="s">
        <v>27</v>
      </c>
      <c r="M27" s="18">
        <v>600.558</v>
      </c>
      <c r="N27" s="18">
        <v>600.44</v>
      </c>
      <c r="O27" s="22">
        <v>7.0</v>
      </c>
      <c r="P27" s="18">
        <v>4203.906</v>
      </c>
      <c r="Q27" s="14">
        <f t="shared" si="1"/>
        <v>3603.466</v>
      </c>
    </row>
    <row r="28">
      <c r="A28" s="21">
        <v>42897.0</v>
      </c>
      <c r="B28" s="21" t="s">
        <v>2374</v>
      </c>
      <c r="C28" s="32">
        <v>43019.0</v>
      </c>
      <c r="D28" s="23" t="s">
        <v>2358</v>
      </c>
      <c r="E28" s="22" t="s">
        <v>20</v>
      </c>
      <c r="F28" s="22" t="s">
        <v>2443</v>
      </c>
      <c r="G28" s="22" t="s">
        <v>2444</v>
      </c>
      <c r="H28" s="22" t="s">
        <v>68</v>
      </c>
      <c r="I28" s="22" t="s">
        <v>35</v>
      </c>
      <c r="J28" s="22" t="s">
        <v>52</v>
      </c>
      <c r="K28" s="22" t="s">
        <v>37</v>
      </c>
      <c r="L28" s="22" t="s">
        <v>27</v>
      </c>
      <c r="M28" s="18">
        <v>81.424</v>
      </c>
      <c r="N28" s="18">
        <v>80.61</v>
      </c>
      <c r="O28" s="22">
        <v>9.0</v>
      </c>
      <c r="P28" s="18">
        <v>732.816</v>
      </c>
      <c r="Q28" s="14">
        <f t="shared" si="1"/>
        <v>652.206</v>
      </c>
    </row>
    <row r="29">
      <c r="A29" s="21">
        <v>42897.0</v>
      </c>
      <c r="B29" s="21" t="s">
        <v>2374</v>
      </c>
      <c r="C29" s="32">
        <v>43019.0</v>
      </c>
      <c r="D29" s="23" t="s">
        <v>2358</v>
      </c>
      <c r="E29" s="22" t="s">
        <v>20</v>
      </c>
      <c r="F29" s="22" t="s">
        <v>2443</v>
      </c>
      <c r="G29" s="22" t="s">
        <v>2444</v>
      </c>
      <c r="H29" s="22" t="s">
        <v>68</v>
      </c>
      <c r="I29" s="22" t="s">
        <v>35</v>
      </c>
      <c r="J29" s="22" t="s">
        <v>52</v>
      </c>
      <c r="K29" s="22" t="s">
        <v>37</v>
      </c>
      <c r="L29" s="22" t="s">
        <v>27</v>
      </c>
      <c r="M29" s="18">
        <v>238.56</v>
      </c>
      <c r="N29" s="18">
        <v>238.11</v>
      </c>
      <c r="O29" s="22">
        <v>9.0</v>
      </c>
      <c r="P29" s="18">
        <v>2147.04</v>
      </c>
      <c r="Q29" s="14">
        <f t="shared" si="1"/>
        <v>1908.93</v>
      </c>
    </row>
    <row r="30">
      <c r="A30" s="21">
        <v>42864.0</v>
      </c>
      <c r="B30" s="21" t="s">
        <v>2335</v>
      </c>
      <c r="C30" s="24">
        <v>42925.0</v>
      </c>
      <c r="D30" s="23" t="s">
        <v>2348</v>
      </c>
      <c r="E30" s="22" t="s">
        <v>20</v>
      </c>
      <c r="F30" s="22" t="s">
        <v>2447</v>
      </c>
      <c r="G30" s="22" t="s">
        <v>2448</v>
      </c>
      <c r="H30" s="22" t="s">
        <v>34</v>
      </c>
      <c r="I30" s="22" t="s">
        <v>98</v>
      </c>
      <c r="J30" s="22" t="s">
        <v>99</v>
      </c>
      <c r="K30" s="22" t="s">
        <v>100</v>
      </c>
      <c r="L30" s="22" t="s">
        <v>27</v>
      </c>
      <c r="M30" s="18">
        <v>82.8</v>
      </c>
      <c r="N30" s="18">
        <v>82.56</v>
      </c>
      <c r="O30" s="22">
        <v>1.0</v>
      </c>
      <c r="P30" s="18">
        <v>82.8</v>
      </c>
      <c r="Q30" s="14">
        <f t="shared" si="1"/>
        <v>0.24</v>
      </c>
    </row>
    <row r="31">
      <c r="A31" s="21">
        <v>42007.0</v>
      </c>
      <c r="B31" s="21" t="s">
        <v>2353</v>
      </c>
      <c r="C31" s="24">
        <v>42158.0</v>
      </c>
      <c r="D31" s="23" t="s">
        <v>2374</v>
      </c>
      <c r="E31" s="22" t="s">
        <v>20</v>
      </c>
      <c r="F31" s="22" t="s">
        <v>2432</v>
      </c>
      <c r="G31" s="22" t="s">
        <v>2464</v>
      </c>
      <c r="H31" s="22" t="s">
        <v>23</v>
      </c>
      <c r="I31" s="22" t="s">
        <v>62</v>
      </c>
      <c r="J31" s="22" t="s">
        <v>63</v>
      </c>
      <c r="K31" s="22" t="s">
        <v>37</v>
      </c>
      <c r="L31" s="22" t="s">
        <v>27</v>
      </c>
      <c r="M31" s="18">
        <v>457.568</v>
      </c>
      <c r="N31" s="18">
        <v>457.38</v>
      </c>
      <c r="O31" s="22">
        <v>9.0</v>
      </c>
      <c r="P31" s="18">
        <v>4118.112</v>
      </c>
      <c r="Q31" s="14">
        <f t="shared" si="1"/>
        <v>3660.732</v>
      </c>
    </row>
    <row r="32">
      <c r="A32" s="21">
        <v>42732.0</v>
      </c>
      <c r="B32" s="21" t="s">
        <v>2325</v>
      </c>
      <c r="C32" s="8" t="s">
        <v>126</v>
      </c>
      <c r="D32" s="23" t="s">
        <v>2325</v>
      </c>
      <c r="E32" s="22" t="s">
        <v>20</v>
      </c>
      <c r="F32" s="22" t="s">
        <v>2354</v>
      </c>
      <c r="G32" s="22" t="s">
        <v>2468</v>
      </c>
      <c r="H32" s="22" t="s">
        <v>23</v>
      </c>
      <c r="I32" s="22" t="s">
        <v>98</v>
      </c>
      <c r="J32" s="22" t="s">
        <v>99</v>
      </c>
      <c r="K32" s="22" t="s">
        <v>100</v>
      </c>
      <c r="L32" s="22" t="s">
        <v>51</v>
      </c>
      <c r="M32" s="18">
        <v>54.384</v>
      </c>
      <c r="N32" s="18">
        <v>54.3</v>
      </c>
      <c r="O32" s="22">
        <v>1.0</v>
      </c>
      <c r="P32" s="18">
        <v>54.384</v>
      </c>
      <c r="Q32" s="14">
        <f t="shared" si="1"/>
        <v>0.084</v>
      </c>
    </row>
    <row r="33">
      <c r="A33" s="21">
        <v>43211.0</v>
      </c>
      <c r="B33" s="21" t="s">
        <v>2332</v>
      </c>
      <c r="C33" s="8" t="s">
        <v>413</v>
      </c>
      <c r="D33" s="23" t="s">
        <v>2332</v>
      </c>
      <c r="E33" s="22" t="s">
        <v>20</v>
      </c>
      <c r="F33" s="22" t="s">
        <v>2477</v>
      </c>
      <c r="G33" s="22" t="s">
        <v>205</v>
      </c>
      <c r="H33" s="22" t="s">
        <v>23</v>
      </c>
      <c r="I33" s="22" t="s">
        <v>129</v>
      </c>
      <c r="J33" s="22" t="s">
        <v>70</v>
      </c>
      <c r="K33" s="22" t="s">
        <v>71</v>
      </c>
      <c r="L33" s="22" t="s">
        <v>38</v>
      </c>
      <c r="M33" s="18">
        <v>97.264</v>
      </c>
      <c r="N33" s="18">
        <v>96.62</v>
      </c>
      <c r="O33" s="22">
        <v>7.0</v>
      </c>
      <c r="P33" s="18">
        <v>680.848</v>
      </c>
      <c r="Q33" s="14">
        <f t="shared" si="1"/>
        <v>584.228</v>
      </c>
    </row>
    <row r="34">
      <c r="A34" s="21">
        <v>42695.0</v>
      </c>
      <c r="B34" s="21" t="s">
        <v>2326</v>
      </c>
      <c r="C34" s="8" t="s">
        <v>417</v>
      </c>
      <c r="D34" s="23" t="s">
        <v>2326</v>
      </c>
      <c r="E34" s="22" t="s">
        <v>20</v>
      </c>
      <c r="F34" s="22" t="s">
        <v>2392</v>
      </c>
      <c r="G34" s="22" t="s">
        <v>2393</v>
      </c>
      <c r="H34" s="22" t="s">
        <v>23</v>
      </c>
      <c r="I34" s="22" t="s">
        <v>360</v>
      </c>
      <c r="J34" s="22" t="s">
        <v>304</v>
      </c>
      <c r="K34" s="22" t="s">
        <v>100</v>
      </c>
      <c r="L34" s="22" t="s">
        <v>27</v>
      </c>
      <c r="M34" s="18">
        <v>396.802</v>
      </c>
      <c r="N34" s="18">
        <v>396.53</v>
      </c>
      <c r="O34" s="22">
        <v>4.0</v>
      </c>
      <c r="P34" s="18">
        <v>1587.208</v>
      </c>
      <c r="Q34" s="14">
        <f t="shared" si="1"/>
        <v>1190.678</v>
      </c>
    </row>
    <row r="35">
      <c r="A35" s="21">
        <v>42695.0</v>
      </c>
      <c r="B35" s="21" t="s">
        <v>2326</v>
      </c>
      <c r="C35" s="8" t="s">
        <v>417</v>
      </c>
      <c r="D35" s="23" t="s">
        <v>2326</v>
      </c>
      <c r="E35" s="22" t="s">
        <v>20</v>
      </c>
      <c r="F35" s="22" t="s">
        <v>2392</v>
      </c>
      <c r="G35" s="22" t="s">
        <v>2393</v>
      </c>
      <c r="H35" s="22" t="s">
        <v>23</v>
      </c>
      <c r="I35" s="22" t="s">
        <v>360</v>
      </c>
      <c r="J35" s="22" t="s">
        <v>304</v>
      </c>
      <c r="K35" s="22" t="s">
        <v>100</v>
      </c>
      <c r="L35" s="22" t="s">
        <v>38</v>
      </c>
      <c r="M35" s="18">
        <v>15.88</v>
      </c>
      <c r="N35" s="18">
        <v>15.7</v>
      </c>
      <c r="O35" s="22">
        <v>4.0</v>
      </c>
      <c r="P35" s="18">
        <v>63.52</v>
      </c>
      <c r="Q35" s="14">
        <f t="shared" si="1"/>
        <v>47.82</v>
      </c>
    </row>
    <row r="36">
      <c r="A36" s="21">
        <v>42136.0</v>
      </c>
      <c r="B36" s="21" t="s">
        <v>2335</v>
      </c>
      <c r="C36" s="24">
        <v>42259.0</v>
      </c>
      <c r="D36" s="23" t="s">
        <v>2329</v>
      </c>
      <c r="E36" s="22" t="s">
        <v>20</v>
      </c>
      <c r="F36" s="22" t="s">
        <v>2478</v>
      </c>
      <c r="G36" s="22" t="s">
        <v>2479</v>
      </c>
      <c r="H36" s="22" t="s">
        <v>34</v>
      </c>
      <c r="I36" s="22" t="s">
        <v>219</v>
      </c>
      <c r="J36" s="22" t="s">
        <v>135</v>
      </c>
      <c r="K36" s="22" t="s">
        <v>71</v>
      </c>
      <c r="L36" s="22" t="s">
        <v>38</v>
      </c>
      <c r="M36" s="18">
        <v>24.816</v>
      </c>
      <c r="N36" s="18">
        <v>24.64</v>
      </c>
      <c r="O36" s="22">
        <v>6.0</v>
      </c>
      <c r="P36" s="18">
        <v>148.896</v>
      </c>
      <c r="Q36" s="14">
        <f t="shared" si="1"/>
        <v>124.256</v>
      </c>
    </row>
    <row r="37">
      <c r="A37" s="21">
        <v>42136.0</v>
      </c>
      <c r="B37" s="21" t="s">
        <v>2335</v>
      </c>
      <c r="C37" s="24">
        <v>42259.0</v>
      </c>
      <c r="D37" s="23" t="s">
        <v>2329</v>
      </c>
      <c r="E37" s="22" t="s">
        <v>20</v>
      </c>
      <c r="F37" s="22" t="s">
        <v>2478</v>
      </c>
      <c r="G37" s="22" t="s">
        <v>2479</v>
      </c>
      <c r="H37" s="22" t="s">
        <v>34</v>
      </c>
      <c r="I37" s="22" t="s">
        <v>219</v>
      </c>
      <c r="J37" s="22" t="s">
        <v>135</v>
      </c>
      <c r="K37" s="22" t="s">
        <v>71</v>
      </c>
      <c r="L37" s="22" t="s">
        <v>51</v>
      </c>
      <c r="M37" s="18">
        <v>408.744</v>
      </c>
      <c r="N37" s="18">
        <v>408.52</v>
      </c>
      <c r="O37" s="22">
        <v>6.0</v>
      </c>
      <c r="P37" s="18">
        <v>2452.464</v>
      </c>
      <c r="Q37" s="14">
        <f t="shared" si="1"/>
        <v>2043.944</v>
      </c>
    </row>
    <row r="38">
      <c r="A38" s="21">
        <v>42327.0</v>
      </c>
      <c r="B38" s="21" t="s">
        <v>2326</v>
      </c>
      <c r="C38" s="8" t="s">
        <v>426</v>
      </c>
      <c r="D38" s="23" t="s">
        <v>2326</v>
      </c>
      <c r="E38" s="22" t="s">
        <v>20</v>
      </c>
      <c r="F38" s="22" t="s">
        <v>2480</v>
      </c>
      <c r="G38" s="22" t="s">
        <v>2481</v>
      </c>
      <c r="H38" s="22" t="s">
        <v>68</v>
      </c>
      <c r="I38" s="22" t="s">
        <v>429</v>
      </c>
      <c r="J38" s="22" t="s">
        <v>430</v>
      </c>
      <c r="K38" s="22" t="s">
        <v>26</v>
      </c>
      <c r="L38" s="22" t="s">
        <v>51</v>
      </c>
      <c r="M38" s="18">
        <v>503.96</v>
      </c>
      <c r="N38" s="18">
        <v>503.87</v>
      </c>
      <c r="O38" s="22">
        <v>7.0</v>
      </c>
      <c r="P38" s="18">
        <v>3527.72</v>
      </c>
      <c r="Q38" s="14">
        <f t="shared" si="1"/>
        <v>3023.85</v>
      </c>
    </row>
    <row r="39">
      <c r="A39" s="21">
        <v>42327.0</v>
      </c>
      <c r="B39" s="21" t="s">
        <v>2326</v>
      </c>
      <c r="C39" s="8" t="s">
        <v>426</v>
      </c>
      <c r="D39" s="23" t="s">
        <v>2326</v>
      </c>
      <c r="E39" s="22" t="s">
        <v>20</v>
      </c>
      <c r="F39" s="22" t="s">
        <v>2480</v>
      </c>
      <c r="G39" s="22" t="s">
        <v>2481</v>
      </c>
      <c r="H39" s="22" t="s">
        <v>68</v>
      </c>
      <c r="I39" s="22" t="s">
        <v>429</v>
      </c>
      <c r="J39" s="22" t="s">
        <v>430</v>
      </c>
      <c r="K39" s="22" t="s">
        <v>26</v>
      </c>
      <c r="L39" s="22" t="s">
        <v>51</v>
      </c>
      <c r="M39" s="18">
        <v>149.95</v>
      </c>
      <c r="N39" s="18">
        <v>149.34</v>
      </c>
      <c r="O39" s="22">
        <v>7.0</v>
      </c>
      <c r="P39" s="18">
        <v>1049.6499999999999</v>
      </c>
      <c r="Q39" s="14">
        <f t="shared" si="1"/>
        <v>900.31</v>
      </c>
    </row>
    <row r="40">
      <c r="A40" s="21">
        <v>42327.0</v>
      </c>
      <c r="B40" s="21" t="s">
        <v>2326</v>
      </c>
      <c r="C40" s="8" t="s">
        <v>426</v>
      </c>
      <c r="D40" s="23" t="s">
        <v>2326</v>
      </c>
      <c r="E40" s="22" t="s">
        <v>20</v>
      </c>
      <c r="F40" s="22" t="s">
        <v>2480</v>
      </c>
      <c r="G40" s="22" t="s">
        <v>2481</v>
      </c>
      <c r="H40" s="22" t="s">
        <v>68</v>
      </c>
      <c r="I40" s="22" t="s">
        <v>429</v>
      </c>
      <c r="J40" s="22" t="s">
        <v>430</v>
      </c>
      <c r="K40" s="22" t="s">
        <v>26</v>
      </c>
      <c r="L40" s="22" t="s">
        <v>51</v>
      </c>
      <c r="M40" s="18">
        <v>29.0</v>
      </c>
      <c r="N40" s="18">
        <v>28.46</v>
      </c>
      <c r="O40" s="22">
        <v>7.0</v>
      </c>
      <c r="P40" s="18">
        <v>203.0</v>
      </c>
      <c r="Q40" s="14">
        <f t="shared" si="1"/>
        <v>174.54</v>
      </c>
    </row>
    <row r="41">
      <c r="A41" s="21">
        <v>43451.0</v>
      </c>
      <c r="B41" s="21" t="s">
        <v>2325</v>
      </c>
      <c r="C41" s="8" t="s">
        <v>477</v>
      </c>
      <c r="D41" s="23" t="s">
        <v>2325</v>
      </c>
      <c r="E41" s="22" t="s">
        <v>20</v>
      </c>
      <c r="F41" s="22" t="s">
        <v>2499</v>
      </c>
      <c r="G41" s="22" t="s">
        <v>2500</v>
      </c>
      <c r="H41" s="22" t="s">
        <v>23</v>
      </c>
      <c r="I41" s="22" t="s">
        <v>480</v>
      </c>
      <c r="J41" s="22" t="s">
        <v>70</v>
      </c>
      <c r="K41" s="22" t="s">
        <v>71</v>
      </c>
      <c r="L41" s="22" t="s">
        <v>38</v>
      </c>
      <c r="M41" s="18">
        <v>66.284</v>
      </c>
      <c r="N41" s="18">
        <v>65.82</v>
      </c>
      <c r="O41" s="22">
        <v>7.0</v>
      </c>
      <c r="P41" s="18">
        <v>463.98800000000006</v>
      </c>
      <c r="Q41" s="14">
        <f t="shared" si="1"/>
        <v>398.168</v>
      </c>
    </row>
    <row r="42">
      <c r="A42" s="21">
        <v>42615.0</v>
      </c>
      <c r="B42" s="21" t="s">
        <v>2329</v>
      </c>
      <c r="C42" s="8" t="s">
        <v>494</v>
      </c>
      <c r="D42" s="23" t="s">
        <v>2431</v>
      </c>
      <c r="E42" s="22" t="s">
        <v>20</v>
      </c>
      <c r="F42" s="22" t="s">
        <v>2507</v>
      </c>
      <c r="G42" s="22" t="s">
        <v>2395</v>
      </c>
      <c r="H42" s="22" t="s">
        <v>34</v>
      </c>
      <c r="I42" s="22" t="s">
        <v>480</v>
      </c>
      <c r="J42" s="22" t="s">
        <v>70</v>
      </c>
      <c r="K42" s="22" t="s">
        <v>71</v>
      </c>
      <c r="L42" s="22" t="s">
        <v>51</v>
      </c>
      <c r="M42" s="18">
        <v>20.8</v>
      </c>
      <c r="N42" s="18">
        <v>20.41</v>
      </c>
      <c r="O42" s="22">
        <v>7.0</v>
      </c>
      <c r="P42" s="18">
        <v>145.6</v>
      </c>
      <c r="Q42" s="14">
        <f t="shared" si="1"/>
        <v>125.19</v>
      </c>
    </row>
    <row r="43">
      <c r="A43" s="21">
        <v>42831.0</v>
      </c>
      <c r="B43" s="21" t="s">
        <v>2332</v>
      </c>
      <c r="C43" s="24">
        <v>42984.0</v>
      </c>
      <c r="D43" s="23" t="s">
        <v>2329</v>
      </c>
      <c r="E43" s="22" t="s">
        <v>20</v>
      </c>
      <c r="F43" s="22" t="s">
        <v>2346</v>
      </c>
      <c r="G43" s="22" t="s">
        <v>2514</v>
      </c>
      <c r="H43" s="22" t="s">
        <v>23</v>
      </c>
      <c r="I43" s="22" t="s">
        <v>188</v>
      </c>
      <c r="J43" s="22" t="s">
        <v>135</v>
      </c>
      <c r="K43" s="22" t="s">
        <v>71</v>
      </c>
      <c r="L43" s="22" t="s">
        <v>38</v>
      </c>
      <c r="M43" s="18">
        <v>25.92</v>
      </c>
      <c r="N43" s="18">
        <v>25.59</v>
      </c>
      <c r="O43" s="22">
        <v>6.0</v>
      </c>
      <c r="P43" s="18">
        <v>155.52</v>
      </c>
      <c r="Q43" s="14">
        <f t="shared" si="1"/>
        <v>129.93</v>
      </c>
    </row>
    <row r="44">
      <c r="A44" s="21">
        <v>42831.0</v>
      </c>
      <c r="B44" s="21" t="s">
        <v>2332</v>
      </c>
      <c r="C44" s="24">
        <v>42984.0</v>
      </c>
      <c r="D44" s="23" t="s">
        <v>2329</v>
      </c>
      <c r="E44" s="22" t="s">
        <v>20</v>
      </c>
      <c r="F44" s="22" t="s">
        <v>2346</v>
      </c>
      <c r="G44" s="22" t="s">
        <v>2514</v>
      </c>
      <c r="H44" s="22" t="s">
        <v>23</v>
      </c>
      <c r="I44" s="22" t="s">
        <v>188</v>
      </c>
      <c r="J44" s="22" t="s">
        <v>135</v>
      </c>
      <c r="K44" s="22" t="s">
        <v>71</v>
      </c>
      <c r="L44" s="22" t="s">
        <v>27</v>
      </c>
      <c r="M44" s="18">
        <v>419.68</v>
      </c>
      <c r="N44" s="18">
        <v>418.98</v>
      </c>
      <c r="O44" s="22">
        <v>6.0</v>
      </c>
      <c r="P44" s="18">
        <v>2518.08</v>
      </c>
      <c r="Q44" s="14">
        <f t="shared" si="1"/>
        <v>2099.1</v>
      </c>
    </row>
    <row r="45">
      <c r="A45" s="21">
        <v>42831.0</v>
      </c>
      <c r="B45" s="21" t="s">
        <v>2332</v>
      </c>
      <c r="C45" s="24">
        <v>42984.0</v>
      </c>
      <c r="D45" s="23" t="s">
        <v>2329</v>
      </c>
      <c r="E45" s="22" t="s">
        <v>20</v>
      </c>
      <c r="F45" s="22" t="s">
        <v>2346</v>
      </c>
      <c r="G45" s="22" t="s">
        <v>2514</v>
      </c>
      <c r="H45" s="22" t="s">
        <v>23</v>
      </c>
      <c r="I45" s="22" t="s">
        <v>188</v>
      </c>
      <c r="J45" s="22" t="s">
        <v>135</v>
      </c>
      <c r="K45" s="22" t="s">
        <v>71</v>
      </c>
      <c r="L45" s="22" t="s">
        <v>27</v>
      </c>
      <c r="M45" s="18">
        <v>11.688</v>
      </c>
      <c r="N45" s="18">
        <v>10.99</v>
      </c>
      <c r="O45" s="22">
        <v>6.0</v>
      </c>
      <c r="P45" s="18">
        <v>70.128</v>
      </c>
      <c r="Q45" s="14">
        <f t="shared" si="1"/>
        <v>59.138</v>
      </c>
    </row>
    <row r="46">
      <c r="A46" s="21">
        <v>42831.0</v>
      </c>
      <c r="B46" s="21" t="s">
        <v>2332</v>
      </c>
      <c r="C46" s="24">
        <v>42984.0</v>
      </c>
      <c r="D46" s="23" t="s">
        <v>2329</v>
      </c>
      <c r="E46" s="22" t="s">
        <v>20</v>
      </c>
      <c r="F46" s="22" t="s">
        <v>2346</v>
      </c>
      <c r="G46" s="22" t="s">
        <v>2514</v>
      </c>
      <c r="H46" s="22" t="s">
        <v>23</v>
      </c>
      <c r="I46" s="22" t="s">
        <v>188</v>
      </c>
      <c r="J46" s="22" t="s">
        <v>135</v>
      </c>
      <c r="K46" s="22" t="s">
        <v>71</v>
      </c>
      <c r="L46" s="22" t="s">
        <v>51</v>
      </c>
      <c r="M46" s="18">
        <v>31.984</v>
      </c>
      <c r="N46" s="18">
        <v>31.54</v>
      </c>
      <c r="O46" s="22">
        <v>6.0</v>
      </c>
      <c r="P46" s="18">
        <v>191.904</v>
      </c>
      <c r="Q46" s="14">
        <f t="shared" si="1"/>
        <v>160.364</v>
      </c>
    </row>
    <row r="47">
      <c r="A47" s="21">
        <v>42831.0</v>
      </c>
      <c r="B47" s="21" t="s">
        <v>2332</v>
      </c>
      <c r="C47" s="24">
        <v>42984.0</v>
      </c>
      <c r="D47" s="23" t="s">
        <v>2329</v>
      </c>
      <c r="E47" s="22" t="s">
        <v>20</v>
      </c>
      <c r="F47" s="22" t="s">
        <v>2346</v>
      </c>
      <c r="G47" s="22" t="s">
        <v>2514</v>
      </c>
      <c r="H47" s="22" t="s">
        <v>23</v>
      </c>
      <c r="I47" s="22" t="s">
        <v>188</v>
      </c>
      <c r="J47" s="22" t="s">
        <v>135</v>
      </c>
      <c r="K47" s="22" t="s">
        <v>71</v>
      </c>
      <c r="L47" s="22" t="s">
        <v>27</v>
      </c>
      <c r="M47" s="18">
        <v>177.225</v>
      </c>
      <c r="N47" s="18">
        <v>177.17</v>
      </c>
      <c r="O47" s="22">
        <v>6.0</v>
      </c>
      <c r="P47" s="18">
        <v>1063.35</v>
      </c>
      <c r="Q47" s="14">
        <f t="shared" si="1"/>
        <v>886.18</v>
      </c>
    </row>
    <row r="48">
      <c r="A48" s="21">
        <v>42831.0</v>
      </c>
      <c r="B48" s="21" t="s">
        <v>2332</v>
      </c>
      <c r="C48" s="24">
        <v>42984.0</v>
      </c>
      <c r="D48" s="23" t="s">
        <v>2329</v>
      </c>
      <c r="E48" s="22" t="s">
        <v>20</v>
      </c>
      <c r="F48" s="22" t="s">
        <v>2346</v>
      </c>
      <c r="G48" s="22" t="s">
        <v>2514</v>
      </c>
      <c r="H48" s="22" t="s">
        <v>23</v>
      </c>
      <c r="I48" s="22" t="s">
        <v>188</v>
      </c>
      <c r="J48" s="22" t="s">
        <v>135</v>
      </c>
      <c r="K48" s="22" t="s">
        <v>71</v>
      </c>
      <c r="L48" s="22" t="s">
        <v>27</v>
      </c>
      <c r="M48" s="18">
        <v>4.044</v>
      </c>
      <c r="N48" s="18">
        <v>3.17</v>
      </c>
      <c r="O48" s="22">
        <v>6.0</v>
      </c>
      <c r="P48" s="18">
        <v>24.263999999999996</v>
      </c>
      <c r="Q48" s="14">
        <f t="shared" si="1"/>
        <v>21.094</v>
      </c>
    </row>
    <row r="49">
      <c r="A49" s="21">
        <v>42831.0</v>
      </c>
      <c r="B49" s="21" t="s">
        <v>2332</v>
      </c>
      <c r="C49" s="24">
        <v>42984.0</v>
      </c>
      <c r="D49" s="23" t="s">
        <v>2329</v>
      </c>
      <c r="E49" s="22" t="s">
        <v>20</v>
      </c>
      <c r="F49" s="22" t="s">
        <v>2346</v>
      </c>
      <c r="G49" s="22" t="s">
        <v>2514</v>
      </c>
      <c r="H49" s="22" t="s">
        <v>23</v>
      </c>
      <c r="I49" s="22" t="s">
        <v>188</v>
      </c>
      <c r="J49" s="22" t="s">
        <v>135</v>
      </c>
      <c r="K49" s="22" t="s">
        <v>71</v>
      </c>
      <c r="L49" s="22" t="s">
        <v>38</v>
      </c>
      <c r="M49" s="18">
        <v>7.408</v>
      </c>
      <c r="N49" s="18">
        <v>6.77</v>
      </c>
      <c r="O49" s="22">
        <v>6.0</v>
      </c>
      <c r="P49" s="18">
        <v>44.448</v>
      </c>
      <c r="Q49" s="14">
        <f t="shared" si="1"/>
        <v>37.678</v>
      </c>
    </row>
    <row r="50">
      <c r="A50" s="21">
        <v>42010.0</v>
      </c>
      <c r="B50" s="21" t="s">
        <v>2353</v>
      </c>
      <c r="C50" s="24">
        <v>42161.0</v>
      </c>
      <c r="D50" s="23" t="s">
        <v>2374</v>
      </c>
      <c r="E50" s="22" t="s">
        <v>20</v>
      </c>
      <c r="F50" s="22" t="s">
        <v>2515</v>
      </c>
      <c r="G50" s="22" t="s">
        <v>2509</v>
      </c>
      <c r="H50" s="22" t="s">
        <v>68</v>
      </c>
      <c r="I50" s="22" t="s">
        <v>533</v>
      </c>
      <c r="J50" s="22" t="s">
        <v>151</v>
      </c>
      <c r="K50" s="22" t="s">
        <v>71</v>
      </c>
      <c r="L50" s="22" t="s">
        <v>27</v>
      </c>
      <c r="M50" s="18">
        <v>2001.86</v>
      </c>
      <c r="N50" s="18">
        <v>2001.35</v>
      </c>
      <c r="O50" s="22">
        <v>5.0</v>
      </c>
      <c r="P50" s="18">
        <v>10009.3</v>
      </c>
      <c r="Q50" s="14">
        <f t="shared" si="1"/>
        <v>8007.95</v>
      </c>
    </row>
    <row r="51">
      <c r="A51" s="21">
        <v>42010.0</v>
      </c>
      <c r="B51" s="21" t="s">
        <v>2353</v>
      </c>
      <c r="C51" s="24">
        <v>42161.0</v>
      </c>
      <c r="D51" s="23" t="s">
        <v>2374</v>
      </c>
      <c r="E51" s="22" t="s">
        <v>20</v>
      </c>
      <c r="F51" s="22" t="s">
        <v>2515</v>
      </c>
      <c r="G51" s="22" t="s">
        <v>2509</v>
      </c>
      <c r="H51" s="22" t="s">
        <v>68</v>
      </c>
      <c r="I51" s="22" t="s">
        <v>533</v>
      </c>
      <c r="J51" s="22" t="s">
        <v>151</v>
      </c>
      <c r="K51" s="22" t="s">
        <v>71</v>
      </c>
      <c r="L51" s="22" t="s">
        <v>38</v>
      </c>
      <c r="M51" s="18">
        <v>166.72</v>
      </c>
      <c r="N51" s="18">
        <v>166.12</v>
      </c>
      <c r="O51" s="22">
        <v>5.0</v>
      </c>
      <c r="P51" s="18">
        <v>833.6</v>
      </c>
      <c r="Q51" s="14">
        <f t="shared" si="1"/>
        <v>667.48</v>
      </c>
    </row>
    <row r="52">
      <c r="A52" s="21">
        <v>42010.0</v>
      </c>
      <c r="B52" s="21" t="s">
        <v>2353</v>
      </c>
      <c r="C52" s="24">
        <v>42161.0</v>
      </c>
      <c r="D52" s="23" t="s">
        <v>2374</v>
      </c>
      <c r="E52" s="22" t="s">
        <v>20</v>
      </c>
      <c r="F52" s="22" t="s">
        <v>2515</v>
      </c>
      <c r="G52" s="22" t="s">
        <v>2509</v>
      </c>
      <c r="H52" s="22" t="s">
        <v>68</v>
      </c>
      <c r="I52" s="22" t="s">
        <v>533</v>
      </c>
      <c r="J52" s="22" t="s">
        <v>151</v>
      </c>
      <c r="K52" s="22" t="s">
        <v>71</v>
      </c>
      <c r="L52" s="22" t="s">
        <v>38</v>
      </c>
      <c r="M52" s="18">
        <v>47.88</v>
      </c>
      <c r="N52" s="18">
        <v>47.37</v>
      </c>
      <c r="O52" s="22">
        <v>5.0</v>
      </c>
      <c r="P52" s="18">
        <v>239.4</v>
      </c>
      <c r="Q52" s="14">
        <f t="shared" si="1"/>
        <v>192.03</v>
      </c>
    </row>
    <row r="53">
      <c r="A53" s="21">
        <v>42010.0</v>
      </c>
      <c r="B53" s="21" t="s">
        <v>2353</v>
      </c>
      <c r="C53" s="24">
        <v>42161.0</v>
      </c>
      <c r="D53" s="23" t="s">
        <v>2374</v>
      </c>
      <c r="E53" s="22" t="s">
        <v>20</v>
      </c>
      <c r="F53" s="22" t="s">
        <v>2515</v>
      </c>
      <c r="G53" s="22" t="s">
        <v>2509</v>
      </c>
      <c r="H53" s="22" t="s">
        <v>68</v>
      </c>
      <c r="I53" s="22" t="s">
        <v>533</v>
      </c>
      <c r="J53" s="22" t="s">
        <v>151</v>
      </c>
      <c r="K53" s="22" t="s">
        <v>71</v>
      </c>
      <c r="L53" s="22" t="s">
        <v>38</v>
      </c>
      <c r="M53" s="18">
        <v>1503.25</v>
      </c>
      <c r="N53" s="18">
        <v>1502.81</v>
      </c>
      <c r="O53" s="22">
        <v>5.0</v>
      </c>
      <c r="P53" s="18">
        <v>7516.25</v>
      </c>
      <c r="Q53" s="14">
        <f t="shared" si="1"/>
        <v>6013.44</v>
      </c>
    </row>
    <row r="54">
      <c r="A54" s="21">
        <v>42010.0</v>
      </c>
      <c r="B54" s="21" t="s">
        <v>2353</v>
      </c>
      <c r="C54" s="24">
        <v>42161.0</v>
      </c>
      <c r="D54" s="23" t="s">
        <v>2374</v>
      </c>
      <c r="E54" s="22" t="s">
        <v>20</v>
      </c>
      <c r="F54" s="22" t="s">
        <v>2515</v>
      </c>
      <c r="G54" s="22" t="s">
        <v>2509</v>
      </c>
      <c r="H54" s="22" t="s">
        <v>68</v>
      </c>
      <c r="I54" s="22" t="s">
        <v>533</v>
      </c>
      <c r="J54" s="22" t="s">
        <v>151</v>
      </c>
      <c r="K54" s="22" t="s">
        <v>71</v>
      </c>
      <c r="L54" s="22" t="s">
        <v>38</v>
      </c>
      <c r="M54" s="18">
        <v>25.92</v>
      </c>
      <c r="N54" s="18">
        <v>25.76</v>
      </c>
      <c r="O54" s="22">
        <v>5.0</v>
      </c>
      <c r="P54" s="18">
        <v>129.60000000000002</v>
      </c>
      <c r="Q54" s="14">
        <f t="shared" si="1"/>
        <v>103.84</v>
      </c>
    </row>
    <row r="55">
      <c r="A55" s="21">
        <v>43020.0</v>
      </c>
      <c r="B55" s="21" t="s">
        <v>2358</v>
      </c>
      <c r="C55" s="8" t="s">
        <v>535</v>
      </c>
      <c r="D55" s="23" t="s">
        <v>2325</v>
      </c>
      <c r="E55" s="22" t="s">
        <v>20</v>
      </c>
      <c r="F55" s="22" t="s">
        <v>2499</v>
      </c>
      <c r="G55" s="22" t="s">
        <v>2516</v>
      </c>
      <c r="H55" s="22" t="s">
        <v>23</v>
      </c>
      <c r="I55" s="22" t="s">
        <v>87</v>
      </c>
      <c r="J55" s="22" t="s">
        <v>52</v>
      </c>
      <c r="K55" s="22" t="s">
        <v>37</v>
      </c>
      <c r="L55" s="22" t="s">
        <v>27</v>
      </c>
      <c r="M55" s="18">
        <v>321.568</v>
      </c>
      <c r="N55" s="18">
        <v>320.85</v>
      </c>
      <c r="O55" s="22">
        <v>9.0</v>
      </c>
      <c r="P55" s="18">
        <v>2894.112</v>
      </c>
      <c r="Q55" s="14">
        <f t="shared" si="1"/>
        <v>2573.262</v>
      </c>
    </row>
    <row r="56">
      <c r="A56" s="21">
        <v>43112.0</v>
      </c>
      <c r="B56" s="21" t="s">
        <v>2353</v>
      </c>
      <c r="C56" s="24">
        <v>43171.0</v>
      </c>
      <c r="D56" s="23" t="s">
        <v>2399</v>
      </c>
      <c r="E56" s="22" t="s">
        <v>20</v>
      </c>
      <c r="F56" s="22" t="s">
        <v>2523</v>
      </c>
      <c r="G56" s="22" t="s">
        <v>2524</v>
      </c>
      <c r="H56" s="22" t="s">
        <v>23</v>
      </c>
      <c r="I56" s="22" t="s">
        <v>174</v>
      </c>
      <c r="J56" s="22" t="s">
        <v>175</v>
      </c>
      <c r="K56" s="22" t="s">
        <v>100</v>
      </c>
      <c r="L56" s="22" t="s">
        <v>51</v>
      </c>
      <c r="M56" s="18">
        <v>20.37</v>
      </c>
      <c r="N56" s="18">
        <v>20.03</v>
      </c>
      <c r="O56" s="22">
        <v>1.0</v>
      </c>
      <c r="P56" s="18">
        <v>20.37</v>
      </c>
      <c r="Q56" s="14">
        <f t="shared" si="1"/>
        <v>0.34</v>
      </c>
    </row>
    <row r="57">
      <c r="A57" s="21">
        <v>43112.0</v>
      </c>
      <c r="B57" s="21" t="s">
        <v>2353</v>
      </c>
      <c r="C57" s="24">
        <v>43171.0</v>
      </c>
      <c r="D57" s="23" t="s">
        <v>2399</v>
      </c>
      <c r="E57" s="22" t="s">
        <v>20</v>
      </c>
      <c r="F57" s="22" t="s">
        <v>2523</v>
      </c>
      <c r="G57" s="22" t="s">
        <v>2524</v>
      </c>
      <c r="H57" s="22" t="s">
        <v>23</v>
      </c>
      <c r="I57" s="22" t="s">
        <v>174</v>
      </c>
      <c r="J57" s="22" t="s">
        <v>175</v>
      </c>
      <c r="K57" s="22" t="s">
        <v>100</v>
      </c>
      <c r="L57" s="22" t="s">
        <v>38</v>
      </c>
      <c r="M57" s="18">
        <v>221.55</v>
      </c>
      <c r="N57" s="18">
        <v>220.87</v>
      </c>
      <c r="O57" s="22">
        <v>1.0</v>
      </c>
      <c r="P57" s="18">
        <v>221.55</v>
      </c>
      <c r="Q57" s="14">
        <f t="shared" si="1"/>
        <v>0.68</v>
      </c>
    </row>
    <row r="58">
      <c r="A58" s="21">
        <v>43112.0</v>
      </c>
      <c r="B58" s="21" t="s">
        <v>2353</v>
      </c>
      <c r="C58" s="24">
        <v>43171.0</v>
      </c>
      <c r="D58" s="23" t="s">
        <v>2399</v>
      </c>
      <c r="E58" s="22" t="s">
        <v>20</v>
      </c>
      <c r="F58" s="22" t="s">
        <v>2523</v>
      </c>
      <c r="G58" s="22" t="s">
        <v>2524</v>
      </c>
      <c r="H58" s="22" t="s">
        <v>23</v>
      </c>
      <c r="I58" s="22" t="s">
        <v>174</v>
      </c>
      <c r="J58" s="22" t="s">
        <v>175</v>
      </c>
      <c r="K58" s="22" t="s">
        <v>100</v>
      </c>
      <c r="L58" s="22" t="s">
        <v>38</v>
      </c>
      <c r="M58" s="18">
        <v>17.52</v>
      </c>
      <c r="N58" s="18">
        <v>16.7</v>
      </c>
      <c r="O58" s="22">
        <v>1.0</v>
      </c>
      <c r="P58" s="18">
        <v>17.52</v>
      </c>
      <c r="Q58" s="14">
        <f t="shared" si="1"/>
        <v>0.82</v>
      </c>
    </row>
    <row r="59">
      <c r="A59" s="21">
        <v>42266.0</v>
      </c>
      <c r="B59" s="21" t="s">
        <v>2329</v>
      </c>
      <c r="C59" s="8" t="s">
        <v>556</v>
      </c>
      <c r="D59" s="23" t="s">
        <v>2329</v>
      </c>
      <c r="E59" s="22" t="s">
        <v>20</v>
      </c>
      <c r="F59" s="22" t="s">
        <v>2327</v>
      </c>
      <c r="G59" s="22" t="s">
        <v>2476</v>
      </c>
      <c r="H59" s="22" t="s">
        <v>34</v>
      </c>
      <c r="I59" s="22" t="s">
        <v>129</v>
      </c>
      <c r="J59" s="22" t="s">
        <v>70</v>
      </c>
      <c r="K59" s="22" t="s">
        <v>71</v>
      </c>
      <c r="L59" s="22" t="s">
        <v>51</v>
      </c>
      <c r="M59" s="18">
        <v>3059.982</v>
      </c>
      <c r="N59" s="18">
        <v>3059.67</v>
      </c>
      <c r="O59" s="22">
        <v>7.0</v>
      </c>
      <c r="P59" s="18">
        <v>21419.874</v>
      </c>
      <c r="Q59" s="14">
        <f t="shared" si="1"/>
        <v>18360.204</v>
      </c>
    </row>
    <row r="60">
      <c r="A60" s="21">
        <v>42266.0</v>
      </c>
      <c r="B60" s="21" t="s">
        <v>2329</v>
      </c>
      <c r="C60" s="8" t="s">
        <v>556</v>
      </c>
      <c r="D60" s="23" t="s">
        <v>2329</v>
      </c>
      <c r="E60" s="22" t="s">
        <v>20</v>
      </c>
      <c r="F60" s="22" t="s">
        <v>2327</v>
      </c>
      <c r="G60" s="22" t="s">
        <v>2476</v>
      </c>
      <c r="H60" s="22" t="s">
        <v>34</v>
      </c>
      <c r="I60" s="22" t="s">
        <v>129</v>
      </c>
      <c r="J60" s="22" t="s">
        <v>70</v>
      </c>
      <c r="K60" s="22" t="s">
        <v>71</v>
      </c>
      <c r="L60" s="22" t="s">
        <v>51</v>
      </c>
      <c r="M60" s="18">
        <v>2519.958</v>
      </c>
      <c r="N60" s="18">
        <v>2519.78</v>
      </c>
      <c r="O60" s="22">
        <v>7.0</v>
      </c>
      <c r="P60" s="18">
        <v>17639.706000000002</v>
      </c>
      <c r="Q60" s="14">
        <f t="shared" si="1"/>
        <v>15119.926</v>
      </c>
    </row>
    <row r="61">
      <c r="A61" s="21">
        <v>43462.0</v>
      </c>
      <c r="B61" s="21" t="s">
        <v>2325</v>
      </c>
      <c r="C61" s="24">
        <v>43497.0</v>
      </c>
      <c r="D61" s="23" t="s">
        <v>2431</v>
      </c>
      <c r="E61" s="22" t="s">
        <v>20</v>
      </c>
      <c r="F61" s="22" t="s">
        <v>2533</v>
      </c>
      <c r="G61" s="22" t="s">
        <v>2534</v>
      </c>
      <c r="H61" s="22" t="s">
        <v>34</v>
      </c>
      <c r="I61" s="22" t="s">
        <v>87</v>
      </c>
      <c r="J61" s="22" t="s">
        <v>52</v>
      </c>
      <c r="K61" s="22" t="s">
        <v>37</v>
      </c>
      <c r="L61" s="22" t="s">
        <v>38</v>
      </c>
      <c r="M61" s="18">
        <v>725.84</v>
      </c>
      <c r="N61" s="18">
        <v>725.11</v>
      </c>
      <c r="O61" s="22">
        <v>9.0</v>
      </c>
      <c r="P61" s="18">
        <v>6532.56</v>
      </c>
      <c r="Q61" s="14">
        <f t="shared" si="1"/>
        <v>5807.45</v>
      </c>
    </row>
    <row r="62">
      <c r="A62" s="21">
        <v>42639.0</v>
      </c>
      <c r="B62" s="21" t="s">
        <v>2329</v>
      </c>
      <c r="C62" s="8" t="s">
        <v>594</v>
      </c>
      <c r="D62" s="23" t="s">
        <v>2329</v>
      </c>
      <c r="E62" s="22" t="s">
        <v>20</v>
      </c>
      <c r="F62" s="22" t="s">
        <v>2436</v>
      </c>
      <c r="G62" s="22" t="s">
        <v>2437</v>
      </c>
      <c r="H62" s="22" t="s">
        <v>23</v>
      </c>
      <c r="I62" s="22" t="s">
        <v>129</v>
      </c>
      <c r="J62" s="22" t="s">
        <v>70</v>
      </c>
      <c r="K62" s="22" t="s">
        <v>71</v>
      </c>
      <c r="L62" s="22" t="s">
        <v>38</v>
      </c>
      <c r="M62" s="18">
        <v>2.08</v>
      </c>
      <c r="N62" s="18">
        <v>1.98</v>
      </c>
      <c r="O62" s="22">
        <v>7.0</v>
      </c>
      <c r="P62" s="18">
        <v>14.56</v>
      </c>
      <c r="Q62" s="14">
        <f t="shared" si="1"/>
        <v>12.58</v>
      </c>
    </row>
    <row r="63">
      <c r="A63" s="21">
        <v>42639.0</v>
      </c>
      <c r="B63" s="21" t="s">
        <v>2329</v>
      </c>
      <c r="C63" s="8" t="s">
        <v>594</v>
      </c>
      <c r="D63" s="23" t="s">
        <v>2329</v>
      </c>
      <c r="E63" s="22" t="s">
        <v>20</v>
      </c>
      <c r="F63" s="22" t="s">
        <v>2436</v>
      </c>
      <c r="G63" s="22" t="s">
        <v>2437</v>
      </c>
      <c r="H63" s="22" t="s">
        <v>23</v>
      </c>
      <c r="I63" s="22" t="s">
        <v>129</v>
      </c>
      <c r="J63" s="22" t="s">
        <v>70</v>
      </c>
      <c r="K63" s="22" t="s">
        <v>71</v>
      </c>
      <c r="L63" s="22" t="s">
        <v>51</v>
      </c>
      <c r="M63" s="18">
        <v>1114.4</v>
      </c>
      <c r="N63" s="18">
        <v>1113.53</v>
      </c>
      <c r="O63" s="22">
        <v>7.0</v>
      </c>
      <c r="P63" s="18">
        <v>7800.800000000001</v>
      </c>
      <c r="Q63" s="14">
        <f t="shared" si="1"/>
        <v>6687.27</v>
      </c>
    </row>
    <row r="64">
      <c r="A64" s="21">
        <v>43087.0</v>
      </c>
      <c r="B64" s="21" t="s">
        <v>2325</v>
      </c>
      <c r="C64" s="8" t="s">
        <v>600</v>
      </c>
      <c r="D64" s="23" t="s">
        <v>2325</v>
      </c>
      <c r="E64" s="22" t="s">
        <v>20</v>
      </c>
      <c r="F64" s="22" t="s">
        <v>2438</v>
      </c>
      <c r="G64" s="22" t="s">
        <v>2539</v>
      </c>
      <c r="H64" s="22" t="s">
        <v>34</v>
      </c>
      <c r="I64" s="22" t="s">
        <v>603</v>
      </c>
      <c r="J64" s="22" t="s">
        <v>145</v>
      </c>
      <c r="K64" s="22" t="s">
        <v>26</v>
      </c>
      <c r="L64" s="22" t="s">
        <v>38</v>
      </c>
      <c r="M64" s="18">
        <v>254.058</v>
      </c>
      <c r="N64" s="18">
        <v>253.74</v>
      </c>
      <c r="O64" s="22">
        <v>3.0</v>
      </c>
      <c r="P64" s="18">
        <v>762.174</v>
      </c>
      <c r="Q64" s="14">
        <f t="shared" si="1"/>
        <v>508.434</v>
      </c>
    </row>
    <row r="65">
      <c r="A65" s="21">
        <v>43087.0</v>
      </c>
      <c r="B65" s="21" t="s">
        <v>2325</v>
      </c>
      <c r="C65" s="8" t="s">
        <v>600</v>
      </c>
      <c r="D65" s="23" t="s">
        <v>2325</v>
      </c>
      <c r="E65" s="22" t="s">
        <v>20</v>
      </c>
      <c r="F65" s="22" t="s">
        <v>2438</v>
      </c>
      <c r="G65" s="22" t="s">
        <v>2539</v>
      </c>
      <c r="H65" s="22" t="s">
        <v>34</v>
      </c>
      <c r="I65" s="22" t="s">
        <v>603</v>
      </c>
      <c r="J65" s="22" t="s">
        <v>145</v>
      </c>
      <c r="K65" s="22" t="s">
        <v>26</v>
      </c>
      <c r="L65" s="22" t="s">
        <v>38</v>
      </c>
      <c r="M65" s="18">
        <v>194.528</v>
      </c>
      <c r="N65" s="18">
        <v>193.93</v>
      </c>
      <c r="O65" s="22">
        <v>3.0</v>
      </c>
      <c r="P65" s="18">
        <v>583.584</v>
      </c>
      <c r="Q65" s="14">
        <f t="shared" si="1"/>
        <v>389.654</v>
      </c>
    </row>
    <row r="66">
      <c r="A66" s="21">
        <v>43087.0</v>
      </c>
      <c r="B66" s="21" t="s">
        <v>2325</v>
      </c>
      <c r="C66" s="8" t="s">
        <v>600</v>
      </c>
      <c r="D66" s="23" t="s">
        <v>2325</v>
      </c>
      <c r="E66" s="22" t="s">
        <v>20</v>
      </c>
      <c r="F66" s="22" t="s">
        <v>2438</v>
      </c>
      <c r="G66" s="22" t="s">
        <v>2539</v>
      </c>
      <c r="H66" s="22" t="s">
        <v>34</v>
      </c>
      <c r="I66" s="22" t="s">
        <v>603</v>
      </c>
      <c r="J66" s="22" t="s">
        <v>145</v>
      </c>
      <c r="K66" s="22" t="s">
        <v>26</v>
      </c>
      <c r="L66" s="22" t="s">
        <v>38</v>
      </c>
      <c r="M66" s="18">
        <v>961.48</v>
      </c>
      <c r="N66" s="18">
        <v>961.3</v>
      </c>
      <c r="O66" s="22">
        <v>3.0</v>
      </c>
      <c r="P66" s="18">
        <v>2884.44</v>
      </c>
      <c r="Q66" s="14">
        <f t="shared" si="1"/>
        <v>1923.14</v>
      </c>
    </row>
    <row r="67">
      <c r="A67" s="21">
        <v>43059.0</v>
      </c>
      <c r="B67" s="21" t="s">
        <v>2326</v>
      </c>
      <c r="C67" s="8" t="s">
        <v>381</v>
      </c>
      <c r="D67" s="23" t="s">
        <v>2326</v>
      </c>
      <c r="E67" s="22" t="s">
        <v>20</v>
      </c>
      <c r="F67" s="22" t="s">
        <v>2540</v>
      </c>
      <c r="G67" s="22" t="s">
        <v>2421</v>
      </c>
      <c r="H67" s="22" t="s">
        <v>68</v>
      </c>
      <c r="I67" s="22" t="s">
        <v>303</v>
      </c>
      <c r="J67" s="22" t="s">
        <v>304</v>
      </c>
      <c r="K67" s="22" t="s">
        <v>100</v>
      </c>
      <c r="L67" s="22" t="s">
        <v>38</v>
      </c>
      <c r="M67" s="18">
        <v>19.096</v>
      </c>
      <c r="N67" s="18">
        <v>18.34</v>
      </c>
      <c r="O67" s="22">
        <v>4.0</v>
      </c>
      <c r="P67" s="18">
        <v>76.384</v>
      </c>
      <c r="Q67" s="14">
        <f t="shared" si="1"/>
        <v>58.044</v>
      </c>
    </row>
    <row r="68">
      <c r="A68" s="21">
        <v>43059.0</v>
      </c>
      <c r="B68" s="21" t="s">
        <v>2326</v>
      </c>
      <c r="C68" s="8" t="s">
        <v>381</v>
      </c>
      <c r="D68" s="23" t="s">
        <v>2326</v>
      </c>
      <c r="E68" s="22" t="s">
        <v>20</v>
      </c>
      <c r="F68" s="22" t="s">
        <v>2540</v>
      </c>
      <c r="G68" s="22" t="s">
        <v>2421</v>
      </c>
      <c r="H68" s="22" t="s">
        <v>68</v>
      </c>
      <c r="I68" s="22" t="s">
        <v>303</v>
      </c>
      <c r="J68" s="22" t="s">
        <v>304</v>
      </c>
      <c r="K68" s="22" t="s">
        <v>100</v>
      </c>
      <c r="L68" s="22" t="s">
        <v>38</v>
      </c>
      <c r="M68" s="18">
        <v>18.496</v>
      </c>
      <c r="N68" s="18">
        <v>18.02</v>
      </c>
      <c r="O68" s="22">
        <v>4.0</v>
      </c>
      <c r="P68" s="18">
        <v>73.984</v>
      </c>
      <c r="Q68" s="14">
        <f t="shared" si="1"/>
        <v>55.964</v>
      </c>
    </row>
    <row r="69">
      <c r="A69" s="21">
        <v>43059.0</v>
      </c>
      <c r="B69" s="21" t="s">
        <v>2326</v>
      </c>
      <c r="C69" s="8" t="s">
        <v>381</v>
      </c>
      <c r="D69" s="23" t="s">
        <v>2326</v>
      </c>
      <c r="E69" s="22" t="s">
        <v>20</v>
      </c>
      <c r="F69" s="22" t="s">
        <v>2540</v>
      </c>
      <c r="G69" s="22" t="s">
        <v>2421</v>
      </c>
      <c r="H69" s="22" t="s">
        <v>68</v>
      </c>
      <c r="I69" s="22" t="s">
        <v>303</v>
      </c>
      <c r="J69" s="22" t="s">
        <v>304</v>
      </c>
      <c r="K69" s="22" t="s">
        <v>100</v>
      </c>
      <c r="L69" s="22" t="s">
        <v>51</v>
      </c>
      <c r="M69" s="18">
        <v>255.984</v>
      </c>
      <c r="N69" s="18">
        <v>255.27</v>
      </c>
      <c r="O69" s="22">
        <v>4.0</v>
      </c>
      <c r="P69" s="18">
        <v>1023.936</v>
      </c>
      <c r="Q69" s="14">
        <f t="shared" si="1"/>
        <v>768.666</v>
      </c>
    </row>
    <row r="70">
      <c r="A70" s="21">
        <v>43059.0</v>
      </c>
      <c r="B70" s="21" t="s">
        <v>2326</v>
      </c>
      <c r="C70" s="8" t="s">
        <v>381</v>
      </c>
      <c r="D70" s="23" t="s">
        <v>2326</v>
      </c>
      <c r="E70" s="22" t="s">
        <v>20</v>
      </c>
      <c r="F70" s="22" t="s">
        <v>2540</v>
      </c>
      <c r="G70" s="22" t="s">
        <v>2421</v>
      </c>
      <c r="H70" s="22" t="s">
        <v>68</v>
      </c>
      <c r="I70" s="22" t="s">
        <v>303</v>
      </c>
      <c r="J70" s="22" t="s">
        <v>304</v>
      </c>
      <c r="K70" s="22" t="s">
        <v>100</v>
      </c>
      <c r="L70" s="22" t="s">
        <v>27</v>
      </c>
      <c r="M70" s="18">
        <v>86.97</v>
      </c>
      <c r="N70" s="18">
        <v>86.48</v>
      </c>
      <c r="O70" s="22">
        <v>4.0</v>
      </c>
      <c r="P70" s="18">
        <v>347.88</v>
      </c>
      <c r="Q70" s="14">
        <f t="shared" si="1"/>
        <v>261.4</v>
      </c>
    </row>
    <row r="71">
      <c r="A71" s="21">
        <v>42465.0</v>
      </c>
      <c r="B71" s="21" t="s">
        <v>2332</v>
      </c>
      <c r="C71" s="24">
        <v>42618.0</v>
      </c>
      <c r="D71" s="23" t="s">
        <v>2329</v>
      </c>
      <c r="E71" s="22" t="s">
        <v>20</v>
      </c>
      <c r="F71" s="22" t="s">
        <v>2438</v>
      </c>
      <c r="G71" s="22" t="s">
        <v>2542</v>
      </c>
      <c r="H71" s="22" t="s">
        <v>34</v>
      </c>
      <c r="I71" s="22" t="s">
        <v>174</v>
      </c>
      <c r="J71" s="22" t="s">
        <v>175</v>
      </c>
      <c r="K71" s="22" t="s">
        <v>100</v>
      </c>
      <c r="L71" s="22" t="s">
        <v>27</v>
      </c>
      <c r="M71" s="18">
        <v>26.8</v>
      </c>
      <c r="N71" s="18">
        <v>25.99</v>
      </c>
      <c r="O71" s="22">
        <v>1.0</v>
      </c>
      <c r="P71" s="18">
        <v>26.8</v>
      </c>
      <c r="Q71" s="14">
        <f t="shared" si="1"/>
        <v>0.81</v>
      </c>
    </row>
    <row r="72">
      <c r="A72" s="21">
        <v>43078.0</v>
      </c>
      <c r="B72" s="21" t="s">
        <v>2325</v>
      </c>
      <c r="C72" s="8" t="s">
        <v>630</v>
      </c>
      <c r="D72" s="23" t="s">
        <v>2329</v>
      </c>
      <c r="E72" s="22" t="s">
        <v>20</v>
      </c>
      <c r="F72" s="22" t="s">
        <v>2546</v>
      </c>
      <c r="G72" s="22" t="s">
        <v>2547</v>
      </c>
      <c r="H72" s="22" t="s">
        <v>34</v>
      </c>
      <c r="I72" s="22" t="s">
        <v>633</v>
      </c>
      <c r="J72" s="22" t="s">
        <v>279</v>
      </c>
      <c r="K72" s="22" t="s">
        <v>37</v>
      </c>
      <c r="L72" s="22" t="s">
        <v>27</v>
      </c>
      <c r="M72" s="18">
        <v>15.136</v>
      </c>
      <c r="N72" s="18">
        <v>14.89</v>
      </c>
      <c r="O72" s="22">
        <v>8.0</v>
      </c>
      <c r="P72" s="18">
        <v>121.088</v>
      </c>
      <c r="Q72" s="14">
        <f t="shared" si="1"/>
        <v>106.198</v>
      </c>
    </row>
    <row r="73">
      <c r="A73" s="21">
        <v>43078.0</v>
      </c>
      <c r="B73" s="21" t="s">
        <v>2325</v>
      </c>
      <c r="C73" s="8" t="s">
        <v>630</v>
      </c>
      <c r="D73" s="23" t="s">
        <v>2329</v>
      </c>
      <c r="E73" s="22" t="s">
        <v>20</v>
      </c>
      <c r="F73" s="22" t="s">
        <v>2546</v>
      </c>
      <c r="G73" s="22" t="s">
        <v>2547</v>
      </c>
      <c r="H73" s="22" t="s">
        <v>34</v>
      </c>
      <c r="I73" s="22" t="s">
        <v>633</v>
      </c>
      <c r="J73" s="22" t="s">
        <v>279</v>
      </c>
      <c r="K73" s="22" t="s">
        <v>37</v>
      </c>
      <c r="L73" s="22" t="s">
        <v>27</v>
      </c>
      <c r="M73" s="18">
        <v>466.768</v>
      </c>
      <c r="N73" s="18">
        <v>465.9</v>
      </c>
      <c r="O73" s="22">
        <v>8.0</v>
      </c>
      <c r="P73" s="18">
        <v>3734.144</v>
      </c>
      <c r="Q73" s="14">
        <f t="shared" si="1"/>
        <v>3268.244</v>
      </c>
    </row>
    <row r="74">
      <c r="A74" s="21">
        <v>43078.0</v>
      </c>
      <c r="B74" s="21" t="s">
        <v>2325</v>
      </c>
      <c r="C74" s="8" t="s">
        <v>630</v>
      </c>
      <c r="D74" s="23" t="s">
        <v>2329</v>
      </c>
      <c r="E74" s="22" t="s">
        <v>20</v>
      </c>
      <c r="F74" s="22" t="s">
        <v>2546</v>
      </c>
      <c r="G74" s="22" t="s">
        <v>2547</v>
      </c>
      <c r="H74" s="22" t="s">
        <v>34</v>
      </c>
      <c r="I74" s="22" t="s">
        <v>633</v>
      </c>
      <c r="J74" s="22" t="s">
        <v>279</v>
      </c>
      <c r="K74" s="22" t="s">
        <v>37</v>
      </c>
      <c r="L74" s="22" t="s">
        <v>27</v>
      </c>
      <c r="M74" s="18">
        <v>15.232</v>
      </c>
      <c r="N74" s="18">
        <v>14.76</v>
      </c>
      <c r="O74" s="22">
        <v>8.0</v>
      </c>
      <c r="P74" s="18">
        <v>121.856</v>
      </c>
      <c r="Q74" s="14">
        <f t="shared" si="1"/>
        <v>107.096</v>
      </c>
    </row>
    <row r="75">
      <c r="A75" s="21">
        <v>43078.0</v>
      </c>
      <c r="B75" s="21" t="s">
        <v>2325</v>
      </c>
      <c r="C75" s="8" t="s">
        <v>630</v>
      </c>
      <c r="D75" s="23" t="s">
        <v>2329</v>
      </c>
      <c r="E75" s="22" t="s">
        <v>20</v>
      </c>
      <c r="F75" s="22" t="s">
        <v>2546</v>
      </c>
      <c r="G75" s="22" t="s">
        <v>2547</v>
      </c>
      <c r="H75" s="22" t="s">
        <v>34</v>
      </c>
      <c r="I75" s="22" t="s">
        <v>633</v>
      </c>
      <c r="J75" s="22" t="s">
        <v>279</v>
      </c>
      <c r="K75" s="22" t="s">
        <v>37</v>
      </c>
      <c r="L75" s="22" t="s">
        <v>38</v>
      </c>
      <c r="M75" s="18">
        <v>6.264</v>
      </c>
      <c r="N75" s="18">
        <v>5.52</v>
      </c>
      <c r="O75" s="22">
        <v>8.0</v>
      </c>
      <c r="P75" s="18">
        <v>50.112</v>
      </c>
      <c r="Q75" s="14">
        <f t="shared" si="1"/>
        <v>44.592</v>
      </c>
    </row>
    <row r="76">
      <c r="A76" s="21">
        <v>43170.0</v>
      </c>
      <c r="B76" s="21" t="s">
        <v>2399</v>
      </c>
      <c r="C76" s="24">
        <v>43231.0</v>
      </c>
      <c r="D76" s="23" t="s">
        <v>2335</v>
      </c>
      <c r="E76" s="22" t="s">
        <v>20</v>
      </c>
      <c r="F76" s="22" t="s">
        <v>2558</v>
      </c>
      <c r="G76" s="22" t="s">
        <v>2471</v>
      </c>
      <c r="H76" s="22" t="s">
        <v>34</v>
      </c>
      <c r="I76" s="22" t="s">
        <v>663</v>
      </c>
      <c r="J76" s="22" t="s">
        <v>210</v>
      </c>
      <c r="K76" s="22" t="s">
        <v>26</v>
      </c>
      <c r="L76" s="22" t="s">
        <v>27</v>
      </c>
      <c r="M76" s="18">
        <v>15.992</v>
      </c>
      <c r="N76" s="18">
        <v>15.43</v>
      </c>
      <c r="O76" s="22">
        <v>3.0</v>
      </c>
      <c r="P76" s="18">
        <v>47.976</v>
      </c>
      <c r="Q76" s="14">
        <f t="shared" si="1"/>
        <v>32.546</v>
      </c>
    </row>
    <row r="77">
      <c r="A77" s="21">
        <v>42850.0</v>
      </c>
      <c r="B77" s="21" t="s">
        <v>2332</v>
      </c>
      <c r="C77" s="8" t="s">
        <v>668</v>
      </c>
      <c r="D77" s="23" t="s">
        <v>2332</v>
      </c>
      <c r="E77" s="22" t="s">
        <v>20</v>
      </c>
      <c r="F77" s="22" t="s">
        <v>2560</v>
      </c>
      <c r="G77" s="22" t="s">
        <v>2561</v>
      </c>
      <c r="H77" s="22" t="s">
        <v>23</v>
      </c>
      <c r="I77" s="22" t="s">
        <v>98</v>
      </c>
      <c r="J77" s="22" t="s">
        <v>99</v>
      </c>
      <c r="K77" s="22" t="s">
        <v>100</v>
      </c>
      <c r="L77" s="22" t="s">
        <v>51</v>
      </c>
      <c r="M77" s="18">
        <v>82.8</v>
      </c>
      <c r="N77" s="18">
        <v>82.11</v>
      </c>
      <c r="O77" s="22">
        <v>1.0</v>
      </c>
      <c r="P77" s="18">
        <v>82.8</v>
      </c>
      <c r="Q77" s="14">
        <f t="shared" si="1"/>
        <v>0.69</v>
      </c>
    </row>
    <row r="78">
      <c r="A78" s="21">
        <v>42850.0</v>
      </c>
      <c r="B78" s="21" t="s">
        <v>2332</v>
      </c>
      <c r="C78" s="8" t="s">
        <v>668</v>
      </c>
      <c r="D78" s="23" t="s">
        <v>2332</v>
      </c>
      <c r="E78" s="22" t="s">
        <v>20</v>
      </c>
      <c r="F78" s="22" t="s">
        <v>2560</v>
      </c>
      <c r="G78" s="22" t="s">
        <v>2561</v>
      </c>
      <c r="H78" s="22" t="s">
        <v>23</v>
      </c>
      <c r="I78" s="22" t="s">
        <v>98</v>
      </c>
      <c r="J78" s="22" t="s">
        <v>99</v>
      </c>
      <c r="K78" s="22" t="s">
        <v>100</v>
      </c>
      <c r="L78" s="22" t="s">
        <v>38</v>
      </c>
      <c r="M78" s="18">
        <v>20.724</v>
      </c>
      <c r="N78" s="18">
        <v>20.19</v>
      </c>
      <c r="O78" s="22">
        <v>1.0</v>
      </c>
      <c r="P78" s="18">
        <v>20.724</v>
      </c>
      <c r="Q78" s="14">
        <f t="shared" si="1"/>
        <v>0.534</v>
      </c>
    </row>
    <row r="79">
      <c r="A79" s="21">
        <v>42850.0</v>
      </c>
      <c r="B79" s="21" t="s">
        <v>2332</v>
      </c>
      <c r="C79" s="8" t="s">
        <v>668</v>
      </c>
      <c r="D79" s="23" t="s">
        <v>2332</v>
      </c>
      <c r="E79" s="22" t="s">
        <v>20</v>
      </c>
      <c r="F79" s="22" t="s">
        <v>2560</v>
      </c>
      <c r="G79" s="22" t="s">
        <v>2561</v>
      </c>
      <c r="H79" s="22" t="s">
        <v>23</v>
      </c>
      <c r="I79" s="22" t="s">
        <v>98</v>
      </c>
      <c r="J79" s="22" t="s">
        <v>99</v>
      </c>
      <c r="K79" s="22" t="s">
        <v>100</v>
      </c>
      <c r="L79" s="22" t="s">
        <v>38</v>
      </c>
      <c r="M79" s="18">
        <v>4.896</v>
      </c>
      <c r="N79" s="18">
        <v>4.8</v>
      </c>
      <c r="O79" s="22">
        <v>1.0</v>
      </c>
      <c r="P79" s="18">
        <v>4.896</v>
      </c>
      <c r="Q79" s="14">
        <f t="shared" si="1"/>
        <v>0.096</v>
      </c>
    </row>
    <row r="80">
      <c r="A80" s="21">
        <v>42378.0</v>
      </c>
      <c r="B80" s="21" t="s">
        <v>2353</v>
      </c>
      <c r="C80" s="24">
        <v>42469.0</v>
      </c>
      <c r="D80" s="23" t="s">
        <v>2332</v>
      </c>
      <c r="E80" s="22" t="s">
        <v>20</v>
      </c>
      <c r="F80" s="22" t="s">
        <v>2562</v>
      </c>
      <c r="G80" s="22" t="s">
        <v>2563</v>
      </c>
      <c r="H80" s="22" t="s">
        <v>23</v>
      </c>
      <c r="I80" s="22" t="s">
        <v>35</v>
      </c>
      <c r="J80" s="22" t="s">
        <v>52</v>
      </c>
      <c r="K80" s="22" t="s">
        <v>37</v>
      </c>
      <c r="L80" s="22" t="s">
        <v>38</v>
      </c>
      <c r="M80" s="18">
        <v>4.752</v>
      </c>
      <c r="N80" s="18">
        <v>4.63</v>
      </c>
      <c r="O80" s="22">
        <v>9.0</v>
      </c>
      <c r="P80" s="18">
        <v>42.768</v>
      </c>
      <c r="Q80" s="14">
        <f t="shared" si="1"/>
        <v>38.138</v>
      </c>
    </row>
    <row r="81">
      <c r="A81" s="21">
        <v>42378.0</v>
      </c>
      <c r="B81" s="21" t="s">
        <v>2353</v>
      </c>
      <c r="C81" s="24">
        <v>42469.0</v>
      </c>
      <c r="D81" s="23" t="s">
        <v>2332</v>
      </c>
      <c r="E81" s="22" t="s">
        <v>20</v>
      </c>
      <c r="F81" s="22" t="s">
        <v>2562</v>
      </c>
      <c r="G81" s="22" t="s">
        <v>2563</v>
      </c>
      <c r="H81" s="22" t="s">
        <v>23</v>
      </c>
      <c r="I81" s="22" t="s">
        <v>35</v>
      </c>
      <c r="J81" s="22" t="s">
        <v>52</v>
      </c>
      <c r="K81" s="22" t="s">
        <v>37</v>
      </c>
      <c r="L81" s="22" t="s">
        <v>51</v>
      </c>
      <c r="M81" s="18">
        <v>959.984</v>
      </c>
      <c r="N81" s="18">
        <v>959.68</v>
      </c>
      <c r="O81" s="22">
        <v>9.0</v>
      </c>
      <c r="P81" s="18">
        <v>8639.856</v>
      </c>
      <c r="Q81" s="14">
        <f t="shared" si="1"/>
        <v>7680.176</v>
      </c>
    </row>
    <row r="82">
      <c r="A82" s="21">
        <v>42378.0</v>
      </c>
      <c r="B82" s="21" t="s">
        <v>2353</v>
      </c>
      <c r="C82" s="24">
        <v>42469.0</v>
      </c>
      <c r="D82" s="23" t="s">
        <v>2332</v>
      </c>
      <c r="E82" s="22" t="s">
        <v>20</v>
      </c>
      <c r="F82" s="22" t="s">
        <v>2562</v>
      </c>
      <c r="G82" s="22" t="s">
        <v>2563</v>
      </c>
      <c r="H82" s="22" t="s">
        <v>23</v>
      </c>
      <c r="I82" s="22" t="s">
        <v>35</v>
      </c>
      <c r="J82" s="22" t="s">
        <v>52</v>
      </c>
      <c r="K82" s="22" t="s">
        <v>37</v>
      </c>
      <c r="L82" s="22" t="s">
        <v>38</v>
      </c>
      <c r="M82" s="18">
        <v>14.368</v>
      </c>
      <c r="N82" s="18">
        <v>13.73</v>
      </c>
      <c r="O82" s="22">
        <v>9.0</v>
      </c>
      <c r="P82" s="18">
        <v>129.312</v>
      </c>
      <c r="Q82" s="14">
        <f t="shared" si="1"/>
        <v>115.582</v>
      </c>
    </row>
    <row r="83">
      <c r="A83" s="21">
        <v>42543.0</v>
      </c>
      <c r="B83" s="21" t="s">
        <v>2374</v>
      </c>
      <c r="C83" s="8" t="s">
        <v>679</v>
      </c>
      <c r="D83" s="23" t="s">
        <v>2374</v>
      </c>
      <c r="E83" s="22" t="s">
        <v>20</v>
      </c>
      <c r="F83" s="22" t="s">
        <v>2346</v>
      </c>
      <c r="G83" s="22" t="s">
        <v>2514</v>
      </c>
      <c r="H83" s="22" t="s">
        <v>23</v>
      </c>
      <c r="I83" s="22" t="s">
        <v>680</v>
      </c>
      <c r="J83" s="22" t="s">
        <v>83</v>
      </c>
      <c r="K83" s="22" t="s">
        <v>37</v>
      </c>
      <c r="L83" s="22" t="s">
        <v>38</v>
      </c>
      <c r="M83" s="18">
        <v>4.96</v>
      </c>
      <c r="N83" s="18">
        <v>4.45</v>
      </c>
      <c r="O83" s="22">
        <v>8.0</v>
      </c>
      <c r="P83" s="18">
        <v>39.68</v>
      </c>
      <c r="Q83" s="14">
        <f t="shared" si="1"/>
        <v>35.23</v>
      </c>
    </row>
    <row r="84">
      <c r="A84" s="21">
        <v>42107.0</v>
      </c>
      <c r="B84" s="21" t="s">
        <v>2332</v>
      </c>
      <c r="C84" s="8" t="s">
        <v>682</v>
      </c>
      <c r="D84" s="23" t="s">
        <v>2332</v>
      </c>
      <c r="E84" s="22" t="s">
        <v>20</v>
      </c>
      <c r="F84" s="22" t="s">
        <v>2447</v>
      </c>
      <c r="G84" s="22" t="s">
        <v>2448</v>
      </c>
      <c r="H84" s="22" t="s">
        <v>34</v>
      </c>
      <c r="I84" s="22" t="s">
        <v>98</v>
      </c>
      <c r="J84" s="22" t="s">
        <v>99</v>
      </c>
      <c r="K84" s="22" t="s">
        <v>100</v>
      </c>
      <c r="L84" s="22" t="s">
        <v>38</v>
      </c>
      <c r="M84" s="18">
        <v>17.856</v>
      </c>
      <c r="N84" s="18">
        <v>17.12</v>
      </c>
      <c r="O84" s="22">
        <v>1.0</v>
      </c>
      <c r="P84" s="18">
        <v>17.856</v>
      </c>
      <c r="Q84" s="14">
        <f t="shared" si="1"/>
        <v>0.736</v>
      </c>
    </row>
    <row r="85">
      <c r="A85" s="21">
        <v>42107.0</v>
      </c>
      <c r="B85" s="21" t="s">
        <v>2332</v>
      </c>
      <c r="C85" s="8" t="s">
        <v>682</v>
      </c>
      <c r="D85" s="23" t="s">
        <v>2332</v>
      </c>
      <c r="E85" s="22" t="s">
        <v>20</v>
      </c>
      <c r="F85" s="22" t="s">
        <v>2447</v>
      </c>
      <c r="G85" s="22" t="s">
        <v>2448</v>
      </c>
      <c r="H85" s="22" t="s">
        <v>34</v>
      </c>
      <c r="I85" s="22" t="s">
        <v>98</v>
      </c>
      <c r="J85" s="22" t="s">
        <v>99</v>
      </c>
      <c r="K85" s="22" t="s">
        <v>100</v>
      </c>
      <c r="L85" s="22" t="s">
        <v>38</v>
      </c>
      <c r="M85" s="18">
        <v>509.97</v>
      </c>
      <c r="N85" s="18">
        <v>509.93</v>
      </c>
      <c r="O85" s="22">
        <v>1.0</v>
      </c>
      <c r="P85" s="18">
        <v>509.97</v>
      </c>
      <c r="Q85" s="14">
        <f t="shared" si="1"/>
        <v>0.04</v>
      </c>
    </row>
    <row r="86">
      <c r="A86" s="21">
        <v>42107.0</v>
      </c>
      <c r="B86" s="21" t="s">
        <v>2332</v>
      </c>
      <c r="C86" s="8" t="s">
        <v>682</v>
      </c>
      <c r="D86" s="23" t="s">
        <v>2332</v>
      </c>
      <c r="E86" s="22" t="s">
        <v>20</v>
      </c>
      <c r="F86" s="22" t="s">
        <v>2447</v>
      </c>
      <c r="G86" s="22" t="s">
        <v>2448</v>
      </c>
      <c r="H86" s="22" t="s">
        <v>34</v>
      </c>
      <c r="I86" s="22" t="s">
        <v>98</v>
      </c>
      <c r="J86" s="22" t="s">
        <v>99</v>
      </c>
      <c r="K86" s="22" t="s">
        <v>100</v>
      </c>
      <c r="L86" s="22" t="s">
        <v>38</v>
      </c>
      <c r="M86" s="18">
        <v>30.992</v>
      </c>
      <c r="N86" s="18">
        <v>30.06</v>
      </c>
      <c r="O86" s="22">
        <v>1.0</v>
      </c>
      <c r="P86" s="18">
        <v>30.992</v>
      </c>
      <c r="Q86" s="14">
        <f t="shared" si="1"/>
        <v>0.932</v>
      </c>
    </row>
    <row r="87">
      <c r="A87" s="21">
        <v>42107.0</v>
      </c>
      <c r="B87" s="21" t="s">
        <v>2332</v>
      </c>
      <c r="C87" s="8" t="s">
        <v>682</v>
      </c>
      <c r="D87" s="23" t="s">
        <v>2332</v>
      </c>
      <c r="E87" s="22" t="s">
        <v>20</v>
      </c>
      <c r="F87" s="22" t="s">
        <v>2447</v>
      </c>
      <c r="G87" s="22" t="s">
        <v>2448</v>
      </c>
      <c r="H87" s="22" t="s">
        <v>34</v>
      </c>
      <c r="I87" s="22" t="s">
        <v>98</v>
      </c>
      <c r="J87" s="22" t="s">
        <v>99</v>
      </c>
      <c r="K87" s="22" t="s">
        <v>100</v>
      </c>
      <c r="L87" s="22" t="s">
        <v>51</v>
      </c>
      <c r="M87" s="18">
        <v>71.928</v>
      </c>
      <c r="N87" s="18">
        <v>71.77</v>
      </c>
      <c r="O87" s="22">
        <v>1.0</v>
      </c>
      <c r="P87" s="18">
        <v>71.928</v>
      </c>
      <c r="Q87" s="14">
        <f t="shared" si="1"/>
        <v>0.158</v>
      </c>
    </row>
    <row r="88">
      <c r="A88" s="21">
        <v>42547.0</v>
      </c>
      <c r="B88" s="21" t="s">
        <v>2374</v>
      </c>
      <c r="C88" s="8" t="s">
        <v>745</v>
      </c>
      <c r="D88" s="23" t="s">
        <v>2374</v>
      </c>
      <c r="E88" s="22" t="s">
        <v>20</v>
      </c>
      <c r="F88" s="22" t="s">
        <v>2586</v>
      </c>
      <c r="G88" s="22" t="s">
        <v>2424</v>
      </c>
      <c r="H88" s="22" t="s">
        <v>34</v>
      </c>
      <c r="I88" s="22" t="s">
        <v>619</v>
      </c>
      <c r="J88" s="22" t="s">
        <v>157</v>
      </c>
      <c r="K88" s="22" t="s">
        <v>71</v>
      </c>
      <c r="L88" s="22" t="s">
        <v>51</v>
      </c>
      <c r="M88" s="18">
        <v>41.9</v>
      </c>
      <c r="N88" s="18">
        <v>41.31</v>
      </c>
      <c r="O88" s="22">
        <v>4.0</v>
      </c>
      <c r="P88" s="18">
        <v>167.6</v>
      </c>
      <c r="Q88" s="14">
        <f t="shared" si="1"/>
        <v>126.29</v>
      </c>
    </row>
    <row r="89">
      <c r="A89" s="21">
        <v>42268.0</v>
      </c>
      <c r="B89" s="21" t="s">
        <v>2329</v>
      </c>
      <c r="C89" s="8" t="s">
        <v>764</v>
      </c>
      <c r="D89" s="23" t="s">
        <v>2329</v>
      </c>
      <c r="E89" s="22" t="s">
        <v>20</v>
      </c>
      <c r="F89" s="22" t="s">
        <v>2594</v>
      </c>
      <c r="G89" s="22" t="s">
        <v>2595</v>
      </c>
      <c r="H89" s="22" t="s">
        <v>23</v>
      </c>
      <c r="I89" s="22" t="s">
        <v>767</v>
      </c>
      <c r="J89" s="22" t="s">
        <v>63</v>
      </c>
      <c r="K89" s="22" t="s">
        <v>37</v>
      </c>
      <c r="L89" s="22" t="s">
        <v>51</v>
      </c>
      <c r="M89" s="18">
        <v>246.384</v>
      </c>
      <c r="N89" s="18">
        <v>245.6</v>
      </c>
      <c r="O89" s="22">
        <v>9.0</v>
      </c>
      <c r="P89" s="18">
        <v>2217.4559999999997</v>
      </c>
      <c r="Q89" s="14">
        <f t="shared" si="1"/>
        <v>1971.856</v>
      </c>
    </row>
    <row r="90">
      <c r="A90" s="21">
        <v>42268.0</v>
      </c>
      <c r="B90" s="21" t="s">
        <v>2329</v>
      </c>
      <c r="C90" s="8" t="s">
        <v>764</v>
      </c>
      <c r="D90" s="23" t="s">
        <v>2329</v>
      </c>
      <c r="E90" s="22" t="s">
        <v>20</v>
      </c>
      <c r="F90" s="22" t="s">
        <v>2594</v>
      </c>
      <c r="G90" s="22" t="s">
        <v>2595</v>
      </c>
      <c r="H90" s="22" t="s">
        <v>23</v>
      </c>
      <c r="I90" s="22" t="s">
        <v>767</v>
      </c>
      <c r="J90" s="22" t="s">
        <v>63</v>
      </c>
      <c r="K90" s="22" t="s">
        <v>37</v>
      </c>
      <c r="L90" s="22" t="s">
        <v>51</v>
      </c>
      <c r="M90" s="18">
        <v>1799.97</v>
      </c>
      <c r="N90" s="18">
        <v>1799.44</v>
      </c>
      <c r="O90" s="22">
        <v>9.0</v>
      </c>
      <c r="P90" s="18">
        <v>16199.73</v>
      </c>
      <c r="Q90" s="14">
        <f t="shared" si="1"/>
        <v>14400.29</v>
      </c>
    </row>
    <row r="91">
      <c r="A91" s="21">
        <v>42191.0</v>
      </c>
      <c r="B91" s="21" t="s">
        <v>2348</v>
      </c>
      <c r="C91" s="24">
        <v>42283.0</v>
      </c>
      <c r="D91" s="23" t="s">
        <v>2358</v>
      </c>
      <c r="E91" s="22" t="s">
        <v>20</v>
      </c>
      <c r="F91" s="22" t="s">
        <v>2596</v>
      </c>
      <c r="G91" s="22" t="s">
        <v>2597</v>
      </c>
      <c r="H91" s="22" t="s">
        <v>34</v>
      </c>
      <c r="I91" s="22" t="s">
        <v>771</v>
      </c>
      <c r="J91" s="22" t="s">
        <v>135</v>
      </c>
      <c r="K91" s="22" t="s">
        <v>71</v>
      </c>
      <c r="L91" s="22" t="s">
        <v>38</v>
      </c>
      <c r="M91" s="18">
        <v>12.462</v>
      </c>
      <c r="N91" s="18">
        <v>11.68</v>
      </c>
      <c r="O91" s="22">
        <v>6.0</v>
      </c>
      <c r="P91" s="18">
        <v>74.77199999999999</v>
      </c>
      <c r="Q91" s="14">
        <f t="shared" si="1"/>
        <v>63.092</v>
      </c>
    </row>
    <row r="92">
      <c r="A92" s="21">
        <v>43390.0</v>
      </c>
      <c r="B92" s="21" t="s">
        <v>2358</v>
      </c>
      <c r="C92" s="8" t="s">
        <v>778</v>
      </c>
      <c r="D92" s="23" t="s">
        <v>2358</v>
      </c>
      <c r="E92" s="22" t="s">
        <v>20</v>
      </c>
      <c r="F92" s="22" t="s">
        <v>2600</v>
      </c>
      <c r="G92" s="22" t="s">
        <v>2601</v>
      </c>
      <c r="H92" s="22" t="s">
        <v>34</v>
      </c>
      <c r="I92" s="22" t="s">
        <v>781</v>
      </c>
      <c r="J92" s="22" t="s">
        <v>782</v>
      </c>
      <c r="K92" s="22" t="s">
        <v>100</v>
      </c>
      <c r="L92" s="22" t="s">
        <v>38</v>
      </c>
      <c r="M92" s="18">
        <v>49.96</v>
      </c>
      <c r="N92" s="18">
        <v>49.81</v>
      </c>
      <c r="O92" s="22">
        <v>2.0</v>
      </c>
      <c r="P92" s="18">
        <v>99.92</v>
      </c>
      <c r="Q92" s="14">
        <f t="shared" si="1"/>
        <v>50.11</v>
      </c>
    </row>
    <row r="93">
      <c r="A93" s="21">
        <v>43390.0</v>
      </c>
      <c r="B93" s="21" t="s">
        <v>2358</v>
      </c>
      <c r="C93" s="8" t="s">
        <v>778</v>
      </c>
      <c r="D93" s="23" t="s">
        <v>2358</v>
      </c>
      <c r="E93" s="22" t="s">
        <v>20</v>
      </c>
      <c r="F93" s="22" t="s">
        <v>2600</v>
      </c>
      <c r="G93" s="22" t="s">
        <v>2601</v>
      </c>
      <c r="H93" s="22" t="s">
        <v>34</v>
      </c>
      <c r="I93" s="22" t="s">
        <v>781</v>
      </c>
      <c r="J93" s="22" t="s">
        <v>782</v>
      </c>
      <c r="K93" s="22" t="s">
        <v>100</v>
      </c>
      <c r="L93" s="22" t="s">
        <v>38</v>
      </c>
      <c r="M93" s="18">
        <v>12.96</v>
      </c>
      <c r="N93" s="18">
        <v>12.37</v>
      </c>
      <c r="O93" s="22">
        <v>2.0</v>
      </c>
      <c r="P93" s="18">
        <v>25.92</v>
      </c>
      <c r="Q93" s="14">
        <f t="shared" si="1"/>
        <v>13.55</v>
      </c>
    </row>
    <row r="94">
      <c r="A94" s="21">
        <v>42956.0</v>
      </c>
      <c r="B94" s="21" t="s">
        <v>2322</v>
      </c>
      <c r="C94" s="24">
        <v>43017.0</v>
      </c>
      <c r="D94" s="23" t="s">
        <v>2358</v>
      </c>
      <c r="E94" s="22" t="s">
        <v>20</v>
      </c>
      <c r="F94" s="22" t="s">
        <v>2602</v>
      </c>
      <c r="G94" s="22" t="s">
        <v>2603</v>
      </c>
      <c r="H94" s="22" t="s">
        <v>23</v>
      </c>
      <c r="I94" s="22" t="s">
        <v>129</v>
      </c>
      <c r="J94" s="22" t="s">
        <v>70</v>
      </c>
      <c r="K94" s="22" t="s">
        <v>71</v>
      </c>
      <c r="L94" s="22" t="s">
        <v>38</v>
      </c>
      <c r="M94" s="18">
        <v>35.952</v>
      </c>
      <c r="N94" s="18">
        <v>35.91</v>
      </c>
      <c r="O94" s="22">
        <v>7.0</v>
      </c>
      <c r="P94" s="18">
        <v>251.664</v>
      </c>
      <c r="Q94" s="14">
        <f t="shared" si="1"/>
        <v>215.754</v>
      </c>
    </row>
    <row r="95">
      <c r="A95" s="21">
        <v>42956.0</v>
      </c>
      <c r="B95" s="21" t="s">
        <v>2322</v>
      </c>
      <c r="C95" s="24">
        <v>43017.0</v>
      </c>
      <c r="D95" s="23" t="s">
        <v>2358</v>
      </c>
      <c r="E95" s="22" t="s">
        <v>20</v>
      </c>
      <c r="F95" s="22" t="s">
        <v>2602</v>
      </c>
      <c r="G95" s="22" t="s">
        <v>2603</v>
      </c>
      <c r="H95" s="22" t="s">
        <v>23</v>
      </c>
      <c r="I95" s="22" t="s">
        <v>129</v>
      </c>
      <c r="J95" s="22" t="s">
        <v>70</v>
      </c>
      <c r="K95" s="22" t="s">
        <v>71</v>
      </c>
      <c r="L95" s="22" t="s">
        <v>27</v>
      </c>
      <c r="M95" s="18">
        <v>2396.2656</v>
      </c>
      <c r="N95" s="18">
        <v>2395.78</v>
      </c>
      <c r="O95" s="22">
        <v>7.0</v>
      </c>
      <c r="P95" s="18">
        <v>16773.859200000003</v>
      </c>
      <c r="Q95" s="14">
        <f t="shared" si="1"/>
        <v>14378.0792</v>
      </c>
    </row>
    <row r="96">
      <c r="A96" s="21">
        <v>42956.0</v>
      </c>
      <c r="B96" s="21" t="s">
        <v>2322</v>
      </c>
      <c r="C96" s="24">
        <v>43017.0</v>
      </c>
      <c r="D96" s="23" t="s">
        <v>2358</v>
      </c>
      <c r="E96" s="22" t="s">
        <v>20</v>
      </c>
      <c r="F96" s="22" t="s">
        <v>2602</v>
      </c>
      <c r="G96" s="22" t="s">
        <v>2603</v>
      </c>
      <c r="H96" s="22" t="s">
        <v>23</v>
      </c>
      <c r="I96" s="22" t="s">
        <v>129</v>
      </c>
      <c r="J96" s="22" t="s">
        <v>70</v>
      </c>
      <c r="K96" s="22" t="s">
        <v>71</v>
      </c>
      <c r="L96" s="22" t="s">
        <v>38</v>
      </c>
      <c r="M96" s="18">
        <v>131.136</v>
      </c>
      <c r="N96" s="18">
        <v>130.97</v>
      </c>
      <c r="O96" s="22">
        <v>7.0</v>
      </c>
      <c r="P96" s="18">
        <v>917.952</v>
      </c>
      <c r="Q96" s="14">
        <f t="shared" si="1"/>
        <v>786.982</v>
      </c>
    </row>
    <row r="97">
      <c r="A97" s="21">
        <v>42956.0</v>
      </c>
      <c r="B97" s="21" t="s">
        <v>2322</v>
      </c>
      <c r="C97" s="24">
        <v>43017.0</v>
      </c>
      <c r="D97" s="23" t="s">
        <v>2358</v>
      </c>
      <c r="E97" s="22" t="s">
        <v>20</v>
      </c>
      <c r="F97" s="22" t="s">
        <v>2602</v>
      </c>
      <c r="G97" s="22" t="s">
        <v>2603</v>
      </c>
      <c r="H97" s="22" t="s">
        <v>23</v>
      </c>
      <c r="I97" s="22" t="s">
        <v>129</v>
      </c>
      <c r="J97" s="22" t="s">
        <v>70</v>
      </c>
      <c r="K97" s="22" t="s">
        <v>71</v>
      </c>
      <c r="L97" s="22" t="s">
        <v>51</v>
      </c>
      <c r="M97" s="18">
        <v>57.584</v>
      </c>
      <c r="N97" s="18">
        <v>57.1</v>
      </c>
      <c r="O97" s="22">
        <v>7.0</v>
      </c>
      <c r="P97" s="18">
        <v>403.088</v>
      </c>
      <c r="Q97" s="14">
        <f t="shared" si="1"/>
        <v>345.988</v>
      </c>
    </row>
    <row r="98">
      <c r="A98" s="21">
        <v>43333.0</v>
      </c>
      <c r="B98" s="21" t="s">
        <v>2322</v>
      </c>
      <c r="C98" s="8" t="s">
        <v>824</v>
      </c>
      <c r="D98" s="23" t="s">
        <v>2322</v>
      </c>
      <c r="E98" s="22" t="s">
        <v>20</v>
      </c>
      <c r="F98" s="22" t="s">
        <v>2614</v>
      </c>
      <c r="G98" s="22" t="s">
        <v>2615</v>
      </c>
      <c r="H98" s="22" t="s">
        <v>23</v>
      </c>
      <c r="I98" s="22" t="s">
        <v>205</v>
      </c>
      <c r="J98" s="22" t="s">
        <v>827</v>
      </c>
      <c r="K98" s="22" t="s">
        <v>26</v>
      </c>
      <c r="L98" s="22" t="s">
        <v>27</v>
      </c>
      <c r="M98" s="18">
        <v>866.4</v>
      </c>
      <c r="N98" s="18">
        <v>865.96</v>
      </c>
      <c r="O98" s="22">
        <v>3.0</v>
      </c>
      <c r="P98" s="18">
        <v>2599.2</v>
      </c>
      <c r="Q98" s="14">
        <f t="shared" si="1"/>
        <v>1733.24</v>
      </c>
    </row>
    <row r="99">
      <c r="A99" s="21">
        <v>43427.0</v>
      </c>
      <c r="B99" s="21" t="s">
        <v>2326</v>
      </c>
      <c r="C99" s="8" t="s">
        <v>829</v>
      </c>
      <c r="D99" s="23" t="s">
        <v>2326</v>
      </c>
      <c r="E99" s="22" t="s">
        <v>20</v>
      </c>
      <c r="F99" s="22" t="s">
        <v>2379</v>
      </c>
      <c r="G99" s="22" t="s">
        <v>2380</v>
      </c>
      <c r="H99" s="22" t="s">
        <v>34</v>
      </c>
      <c r="I99" s="22" t="s">
        <v>830</v>
      </c>
      <c r="J99" s="22" t="s">
        <v>157</v>
      </c>
      <c r="K99" s="22" t="s">
        <v>71</v>
      </c>
      <c r="L99" s="22" t="s">
        <v>27</v>
      </c>
      <c r="M99" s="18">
        <v>28.4</v>
      </c>
      <c r="N99" s="18">
        <v>27.46</v>
      </c>
      <c r="O99" s="22">
        <v>4.0</v>
      </c>
      <c r="P99" s="18">
        <v>113.6</v>
      </c>
      <c r="Q99" s="14">
        <f t="shared" si="1"/>
        <v>86.14</v>
      </c>
    </row>
    <row r="100">
      <c r="A100" s="21">
        <v>43427.0</v>
      </c>
      <c r="B100" s="21" t="s">
        <v>2326</v>
      </c>
      <c r="C100" s="8" t="s">
        <v>829</v>
      </c>
      <c r="D100" s="23" t="s">
        <v>2326</v>
      </c>
      <c r="E100" s="22" t="s">
        <v>20</v>
      </c>
      <c r="F100" s="22" t="s">
        <v>2379</v>
      </c>
      <c r="G100" s="22" t="s">
        <v>2380</v>
      </c>
      <c r="H100" s="22" t="s">
        <v>34</v>
      </c>
      <c r="I100" s="22" t="s">
        <v>830</v>
      </c>
      <c r="J100" s="22" t="s">
        <v>157</v>
      </c>
      <c r="K100" s="22" t="s">
        <v>71</v>
      </c>
      <c r="L100" s="22" t="s">
        <v>38</v>
      </c>
      <c r="M100" s="18">
        <v>287.92</v>
      </c>
      <c r="N100" s="18">
        <v>287.29</v>
      </c>
      <c r="O100" s="22">
        <v>4.0</v>
      </c>
      <c r="P100" s="18">
        <v>1151.68</v>
      </c>
      <c r="Q100" s="14">
        <f t="shared" si="1"/>
        <v>864.39</v>
      </c>
    </row>
    <row r="101">
      <c r="A101" s="21">
        <v>43075.0</v>
      </c>
      <c r="B101" s="21" t="s">
        <v>2325</v>
      </c>
      <c r="C101" s="8" t="s">
        <v>851</v>
      </c>
      <c r="D101" s="23" t="s">
        <v>2374</v>
      </c>
      <c r="E101" s="22" t="s">
        <v>20</v>
      </c>
      <c r="F101" s="22" t="s">
        <v>2619</v>
      </c>
      <c r="G101" s="22" t="s">
        <v>2620</v>
      </c>
      <c r="H101" s="22" t="s">
        <v>68</v>
      </c>
      <c r="I101" s="22" t="s">
        <v>188</v>
      </c>
      <c r="J101" s="22" t="s">
        <v>135</v>
      </c>
      <c r="K101" s="22" t="s">
        <v>71</v>
      </c>
      <c r="L101" s="22" t="s">
        <v>51</v>
      </c>
      <c r="M101" s="18">
        <v>1007.979</v>
      </c>
      <c r="N101" s="18">
        <v>1007.35</v>
      </c>
      <c r="O101" s="22">
        <v>6.0</v>
      </c>
      <c r="P101" s="18">
        <v>6047.874</v>
      </c>
      <c r="Q101" s="14">
        <f t="shared" si="1"/>
        <v>5040.524</v>
      </c>
    </row>
    <row r="102">
      <c r="A102" s="21">
        <v>43075.0</v>
      </c>
      <c r="B102" s="21" t="s">
        <v>2325</v>
      </c>
      <c r="C102" s="8" t="s">
        <v>851</v>
      </c>
      <c r="D102" s="23" t="s">
        <v>2374</v>
      </c>
      <c r="E102" s="22" t="s">
        <v>20</v>
      </c>
      <c r="F102" s="22" t="s">
        <v>2619</v>
      </c>
      <c r="G102" s="22" t="s">
        <v>2620</v>
      </c>
      <c r="H102" s="22" t="s">
        <v>68</v>
      </c>
      <c r="I102" s="22" t="s">
        <v>188</v>
      </c>
      <c r="J102" s="22" t="s">
        <v>135</v>
      </c>
      <c r="K102" s="22" t="s">
        <v>71</v>
      </c>
      <c r="L102" s="22" t="s">
        <v>38</v>
      </c>
      <c r="M102" s="18">
        <v>313.488</v>
      </c>
      <c r="N102" s="18">
        <v>313.04</v>
      </c>
      <c r="O102" s="22">
        <v>6.0</v>
      </c>
      <c r="P102" s="18">
        <v>1880.9279999999999</v>
      </c>
      <c r="Q102" s="14">
        <f t="shared" si="1"/>
        <v>1567.888</v>
      </c>
    </row>
    <row r="103">
      <c r="A103" s="21">
        <v>43120.0</v>
      </c>
      <c r="B103" s="21" t="s">
        <v>2353</v>
      </c>
      <c r="C103" s="8" t="s">
        <v>859</v>
      </c>
      <c r="D103" s="23" t="s">
        <v>2353</v>
      </c>
      <c r="E103" s="22" t="s">
        <v>20</v>
      </c>
      <c r="F103" s="22" t="s">
        <v>2425</v>
      </c>
      <c r="G103" s="22" t="s">
        <v>2426</v>
      </c>
      <c r="H103" s="22" t="s">
        <v>34</v>
      </c>
      <c r="I103" s="22" t="s">
        <v>174</v>
      </c>
      <c r="J103" s="22" t="s">
        <v>175</v>
      </c>
      <c r="K103" s="22" t="s">
        <v>100</v>
      </c>
      <c r="L103" s="22" t="s">
        <v>27</v>
      </c>
      <c r="M103" s="18">
        <v>207.846</v>
      </c>
      <c r="N103" s="18">
        <v>207.58</v>
      </c>
      <c r="O103" s="22">
        <v>1.0</v>
      </c>
      <c r="P103" s="18">
        <v>207.846</v>
      </c>
      <c r="Q103" s="14">
        <f t="shared" si="1"/>
        <v>0.266</v>
      </c>
    </row>
    <row r="104">
      <c r="A104" s="21">
        <v>42864.0</v>
      </c>
      <c r="B104" s="21" t="s">
        <v>2335</v>
      </c>
      <c r="C104" s="24">
        <v>42925.0</v>
      </c>
      <c r="D104" s="23" t="s">
        <v>2348</v>
      </c>
      <c r="E104" s="22" t="s">
        <v>20</v>
      </c>
      <c r="F104" s="22" t="s">
        <v>2340</v>
      </c>
      <c r="G104" s="22" t="s">
        <v>2341</v>
      </c>
      <c r="H104" s="22" t="s">
        <v>23</v>
      </c>
      <c r="I104" s="22" t="s">
        <v>513</v>
      </c>
      <c r="J104" s="22" t="s">
        <v>157</v>
      </c>
      <c r="K104" s="22" t="s">
        <v>71</v>
      </c>
      <c r="L104" s="22" t="s">
        <v>27</v>
      </c>
      <c r="M104" s="18">
        <v>12.22</v>
      </c>
      <c r="N104" s="18">
        <v>11.56</v>
      </c>
      <c r="O104" s="22">
        <v>4.0</v>
      </c>
      <c r="P104" s="18">
        <v>48.88</v>
      </c>
      <c r="Q104" s="14">
        <f t="shared" si="1"/>
        <v>37.32</v>
      </c>
    </row>
    <row r="105">
      <c r="A105" s="21">
        <v>42864.0</v>
      </c>
      <c r="B105" s="21" t="s">
        <v>2335</v>
      </c>
      <c r="C105" s="24">
        <v>42925.0</v>
      </c>
      <c r="D105" s="23" t="s">
        <v>2348</v>
      </c>
      <c r="E105" s="22" t="s">
        <v>20</v>
      </c>
      <c r="F105" s="22" t="s">
        <v>2340</v>
      </c>
      <c r="G105" s="22" t="s">
        <v>2341</v>
      </c>
      <c r="H105" s="22" t="s">
        <v>23</v>
      </c>
      <c r="I105" s="22" t="s">
        <v>513</v>
      </c>
      <c r="J105" s="22" t="s">
        <v>157</v>
      </c>
      <c r="K105" s="22" t="s">
        <v>71</v>
      </c>
      <c r="L105" s="22" t="s">
        <v>38</v>
      </c>
      <c r="M105" s="18">
        <v>194.94</v>
      </c>
      <c r="N105" s="18">
        <v>194.44</v>
      </c>
      <c r="O105" s="22">
        <v>4.0</v>
      </c>
      <c r="P105" s="18">
        <v>779.76</v>
      </c>
      <c r="Q105" s="14">
        <f t="shared" si="1"/>
        <v>585.32</v>
      </c>
    </row>
    <row r="106">
      <c r="A106" s="21">
        <v>42864.0</v>
      </c>
      <c r="B106" s="21" t="s">
        <v>2335</v>
      </c>
      <c r="C106" s="24">
        <v>42925.0</v>
      </c>
      <c r="D106" s="23" t="s">
        <v>2348</v>
      </c>
      <c r="E106" s="22" t="s">
        <v>20</v>
      </c>
      <c r="F106" s="22" t="s">
        <v>2340</v>
      </c>
      <c r="G106" s="22" t="s">
        <v>2341</v>
      </c>
      <c r="H106" s="22" t="s">
        <v>23</v>
      </c>
      <c r="I106" s="22" t="s">
        <v>513</v>
      </c>
      <c r="J106" s="22" t="s">
        <v>157</v>
      </c>
      <c r="K106" s="22" t="s">
        <v>71</v>
      </c>
      <c r="L106" s="22" t="s">
        <v>38</v>
      </c>
      <c r="M106" s="18">
        <v>70.95</v>
      </c>
      <c r="N106" s="18">
        <v>70.42</v>
      </c>
      <c r="O106" s="22">
        <v>4.0</v>
      </c>
      <c r="P106" s="18">
        <v>283.8</v>
      </c>
      <c r="Q106" s="14">
        <f t="shared" si="1"/>
        <v>213.38</v>
      </c>
    </row>
    <row r="107">
      <c r="A107" s="21">
        <v>42864.0</v>
      </c>
      <c r="B107" s="21" t="s">
        <v>2335</v>
      </c>
      <c r="C107" s="24">
        <v>42925.0</v>
      </c>
      <c r="D107" s="23" t="s">
        <v>2348</v>
      </c>
      <c r="E107" s="22" t="s">
        <v>20</v>
      </c>
      <c r="F107" s="22" t="s">
        <v>2340</v>
      </c>
      <c r="G107" s="22" t="s">
        <v>2341</v>
      </c>
      <c r="H107" s="22" t="s">
        <v>23</v>
      </c>
      <c r="I107" s="22" t="s">
        <v>513</v>
      </c>
      <c r="J107" s="22" t="s">
        <v>157</v>
      </c>
      <c r="K107" s="22" t="s">
        <v>71</v>
      </c>
      <c r="L107" s="22" t="s">
        <v>38</v>
      </c>
      <c r="M107" s="18">
        <v>91.36</v>
      </c>
      <c r="N107" s="18">
        <v>90.47</v>
      </c>
      <c r="O107" s="22">
        <v>4.0</v>
      </c>
      <c r="P107" s="18">
        <v>365.44</v>
      </c>
      <c r="Q107" s="14">
        <f t="shared" si="1"/>
        <v>274.97</v>
      </c>
    </row>
    <row r="108">
      <c r="A108" s="21">
        <v>42864.0</v>
      </c>
      <c r="B108" s="21" t="s">
        <v>2335</v>
      </c>
      <c r="C108" s="24">
        <v>42925.0</v>
      </c>
      <c r="D108" s="23" t="s">
        <v>2348</v>
      </c>
      <c r="E108" s="22" t="s">
        <v>20</v>
      </c>
      <c r="F108" s="22" t="s">
        <v>2340</v>
      </c>
      <c r="G108" s="22" t="s">
        <v>2341</v>
      </c>
      <c r="H108" s="22" t="s">
        <v>23</v>
      </c>
      <c r="I108" s="22" t="s">
        <v>513</v>
      </c>
      <c r="J108" s="22" t="s">
        <v>157</v>
      </c>
      <c r="K108" s="22" t="s">
        <v>71</v>
      </c>
      <c r="L108" s="22" t="s">
        <v>27</v>
      </c>
      <c r="M108" s="18">
        <v>242.94</v>
      </c>
      <c r="N108" s="18">
        <v>242.17</v>
      </c>
      <c r="O108" s="22">
        <v>4.0</v>
      </c>
      <c r="P108" s="18">
        <v>971.76</v>
      </c>
      <c r="Q108" s="14">
        <f t="shared" si="1"/>
        <v>729.59</v>
      </c>
    </row>
    <row r="109">
      <c r="A109" s="21">
        <v>42864.0</v>
      </c>
      <c r="B109" s="21" t="s">
        <v>2335</v>
      </c>
      <c r="C109" s="24">
        <v>42925.0</v>
      </c>
      <c r="D109" s="23" t="s">
        <v>2348</v>
      </c>
      <c r="E109" s="22" t="s">
        <v>20</v>
      </c>
      <c r="F109" s="22" t="s">
        <v>2340</v>
      </c>
      <c r="G109" s="22" t="s">
        <v>2341</v>
      </c>
      <c r="H109" s="22" t="s">
        <v>23</v>
      </c>
      <c r="I109" s="22" t="s">
        <v>513</v>
      </c>
      <c r="J109" s="22" t="s">
        <v>157</v>
      </c>
      <c r="K109" s="22" t="s">
        <v>71</v>
      </c>
      <c r="L109" s="22" t="s">
        <v>38</v>
      </c>
      <c r="M109" s="18">
        <v>22.05</v>
      </c>
      <c r="N109" s="18">
        <v>21.14</v>
      </c>
      <c r="O109" s="22">
        <v>4.0</v>
      </c>
      <c r="P109" s="18">
        <v>88.2</v>
      </c>
      <c r="Q109" s="14">
        <f t="shared" si="1"/>
        <v>67.06</v>
      </c>
    </row>
    <row r="110">
      <c r="A110" s="21">
        <v>43179.0</v>
      </c>
      <c r="B110" s="21" t="s">
        <v>2399</v>
      </c>
      <c r="C110" s="8" t="s">
        <v>862</v>
      </c>
      <c r="D110" s="23" t="s">
        <v>2399</v>
      </c>
      <c r="E110" s="22" t="s">
        <v>20</v>
      </c>
      <c r="F110" s="22" t="s">
        <v>180</v>
      </c>
      <c r="G110" s="22" t="s">
        <v>2623</v>
      </c>
      <c r="H110" s="22" t="s">
        <v>23</v>
      </c>
      <c r="I110" s="22" t="s">
        <v>303</v>
      </c>
      <c r="J110" s="22" t="s">
        <v>169</v>
      </c>
      <c r="K110" s="22" t="s">
        <v>71</v>
      </c>
      <c r="L110" s="22" t="s">
        <v>27</v>
      </c>
      <c r="M110" s="18">
        <v>2.91</v>
      </c>
      <c r="N110" s="18">
        <v>2.17</v>
      </c>
      <c r="O110" s="22">
        <v>4.0</v>
      </c>
      <c r="P110" s="18">
        <v>11.64</v>
      </c>
      <c r="Q110" s="14">
        <f t="shared" si="1"/>
        <v>9.47</v>
      </c>
    </row>
    <row r="111">
      <c r="A111" s="21">
        <v>42739.0</v>
      </c>
      <c r="B111" s="21" t="s">
        <v>2353</v>
      </c>
      <c r="C111" s="24">
        <v>42798.0</v>
      </c>
      <c r="D111" s="23" t="s">
        <v>2399</v>
      </c>
      <c r="E111" s="22" t="s">
        <v>20</v>
      </c>
      <c r="F111" s="22" t="s">
        <v>2624</v>
      </c>
      <c r="G111" s="22" t="s">
        <v>2625</v>
      </c>
      <c r="H111" s="22" t="s">
        <v>23</v>
      </c>
      <c r="I111" s="22" t="s">
        <v>868</v>
      </c>
      <c r="J111" s="22" t="s">
        <v>175</v>
      </c>
      <c r="K111" s="22" t="s">
        <v>100</v>
      </c>
      <c r="L111" s="22" t="s">
        <v>38</v>
      </c>
      <c r="M111" s="18">
        <v>59.52</v>
      </c>
      <c r="N111" s="18">
        <v>58.78</v>
      </c>
      <c r="O111" s="22">
        <v>1.0</v>
      </c>
      <c r="P111" s="18">
        <v>59.52</v>
      </c>
      <c r="Q111" s="14">
        <f t="shared" si="1"/>
        <v>0.74</v>
      </c>
    </row>
    <row r="112">
      <c r="A112" s="21">
        <v>42739.0</v>
      </c>
      <c r="B112" s="21" t="s">
        <v>2353</v>
      </c>
      <c r="C112" s="24">
        <v>42798.0</v>
      </c>
      <c r="D112" s="23" t="s">
        <v>2399</v>
      </c>
      <c r="E112" s="22" t="s">
        <v>20</v>
      </c>
      <c r="F112" s="22" t="s">
        <v>2624</v>
      </c>
      <c r="G112" s="22" t="s">
        <v>2625</v>
      </c>
      <c r="H112" s="22" t="s">
        <v>23</v>
      </c>
      <c r="I112" s="22" t="s">
        <v>868</v>
      </c>
      <c r="J112" s="22" t="s">
        <v>175</v>
      </c>
      <c r="K112" s="22" t="s">
        <v>100</v>
      </c>
      <c r="L112" s="22" t="s">
        <v>38</v>
      </c>
      <c r="M112" s="18">
        <v>161.94</v>
      </c>
      <c r="N112" s="18">
        <v>161.59</v>
      </c>
      <c r="O112" s="22">
        <v>1.0</v>
      </c>
      <c r="P112" s="18">
        <v>161.94</v>
      </c>
      <c r="Q112" s="14">
        <f t="shared" si="1"/>
        <v>0.35</v>
      </c>
    </row>
    <row r="113">
      <c r="A113" s="21">
        <v>42739.0</v>
      </c>
      <c r="B113" s="21" t="s">
        <v>2353</v>
      </c>
      <c r="C113" s="24">
        <v>42798.0</v>
      </c>
      <c r="D113" s="23" t="s">
        <v>2399</v>
      </c>
      <c r="E113" s="22" t="s">
        <v>20</v>
      </c>
      <c r="F113" s="22" t="s">
        <v>2624</v>
      </c>
      <c r="G113" s="22" t="s">
        <v>2625</v>
      </c>
      <c r="H113" s="22" t="s">
        <v>23</v>
      </c>
      <c r="I113" s="22" t="s">
        <v>868</v>
      </c>
      <c r="J113" s="22" t="s">
        <v>175</v>
      </c>
      <c r="K113" s="22" t="s">
        <v>100</v>
      </c>
      <c r="L113" s="22" t="s">
        <v>38</v>
      </c>
      <c r="M113" s="18">
        <v>263.88</v>
      </c>
      <c r="N113" s="18">
        <v>263.38</v>
      </c>
      <c r="O113" s="22">
        <v>1.0</v>
      </c>
      <c r="P113" s="18">
        <v>263.88</v>
      </c>
      <c r="Q113" s="14">
        <f t="shared" si="1"/>
        <v>0.5</v>
      </c>
    </row>
    <row r="114">
      <c r="A114" s="21">
        <v>42739.0</v>
      </c>
      <c r="B114" s="21" t="s">
        <v>2353</v>
      </c>
      <c r="C114" s="24">
        <v>42798.0</v>
      </c>
      <c r="D114" s="23" t="s">
        <v>2399</v>
      </c>
      <c r="E114" s="22" t="s">
        <v>20</v>
      </c>
      <c r="F114" s="22" t="s">
        <v>2624</v>
      </c>
      <c r="G114" s="22" t="s">
        <v>2625</v>
      </c>
      <c r="H114" s="22" t="s">
        <v>23</v>
      </c>
      <c r="I114" s="22" t="s">
        <v>868</v>
      </c>
      <c r="J114" s="22" t="s">
        <v>175</v>
      </c>
      <c r="K114" s="22" t="s">
        <v>100</v>
      </c>
      <c r="L114" s="22" t="s">
        <v>38</v>
      </c>
      <c r="M114" s="18">
        <v>30.48</v>
      </c>
      <c r="N114" s="18">
        <v>30.24</v>
      </c>
      <c r="O114" s="22">
        <v>1.0</v>
      </c>
      <c r="P114" s="18">
        <v>30.48</v>
      </c>
      <c r="Q114" s="14">
        <f t="shared" si="1"/>
        <v>0.24</v>
      </c>
    </row>
    <row r="115">
      <c r="A115" s="21">
        <v>42739.0</v>
      </c>
      <c r="B115" s="21" t="s">
        <v>2353</v>
      </c>
      <c r="C115" s="24">
        <v>42798.0</v>
      </c>
      <c r="D115" s="23" t="s">
        <v>2399</v>
      </c>
      <c r="E115" s="22" t="s">
        <v>20</v>
      </c>
      <c r="F115" s="22" t="s">
        <v>2624</v>
      </c>
      <c r="G115" s="22" t="s">
        <v>2625</v>
      </c>
      <c r="H115" s="22" t="s">
        <v>23</v>
      </c>
      <c r="I115" s="22" t="s">
        <v>868</v>
      </c>
      <c r="J115" s="22" t="s">
        <v>175</v>
      </c>
      <c r="K115" s="22" t="s">
        <v>100</v>
      </c>
      <c r="L115" s="22" t="s">
        <v>38</v>
      </c>
      <c r="M115" s="18">
        <v>9.84</v>
      </c>
      <c r="N115" s="18">
        <v>9.02</v>
      </c>
      <c r="O115" s="22">
        <v>1.0</v>
      </c>
      <c r="P115" s="18">
        <v>9.84</v>
      </c>
      <c r="Q115" s="14">
        <f t="shared" si="1"/>
        <v>0.82</v>
      </c>
    </row>
    <row r="116">
      <c r="A116" s="21">
        <v>42739.0</v>
      </c>
      <c r="B116" s="21" t="s">
        <v>2353</v>
      </c>
      <c r="C116" s="24">
        <v>42798.0</v>
      </c>
      <c r="D116" s="23" t="s">
        <v>2399</v>
      </c>
      <c r="E116" s="22" t="s">
        <v>20</v>
      </c>
      <c r="F116" s="22" t="s">
        <v>2624</v>
      </c>
      <c r="G116" s="22" t="s">
        <v>2625</v>
      </c>
      <c r="H116" s="22" t="s">
        <v>23</v>
      </c>
      <c r="I116" s="22" t="s">
        <v>868</v>
      </c>
      <c r="J116" s="22" t="s">
        <v>175</v>
      </c>
      <c r="K116" s="22" t="s">
        <v>100</v>
      </c>
      <c r="L116" s="22" t="s">
        <v>51</v>
      </c>
      <c r="M116" s="18">
        <v>35.12</v>
      </c>
      <c r="N116" s="18">
        <v>34.27</v>
      </c>
      <c r="O116" s="22">
        <v>1.0</v>
      </c>
      <c r="P116" s="18">
        <v>35.12</v>
      </c>
      <c r="Q116" s="14">
        <f t="shared" si="1"/>
        <v>0.85</v>
      </c>
    </row>
    <row r="117">
      <c r="A117" s="21">
        <v>43085.0</v>
      </c>
      <c r="B117" s="21" t="s">
        <v>2325</v>
      </c>
      <c r="C117" s="8" t="s">
        <v>600</v>
      </c>
      <c r="D117" s="23" t="s">
        <v>2325</v>
      </c>
      <c r="E117" s="22" t="s">
        <v>20</v>
      </c>
      <c r="F117" s="22" t="s">
        <v>2523</v>
      </c>
      <c r="G117" s="22" t="s">
        <v>2524</v>
      </c>
      <c r="H117" s="22" t="s">
        <v>23</v>
      </c>
      <c r="I117" s="22" t="s">
        <v>188</v>
      </c>
      <c r="J117" s="22" t="s">
        <v>135</v>
      </c>
      <c r="K117" s="22" t="s">
        <v>71</v>
      </c>
      <c r="L117" s="22" t="s">
        <v>38</v>
      </c>
      <c r="M117" s="18">
        <v>4.788</v>
      </c>
      <c r="N117" s="18">
        <v>4.67</v>
      </c>
      <c r="O117" s="22">
        <v>6.0</v>
      </c>
      <c r="P117" s="18">
        <v>28.728</v>
      </c>
      <c r="Q117" s="14">
        <f t="shared" si="1"/>
        <v>24.058</v>
      </c>
    </row>
    <row r="118">
      <c r="A118" s="21">
        <v>42258.0</v>
      </c>
      <c r="B118" s="21" t="s">
        <v>2329</v>
      </c>
      <c r="C118" s="32">
        <v>42319.0</v>
      </c>
      <c r="D118" s="23" t="s">
        <v>2326</v>
      </c>
      <c r="E118" s="22" t="s">
        <v>20</v>
      </c>
      <c r="F118" s="22" t="s">
        <v>2570</v>
      </c>
      <c r="G118" s="22" t="s">
        <v>2634</v>
      </c>
      <c r="H118" s="22" t="s">
        <v>23</v>
      </c>
      <c r="I118" s="22" t="s">
        <v>87</v>
      </c>
      <c r="J118" s="22" t="s">
        <v>52</v>
      </c>
      <c r="K118" s="22" t="s">
        <v>37</v>
      </c>
      <c r="L118" s="22" t="s">
        <v>38</v>
      </c>
      <c r="M118" s="18">
        <v>340.92</v>
      </c>
      <c r="N118" s="18">
        <v>340.43</v>
      </c>
      <c r="O118" s="22">
        <v>9.0</v>
      </c>
      <c r="P118" s="18">
        <v>3068.28</v>
      </c>
      <c r="Q118" s="14">
        <f t="shared" si="1"/>
        <v>2727.85</v>
      </c>
    </row>
    <row r="119">
      <c r="A119" s="21">
        <v>42258.0</v>
      </c>
      <c r="B119" s="21" t="s">
        <v>2329</v>
      </c>
      <c r="C119" s="32">
        <v>42319.0</v>
      </c>
      <c r="D119" s="23" t="s">
        <v>2326</v>
      </c>
      <c r="E119" s="22" t="s">
        <v>20</v>
      </c>
      <c r="F119" s="22" t="s">
        <v>2570</v>
      </c>
      <c r="G119" s="22" t="s">
        <v>2634</v>
      </c>
      <c r="H119" s="22" t="s">
        <v>23</v>
      </c>
      <c r="I119" s="22" t="s">
        <v>87</v>
      </c>
      <c r="J119" s="22" t="s">
        <v>52</v>
      </c>
      <c r="K119" s="22" t="s">
        <v>37</v>
      </c>
      <c r="L119" s="22" t="s">
        <v>27</v>
      </c>
      <c r="M119" s="18">
        <v>222.666</v>
      </c>
      <c r="N119" s="18">
        <v>221.73</v>
      </c>
      <c r="O119" s="22">
        <v>9.0</v>
      </c>
      <c r="P119" s="18">
        <v>2003.994</v>
      </c>
      <c r="Q119" s="14">
        <f t="shared" si="1"/>
        <v>1782.264</v>
      </c>
    </row>
    <row r="120">
      <c r="A120" s="21">
        <v>42258.0</v>
      </c>
      <c r="B120" s="21" t="s">
        <v>2329</v>
      </c>
      <c r="C120" s="32">
        <v>42319.0</v>
      </c>
      <c r="D120" s="23" t="s">
        <v>2326</v>
      </c>
      <c r="E120" s="22" t="s">
        <v>20</v>
      </c>
      <c r="F120" s="22" t="s">
        <v>2570</v>
      </c>
      <c r="G120" s="22" t="s">
        <v>2634</v>
      </c>
      <c r="H120" s="22" t="s">
        <v>23</v>
      </c>
      <c r="I120" s="22" t="s">
        <v>87</v>
      </c>
      <c r="J120" s="22" t="s">
        <v>52</v>
      </c>
      <c r="K120" s="22" t="s">
        <v>37</v>
      </c>
      <c r="L120" s="22" t="s">
        <v>51</v>
      </c>
      <c r="M120" s="18">
        <v>703.968</v>
      </c>
      <c r="N120" s="18">
        <v>703.77</v>
      </c>
      <c r="O120" s="22">
        <v>9.0</v>
      </c>
      <c r="P120" s="18">
        <v>6335.7119999999995</v>
      </c>
      <c r="Q120" s="14">
        <f t="shared" si="1"/>
        <v>5631.942</v>
      </c>
    </row>
    <row r="121">
      <c r="A121" s="21">
        <v>42258.0</v>
      </c>
      <c r="B121" s="21" t="s">
        <v>2329</v>
      </c>
      <c r="C121" s="32">
        <v>42319.0</v>
      </c>
      <c r="D121" s="23" t="s">
        <v>2326</v>
      </c>
      <c r="E121" s="22" t="s">
        <v>20</v>
      </c>
      <c r="F121" s="22" t="s">
        <v>2570</v>
      </c>
      <c r="G121" s="22" t="s">
        <v>2634</v>
      </c>
      <c r="H121" s="22" t="s">
        <v>23</v>
      </c>
      <c r="I121" s="22" t="s">
        <v>87</v>
      </c>
      <c r="J121" s="22" t="s">
        <v>52</v>
      </c>
      <c r="K121" s="22" t="s">
        <v>37</v>
      </c>
      <c r="L121" s="22" t="s">
        <v>38</v>
      </c>
      <c r="M121" s="18">
        <v>92.52</v>
      </c>
      <c r="N121" s="18">
        <v>91.76</v>
      </c>
      <c r="O121" s="22">
        <v>9.0</v>
      </c>
      <c r="P121" s="18">
        <v>832.68</v>
      </c>
      <c r="Q121" s="14">
        <f t="shared" si="1"/>
        <v>740.92</v>
      </c>
    </row>
    <row r="122">
      <c r="A122" s="21">
        <v>42258.0</v>
      </c>
      <c r="B122" s="21" t="s">
        <v>2329</v>
      </c>
      <c r="C122" s="32">
        <v>42319.0</v>
      </c>
      <c r="D122" s="23" t="s">
        <v>2326</v>
      </c>
      <c r="E122" s="22" t="s">
        <v>20</v>
      </c>
      <c r="F122" s="22" t="s">
        <v>2570</v>
      </c>
      <c r="G122" s="22" t="s">
        <v>2634</v>
      </c>
      <c r="H122" s="22" t="s">
        <v>23</v>
      </c>
      <c r="I122" s="22" t="s">
        <v>87</v>
      </c>
      <c r="J122" s="22" t="s">
        <v>52</v>
      </c>
      <c r="K122" s="22" t="s">
        <v>37</v>
      </c>
      <c r="L122" s="22" t="s">
        <v>38</v>
      </c>
      <c r="M122" s="18">
        <v>62.65</v>
      </c>
      <c r="N122" s="18">
        <v>61.71</v>
      </c>
      <c r="O122" s="22">
        <v>9.0</v>
      </c>
      <c r="P122" s="18">
        <v>563.85</v>
      </c>
      <c r="Q122" s="14">
        <f t="shared" si="1"/>
        <v>502.14</v>
      </c>
    </row>
    <row r="123">
      <c r="A123" s="21">
        <v>42258.0</v>
      </c>
      <c r="B123" s="21" t="s">
        <v>2329</v>
      </c>
      <c r="C123" s="32">
        <v>42319.0</v>
      </c>
      <c r="D123" s="23" t="s">
        <v>2326</v>
      </c>
      <c r="E123" s="22" t="s">
        <v>20</v>
      </c>
      <c r="F123" s="22" t="s">
        <v>2570</v>
      </c>
      <c r="G123" s="22" t="s">
        <v>2634</v>
      </c>
      <c r="H123" s="22" t="s">
        <v>23</v>
      </c>
      <c r="I123" s="22" t="s">
        <v>87</v>
      </c>
      <c r="J123" s="22" t="s">
        <v>52</v>
      </c>
      <c r="K123" s="22" t="s">
        <v>37</v>
      </c>
      <c r="L123" s="22" t="s">
        <v>38</v>
      </c>
      <c r="M123" s="18">
        <v>94.85</v>
      </c>
      <c r="N123" s="18">
        <v>94.19</v>
      </c>
      <c r="O123" s="22">
        <v>9.0</v>
      </c>
      <c r="P123" s="18">
        <v>853.65</v>
      </c>
      <c r="Q123" s="14">
        <f t="shared" si="1"/>
        <v>759.46</v>
      </c>
    </row>
    <row r="124">
      <c r="A124" s="21">
        <v>42253.0</v>
      </c>
      <c r="B124" s="21" t="s">
        <v>2329</v>
      </c>
      <c r="C124" s="8" t="s">
        <v>925</v>
      </c>
      <c r="D124" s="23" t="s">
        <v>2374</v>
      </c>
      <c r="E124" s="22" t="s">
        <v>20</v>
      </c>
      <c r="F124" s="22" t="s">
        <v>2640</v>
      </c>
      <c r="G124" s="22" t="s">
        <v>2641</v>
      </c>
      <c r="H124" s="22" t="s">
        <v>68</v>
      </c>
      <c r="I124" s="22" t="s">
        <v>928</v>
      </c>
      <c r="J124" s="22" t="s">
        <v>70</v>
      </c>
      <c r="K124" s="22" t="s">
        <v>71</v>
      </c>
      <c r="L124" s="22" t="s">
        <v>51</v>
      </c>
      <c r="M124" s="18">
        <v>7.992</v>
      </c>
      <c r="N124" s="18">
        <v>7.29</v>
      </c>
      <c r="O124" s="22">
        <v>7.0</v>
      </c>
      <c r="P124" s="18">
        <v>55.944</v>
      </c>
      <c r="Q124" s="14">
        <f t="shared" si="1"/>
        <v>48.654</v>
      </c>
    </row>
    <row r="125">
      <c r="A125" s="21">
        <v>42253.0</v>
      </c>
      <c r="B125" s="21" t="s">
        <v>2329</v>
      </c>
      <c r="C125" s="8" t="s">
        <v>925</v>
      </c>
      <c r="D125" s="23" t="s">
        <v>2374</v>
      </c>
      <c r="E125" s="22" t="s">
        <v>20</v>
      </c>
      <c r="F125" s="22" t="s">
        <v>2640</v>
      </c>
      <c r="G125" s="22" t="s">
        <v>2641</v>
      </c>
      <c r="H125" s="22" t="s">
        <v>68</v>
      </c>
      <c r="I125" s="22" t="s">
        <v>928</v>
      </c>
      <c r="J125" s="22" t="s">
        <v>70</v>
      </c>
      <c r="K125" s="22" t="s">
        <v>71</v>
      </c>
      <c r="L125" s="22" t="s">
        <v>51</v>
      </c>
      <c r="M125" s="18">
        <v>63.984</v>
      </c>
      <c r="N125" s="18">
        <v>63.56</v>
      </c>
      <c r="O125" s="22">
        <v>7.0</v>
      </c>
      <c r="P125" s="18">
        <v>447.88800000000003</v>
      </c>
      <c r="Q125" s="14">
        <f t="shared" si="1"/>
        <v>384.328</v>
      </c>
    </row>
    <row r="126">
      <c r="A126" s="21">
        <v>42253.0</v>
      </c>
      <c r="B126" s="21" t="s">
        <v>2329</v>
      </c>
      <c r="C126" s="8" t="s">
        <v>925</v>
      </c>
      <c r="D126" s="23" t="s">
        <v>2374</v>
      </c>
      <c r="E126" s="22" t="s">
        <v>20</v>
      </c>
      <c r="F126" s="22" t="s">
        <v>2640</v>
      </c>
      <c r="G126" s="22" t="s">
        <v>2641</v>
      </c>
      <c r="H126" s="22" t="s">
        <v>68</v>
      </c>
      <c r="I126" s="22" t="s">
        <v>928</v>
      </c>
      <c r="J126" s="22" t="s">
        <v>70</v>
      </c>
      <c r="K126" s="22" t="s">
        <v>71</v>
      </c>
      <c r="L126" s="22" t="s">
        <v>38</v>
      </c>
      <c r="M126" s="18">
        <v>70.368</v>
      </c>
      <c r="N126" s="18">
        <v>69.68</v>
      </c>
      <c r="O126" s="22">
        <v>7.0</v>
      </c>
      <c r="P126" s="18">
        <v>492.57599999999996</v>
      </c>
      <c r="Q126" s="14">
        <f t="shared" si="1"/>
        <v>422.896</v>
      </c>
    </row>
    <row r="127">
      <c r="A127" s="21">
        <v>42812.0</v>
      </c>
      <c r="B127" s="21" t="s">
        <v>2399</v>
      </c>
      <c r="C127" s="8" t="s">
        <v>937</v>
      </c>
      <c r="D127" s="23" t="s">
        <v>2399</v>
      </c>
      <c r="E127" s="22" t="s">
        <v>20</v>
      </c>
      <c r="F127" s="22" t="s">
        <v>2645</v>
      </c>
      <c r="G127" s="22" t="s">
        <v>2646</v>
      </c>
      <c r="H127" s="22" t="s">
        <v>23</v>
      </c>
      <c r="I127" s="22" t="s">
        <v>209</v>
      </c>
      <c r="J127" s="22" t="s">
        <v>210</v>
      </c>
      <c r="K127" s="22" t="s">
        <v>26</v>
      </c>
      <c r="L127" s="22" t="s">
        <v>27</v>
      </c>
      <c r="M127" s="18">
        <v>189.882</v>
      </c>
      <c r="N127" s="18">
        <v>189.64</v>
      </c>
      <c r="O127" s="22">
        <v>3.0</v>
      </c>
      <c r="P127" s="18">
        <v>569.646</v>
      </c>
      <c r="Q127" s="14">
        <f t="shared" si="1"/>
        <v>380.006</v>
      </c>
    </row>
    <row r="128">
      <c r="A128" s="21">
        <v>43445.0</v>
      </c>
      <c r="B128" s="21" t="s">
        <v>2325</v>
      </c>
      <c r="C128" s="8" t="s">
        <v>953</v>
      </c>
      <c r="D128" s="23" t="s">
        <v>2326</v>
      </c>
      <c r="E128" s="22" t="s">
        <v>20</v>
      </c>
      <c r="F128" s="22" t="s">
        <v>2626</v>
      </c>
      <c r="G128" s="22" t="s">
        <v>2476</v>
      </c>
      <c r="H128" s="22" t="s">
        <v>34</v>
      </c>
      <c r="I128" s="22" t="s">
        <v>174</v>
      </c>
      <c r="J128" s="22" t="s">
        <v>175</v>
      </c>
      <c r="K128" s="22" t="s">
        <v>100</v>
      </c>
      <c r="L128" s="22" t="s">
        <v>38</v>
      </c>
      <c r="M128" s="18">
        <v>15.92</v>
      </c>
      <c r="N128" s="18">
        <v>15.15</v>
      </c>
      <c r="O128" s="22">
        <v>1.0</v>
      </c>
      <c r="P128" s="18">
        <v>15.92</v>
      </c>
      <c r="Q128" s="14">
        <f t="shared" si="1"/>
        <v>0.77</v>
      </c>
    </row>
    <row r="129">
      <c r="A129" s="21">
        <v>42562.0</v>
      </c>
      <c r="B129" s="21" t="s">
        <v>2348</v>
      </c>
      <c r="C129" s="24">
        <v>42624.0</v>
      </c>
      <c r="D129" s="23" t="s">
        <v>2329</v>
      </c>
      <c r="E129" s="22" t="s">
        <v>20</v>
      </c>
      <c r="F129" s="22" t="s">
        <v>2388</v>
      </c>
      <c r="G129" s="22" t="s">
        <v>2659</v>
      </c>
      <c r="H129" s="22" t="s">
        <v>34</v>
      </c>
      <c r="I129" s="22" t="s">
        <v>35</v>
      </c>
      <c r="J129" s="22" t="s">
        <v>52</v>
      </c>
      <c r="K129" s="22" t="s">
        <v>37</v>
      </c>
      <c r="L129" s="22" t="s">
        <v>27</v>
      </c>
      <c r="M129" s="18">
        <v>190.72</v>
      </c>
      <c r="N129" s="18">
        <v>190.15</v>
      </c>
      <c r="O129" s="22">
        <v>9.0</v>
      </c>
      <c r="P129" s="18">
        <v>1716.48</v>
      </c>
      <c r="Q129" s="14">
        <f t="shared" si="1"/>
        <v>1526.33</v>
      </c>
    </row>
    <row r="130">
      <c r="A130" s="21">
        <v>42884.0</v>
      </c>
      <c r="B130" s="21" t="s">
        <v>2335</v>
      </c>
      <c r="C130" s="24">
        <v>42741.0</v>
      </c>
      <c r="D130" s="23" t="s">
        <v>2353</v>
      </c>
      <c r="E130" s="22" t="s">
        <v>20</v>
      </c>
      <c r="F130" s="22" t="s">
        <v>2661</v>
      </c>
      <c r="G130" s="22" t="s">
        <v>2561</v>
      </c>
      <c r="H130" s="22" t="s">
        <v>23</v>
      </c>
      <c r="I130" s="22" t="s">
        <v>1004</v>
      </c>
      <c r="J130" s="22" t="s">
        <v>220</v>
      </c>
      <c r="K130" s="22" t="s">
        <v>26</v>
      </c>
      <c r="L130" s="22" t="s">
        <v>51</v>
      </c>
      <c r="M130" s="18">
        <v>979.95</v>
      </c>
      <c r="N130" s="18">
        <v>979.35</v>
      </c>
      <c r="O130" s="22">
        <v>3.0</v>
      </c>
      <c r="P130" s="18">
        <v>2939.8500000000004</v>
      </c>
      <c r="Q130" s="14">
        <f t="shared" si="1"/>
        <v>1960.5</v>
      </c>
    </row>
    <row r="131">
      <c r="A131" s="21">
        <v>42884.0</v>
      </c>
      <c r="B131" s="21" t="s">
        <v>2335</v>
      </c>
      <c r="C131" s="24">
        <v>42741.0</v>
      </c>
      <c r="D131" s="23" t="s">
        <v>2353</v>
      </c>
      <c r="E131" s="22" t="s">
        <v>20</v>
      </c>
      <c r="F131" s="22" t="s">
        <v>2661</v>
      </c>
      <c r="G131" s="22" t="s">
        <v>2561</v>
      </c>
      <c r="H131" s="22" t="s">
        <v>23</v>
      </c>
      <c r="I131" s="22" t="s">
        <v>1004</v>
      </c>
      <c r="J131" s="22" t="s">
        <v>220</v>
      </c>
      <c r="K131" s="22" t="s">
        <v>26</v>
      </c>
      <c r="L131" s="22" t="s">
        <v>38</v>
      </c>
      <c r="M131" s="18">
        <v>22.75</v>
      </c>
      <c r="N131" s="18">
        <v>22.51</v>
      </c>
      <c r="O131" s="22">
        <v>3.0</v>
      </c>
      <c r="P131" s="18">
        <v>68.25</v>
      </c>
      <c r="Q131" s="14">
        <f t="shared" si="1"/>
        <v>45.74</v>
      </c>
    </row>
    <row r="132">
      <c r="A132" s="21">
        <v>43168.0</v>
      </c>
      <c r="B132" s="21" t="s">
        <v>2399</v>
      </c>
      <c r="C132" s="24">
        <v>43321.0</v>
      </c>
      <c r="D132" s="23" t="s">
        <v>2322</v>
      </c>
      <c r="E132" s="22" t="s">
        <v>20</v>
      </c>
      <c r="F132" s="22" t="s">
        <v>2351</v>
      </c>
      <c r="G132" s="22" t="s">
        <v>2663</v>
      </c>
      <c r="H132" s="22" t="s">
        <v>23</v>
      </c>
      <c r="I132" s="22" t="s">
        <v>188</v>
      </c>
      <c r="J132" s="22" t="s">
        <v>135</v>
      </c>
      <c r="K132" s="22" t="s">
        <v>71</v>
      </c>
      <c r="L132" s="22" t="s">
        <v>38</v>
      </c>
      <c r="M132" s="18">
        <v>42.616</v>
      </c>
      <c r="N132" s="18">
        <v>41.78</v>
      </c>
      <c r="O132" s="22">
        <v>6.0</v>
      </c>
      <c r="P132" s="18">
        <v>255.696</v>
      </c>
      <c r="Q132" s="14">
        <f t="shared" si="1"/>
        <v>213.916</v>
      </c>
    </row>
    <row r="133">
      <c r="A133" s="21">
        <v>42689.0</v>
      </c>
      <c r="B133" s="21" t="s">
        <v>2326</v>
      </c>
      <c r="C133" s="8" t="s">
        <v>275</v>
      </c>
      <c r="D133" s="23" t="s">
        <v>2326</v>
      </c>
      <c r="E133" s="22" t="s">
        <v>20</v>
      </c>
      <c r="F133" s="22" t="s">
        <v>2589</v>
      </c>
      <c r="G133" s="22" t="s">
        <v>2590</v>
      </c>
      <c r="H133" s="22" t="s">
        <v>34</v>
      </c>
      <c r="I133" s="22" t="s">
        <v>188</v>
      </c>
      <c r="J133" s="22" t="s">
        <v>135</v>
      </c>
      <c r="K133" s="22" t="s">
        <v>71</v>
      </c>
      <c r="L133" s="22" t="s">
        <v>38</v>
      </c>
      <c r="M133" s="18">
        <v>250.272</v>
      </c>
      <c r="N133" s="18">
        <v>249.83</v>
      </c>
      <c r="O133" s="22">
        <v>6.0</v>
      </c>
      <c r="P133" s="18">
        <v>1501.632</v>
      </c>
      <c r="Q133" s="14">
        <f t="shared" si="1"/>
        <v>1251.802</v>
      </c>
    </row>
    <row r="134">
      <c r="A134" s="21">
        <v>42689.0</v>
      </c>
      <c r="B134" s="21" t="s">
        <v>2326</v>
      </c>
      <c r="C134" s="8" t="s">
        <v>275</v>
      </c>
      <c r="D134" s="23" t="s">
        <v>2326</v>
      </c>
      <c r="E134" s="22" t="s">
        <v>20</v>
      </c>
      <c r="F134" s="22" t="s">
        <v>2589</v>
      </c>
      <c r="G134" s="22" t="s">
        <v>2590</v>
      </c>
      <c r="H134" s="22" t="s">
        <v>34</v>
      </c>
      <c r="I134" s="22" t="s">
        <v>188</v>
      </c>
      <c r="J134" s="22" t="s">
        <v>135</v>
      </c>
      <c r="K134" s="22" t="s">
        <v>71</v>
      </c>
      <c r="L134" s="22" t="s">
        <v>38</v>
      </c>
      <c r="M134" s="18">
        <v>11.364</v>
      </c>
      <c r="N134" s="18">
        <v>10.83</v>
      </c>
      <c r="O134" s="22">
        <v>6.0</v>
      </c>
      <c r="P134" s="18">
        <v>68.184</v>
      </c>
      <c r="Q134" s="14">
        <f t="shared" si="1"/>
        <v>57.354</v>
      </c>
    </row>
    <row r="135">
      <c r="A135" s="21">
        <v>42689.0</v>
      </c>
      <c r="B135" s="21" t="s">
        <v>2326</v>
      </c>
      <c r="C135" s="8" t="s">
        <v>275</v>
      </c>
      <c r="D135" s="23" t="s">
        <v>2326</v>
      </c>
      <c r="E135" s="22" t="s">
        <v>20</v>
      </c>
      <c r="F135" s="22" t="s">
        <v>2589</v>
      </c>
      <c r="G135" s="22" t="s">
        <v>2590</v>
      </c>
      <c r="H135" s="22" t="s">
        <v>34</v>
      </c>
      <c r="I135" s="22" t="s">
        <v>188</v>
      </c>
      <c r="J135" s="22" t="s">
        <v>135</v>
      </c>
      <c r="K135" s="22" t="s">
        <v>71</v>
      </c>
      <c r="L135" s="22" t="s">
        <v>38</v>
      </c>
      <c r="M135" s="18">
        <v>8.72</v>
      </c>
      <c r="N135" s="18">
        <v>7.76</v>
      </c>
      <c r="O135" s="22">
        <v>6.0</v>
      </c>
      <c r="P135" s="18">
        <v>52.32000000000001</v>
      </c>
      <c r="Q135" s="14">
        <f t="shared" si="1"/>
        <v>44.56</v>
      </c>
    </row>
    <row r="136">
      <c r="A136" s="21">
        <v>42840.0</v>
      </c>
      <c r="B136" s="21" t="s">
        <v>2332</v>
      </c>
      <c r="C136" s="8" t="s">
        <v>1035</v>
      </c>
      <c r="D136" s="23" t="s">
        <v>2332</v>
      </c>
      <c r="E136" s="22" t="s">
        <v>20</v>
      </c>
      <c r="F136" s="22" t="s">
        <v>2670</v>
      </c>
      <c r="G136" s="22" t="s">
        <v>2345</v>
      </c>
      <c r="H136" s="22" t="s">
        <v>23</v>
      </c>
      <c r="I136" s="22" t="s">
        <v>87</v>
      </c>
      <c r="J136" s="22" t="s">
        <v>52</v>
      </c>
      <c r="K136" s="22" t="s">
        <v>37</v>
      </c>
      <c r="L136" s="22" t="s">
        <v>27</v>
      </c>
      <c r="M136" s="18">
        <v>1121.568</v>
      </c>
      <c r="N136" s="18">
        <v>1120.83</v>
      </c>
      <c r="O136" s="22">
        <v>9.0</v>
      </c>
      <c r="P136" s="18">
        <v>10094.112</v>
      </c>
      <c r="Q136" s="14">
        <f t="shared" si="1"/>
        <v>8973.282</v>
      </c>
    </row>
    <row r="137">
      <c r="A137" s="21">
        <v>43280.0</v>
      </c>
      <c r="B137" s="21" t="s">
        <v>2374</v>
      </c>
      <c r="C137" s="24">
        <v>43166.0</v>
      </c>
      <c r="D137" s="23" t="s">
        <v>2399</v>
      </c>
      <c r="E137" s="22" t="s">
        <v>20</v>
      </c>
      <c r="F137" s="22" t="s">
        <v>2589</v>
      </c>
      <c r="G137" s="22" t="s">
        <v>2590</v>
      </c>
      <c r="H137" s="22" t="s">
        <v>34</v>
      </c>
      <c r="I137" s="22" t="s">
        <v>1043</v>
      </c>
      <c r="J137" s="22" t="s">
        <v>52</v>
      </c>
      <c r="K137" s="22" t="s">
        <v>37</v>
      </c>
      <c r="L137" s="22" t="s">
        <v>38</v>
      </c>
      <c r="M137" s="18">
        <v>1295.78</v>
      </c>
      <c r="N137" s="18">
        <v>1295.24</v>
      </c>
      <c r="O137" s="22">
        <v>9.0</v>
      </c>
      <c r="P137" s="18">
        <v>11662.02</v>
      </c>
      <c r="Q137" s="14">
        <f t="shared" si="1"/>
        <v>10366.78</v>
      </c>
    </row>
    <row r="138">
      <c r="A138" s="21">
        <v>42066.0</v>
      </c>
      <c r="B138" s="21" t="s">
        <v>2399</v>
      </c>
      <c r="C138" s="24">
        <v>42188.0</v>
      </c>
      <c r="D138" s="23" t="s">
        <v>2348</v>
      </c>
      <c r="E138" s="22" t="s">
        <v>20</v>
      </c>
      <c r="F138" s="22" t="s">
        <v>2671</v>
      </c>
      <c r="G138" s="22" t="s">
        <v>2672</v>
      </c>
      <c r="H138" s="22" t="s">
        <v>23</v>
      </c>
      <c r="I138" s="22" t="s">
        <v>315</v>
      </c>
      <c r="J138" s="22" t="s">
        <v>58</v>
      </c>
      <c r="K138" s="22" t="s">
        <v>26</v>
      </c>
      <c r="L138" s="22" t="s">
        <v>38</v>
      </c>
      <c r="M138" s="18">
        <v>19.456</v>
      </c>
      <c r="N138" s="18">
        <v>18.87</v>
      </c>
      <c r="O138" s="22">
        <v>2.0</v>
      </c>
      <c r="P138" s="18">
        <v>38.912</v>
      </c>
      <c r="Q138" s="14">
        <f t="shared" si="1"/>
        <v>20.042</v>
      </c>
    </row>
    <row r="139">
      <c r="A139" s="21">
        <v>43424.0</v>
      </c>
      <c r="B139" s="21" t="s">
        <v>2326</v>
      </c>
      <c r="C139" s="8" t="s">
        <v>1030</v>
      </c>
      <c r="D139" s="23" t="s">
        <v>2326</v>
      </c>
      <c r="E139" s="22" t="s">
        <v>20</v>
      </c>
      <c r="F139" s="22" t="s">
        <v>2666</v>
      </c>
      <c r="G139" s="22" t="s">
        <v>2675</v>
      </c>
      <c r="H139" s="22" t="s">
        <v>23</v>
      </c>
      <c r="I139" s="22" t="s">
        <v>87</v>
      </c>
      <c r="J139" s="22" t="s">
        <v>52</v>
      </c>
      <c r="K139" s="22" t="s">
        <v>37</v>
      </c>
      <c r="L139" s="22" t="s">
        <v>27</v>
      </c>
      <c r="M139" s="18">
        <v>42.6</v>
      </c>
      <c r="N139" s="18">
        <v>41.71</v>
      </c>
      <c r="O139" s="22">
        <v>9.0</v>
      </c>
      <c r="P139" s="18">
        <v>383.40000000000003</v>
      </c>
      <c r="Q139" s="14">
        <f t="shared" si="1"/>
        <v>341.69</v>
      </c>
    </row>
    <row r="140">
      <c r="A140" s="21">
        <v>43424.0</v>
      </c>
      <c r="B140" s="21" t="s">
        <v>2326</v>
      </c>
      <c r="C140" s="8" t="s">
        <v>1030</v>
      </c>
      <c r="D140" s="23" t="s">
        <v>2326</v>
      </c>
      <c r="E140" s="22" t="s">
        <v>20</v>
      </c>
      <c r="F140" s="22" t="s">
        <v>2666</v>
      </c>
      <c r="G140" s="22" t="s">
        <v>2675</v>
      </c>
      <c r="H140" s="22" t="s">
        <v>23</v>
      </c>
      <c r="I140" s="22" t="s">
        <v>87</v>
      </c>
      <c r="J140" s="22" t="s">
        <v>52</v>
      </c>
      <c r="K140" s="22" t="s">
        <v>37</v>
      </c>
      <c r="L140" s="22" t="s">
        <v>38</v>
      </c>
      <c r="M140" s="18">
        <v>84.056</v>
      </c>
      <c r="N140" s="18">
        <v>83.54</v>
      </c>
      <c r="O140" s="22">
        <v>9.0</v>
      </c>
      <c r="P140" s="18">
        <v>756.504</v>
      </c>
      <c r="Q140" s="14">
        <f t="shared" si="1"/>
        <v>672.964</v>
      </c>
    </row>
    <row r="141">
      <c r="A141" s="21">
        <v>42261.0</v>
      </c>
      <c r="B141" s="21" t="s">
        <v>2329</v>
      </c>
      <c r="C141" s="8" t="s">
        <v>1054</v>
      </c>
      <c r="D141" s="23" t="s">
        <v>2329</v>
      </c>
      <c r="E141" s="22" t="s">
        <v>20</v>
      </c>
      <c r="F141" s="22" t="s">
        <v>2425</v>
      </c>
      <c r="G141" s="22" t="s">
        <v>2676</v>
      </c>
      <c r="H141" s="22" t="s">
        <v>23</v>
      </c>
      <c r="I141" s="22" t="s">
        <v>522</v>
      </c>
      <c r="J141" s="22" t="s">
        <v>145</v>
      </c>
      <c r="K141" s="22" t="s">
        <v>26</v>
      </c>
      <c r="L141" s="22" t="s">
        <v>38</v>
      </c>
      <c r="M141" s="18">
        <v>13.0</v>
      </c>
      <c r="N141" s="18">
        <v>12.2</v>
      </c>
      <c r="O141" s="22">
        <v>3.0</v>
      </c>
      <c r="P141" s="18">
        <v>39.0</v>
      </c>
      <c r="Q141" s="14">
        <f t="shared" si="1"/>
        <v>26.8</v>
      </c>
    </row>
    <row r="142">
      <c r="A142" s="21">
        <v>42261.0</v>
      </c>
      <c r="B142" s="21" t="s">
        <v>2329</v>
      </c>
      <c r="C142" s="8" t="s">
        <v>1054</v>
      </c>
      <c r="D142" s="23" t="s">
        <v>2329</v>
      </c>
      <c r="E142" s="22" t="s">
        <v>20</v>
      </c>
      <c r="F142" s="22" t="s">
        <v>2425</v>
      </c>
      <c r="G142" s="22" t="s">
        <v>2676</v>
      </c>
      <c r="H142" s="22" t="s">
        <v>23</v>
      </c>
      <c r="I142" s="22" t="s">
        <v>522</v>
      </c>
      <c r="J142" s="22" t="s">
        <v>145</v>
      </c>
      <c r="K142" s="22" t="s">
        <v>26</v>
      </c>
      <c r="L142" s="22" t="s">
        <v>27</v>
      </c>
      <c r="M142" s="18">
        <v>13.128</v>
      </c>
      <c r="N142" s="18">
        <v>13.05</v>
      </c>
      <c r="O142" s="22">
        <v>3.0</v>
      </c>
      <c r="P142" s="18">
        <v>39.384</v>
      </c>
      <c r="Q142" s="14">
        <f t="shared" si="1"/>
        <v>26.334</v>
      </c>
    </row>
    <row r="143">
      <c r="A143" s="21">
        <v>42631.0</v>
      </c>
      <c r="B143" s="21" t="s">
        <v>2329</v>
      </c>
      <c r="C143" s="8" t="s">
        <v>1074</v>
      </c>
      <c r="D143" s="23" t="s">
        <v>2329</v>
      </c>
      <c r="E143" s="22" t="s">
        <v>20</v>
      </c>
      <c r="F143" s="22" t="s">
        <v>2682</v>
      </c>
      <c r="G143" s="22" t="s">
        <v>2683</v>
      </c>
      <c r="H143" s="22" t="s">
        <v>23</v>
      </c>
      <c r="I143" s="22" t="s">
        <v>654</v>
      </c>
      <c r="J143" s="22" t="s">
        <v>52</v>
      </c>
      <c r="K143" s="22" t="s">
        <v>37</v>
      </c>
      <c r="L143" s="22" t="s">
        <v>38</v>
      </c>
      <c r="M143" s="18">
        <v>160.72</v>
      </c>
      <c r="N143" s="18">
        <v>160.1</v>
      </c>
      <c r="O143" s="22">
        <v>9.0</v>
      </c>
      <c r="P143" s="18">
        <v>1446.48</v>
      </c>
      <c r="Q143" s="14">
        <f t="shared" si="1"/>
        <v>1286.38</v>
      </c>
    </row>
    <row r="144">
      <c r="A144" s="21">
        <v>42631.0</v>
      </c>
      <c r="B144" s="21" t="s">
        <v>2329</v>
      </c>
      <c r="C144" s="8" t="s">
        <v>1074</v>
      </c>
      <c r="D144" s="23" t="s">
        <v>2329</v>
      </c>
      <c r="E144" s="22" t="s">
        <v>20</v>
      </c>
      <c r="F144" s="22" t="s">
        <v>2682</v>
      </c>
      <c r="G144" s="22" t="s">
        <v>2683</v>
      </c>
      <c r="H144" s="22" t="s">
        <v>23</v>
      </c>
      <c r="I144" s="22" t="s">
        <v>654</v>
      </c>
      <c r="J144" s="22" t="s">
        <v>52</v>
      </c>
      <c r="K144" s="22" t="s">
        <v>37</v>
      </c>
      <c r="L144" s="22" t="s">
        <v>38</v>
      </c>
      <c r="M144" s="18">
        <v>19.92</v>
      </c>
      <c r="N144" s="18">
        <v>19.4</v>
      </c>
      <c r="O144" s="22">
        <v>9.0</v>
      </c>
      <c r="P144" s="18">
        <v>179.28000000000003</v>
      </c>
      <c r="Q144" s="14">
        <f t="shared" si="1"/>
        <v>159.88</v>
      </c>
    </row>
    <row r="145">
      <c r="A145" s="21">
        <v>42631.0</v>
      </c>
      <c r="B145" s="21" t="s">
        <v>2329</v>
      </c>
      <c r="C145" s="8" t="s">
        <v>1074</v>
      </c>
      <c r="D145" s="23" t="s">
        <v>2329</v>
      </c>
      <c r="E145" s="22" t="s">
        <v>20</v>
      </c>
      <c r="F145" s="22" t="s">
        <v>2682</v>
      </c>
      <c r="G145" s="22" t="s">
        <v>2683</v>
      </c>
      <c r="H145" s="22" t="s">
        <v>23</v>
      </c>
      <c r="I145" s="22" t="s">
        <v>654</v>
      </c>
      <c r="J145" s="22" t="s">
        <v>52</v>
      </c>
      <c r="K145" s="22" t="s">
        <v>37</v>
      </c>
      <c r="L145" s="22" t="s">
        <v>38</v>
      </c>
      <c r="M145" s="18">
        <v>7.3</v>
      </c>
      <c r="N145" s="18">
        <v>6.4</v>
      </c>
      <c r="O145" s="22">
        <v>9.0</v>
      </c>
      <c r="P145" s="18">
        <v>65.7</v>
      </c>
      <c r="Q145" s="14">
        <f t="shared" si="1"/>
        <v>59.3</v>
      </c>
    </row>
    <row r="146">
      <c r="A146" s="21">
        <v>43048.0</v>
      </c>
      <c r="B146" s="21" t="s">
        <v>2326</v>
      </c>
      <c r="C146" s="8" t="s">
        <v>1124</v>
      </c>
      <c r="D146" s="23" t="s">
        <v>2329</v>
      </c>
      <c r="E146" s="22" t="s">
        <v>20</v>
      </c>
      <c r="F146" s="22" t="s">
        <v>2701</v>
      </c>
      <c r="G146" s="22" t="s">
        <v>2702</v>
      </c>
      <c r="H146" s="22" t="s">
        <v>34</v>
      </c>
      <c r="I146" s="22" t="s">
        <v>98</v>
      </c>
      <c r="J146" s="22" t="s">
        <v>99</v>
      </c>
      <c r="K146" s="22" t="s">
        <v>100</v>
      </c>
      <c r="L146" s="22" t="s">
        <v>38</v>
      </c>
      <c r="M146" s="18">
        <v>8.448</v>
      </c>
      <c r="N146" s="18">
        <v>7.49</v>
      </c>
      <c r="O146" s="22">
        <v>1.0</v>
      </c>
      <c r="P146" s="18">
        <v>8.448</v>
      </c>
      <c r="Q146" s="14">
        <f t="shared" si="1"/>
        <v>0.958</v>
      </c>
    </row>
    <row r="147">
      <c r="A147" s="21">
        <v>43048.0</v>
      </c>
      <c r="B147" s="21" t="s">
        <v>2326</v>
      </c>
      <c r="C147" s="8" t="s">
        <v>1124</v>
      </c>
      <c r="D147" s="23" t="s">
        <v>2329</v>
      </c>
      <c r="E147" s="22" t="s">
        <v>20</v>
      </c>
      <c r="F147" s="22" t="s">
        <v>2701</v>
      </c>
      <c r="G147" s="22" t="s">
        <v>2702</v>
      </c>
      <c r="H147" s="22" t="s">
        <v>34</v>
      </c>
      <c r="I147" s="22" t="s">
        <v>98</v>
      </c>
      <c r="J147" s="22" t="s">
        <v>99</v>
      </c>
      <c r="K147" s="22" t="s">
        <v>100</v>
      </c>
      <c r="L147" s="22" t="s">
        <v>51</v>
      </c>
      <c r="M147" s="18">
        <v>728.946</v>
      </c>
      <c r="N147" s="18">
        <v>727.99</v>
      </c>
      <c r="O147" s="22">
        <v>1.0</v>
      </c>
      <c r="P147" s="18">
        <v>728.946</v>
      </c>
      <c r="Q147" s="14">
        <f t="shared" si="1"/>
        <v>0.956</v>
      </c>
    </row>
    <row r="148">
      <c r="A148" s="21">
        <v>43418.0</v>
      </c>
      <c r="B148" s="21" t="s">
        <v>2326</v>
      </c>
      <c r="C148" s="8" t="s">
        <v>1128</v>
      </c>
      <c r="D148" s="23" t="s">
        <v>2326</v>
      </c>
      <c r="E148" s="22" t="s">
        <v>20</v>
      </c>
      <c r="F148" s="22" t="s">
        <v>2703</v>
      </c>
      <c r="G148" s="22" t="s">
        <v>2704</v>
      </c>
      <c r="H148" s="22" t="s">
        <v>23</v>
      </c>
      <c r="I148" s="22" t="s">
        <v>1131</v>
      </c>
      <c r="J148" s="22" t="s">
        <v>304</v>
      </c>
      <c r="K148" s="22" t="s">
        <v>100</v>
      </c>
      <c r="L148" s="22" t="s">
        <v>51</v>
      </c>
      <c r="M148" s="18">
        <v>119.94</v>
      </c>
      <c r="N148" s="18">
        <v>119.72</v>
      </c>
      <c r="O148" s="22">
        <v>4.0</v>
      </c>
      <c r="P148" s="18">
        <v>479.76</v>
      </c>
      <c r="Q148" s="14">
        <f t="shared" si="1"/>
        <v>360.04</v>
      </c>
    </row>
    <row r="149">
      <c r="A149" s="21">
        <v>43418.0</v>
      </c>
      <c r="B149" s="21" t="s">
        <v>2326</v>
      </c>
      <c r="C149" s="8" t="s">
        <v>1128</v>
      </c>
      <c r="D149" s="23" t="s">
        <v>2326</v>
      </c>
      <c r="E149" s="22" t="s">
        <v>20</v>
      </c>
      <c r="F149" s="22" t="s">
        <v>2703</v>
      </c>
      <c r="G149" s="22" t="s">
        <v>2704</v>
      </c>
      <c r="H149" s="22" t="s">
        <v>23</v>
      </c>
      <c r="I149" s="22" t="s">
        <v>1131</v>
      </c>
      <c r="J149" s="22" t="s">
        <v>304</v>
      </c>
      <c r="K149" s="22" t="s">
        <v>100</v>
      </c>
      <c r="L149" s="22" t="s">
        <v>38</v>
      </c>
      <c r="M149" s="18">
        <v>3.648</v>
      </c>
      <c r="N149" s="18">
        <v>2.81</v>
      </c>
      <c r="O149" s="22">
        <v>4.0</v>
      </c>
      <c r="P149" s="18">
        <v>14.592</v>
      </c>
      <c r="Q149" s="14">
        <f t="shared" si="1"/>
        <v>11.782</v>
      </c>
    </row>
    <row r="150">
      <c r="A150" s="21">
        <v>43330.0</v>
      </c>
      <c r="B150" s="21" t="s">
        <v>2322</v>
      </c>
      <c r="C150" s="8" t="s">
        <v>824</v>
      </c>
      <c r="D150" s="23" t="s">
        <v>2322</v>
      </c>
      <c r="E150" s="22" t="s">
        <v>20</v>
      </c>
      <c r="F150" s="22" t="s">
        <v>2705</v>
      </c>
      <c r="G150" s="22" t="s">
        <v>2706</v>
      </c>
      <c r="H150" s="22" t="s">
        <v>34</v>
      </c>
      <c r="I150" s="22" t="s">
        <v>174</v>
      </c>
      <c r="J150" s="22" t="s">
        <v>175</v>
      </c>
      <c r="K150" s="22" t="s">
        <v>100</v>
      </c>
      <c r="L150" s="22" t="s">
        <v>27</v>
      </c>
      <c r="M150" s="18">
        <v>40.48</v>
      </c>
      <c r="N150" s="18">
        <v>40.35</v>
      </c>
      <c r="O150" s="22">
        <v>1.0</v>
      </c>
      <c r="P150" s="18">
        <v>40.48</v>
      </c>
      <c r="Q150" s="14">
        <f t="shared" si="1"/>
        <v>0.13</v>
      </c>
    </row>
    <row r="151">
      <c r="A151" s="21">
        <v>43330.0</v>
      </c>
      <c r="B151" s="21" t="s">
        <v>2322</v>
      </c>
      <c r="C151" s="8" t="s">
        <v>824</v>
      </c>
      <c r="D151" s="23" t="s">
        <v>2322</v>
      </c>
      <c r="E151" s="22" t="s">
        <v>20</v>
      </c>
      <c r="F151" s="22" t="s">
        <v>2705</v>
      </c>
      <c r="G151" s="22" t="s">
        <v>2706</v>
      </c>
      <c r="H151" s="22" t="s">
        <v>34</v>
      </c>
      <c r="I151" s="22" t="s">
        <v>174</v>
      </c>
      <c r="J151" s="22" t="s">
        <v>175</v>
      </c>
      <c r="K151" s="22" t="s">
        <v>100</v>
      </c>
      <c r="L151" s="22" t="s">
        <v>27</v>
      </c>
      <c r="M151" s="18">
        <v>9.94</v>
      </c>
      <c r="N151" s="18">
        <v>9.42</v>
      </c>
      <c r="O151" s="22">
        <v>1.0</v>
      </c>
      <c r="P151" s="18">
        <v>9.94</v>
      </c>
      <c r="Q151" s="14">
        <f t="shared" si="1"/>
        <v>0.52</v>
      </c>
    </row>
    <row r="152">
      <c r="A152" s="21">
        <v>43330.0</v>
      </c>
      <c r="B152" s="21" t="s">
        <v>2322</v>
      </c>
      <c r="C152" s="8" t="s">
        <v>824</v>
      </c>
      <c r="D152" s="23" t="s">
        <v>2322</v>
      </c>
      <c r="E152" s="22" t="s">
        <v>20</v>
      </c>
      <c r="F152" s="22" t="s">
        <v>2705</v>
      </c>
      <c r="G152" s="22" t="s">
        <v>2706</v>
      </c>
      <c r="H152" s="22" t="s">
        <v>34</v>
      </c>
      <c r="I152" s="22" t="s">
        <v>174</v>
      </c>
      <c r="J152" s="22" t="s">
        <v>175</v>
      </c>
      <c r="K152" s="22" t="s">
        <v>100</v>
      </c>
      <c r="L152" s="22" t="s">
        <v>38</v>
      </c>
      <c r="M152" s="18">
        <v>107.424</v>
      </c>
      <c r="N152" s="18">
        <v>107.26</v>
      </c>
      <c r="O152" s="22">
        <v>1.0</v>
      </c>
      <c r="P152" s="18">
        <v>107.424</v>
      </c>
      <c r="Q152" s="14">
        <f t="shared" si="1"/>
        <v>0.164</v>
      </c>
    </row>
    <row r="153">
      <c r="A153" s="21">
        <v>43330.0</v>
      </c>
      <c r="B153" s="21" t="s">
        <v>2322</v>
      </c>
      <c r="C153" s="8" t="s">
        <v>824</v>
      </c>
      <c r="D153" s="23" t="s">
        <v>2322</v>
      </c>
      <c r="E153" s="22" t="s">
        <v>20</v>
      </c>
      <c r="F153" s="22" t="s">
        <v>2705</v>
      </c>
      <c r="G153" s="22" t="s">
        <v>2706</v>
      </c>
      <c r="H153" s="22" t="s">
        <v>34</v>
      </c>
      <c r="I153" s="22" t="s">
        <v>174</v>
      </c>
      <c r="J153" s="22" t="s">
        <v>175</v>
      </c>
      <c r="K153" s="22" t="s">
        <v>100</v>
      </c>
      <c r="L153" s="22" t="s">
        <v>51</v>
      </c>
      <c r="M153" s="18">
        <v>37.91</v>
      </c>
      <c r="N153" s="18">
        <v>37.76</v>
      </c>
      <c r="O153" s="22">
        <v>1.0</v>
      </c>
      <c r="P153" s="18">
        <v>37.91</v>
      </c>
      <c r="Q153" s="14">
        <f t="shared" si="1"/>
        <v>0.15</v>
      </c>
    </row>
    <row r="154">
      <c r="A154" s="21">
        <v>43330.0</v>
      </c>
      <c r="B154" s="21" t="s">
        <v>2322</v>
      </c>
      <c r="C154" s="8" t="s">
        <v>824</v>
      </c>
      <c r="D154" s="23" t="s">
        <v>2322</v>
      </c>
      <c r="E154" s="22" t="s">
        <v>20</v>
      </c>
      <c r="F154" s="22" t="s">
        <v>2705</v>
      </c>
      <c r="G154" s="22" t="s">
        <v>2706</v>
      </c>
      <c r="H154" s="22" t="s">
        <v>34</v>
      </c>
      <c r="I154" s="22" t="s">
        <v>174</v>
      </c>
      <c r="J154" s="22" t="s">
        <v>175</v>
      </c>
      <c r="K154" s="22" t="s">
        <v>100</v>
      </c>
      <c r="L154" s="22" t="s">
        <v>27</v>
      </c>
      <c r="M154" s="18">
        <v>88.02</v>
      </c>
      <c r="N154" s="18">
        <v>87.89</v>
      </c>
      <c r="O154" s="22">
        <v>1.0</v>
      </c>
      <c r="P154" s="18">
        <v>88.02</v>
      </c>
      <c r="Q154" s="14">
        <f t="shared" si="1"/>
        <v>0.13</v>
      </c>
    </row>
    <row r="155">
      <c r="A155" s="21">
        <v>43051.0</v>
      </c>
      <c r="B155" s="21" t="s">
        <v>2326</v>
      </c>
      <c r="C155" s="8" t="s">
        <v>89</v>
      </c>
      <c r="D155" s="23" t="s">
        <v>2325</v>
      </c>
      <c r="E155" s="22" t="s">
        <v>20</v>
      </c>
      <c r="F155" s="22" t="s">
        <v>2494</v>
      </c>
      <c r="G155" s="22" t="s">
        <v>2715</v>
      </c>
      <c r="H155" s="22" t="s">
        <v>23</v>
      </c>
      <c r="I155" s="22" t="s">
        <v>278</v>
      </c>
      <c r="J155" s="22" t="s">
        <v>279</v>
      </c>
      <c r="K155" s="22" t="s">
        <v>37</v>
      </c>
      <c r="L155" s="22" t="s">
        <v>38</v>
      </c>
      <c r="M155" s="18">
        <v>243.384</v>
      </c>
      <c r="N155" s="18">
        <v>242.8</v>
      </c>
      <c r="O155" s="22">
        <v>8.0</v>
      </c>
      <c r="P155" s="18">
        <v>1947.072</v>
      </c>
      <c r="Q155" s="14">
        <f t="shared" si="1"/>
        <v>1704.272</v>
      </c>
    </row>
    <row r="156">
      <c r="A156" s="21">
        <v>43051.0</v>
      </c>
      <c r="B156" s="21" t="s">
        <v>2326</v>
      </c>
      <c r="C156" s="8" t="s">
        <v>89</v>
      </c>
      <c r="D156" s="23" t="s">
        <v>2325</v>
      </c>
      <c r="E156" s="22" t="s">
        <v>20</v>
      </c>
      <c r="F156" s="22" t="s">
        <v>2494</v>
      </c>
      <c r="G156" s="22" t="s">
        <v>2715</v>
      </c>
      <c r="H156" s="22" t="s">
        <v>23</v>
      </c>
      <c r="I156" s="22" t="s">
        <v>278</v>
      </c>
      <c r="J156" s="22" t="s">
        <v>279</v>
      </c>
      <c r="K156" s="22" t="s">
        <v>37</v>
      </c>
      <c r="L156" s="22" t="s">
        <v>51</v>
      </c>
      <c r="M156" s="18">
        <v>119.8</v>
      </c>
      <c r="N156" s="18">
        <v>119.49</v>
      </c>
      <c r="O156" s="22">
        <v>8.0</v>
      </c>
      <c r="P156" s="18">
        <v>958.4</v>
      </c>
      <c r="Q156" s="14">
        <f t="shared" si="1"/>
        <v>838.91</v>
      </c>
    </row>
    <row r="157">
      <c r="A157" s="21">
        <v>43051.0</v>
      </c>
      <c r="B157" s="21" t="s">
        <v>2326</v>
      </c>
      <c r="C157" s="8" t="s">
        <v>89</v>
      </c>
      <c r="D157" s="23" t="s">
        <v>2325</v>
      </c>
      <c r="E157" s="22" t="s">
        <v>20</v>
      </c>
      <c r="F157" s="22" t="s">
        <v>2494</v>
      </c>
      <c r="G157" s="22" t="s">
        <v>2715</v>
      </c>
      <c r="H157" s="22" t="s">
        <v>23</v>
      </c>
      <c r="I157" s="22" t="s">
        <v>278</v>
      </c>
      <c r="J157" s="22" t="s">
        <v>279</v>
      </c>
      <c r="K157" s="22" t="s">
        <v>37</v>
      </c>
      <c r="L157" s="22" t="s">
        <v>51</v>
      </c>
      <c r="M157" s="18">
        <v>300.768</v>
      </c>
      <c r="N157" s="18">
        <v>300.09</v>
      </c>
      <c r="O157" s="22">
        <v>8.0</v>
      </c>
      <c r="P157" s="18">
        <v>2406.144</v>
      </c>
      <c r="Q157" s="14">
        <f t="shared" si="1"/>
        <v>2106.054</v>
      </c>
    </row>
    <row r="158">
      <c r="A158" s="21">
        <v>43367.0</v>
      </c>
      <c r="B158" s="21" t="s">
        <v>2329</v>
      </c>
      <c r="C158" s="8" t="s">
        <v>1155</v>
      </c>
      <c r="D158" s="23" t="s">
        <v>2329</v>
      </c>
      <c r="E158" s="22" t="s">
        <v>20</v>
      </c>
      <c r="F158" s="22" t="s">
        <v>2655</v>
      </c>
      <c r="G158" s="22" t="s">
        <v>2567</v>
      </c>
      <c r="H158" s="22" t="s">
        <v>23</v>
      </c>
      <c r="I158" s="22" t="s">
        <v>791</v>
      </c>
      <c r="J158" s="22" t="s">
        <v>145</v>
      </c>
      <c r="K158" s="22" t="s">
        <v>26</v>
      </c>
      <c r="L158" s="22" t="s">
        <v>51</v>
      </c>
      <c r="M158" s="18">
        <v>17.88</v>
      </c>
      <c r="N158" s="18">
        <v>16.89</v>
      </c>
      <c r="O158" s="22">
        <v>3.0</v>
      </c>
      <c r="P158" s="18">
        <v>53.64</v>
      </c>
      <c r="Q158" s="14">
        <f t="shared" si="1"/>
        <v>36.75</v>
      </c>
    </row>
    <row r="159">
      <c r="A159" s="21">
        <v>43367.0</v>
      </c>
      <c r="B159" s="21" t="s">
        <v>2329</v>
      </c>
      <c r="C159" s="8" t="s">
        <v>1155</v>
      </c>
      <c r="D159" s="23" t="s">
        <v>2329</v>
      </c>
      <c r="E159" s="22" t="s">
        <v>20</v>
      </c>
      <c r="F159" s="22" t="s">
        <v>2655</v>
      </c>
      <c r="G159" s="22" t="s">
        <v>2567</v>
      </c>
      <c r="H159" s="22" t="s">
        <v>23</v>
      </c>
      <c r="I159" s="22" t="s">
        <v>791</v>
      </c>
      <c r="J159" s="22" t="s">
        <v>145</v>
      </c>
      <c r="K159" s="22" t="s">
        <v>26</v>
      </c>
      <c r="L159" s="22" t="s">
        <v>38</v>
      </c>
      <c r="M159" s="18">
        <v>235.944</v>
      </c>
      <c r="N159" s="18">
        <v>235.05</v>
      </c>
      <c r="O159" s="22">
        <v>3.0</v>
      </c>
      <c r="P159" s="18">
        <v>707.832</v>
      </c>
      <c r="Q159" s="14">
        <f t="shared" si="1"/>
        <v>472.782</v>
      </c>
    </row>
    <row r="160">
      <c r="A160" s="21">
        <v>42470.0</v>
      </c>
      <c r="B160" s="21" t="s">
        <v>2332</v>
      </c>
      <c r="C160" s="24">
        <v>42623.0</v>
      </c>
      <c r="D160" s="23" t="s">
        <v>2329</v>
      </c>
      <c r="E160" s="22" t="s">
        <v>20</v>
      </c>
      <c r="F160" s="22" t="s">
        <v>2587</v>
      </c>
      <c r="G160" s="22" t="s">
        <v>2716</v>
      </c>
      <c r="H160" s="22" t="s">
        <v>34</v>
      </c>
      <c r="I160" s="22" t="s">
        <v>1159</v>
      </c>
      <c r="J160" s="22" t="s">
        <v>707</v>
      </c>
      <c r="K160" s="22" t="s">
        <v>26</v>
      </c>
      <c r="L160" s="22" t="s">
        <v>27</v>
      </c>
      <c r="M160" s="18">
        <v>392.94</v>
      </c>
      <c r="N160" s="18">
        <v>392.3</v>
      </c>
      <c r="O160" s="22">
        <v>3.0</v>
      </c>
      <c r="P160" s="18">
        <v>1178.82</v>
      </c>
      <c r="Q160" s="14">
        <f t="shared" si="1"/>
        <v>786.52</v>
      </c>
    </row>
    <row r="161">
      <c r="A161" s="21">
        <v>43311.0</v>
      </c>
      <c r="B161" s="21" t="s">
        <v>2348</v>
      </c>
      <c r="C161" s="24">
        <v>43167.0</v>
      </c>
      <c r="D161" s="23" t="s">
        <v>2399</v>
      </c>
      <c r="E161" s="22" t="s">
        <v>20</v>
      </c>
      <c r="F161" s="22" t="s">
        <v>2560</v>
      </c>
      <c r="G161" s="22" t="s">
        <v>2719</v>
      </c>
      <c r="H161" s="22" t="s">
        <v>23</v>
      </c>
      <c r="I161" s="22" t="s">
        <v>1174</v>
      </c>
      <c r="J161" s="22" t="s">
        <v>52</v>
      </c>
      <c r="K161" s="22" t="s">
        <v>37</v>
      </c>
      <c r="L161" s="22" t="s">
        <v>38</v>
      </c>
      <c r="M161" s="18">
        <v>330.4</v>
      </c>
      <c r="N161" s="18">
        <v>330.19</v>
      </c>
      <c r="O161" s="22">
        <v>9.0</v>
      </c>
      <c r="P161" s="18">
        <v>2973.6</v>
      </c>
      <c r="Q161" s="14">
        <f t="shared" si="1"/>
        <v>2643.41</v>
      </c>
    </row>
    <row r="162">
      <c r="A162" s="21">
        <v>43311.0</v>
      </c>
      <c r="B162" s="21" t="s">
        <v>2348</v>
      </c>
      <c r="C162" s="24">
        <v>43167.0</v>
      </c>
      <c r="D162" s="23" t="s">
        <v>2399</v>
      </c>
      <c r="E162" s="22" t="s">
        <v>20</v>
      </c>
      <c r="F162" s="22" t="s">
        <v>2560</v>
      </c>
      <c r="G162" s="22" t="s">
        <v>2719</v>
      </c>
      <c r="H162" s="22" t="s">
        <v>23</v>
      </c>
      <c r="I162" s="22" t="s">
        <v>1174</v>
      </c>
      <c r="J162" s="22" t="s">
        <v>52</v>
      </c>
      <c r="K162" s="22" t="s">
        <v>37</v>
      </c>
      <c r="L162" s="22" t="s">
        <v>38</v>
      </c>
      <c r="M162" s="18">
        <v>26.25</v>
      </c>
      <c r="N162" s="18">
        <v>25.55</v>
      </c>
      <c r="O162" s="22">
        <v>9.0</v>
      </c>
      <c r="P162" s="18">
        <v>236.25</v>
      </c>
      <c r="Q162" s="14">
        <f t="shared" si="1"/>
        <v>210.7</v>
      </c>
    </row>
    <row r="163">
      <c r="A163" s="21">
        <v>43051.0</v>
      </c>
      <c r="B163" s="21" t="s">
        <v>2326</v>
      </c>
      <c r="C163" s="8" t="s">
        <v>1189</v>
      </c>
      <c r="D163" s="23" t="s">
        <v>2325</v>
      </c>
      <c r="E163" s="22" t="s">
        <v>20</v>
      </c>
      <c r="F163" s="22" t="s">
        <v>2723</v>
      </c>
      <c r="G163" s="22" t="s">
        <v>2724</v>
      </c>
      <c r="H163" s="22" t="s">
        <v>34</v>
      </c>
      <c r="I163" s="22" t="s">
        <v>1192</v>
      </c>
      <c r="J163" s="22" t="s">
        <v>63</v>
      </c>
      <c r="K163" s="22" t="s">
        <v>37</v>
      </c>
      <c r="L163" s="22" t="s">
        <v>27</v>
      </c>
      <c r="M163" s="18">
        <v>14.8</v>
      </c>
      <c r="N163" s="18">
        <v>14.73</v>
      </c>
      <c r="O163" s="22">
        <v>9.0</v>
      </c>
      <c r="P163" s="18">
        <v>133.20000000000002</v>
      </c>
      <c r="Q163" s="14">
        <f t="shared" si="1"/>
        <v>118.47</v>
      </c>
    </row>
    <row r="164">
      <c r="A164" s="21">
        <v>43051.0</v>
      </c>
      <c r="B164" s="21" t="s">
        <v>2326</v>
      </c>
      <c r="C164" s="8" t="s">
        <v>1189</v>
      </c>
      <c r="D164" s="23" t="s">
        <v>2325</v>
      </c>
      <c r="E164" s="22" t="s">
        <v>20</v>
      </c>
      <c r="F164" s="22" t="s">
        <v>2723</v>
      </c>
      <c r="G164" s="22" t="s">
        <v>2724</v>
      </c>
      <c r="H164" s="22" t="s">
        <v>34</v>
      </c>
      <c r="I164" s="22" t="s">
        <v>1192</v>
      </c>
      <c r="J164" s="22" t="s">
        <v>63</v>
      </c>
      <c r="K164" s="22" t="s">
        <v>37</v>
      </c>
      <c r="L164" s="22" t="s">
        <v>51</v>
      </c>
      <c r="M164" s="18">
        <v>302.376</v>
      </c>
      <c r="N164" s="18">
        <v>301.45</v>
      </c>
      <c r="O164" s="22">
        <v>9.0</v>
      </c>
      <c r="P164" s="18">
        <v>2721.384</v>
      </c>
      <c r="Q164" s="14">
        <f t="shared" si="1"/>
        <v>2419.934</v>
      </c>
    </row>
    <row r="165">
      <c r="A165" s="21">
        <v>43051.0</v>
      </c>
      <c r="B165" s="21" t="s">
        <v>2326</v>
      </c>
      <c r="C165" s="8" t="s">
        <v>1189</v>
      </c>
      <c r="D165" s="23" t="s">
        <v>2325</v>
      </c>
      <c r="E165" s="22" t="s">
        <v>20</v>
      </c>
      <c r="F165" s="22" t="s">
        <v>2723</v>
      </c>
      <c r="G165" s="22" t="s">
        <v>2724</v>
      </c>
      <c r="H165" s="22" t="s">
        <v>34</v>
      </c>
      <c r="I165" s="22" t="s">
        <v>1192</v>
      </c>
      <c r="J165" s="22" t="s">
        <v>63</v>
      </c>
      <c r="K165" s="22" t="s">
        <v>37</v>
      </c>
      <c r="L165" s="22" t="s">
        <v>51</v>
      </c>
      <c r="M165" s="18">
        <v>316.0</v>
      </c>
      <c r="N165" s="18">
        <v>315.0</v>
      </c>
      <c r="O165" s="22">
        <v>9.0</v>
      </c>
      <c r="P165" s="18">
        <v>2844.0</v>
      </c>
      <c r="Q165" s="14">
        <f t="shared" si="1"/>
        <v>2529</v>
      </c>
    </row>
    <row r="166">
      <c r="A166" s="21">
        <v>43318.0</v>
      </c>
      <c r="B166" s="21" t="s">
        <v>2322</v>
      </c>
      <c r="C166" s="24">
        <v>43379.0</v>
      </c>
      <c r="D166" s="23" t="s">
        <v>2358</v>
      </c>
      <c r="E166" s="22" t="s">
        <v>20</v>
      </c>
      <c r="F166" s="22" t="s">
        <v>2731</v>
      </c>
      <c r="G166" s="22" t="s">
        <v>2732</v>
      </c>
      <c r="H166" s="22" t="s">
        <v>34</v>
      </c>
      <c r="I166" s="22" t="s">
        <v>480</v>
      </c>
      <c r="J166" s="22" t="s">
        <v>70</v>
      </c>
      <c r="K166" s="22" t="s">
        <v>71</v>
      </c>
      <c r="L166" s="22" t="s">
        <v>38</v>
      </c>
      <c r="M166" s="18">
        <v>23.76</v>
      </c>
      <c r="N166" s="18">
        <v>23.17</v>
      </c>
      <c r="O166" s="22">
        <v>7.0</v>
      </c>
      <c r="P166" s="18">
        <v>166.32000000000002</v>
      </c>
      <c r="Q166" s="14">
        <f t="shared" si="1"/>
        <v>143.15</v>
      </c>
    </row>
    <row r="167">
      <c r="A167" s="21">
        <v>43318.0</v>
      </c>
      <c r="B167" s="21" t="s">
        <v>2322</v>
      </c>
      <c r="C167" s="24">
        <v>43379.0</v>
      </c>
      <c r="D167" s="23" t="s">
        <v>2358</v>
      </c>
      <c r="E167" s="22" t="s">
        <v>20</v>
      </c>
      <c r="F167" s="22" t="s">
        <v>2731</v>
      </c>
      <c r="G167" s="22" t="s">
        <v>2732</v>
      </c>
      <c r="H167" s="22" t="s">
        <v>34</v>
      </c>
      <c r="I167" s="22" t="s">
        <v>480</v>
      </c>
      <c r="J167" s="22" t="s">
        <v>70</v>
      </c>
      <c r="K167" s="22" t="s">
        <v>71</v>
      </c>
      <c r="L167" s="22" t="s">
        <v>38</v>
      </c>
      <c r="M167" s="18">
        <v>85.056</v>
      </c>
      <c r="N167" s="18">
        <v>84.29</v>
      </c>
      <c r="O167" s="22">
        <v>7.0</v>
      </c>
      <c r="P167" s="18">
        <v>595.3919999999999</v>
      </c>
      <c r="Q167" s="14">
        <f t="shared" si="1"/>
        <v>511.102</v>
      </c>
    </row>
    <row r="168">
      <c r="A168" s="21">
        <v>43318.0</v>
      </c>
      <c r="B168" s="21" t="s">
        <v>2322</v>
      </c>
      <c r="C168" s="24">
        <v>43379.0</v>
      </c>
      <c r="D168" s="23" t="s">
        <v>2358</v>
      </c>
      <c r="E168" s="22" t="s">
        <v>20</v>
      </c>
      <c r="F168" s="22" t="s">
        <v>2731</v>
      </c>
      <c r="G168" s="22" t="s">
        <v>2732</v>
      </c>
      <c r="H168" s="22" t="s">
        <v>34</v>
      </c>
      <c r="I168" s="22" t="s">
        <v>480</v>
      </c>
      <c r="J168" s="22" t="s">
        <v>70</v>
      </c>
      <c r="K168" s="22" t="s">
        <v>71</v>
      </c>
      <c r="L168" s="22" t="s">
        <v>51</v>
      </c>
      <c r="M168" s="18">
        <v>381.576</v>
      </c>
      <c r="N168" s="18">
        <v>380.78</v>
      </c>
      <c r="O168" s="22">
        <v>7.0</v>
      </c>
      <c r="P168" s="18">
        <v>2671.032</v>
      </c>
      <c r="Q168" s="14">
        <f t="shared" si="1"/>
        <v>2290.252</v>
      </c>
    </row>
    <row r="169">
      <c r="A169" s="21">
        <v>42176.0</v>
      </c>
      <c r="B169" s="21" t="s">
        <v>2374</v>
      </c>
      <c r="C169" s="8" t="s">
        <v>1245</v>
      </c>
      <c r="D169" s="23" t="s">
        <v>2374</v>
      </c>
      <c r="E169" s="22" t="s">
        <v>20</v>
      </c>
      <c r="F169" s="22" t="s">
        <v>2743</v>
      </c>
      <c r="G169" s="22" t="s">
        <v>2744</v>
      </c>
      <c r="H169" s="22" t="s">
        <v>23</v>
      </c>
      <c r="I169" s="22" t="s">
        <v>1248</v>
      </c>
      <c r="J169" s="22" t="s">
        <v>198</v>
      </c>
      <c r="K169" s="22" t="s">
        <v>26</v>
      </c>
      <c r="L169" s="22" t="s">
        <v>27</v>
      </c>
      <c r="M169" s="18">
        <v>104.01</v>
      </c>
      <c r="N169" s="18">
        <v>103.23</v>
      </c>
      <c r="O169" s="22">
        <v>2.0</v>
      </c>
      <c r="P169" s="18">
        <v>208.02</v>
      </c>
      <c r="Q169" s="14">
        <f t="shared" si="1"/>
        <v>104.79</v>
      </c>
    </row>
    <row r="170">
      <c r="A170" s="21">
        <v>42176.0</v>
      </c>
      <c r="B170" s="21" t="s">
        <v>2374</v>
      </c>
      <c r="C170" s="8" t="s">
        <v>1245</v>
      </c>
      <c r="D170" s="23" t="s">
        <v>2374</v>
      </c>
      <c r="E170" s="22" t="s">
        <v>20</v>
      </c>
      <c r="F170" s="22" t="s">
        <v>2743</v>
      </c>
      <c r="G170" s="22" t="s">
        <v>2744</v>
      </c>
      <c r="H170" s="22" t="s">
        <v>23</v>
      </c>
      <c r="I170" s="22" t="s">
        <v>1248</v>
      </c>
      <c r="J170" s="22" t="s">
        <v>198</v>
      </c>
      <c r="K170" s="22" t="s">
        <v>26</v>
      </c>
      <c r="L170" s="22" t="s">
        <v>51</v>
      </c>
      <c r="M170" s="18">
        <v>284.82</v>
      </c>
      <c r="N170" s="18">
        <v>284.3</v>
      </c>
      <c r="O170" s="22">
        <v>2.0</v>
      </c>
      <c r="P170" s="18">
        <v>569.64</v>
      </c>
      <c r="Q170" s="14">
        <f t="shared" si="1"/>
        <v>285.34</v>
      </c>
    </row>
    <row r="171">
      <c r="A171" s="21">
        <v>42176.0</v>
      </c>
      <c r="B171" s="21" t="s">
        <v>2374</v>
      </c>
      <c r="C171" s="8" t="s">
        <v>1245</v>
      </c>
      <c r="D171" s="23" t="s">
        <v>2374</v>
      </c>
      <c r="E171" s="22" t="s">
        <v>20</v>
      </c>
      <c r="F171" s="22" t="s">
        <v>2743</v>
      </c>
      <c r="G171" s="22" t="s">
        <v>2744</v>
      </c>
      <c r="H171" s="22" t="s">
        <v>23</v>
      </c>
      <c r="I171" s="22" t="s">
        <v>1248</v>
      </c>
      <c r="J171" s="22" t="s">
        <v>198</v>
      </c>
      <c r="K171" s="22" t="s">
        <v>26</v>
      </c>
      <c r="L171" s="22" t="s">
        <v>38</v>
      </c>
      <c r="M171" s="18">
        <v>36.84</v>
      </c>
      <c r="N171" s="18">
        <v>35.94</v>
      </c>
      <c r="O171" s="22">
        <v>2.0</v>
      </c>
      <c r="P171" s="18">
        <v>73.68</v>
      </c>
      <c r="Q171" s="14">
        <f t="shared" si="1"/>
        <v>37.74</v>
      </c>
    </row>
    <row r="172">
      <c r="A172" s="21">
        <v>42836.0</v>
      </c>
      <c r="B172" s="21" t="s">
        <v>2332</v>
      </c>
      <c r="C172" s="24">
        <v>42958.0</v>
      </c>
      <c r="D172" s="23" t="s">
        <v>2322</v>
      </c>
      <c r="E172" s="22" t="s">
        <v>20</v>
      </c>
      <c r="F172" s="22" t="s">
        <v>2342</v>
      </c>
      <c r="G172" s="22" t="s">
        <v>2585</v>
      </c>
      <c r="H172" s="22" t="s">
        <v>34</v>
      </c>
      <c r="I172" s="22" t="s">
        <v>62</v>
      </c>
      <c r="J172" s="22" t="s">
        <v>63</v>
      </c>
      <c r="K172" s="22" t="s">
        <v>37</v>
      </c>
      <c r="L172" s="22" t="s">
        <v>27</v>
      </c>
      <c r="M172" s="18">
        <v>209.88</v>
      </c>
      <c r="N172" s="18">
        <v>209.67</v>
      </c>
      <c r="O172" s="22">
        <v>9.0</v>
      </c>
      <c r="P172" s="18">
        <v>1888.92</v>
      </c>
      <c r="Q172" s="14">
        <f t="shared" si="1"/>
        <v>1679.25</v>
      </c>
    </row>
    <row r="173">
      <c r="A173" s="21">
        <v>42011.0</v>
      </c>
      <c r="B173" s="21" t="s">
        <v>2353</v>
      </c>
      <c r="C173" s="24">
        <v>42162.0</v>
      </c>
      <c r="D173" s="23" t="s">
        <v>2374</v>
      </c>
      <c r="E173" s="22" t="s">
        <v>20</v>
      </c>
      <c r="F173" s="22" t="s">
        <v>2525</v>
      </c>
      <c r="G173" s="22" t="s">
        <v>2526</v>
      </c>
      <c r="H173" s="22" t="s">
        <v>34</v>
      </c>
      <c r="I173" s="22" t="s">
        <v>62</v>
      </c>
      <c r="J173" s="22" t="s">
        <v>63</v>
      </c>
      <c r="K173" s="22" t="s">
        <v>37</v>
      </c>
      <c r="L173" s="22" t="s">
        <v>38</v>
      </c>
      <c r="M173" s="18">
        <v>19.92</v>
      </c>
      <c r="N173" s="18">
        <v>19.36</v>
      </c>
      <c r="O173" s="22">
        <v>9.0</v>
      </c>
      <c r="P173" s="18">
        <v>179.28000000000003</v>
      </c>
      <c r="Q173" s="14">
        <f t="shared" si="1"/>
        <v>159.92</v>
      </c>
    </row>
    <row r="174">
      <c r="A174" s="21">
        <v>42814.0</v>
      </c>
      <c r="B174" s="21" t="s">
        <v>2399</v>
      </c>
      <c r="C174" s="8" t="s">
        <v>1326</v>
      </c>
      <c r="D174" s="23" t="s">
        <v>2399</v>
      </c>
      <c r="E174" s="22" t="s">
        <v>20</v>
      </c>
      <c r="F174" s="22" t="s">
        <v>2767</v>
      </c>
      <c r="G174" s="22" t="s">
        <v>2768</v>
      </c>
      <c r="H174" s="22" t="s">
        <v>23</v>
      </c>
      <c r="I174" s="22" t="s">
        <v>1329</v>
      </c>
      <c r="J174" s="22" t="s">
        <v>135</v>
      </c>
      <c r="K174" s="22" t="s">
        <v>71</v>
      </c>
      <c r="L174" s="22" t="s">
        <v>51</v>
      </c>
      <c r="M174" s="18">
        <v>11.992</v>
      </c>
      <c r="N174" s="18">
        <v>11.93</v>
      </c>
      <c r="O174" s="22">
        <v>6.0</v>
      </c>
      <c r="P174" s="18">
        <v>71.952</v>
      </c>
      <c r="Q174" s="14">
        <f t="shared" si="1"/>
        <v>60.022</v>
      </c>
    </row>
    <row r="175">
      <c r="A175" s="21">
        <v>42017.0</v>
      </c>
      <c r="B175" s="21" t="s">
        <v>2353</v>
      </c>
      <c r="C175" s="8" t="s">
        <v>1357</v>
      </c>
      <c r="D175" s="23" t="s">
        <v>2353</v>
      </c>
      <c r="E175" s="22" t="s">
        <v>20</v>
      </c>
      <c r="F175" s="22" t="s">
        <v>2775</v>
      </c>
      <c r="G175" s="22" t="s">
        <v>2776</v>
      </c>
      <c r="H175" s="22" t="s">
        <v>34</v>
      </c>
      <c r="I175" s="22" t="s">
        <v>1360</v>
      </c>
      <c r="J175" s="22" t="s">
        <v>430</v>
      </c>
      <c r="K175" s="22" t="s">
        <v>26</v>
      </c>
      <c r="L175" s="22" t="s">
        <v>38</v>
      </c>
      <c r="M175" s="18">
        <v>11.36</v>
      </c>
      <c r="N175" s="18">
        <v>10.46</v>
      </c>
      <c r="O175" s="22">
        <v>7.0</v>
      </c>
      <c r="P175" s="18">
        <v>79.52</v>
      </c>
      <c r="Q175" s="14">
        <f t="shared" si="1"/>
        <v>69.06</v>
      </c>
    </row>
    <row r="176">
      <c r="A176" s="21">
        <v>42017.0</v>
      </c>
      <c r="B176" s="21" t="s">
        <v>2353</v>
      </c>
      <c r="C176" s="8" t="s">
        <v>1357</v>
      </c>
      <c r="D176" s="23" t="s">
        <v>2353</v>
      </c>
      <c r="E176" s="22" t="s">
        <v>20</v>
      </c>
      <c r="F176" s="22" t="s">
        <v>2775</v>
      </c>
      <c r="G176" s="22" t="s">
        <v>2776</v>
      </c>
      <c r="H176" s="22" t="s">
        <v>34</v>
      </c>
      <c r="I176" s="22" t="s">
        <v>1360</v>
      </c>
      <c r="J176" s="22" t="s">
        <v>430</v>
      </c>
      <c r="K176" s="22" t="s">
        <v>26</v>
      </c>
      <c r="L176" s="22" t="s">
        <v>38</v>
      </c>
      <c r="M176" s="18">
        <v>50.94</v>
      </c>
      <c r="N176" s="18">
        <v>50.37</v>
      </c>
      <c r="O176" s="22">
        <v>7.0</v>
      </c>
      <c r="P176" s="18">
        <v>356.58</v>
      </c>
      <c r="Q176" s="14">
        <f t="shared" si="1"/>
        <v>306.21</v>
      </c>
    </row>
    <row r="177">
      <c r="A177" s="21">
        <v>42017.0</v>
      </c>
      <c r="B177" s="21" t="s">
        <v>2353</v>
      </c>
      <c r="C177" s="8" t="s">
        <v>1357</v>
      </c>
      <c r="D177" s="23" t="s">
        <v>2353</v>
      </c>
      <c r="E177" s="22" t="s">
        <v>20</v>
      </c>
      <c r="F177" s="22" t="s">
        <v>2775</v>
      </c>
      <c r="G177" s="22" t="s">
        <v>2776</v>
      </c>
      <c r="H177" s="22" t="s">
        <v>34</v>
      </c>
      <c r="I177" s="22" t="s">
        <v>1360</v>
      </c>
      <c r="J177" s="22" t="s">
        <v>430</v>
      </c>
      <c r="K177" s="22" t="s">
        <v>26</v>
      </c>
      <c r="L177" s="22" t="s">
        <v>51</v>
      </c>
      <c r="M177" s="18">
        <v>646.74</v>
      </c>
      <c r="N177" s="18">
        <v>646.38</v>
      </c>
      <c r="O177" s="22">
        <v>7.0</v>
      </c>
      <c r="P177" s="18">
        <v>4527.18</v>
      </c>
      <c r="Q177" s="14">
        <f t="shared" si="1"/>
        <v>3880.8</v>
      </c>
    </row>
    <row r="178">
      <c r="A178" s="21">
        <v>42017.0</v>
      </c>
      <c r="B178" s="21" t="s">
        <v>2353</v>
      </c>
      <c r="C178" s="8" t="s">
        <v>1357</v>
      </c>
      <c r="D178" s="23" t="s">
        <v>2353</v>
      </c>
      <c r="E178" s="22" t="s">
        <v>20</v>
      </c>
      <c r="F178" s="22" t="s">
        <v>2775</v>
      </c>
      <c r="G178" s="22" t="s">
        <v>2776</v>
      </c>
      <c r="H178" s="22" t="s">
        <v>34</v>
      </c>
      <c r="I178" s="22" t="s">
        <v>1360</v>
      </c>
      <c r="J178" s="22" t="s">
        <v>430</v>
      </c>
      <c r="K178" s="22" t="s">
        <v>26</v>
      </c>
      <c r="L178" s="22" t="s">
        <v>38</v>
      </c>
      <c r="M178" s="18">
        <v>5.64</v>
      </c>
      <c r="N178" s="18">
        <v>4.98</v>
      </c>
      <c r="O178" s="22">
        <v>7.0</v>
      </c>
      <c r="P178" s="18">
        <v>39.48</v>
      </c>
      <c r="Q178" s="14">
        <f t="shared" si="1"/>
        <v>34.5</v>
      </c>
    </row>
    <row r="179">
      <c r="A179" s="21">
        <v>42017.0</v>
      </c>
      <c r="B179" s="21" t="s">
        <v>2353</v>
      </c>
      <c r="C179" s="8" t="s">
        <v>1357</v>
      </c>
      <c r="D179" s="23" t="s">
        <v>2353</v>
      </c>
      <c r="E179" s="22" t="s">
        <v>20</v>
      </c>
      <c r="F179" s="22" t="s">
        <v>2775</v>
      </c>
      <c r="G179" s="22" t="s">
        <v>2776</v>
      </c>
      <c r="H179" s="22" t="s">
        <v>34</v>
      </c>
      <c r="I179" s="22" t="s">
        <v>1360</v>
      </c>
      <c r="J179" s="22" t="s">
        <v>430</v>
      </c>
      <c r="K179" s="22" t="s">
        <v>26</v>
      </c>
      <c r="L179" s="22" t="s">
        <v>38</v>
      </c>
      <c r="M179" s="18">
        <v>572.58</v>
      </c>
      <c r="N179" s="18">
        <v>572.37</v>
      </c>
      <c r="O179" s="22">
        <v>7.0</v>
      </c>
      <c r="P179" s="18">
        <v>4008.0600000000004</v>
      </c>
      <c r="Q179" s="14">
        <f t="shared" si="1"/>
        <v>3435.69</v>
      </c>
    </row>
    <row r="180">
      <c r="A180" s="21">
        <v>42439.0</v>
      </c>
      <c r="B180" s="21" t="s">
        <v>2399</v>
      </c>
      <c r="C180" s="24">
        <v>42531.0</v>
      </c>
      <c r="D180" s="23" t="s">
        <v>2374</v>
      </c>
      <c r="E180" s="22" t="s">
        <v>20</v>
      </c>
      <c r="F180" s="22" t="s">
        <v>2781</v>
      </c>
      <c r="G180" s="22" t="s">
        <v>2782</v>
      </c>
      <c r="H180" s="22" t="s">
        <v>23</v>
      </c>
      <c r="I180" s="22" t="s">
        <v>303</v>
      </c>
      <c r="J180" s="22" t="s">
        <v>304</v>
      </c>
      <c r="K180" s="22" t="s">
        <v>100</v>
      </c>
      <c r="L180" s="22" t="s">
        <v>38</v>
      </c>
      <c r="M180" s="18">
        <v>32.07</v>
      </c>
      <c r="N180" s="18">
        <v>31.46</v>
      </c>
      <c r="O180" s="22">
        <v>4.0</v>
      </c>
      <c r="P180" s="18">
        <v>128.28</v>
      </c>
      <c r="Q180" s="14">
        <f t="shared" si="1"/>
        <v>96.82</v>
      </c>
    </row>
    <row r="181">
      <c r="A181" s="21">
        <v>42439.0</v>
      </c>
      <c r="B181" s="21" t="s">
        <v>2399</v>
      </c>
      <c r="C181" s="24">
        <v>42531.0</v>
      </c>
      <c r="D181" s="23" t="s">
        <v>2374</v>
      </c>
      <c r="E181" s="22" t="s">
        <v>20</v>
      </c>
      <c r="F181" s="22" t="s">
        <v>2781</v>
      </c>
      <c r="G181" s="22" t="s">
        <v>2782</v>
      </c>
      <c r="H181" s="22" t="s">
        <v>23</v>
      </c>
      <c r="I181" s="22" t="s">
        <v>303</v>
      </c>
      <c r="J181" s="22" t="s">
        <v>304</v>
      </c>
      <c r="K181" s="22" t="s">
        <v>100</v>
      </c>
      <c r="L181" s="22" t="s">
        <v>51</v>
      </c>
      <c r="M181" s="18">
        <v>24.0</v>
      </c>
      <c r="N181" s="18">
        <v>23.28</v>
      </c>
      <c r="O181" s="22">
        <v>4.0</v>
      </c>
      <c r="P181" s="18">
        <v>96.0</v>
      </c>
      <c r="Q181" s="14">
        <f t="shared" si="1"/>
        <v>72.72</v>
      </c>
    </row>
    <row r="182">
      <c r="A182" s="21">
        <v>42439.0</v>
      </c>
      <c r="B182" s="21" t="s">
        <v>2399</v>
      </c>
      <c r="C182" s="24">
        <v>42531.0</v>
      </c>
      <c r="D182" s="23" t="s">
        <v>2374</v>
      </c>
      <c r="E182" s="22" t="s">
        <v>20</v>
      </c>
      <c r="F182" s="22" t="s">
        <v>2781</v>
      </c>
      <c r="G182" s="22" t="s">
        <v>2782</v>
      </c>
      <c r="H182" s="22" t="s">
        <v>23</v>
      </c>
      <c r="I182" s="22" t="s">
        <v>303</v>
      </c>
      <c r="J182" s="22" t="s">
        <v>304</v>
      </c>
      <c r="K182" s="22" t="s">
        <v>100</v>
      </c>
      <c r="L182" s="22" t="s">
        <v>27</v>
      </c>
      <c r="M182" s="18">
        <v>35.49</v>
      </c>
      <c r="N182" s="18">
        <v>34.93</v>
      </c>
      <c r="O182" s="22">
        <v>4.0</v>
      </c>
      <c r="P182" s="18">
        <v>141.96</v>
      </c>
      <c r="Q182" s="14">
        <f t="shared" si="1"/>
        <v>107.03</v>
      </c>
    </row>
    <row r="183">
      <c r="A183" s="21">
        <v>42439.0</v>
      </c>
      <c r="B183" s="21" t="s">
        <v>2399</v>
      </c>
      <c r="C183" s="24">
        <v>42531.0</v>
      </c>
      <c r="D183" s="23" t="s">
        <v>2374</v>
      </c>
      <c r="E183" s="22" t="s">
        <v>20</v>
      </c>
      <c r="F183" s="22" t="s">
        <v>2781</v>
      </c>
      <c r="G183" s="22" t="s">
        <v>2782</v>
      </c>
      <c r="H183" s="22" t="s">
        <v>23</v>
      </c>
      <c r="I183" s="22" t="s">
        <v>303</v>
      </c>
      <c r="J183" s="22" t="s">
        <v>304</v>
      </c>
      <c r="K183" s="22" t="s">
        <v>100</v>
      </c>
      <c r="L183" s="22" t="s">
        <v>51</v>
      </c>
      <c r="M183" s="18">
        <v>47.984</v>
      </c>
      <c r="N183" s="18">
        <v>46.99</v>
      </c>
      <c r="O183" s="22">
        <v>4.0</v>
      </c>
      <c r="P183" s="18">
        <v>191.936</v>
      </c>
      <c r="Q183" s="14">
        <f t="shared" si="1"/>
        <v>144.946</v>
      </c>
    </row>
    <row r="184">
      <c r="A184" s="21">
        <v>43176.0</v>
      </c>
      <c r="B184" s="21" t="s">
        <v>2399</v>
      </c>
      <c r="C184" s="8" t="s">
        <v>1381</v>
      </c>
      <c r="D184" s="23" t="s">
        <v>2399</v>
      </c>
      <c r="E184" s="22" t="s">
        <v>20</v>
      </c>
      <c r="F184" s="22" t="s">
        <v>2427</v>
      </c>
      <c r="G184" s="22" t="s">
        <v>2428</v>
      </c>
      <c r="H184" s="22" t="s">
        <v>23</v>
      </c>
      <c r="I184" s="22" t="s">
        <v>1382</v>
      </c>
      <c r="J184" s="22" t="s">
        <v>52</v>
      </c>
      <c r="K184" s="22" t="s">
        <v>37</v>
      </c>
      <c r="L184" s="22" t="s">
        <v>38</v>
      </c>
      <c r="M184" s="18">
        <v>17.456</v>
      </c>
      <c r="N184" s="18">
        <v>16.96</v>
      </c>
      <c r="O184" s="22">
        <v>9.0</v>
      </c>
      <c r="P184" s="18">
        <v>157.10399999999998</v>
      </c>
      <c r="Q184" s="14">
        <f t="shared" si="1"/>
        <v>140.144</v>
      </c>
    </row>
    <row r="185">
      <c r="A185" s="21">
        <v>42965.0</v>
      </c>
      <c r="B185" s="21" t="s">
        <v>2322</v>
      </c>
      <c r="C185" s="8" t="s">
        <v>1412</v>
      </c>
      <c r="D185" s="23" t="s">
        <v>2322</v>
      </c>
      <c r="E185" s="22" t="s">
        <v>20</v>
      </c>
      <c r="F185" s="22" t="s">
        <v>2452</v>
      </c>
      <c r="G185" s="22" t="s">
        <v>2789</v>
      </c>
      <c r="H185" s="22" t="s">
        <v>34</v>
      </c>
      <c r="I185" s="22" t="s">
        <v>174</v>
      </c>
      <c r="J185" s="22" t="s">
        <v>175</v>
      </c>
      <c r="K185" s="22" t="s">
        <v>100</v>
      </c>
      <c r="L185" s="22" t="s">
        <v>38</v>
      </c>
      <c r="M185" s="18">
        <v>355.32</v>
      </c>
      <c r="N185" s="18">
        <v>354.85</v>
      </c>
      <c r="O185" s="22">
        <v>1.0</v>
      </c>
      <c r="P185" s="18">
        <v>355.32</v>
      </c>
      <c r="Q185" s="14">
        <f t="shared" si="1"/>
        <v>0.47</v>
      </c>
    </row>
    <row r="186">
      <c r="A186" s="21">
        <v>43267.0</v>
      </c>
      <c r="B186" s="21" t="s">
        <v>2374</v>
      </c>
      <c r="C186" s="8" t="s">
        <v>1449</v>
      </c>
      <c r="D186" s="23" t="s">
        <v>2374</v>
      </c>
      <c r="E186" s="22" t="s">
        <v>20</v>
      </c>
      <c r="F186" s="22" t="s">
        <v>2392</v>
      </c>
      <c r="G186" s="22" t="s">
        <v>2393</v>
      </c>
      <c r="H186" s="22" t="s">
        <v>23</v>
      </c>
      <c r="I186" s="22" t="s">
        <v>1450</v>
      </c>
      <c r="J186" s="22" t="s">
        <v>25</v>
      </c>
      <c r="K186" s="22" t="s">
        <v>26</v>
      </c>
      <c r="L186" s="22" t="s">
        <v>27</v>
      </c>
      <c r="M186" s="18">
        <v>301.96</v>
      </c>
      <c r="N186" s="18">
        <v>301.63</v>
      </c>
      <c r="O186" s="22">
        <v>4.0</v>
      </c>
      <c r="P186" s="18">
        <v>1207.84</v>
      </c>
      <c r="Q186" s="14">
        <f t="shared" si="1"/>
        <v>906.21</v>
      </c>
    </row>
    <row r="187">
      <c r="A187" s="21">
        <v>43267.0</v>
      </c>
      <c r="B187" s="21" t="s">
        <v>2374</v>
      </c>
      <c r="C187" s="8" t="s">
        <v>1449</v>
      </c>
      <c r="D187" s="23" t="s">
        <v>2374</v>
      </c>
      <c r="E187" s="22" t="s">
        <v>20</v>
      </c>
      <c r="F187" s="22" t="s">
        <v>2392</v>
      </c>
      <c r="G187" s="22" t="s">
        <v>2393</v>
      </c>
      <c r="H187" s="22" t="s">
        <v>23</v>
      </c>
      <c r="I187" s="22" t="s">
        <v>1450</v>
      </c>
      <c r="J187" s="22" t="s">
        <v>25</v>
      </c>
      <c r="K187" s="22" t="s">
        <v>26</v>
      </c>
      <c r="L187" s="22" t="s">
        <v>38</v>
      </c>
      <c r="M187" s="18">
        <v>180.66</v>
      </c>
      <c r="N187" s="18">
        <v>180.35</v>
      </c>
      <c r="O187" s="22">
        <v>4.0</v>
      </c>
      <c r="P187" s="18">
        <v>722.64</v>
      </c>
      <c r="Q187" s="14">
        <f t="shared" si="1"/>
        <v>542.29</v>
      </c>
    </row>
    <row r="188">
      <c r="A188" s="21">
        <v>43267.0</v>
      </c>
      <c r="B188" s="21" t="s">
        <v>2374</v>
      </c>
      <c r="C188" s="8" t="s">
        <v>1449</v>
      </c>
      <c r="D188" s="23" t="s">
        <v>2374</v>
      </c>
      <c r="E188" s="22" t="s">
        <v>20</v>
      </c>
      <c r="F188" s="22" t="s">
        <v>2392</v>
      </c>
      <c r="G188" s="22" t="s">
        <v>2393</v>
      </c>
      <c r="H188" s="22" t="s">
        <v>23</v>
      </c>
      <c r="I188" s="22" t="s">
        <v>1450</v>
      </c>
      <c r="J188" s="22" t="s">
        <v>25</v>
      </c>
      <c r="K188" s="22" t="s">
        <v>26</v>
      </c>
      <c r="L188" s="22" t="s">
        <v>51</v>
      </c>
      <c r="M188" s="18">
        <v>191.98</v>
      </c>
      <c r="N188" s="18">
        <v>191.97</v>
      </c>
      <c r="O188" s="22">
        <v>4.0</v>
      </c>
      <c r="P188" s="18">
        <v>767.92</v>
      </c>
      <c r="Q188" s="14">
        <f t="shared" si="1"/>
        <v>575.95</v>
      </c>
    </row>
    <row r="189">
      <c r="A189" s="21">
        <v>43267.0</v>
      </c>
      <c r="B189" s="21" t="s">
        <v>2374</v>
      </c>
      <c r="C189" s="8" t="s">
        <v>1449</v>
      </c>
      <c r="D189" s="23" t="s">
        <v>2374</v>
      </c>
      <c r="E189" s="22" t="s">
        <v>20</v>
      </c>
      <c r="F189" s="22" t="s">
        <v>2392</v>
      </c>
      <c r="G189" s="22" t="s">
        <v>2393</v>
      </c>
      <c r="H189" s="22" t="s">
        <v>23</v>
      </c>
      <c r="I189" s="22" t="s">
        <v>1450</v>
      </c>
      <c r="J189" s="22" t="s">
        <v>25</v>
      </c>
      <c r="K189" s="22" t="s">
        <v>26</v>
      </c>
      <c r="L189" s="22" t="s">
        <v>51</v>
      </c>
      <c r="M189" s="18">
        <v>65.99</v>
      </c>
      <c r="N189" s="18">
        <v>65.98</v>
      </c>
      <c r="O189" s="22">
        <v>4.0</v>
      </c>
      <c r="P189" s="18">
        <v>263.96</v>
      </c>
      <c r="Q189" s="14">
        <f t="shared" si="1"/>
        <v>197.98</v>
      </c>
    </row>
    <row r="190">
      <c r="A190" s="21">
        <v>42225.0</v>
      </c>
      <c r="B190" s="21" t="s">
        <v>2322</v>
      </c>
      <c r="C190" s="8" t="s">
        <v>832</v>
      </c>
      <c r="D190" s="23" t="s">
        <v>2329</v>
      </c>
      <c r="E190" s="22" t="s">
        <v>20</v>
      </c>
      <c r="F190" s="22" t="s">
        <v>2773</v>
      </c>
      <c r="G190" s="22" t="s">
        <v>2774</v>
      </c>
      <c r="H190" s="22" t="s">
        <v>23</v>
      </c>
      <c r="I190" s="22" t="s">
        <v>1230</v>
      </c>
      <c r="J190" s="22" t="s">
        <v>70</v>
      </c>
      <c r="K190" s="22" t="s">
        <v>71</v>
      </c>
      <c r="L190" s="22" t="s">
        <v>38</v>
      </c>
      <c r="M190" s="18">
        <v>51.184</v>
      </c>
      <c r="N190" s="18">
        <v>51.02</v>
      </c>
      <c r="O190" s="22">
        <v>7.0</v>
      </c>
      <c r="P190" s="18">
        <v>358.288</v>
      </c>
      <c r="Q190" s="14">
        <f t="shared" si="1"/>
        <v>307.268</v>
      </c>
    </row>
    <row r="191">
      <c r="A191" s="21">
        <v>42906.0</v>
      </c>
      <c r="B191" s="21" t="s">
        <v>2374</v>
      </c>
      <c r="C191" s="8" t="s">
        <v>159</v>
      </c>
      <c r="D191" s="23" t="s">
        <v>2374</v>
      </c>
      <c r="E191" s="22" t="s">
        <v>20</v>
      </c>
      <c r="F191" s="22" t="s">
        <v>2432</v>
      </c>
      <c r="G191" s="22" t="s">
        <v>2804</v>
      </c>
      <c r="H191" s="22" t="s">
        <v>34</v>
      </c>
      <c r="I191" s="22" t="s">
        <v>1480</v>
      </c>
      <c r="J191" s="22" t="s">
        <v>52</v>
      </c>
      <c r="K191" s="22" t="s">
        <v>37</v>
      </c>
      <c r="L191" s="22" t="s">
        <v>38</v>
      </c>
      <c r="M191" s="18">
        <v>5.16</v>
      </c>
      <c r="N191" s="18">
        <v>5.02</v>
      </c>
      <c r="O191" s="22">
        <v>9.0</v>
      </c>
      <c r="P191" s="18">
        <v>46.44</v>
      </c>
      <c r="Q191" s="14">
        <f t="shared" si="1"/>
        <v>41.42</v>
      </c>
    </row>
    <row r="192">
      <c r="A192" s="21">
        <v>42906.0</v>
      </c>
      <c r="B192" s="21" t="s">
        <v>2374</v>
      </c>
      <c r="C192" s="8" t="s">
        <v>159</v>
      </c>
      <c r="D192" s="23" t="s">
        <v>2374</v>
      </c>
      <c r="E192" s="22" t="s">
        <v>20</v>
      </c>
      <c r="F192" s="22" t="s">
        <v>2432</v>
      </c>
      <c r="G192" s="22" t="s">
        <v>2804</v>
      </c>
      <c r="H192" s="22" t="s">
        <v>34</v>
      </c>
      <c r="I192" s="22" t="s">
        <v>1480</v>
      </c>
      <c r="J192" s="22" t="s">
        <v>52</v>
      </c>
      <c r="K192" s="22" t="s">
        <v>37</v>
      </c>
      <c r="L192" s="22" t="s">
        <v>38</v>
      </c>
      <c r="M192" s="18">
        <v>38.88</v>
      </c>
      <c r="N192" s="18">
        <v>38.86</v>
      </c>
      <c r="O192" s="22">
        <v>9.0</v>
      </c>
      <c r="P192" s="18">
        <v>349.92</v>
      </c>
      <c r="Q192" s="14">
        <f t="shared" si="1"/>
        <v>311.06</v>
      </c>
    </row>
    <row r="193">
      <c r="A193" s="21">
        <v>42856.0</v>
      </c>
      <c r="B193" s="21" t="s">
        <v>2335</v>
      </c>
      <c r="C193" s="24">
        <v>42917.0</v>
      </c>
      <c r="D193" s="23" t="s">
        <v>2348</v>
      </c>
      <c r="E193" s="22" t="s">
        <v>20</v>
      </c>
      <c r="F193" s="22" t="s">
        <v>2723</v>
      </c>
      <c r="G193" s="22" t="s">
        <v>2777</v>
      </c>
      <c r="H193" s="22" t="s">
        <v>34</v>
      </c>
      <c r="I193" s="22" t="s">
        <v>849</v>
      </c>
      <c r="J193" s="22" t="s">
        <v>145</v>
      </c>
      <c r="K193" s="22" t="s">
        <v>26</v>
      </c>
      <c r="L193" s="22" t="s">
        <v>51</v>
      </c>
      <c r="M193" s="18">
        <v>191.472</v>
      </c>
      <c r="N193" s="18">
        <v>190.66</v>
      </c>
      <c r="O193" s="22">
        <v>3.0</v>
      </c>
      <c r="P193" s="18">
        <v>574.416</v>
      </c>
      <c r="Q193" s="14">
        <f t="shared" si="1"/>
        <v>383.756</v>
      </c>
    </row>
    <row r="194">
      <c r="A194" s="21">
        <v>42856.0</v>
      </c>
      <c r="B194" s="21" t="s">
        <v>2335</v>
      </c>
      <c r="C194" s="24">
        <v>42917.0</v>
      </c>
      <c r="D194" s="23" t="s">
        <v>2348</v>
      </c>
      <c r="E194" s="22" t="s">
        <v>20</v>
      </c>
      <c r="F194" s="22" t="s">
        <v>2723</v>
      </c>
      <c r="G194" s="22" t="s">
        <v>2777</v>
      </c>
      <c r="H194" s="22" t="s">
        <v>34</v>
      </c>
      <c r="I194" s="22" t="s">
        <v>849</v>
      </c>
      <c r="J194" s="22" t="s">
        <v>145</v>
      </c>
      <c r="K194" s="22" t="s">
        <v>26</v>
      </c>
      <c r="L194" s="22" t="s">
        <v>38</v>
      </c>
      <c r="M194" s="18">
        <v>5.248</v>
      </c>
      <c r="N194" s="18">
        <v>4.47</v>
      </c>
      <c r="O194" s="22">
        <v>3.0</v>
      </c>
      <c r="P194" s="18">
        <v>15.744</v>
      </c>
      <c r="Q194" s="14">
        <f t="shared" si="1"/>
        <v>11.274</v>
      </c>
    </row>
    <row r="195">
      <c r="A195" s="21">
        <v>42856.0</v>
      </c>
      <c r="B195" s="21" t="s">
        <v>2335</v>
      </c>
      <c r="C195" s="24">
        <v>42917.0</v>
      </c>
      <c r="D195" s="23" t="s">
        <v>2348</v>
      </c>
      <c r="E195" s="22" t="s">
        <v>20</v>
      </c>
      <c r="F195" s="22" t="s">
        <v>2723</v>
      </c>
      <c r="G195" s="22" t="s">
        <v>2777</v>
      </c>
      <c r="H195" s="22" t="s">
        <v>34</v>
      </c>
      <c r="I195" s="22" t="s">
        <v>849</v>
      </c>
      <c r="J195" s="22" t="s">
        <v>145</v>
      </c>
      <c r="K195" s="22" t="s">
        <v>26</v>
      </c>
      <c r="L195" s="22" t="s">
        <v>51</v>
      </c>
      <c r="M195" s="18">
        <v>59.184</v>
      </c>
      <c r="N195" s="18">
        <v>59.09</v>
      </c>
      <c r="O195" s="22">
        <v>3.0</v>
      </c>
      <c r="P195" s="18">
        <v>177.552</v>
      </c>
      <c r="Q195" s="14">
        <f t="shared" si="1"/>
        <v>118.462</v>
      </c>
    </row>
    <row r="196">
      <c r="A196" s="21">
        <v>43434.0</v>
      </c>
      <c r="B196" s="21" t="s">
        <v>2326</v>
      </c>
      <c r="C196" s="24">
        <v>43143.0</v>
      </c>
      <c r="D196" s="23" t="s">
        <v>2431</v>
      </c>
      <c r="E196" s="22" t="s">
        <v>20</v>
      </c>
      <c r="F196" s="22" t="s">
        <v>2338</v>
      </c>
      <c r="G196" s="22" t="s">
        <v>2339</v>
      </c>
      <c r="H196" s="22" t="s">
        <v>68</v>
      </c>
      <c r="I196" s="22" t="s">
        <v>174</v>
      </c>
      <c r="J196" s="22" t="s">
        <v>175</v>
      </c>
      <c r="K196" s="22" t="s">
        <v>100</v>
      </c>
      <c r="L196" s="22" t="s">
        <v>38</v>
      </c>
      <c r="M196" s="18">
        <v>68.472</v>
      </c>
      <c r="N196" s="18">
        <v>68.14</v>
      </c>
      <c r="O196" s="22">
        <v>1.0</v>
      </c>
      <c r="P196" s="18">
        <v>68.472</v>
      </c>
      <c r="Q196" s="14">
        <f t="shared" si="1"/>
        <v>0.332</v>
      </c>
    </row>
    <row r="197">
      <c r="A197" s="21">
        <v>43434.0</v>
      </c>
      <c r="B197" s="21" t="s">
        <v>2326</v>
      </c>
      <c r="C197" s="24">
        <v>43143.0</v>
      </c>
      <c r="D197" s="23" t="s">
        <v>2431</v>
      </c>
      <c r="E197" s="22" t="s">
        <v>20</v>
      </c>
      <c r="F197" s="22" t="s">
        <v>2338</v>
      </c>
      <c r="G197" s="22" t="s">
        <v>2339</v>
      </c>
      <c r="H197" s="22" t="s">
        <v>68</v>
      </c>
      <c r="I197" s="22" t="s">
        <v>174</v>
      </c>
      <c r="J197" s="22" t="s">
        <v>175</v>
      </c>
      <c r="K197" s="22" t="s">
        <v>100</v>
      </c>
      <c r="L197" s="22" t="s">
        <v>27</v>
      </c>
      <c r="M197" s="18">
        <v>1242.9</v>
      </c>
      <c r="N197" s="18">
        <v>1242.58</v>
      </c>
      <c r="O197" s="22">
        <v>1.0</v>
      </c>
      <c r="P197" s="18">
        <v>1242.9</v>
      </c>
      <c r="Q197" s="14">
        <f t="shared" si="1"/>
        <v>0.32</v>
      </c>
    </row>
    <row r="198">
      <c r="A198" s="21">
        <v>42485.0</v>
      </c>
      <c r="B198" s="21" t="s">
        <v>2332</v>
      </c>
      <c r="C198" s="8" t="s">
        <v>1535</v>
      </c>
      <c r="D198" s="23" t="s">
        <v>2332</v>
      </c>
      <c r="E198" s="22" t="s">
        <v>20</v>
      </c>
      <c r="F198" s="22" t="s">
        <v>2815</v>
      </c>
      <c r="G198" s="22" t="s">
        <v>2385</v>
      </c>
      <c r="H198" s="22" t="s">
        <v>34</v>
      </c>
      <c r="I198" s="22" t="s">
        <v>35</v>
      </c>
      <c r="J198" s="22" t="s">
        <v>52</v>
      </c>
      <c r="K198" s="22" t="s">
        <v>37</v>
      </c>
      <c r="L198" s="22" t="s">
        <v>38</v>
      </c>
      <c r="M198" s="18">
        <v>13.944</v>
      </c>
      <c r="N198" s="18">
        <v>13.63</v>
      </c>
      <c r="O198" s="22">
        <v>9.0</v>
      </c>
      <c r="P198" s="18">
        <v>125.49600000000001</v>
      </c>
      <c r="Q198" s="14">
        <f t="shared" si="1"/>
        <v>111.866</v>
      </c>
    </row>
    <row r="199">
      <c r="A199" s="21">
        <v>42804.0</v>
      </c>
      <c r="B199" s="21" t="s">
        <v>2399</v>
      </c>
      <c r="C199" s="24">
        <v>42896.0</v>
      </c>
      <c r="D199" s="23" t="s">
        <v>2374</v>
      </c>
      <c r="E199" s="22" t="s">
        <v>20</v>
      </c>
      <c r="F199" s="22" t="s">
        <v>2819</v>
      </c>
      <c r="G199" s="22" t="s">
        <v>2820</v>
      </c>
      <c r="H199" s="22" t="s">
        <v>23</v>
      </c>
      <c r="I199" s="22" t="s">
        <v>129</v>
      </c>
      <c r="J199" s="22" t="s">
        <v>70</v>
      </c>
      <c r="K199" s="22" t="s">
        <v>71</v>
      </c>
      <c r="L199" s="22" t="s">
        <v>38</v>
      </c>
      <c r="M199" s="18">
        <v>15.648</v>
      </c>
      <c r="N199" s="18">
        <v>14.69</v>
      </c>
      <c r="O199" s="22">
        <v>7.0</v>
      </c>
      <c r="P199" s="18">
        <v>109.536</v>
      </c>
      <c r="Q199" s="14">
        <f t="shared" si="1"/>
        <v>94.846</v>
      </c>
    </row>
    <row r="200">
      <c r="A200" s="21">
        <v>43402.0</v>
      </c>
      <c r="B200" s="21" t="s">
        <v>2358</v>
      </c>
      <c r="C200" s="8" t="s">
        <v>1559</v>
      </c>
      <c r="D200" s="23" t="s">
        <v>2358</v>
      </c>
      <c r="E200" s="22" t="s">
        <v>20</v>
      </c>
      <c r="F200" s="22" t="s">
        <v>2822</v>
      </c>
      <c r="G200" s="22" t="s">
        <v>2823</v>
      </c>
      <c r="H200" s="22" t="s">
        <v>34</v>
      </c>
      <c r="I200" s="22" t="s">
        <v>868</v>
      </c>
      <c r="J200" s="22" t="s">
        <v>175</v>
      </c>
      <c r="K200" s="22" t="s">
        <v>100</v>
      </c>
      <c r="L200" s="22" t="s">
        <v>38</v>
      </c>
      <c r="M200" s="18">
        <v>46.96</v>
      </c>
      <c r="N200" s="18">
        <v>46.9</v>
      </c>
      <c r="O200" s="22">
        <v>1.0</v>
      </c>
      <c r="P200" s="18">
        <v>46.96</v>
      </c>
      <c r="Q200" s="14">
        <f t="shared" si="1"/>
        <v>0.06</v>
      </c>
    </row>
    <row r="201">
      <c r="A201" s="21">
        <v>43235.0</v>
      </c>
      <c r="B201" s="21" t="s">
        <v>2335</v>
      </c>
      <c r="C201" s="8" t="s">
        <v>1634</v>
      </c>
      <c r="D201" s="23" t="s">
        <v>2335</v>
      </c>
      <c r="E201" s="22" t="s">
        <v>20</v>
      </c>
      <c r="F201" s="22" t="s">
        <v>2505</v>
      </c>
      <c r="G201" s="22" t="s">
        <v>2838</v>
      </c>
      <c r="H201" s="22" t="s">
        <v>23</v>
      </c>
      <c r="I201" s="22" t="s">
        <v>328</v>
      </c>
      <c r="J201" s="22" t="s">
        <v>193</v>
      </c>
      <c r="K201" s="22" t="s">
        <v>37</v>
      </c>
      <c r="L201" s="22" t="s">
        <v>51</v>
      </c>
      <c r="M201" s="18">
        <v>29.592</v>
      </c>
      <c r="N201" s="18">
        <v>28.89</v>
      </c>
      <c r="O201" s="22">
        <v>8.0</v>
      </c>
      <c r="P201" s="18">
        <v>236.736</v>
      </c>
      <c r="Q201" s="14">
        <f t="shared" si="1"/>
        <v>207.846</v>
      </c>
    </row>
    <row r="202">
      <c r="A202" s="21">
        <v>43235.0</v>
      </c>
      <c r="B202" s="21" t="s">
        <v>2335</v>
      </c>
      <c r="C202" s="8" t="s">
        <v>1634</v>
      </c>
      <c r="D202" s="23" t="s">
        <v>2335</v>
      </c>
      <c r="E202" s="22" t="s">
        <v>20</v>
      </c>
      <c r="F202" s="22" t="s">
        <v>2505</v>
      </c>
      <c r="G202" s="22" t="s">
        <v>2838</v>
      </c>
      <c r="H202" s="22" t="s">
        <v>23</v>
      </c>
      <c r="I202" s="22" t="s">
        <v>328</v>
      </c>
      <c r="J202" s="22" t="s">
        <v>193</v>
      </c>
      <c r="K202" s="22" t="s">
        <v>37</v>
      </c>
      <c r="L202" s="22" t="s">
        <v>38</v>
      </c>
      <c r="M202" s="18">
        <v>4.752</v>
      </c>
      <c r="N202" s="18">
        <v>3.8</v>
      </c>
      <c r="O202" s="22">
        <v>8.0</v>
      </c>
      <c r="P202" s="18">
        <v>38.016</v>
      </c>
      <c r="Q202" s="14">
        <f t="shared" si="1"/>
        <v>34.216</v>
      </c>
    </row>
    <row r="203">
      <c r="A203" s="21">
        <v>43235.0</v>
      </c>
      <c r="B203" s="21" t="s">
        <v>2335</v>
      </c>
      <c r="C203" s="8" t="s">
        <v>1634</v>
      </c>
      <c r="D203" s="23" t="s">
        <v>2335</v>
      </c>
      <c r="E203" s="22" t="s">
        <v>20</v>
      </c>
      <c r="F203" s="22" t="s">
        <v>2505</v>
      </c>
      <c r="G203" s="22" t="s">
        <v>2838</v>
      </c>
      <c r="H203" s="22" t="s">
        <v>23</v>
      </c>
      <c r="I203" s="22" t="s">
        <v>328</v>
      </c>
      <c r="J203" s="22" t="s">
        <v>193</v>
      </c>
      <c r="K203" s="22" t="s">
        <v>37</v>
      </c>
      <c r="L203" s="22" t="s">
        <v>38</v>
      </c>
      <c r="M203" s="18">
        <v>15.552</v>
      </c>
      <c r="N203" s="18">
        <v>15.55</v>
      </c>
      <c r="O203" s="22">
        <v>8.0</v>
      </c>
      <c r="P203" s="18">
        <v>124.416</v>
      </c>
      <c r="Q203" s="14">
        <f t="shared" si="1"/>
        <v>108.866</v>
      </c>
    </row>
    <row r="204">
      <c r="A204" s="21">
        <v>42269.0</v>
      </c>
      <c r="B204" s="21" t="s">
        <v>2329</v>
      </c>
      <c r="C204" s="8" t="s">
        <v>651</v>
      </c>
      <c r="D204" s="23" t="s">
        <v>2329</v>
      </c>
      <c r="E204" s="22" t="s">
        <v>20</v>
      </c>
      <c r="F204" s="22" t="s">
        <v>2647</v>
      </c>
      <c r="G204" s="22" t="s">
        <v>2821</v>
      </c>
      <c r="H204" s="22" t="s">
        <v>23</v>
      </c>
      <c r="I204" s="22" t="s">
        <v>1649</v>
      </c>
      <c r="J204" s="22" t="s">
        <v>145</v>
      </c>
      <c r="K204" s="22" t="s">
        <v>26</v>
      </c>
      <c r="L204" s="22" t="s">
        <v>38</v>
      </c>
      <c r="M204" s="18">
        <v>4.608</v>
      </c>
      <c r="N204" s="18">
        <v>3.7</v>
      </c>
      <c r="O204" s="22">
        <v>3.0</v>
      </c>
      <c r="P204" s="18">
        <v>13.823999999999998</v>
      </c>
      <c r="Q204" s="14">
        <f t="shared" si="1"/>
        <v>10.124</v>
      </c>
    </row>
    <row r="205">
      <c r="A205" s="21">
        <v>42020.0</v>
      </c>
      <c r="B205" s="21" t="s">
        <v>2353</v>
      </c>
      <c r="C205" s="8" t="s">
        <v>1654</v>
      </c>
      <c r="D205" s="23" t="s">
        <v>2353</v>
      </c>
      <c r="E205" s="22" t="s">
        <v>20</v>
      </c>
      <c r="F205" s="22" t="s">
        <v>2519</v>
      </c>
      <c r="G205" s="22" t="s">
        <v>2520</v>
      </c>
      <c r="H205" s="22" t="s">
        <v>23</v>
      </c>
      <c r="I205" s="22" t="s">
        <v>98</v>
      </c>
      <c r="J205" s="22" t="s">
        <v>99</v>
      </c>
      <c r="K205" s="22" t="s">
        <v>100</v>
      </c>
      <c r="L205" s="22" t="s">
        <v>27</v>
      </c>
      <c r="M205" s="18">
        <v>127.104</v>
      </c>
      <c r="N205" s="18">
        <v>126.74</v>
      </c>
      <c r="O205" s="22">
        <v>1.0</v>
      </c>
      <c r="P205" s="18">
        <v>127.104</v>
      </c>
      <c r="Q205" s="14">
        <f t="shared" si="1"/>
        <v>0.364</v>
      </c>
    </row>
    <row r="206">
      <c r="A206" s="21">
        <v>42020.0</v>
      </c>
      <c r="B206" s="21" t="s">
        <v>2353</v>
      </c>
      <c r="C206" s="8" t="s">
        <v>1654</v>
      </c>
      <c r="D206" s="23" t="s">
        <v>2353</v>
      </c>
      <c r="E206" s="22" t="s">
        <v>20</v>
      </c>
      <c r="F206" s="22" t="s">
        <v>2519</v>
      </c>
      <c r="G206" s="22" t="s">
        <v>2520</v>
      </c>
      <c r="H206" s="22" t="s">
        <v>23</v>
      </c>
      <c r="I206" s="22" t="s">
        <v>98</v>
      </c>
      <c r="J206" s="22" t="s">
        <v>99</v>
      </c>
      <c r="K206" s="22" t="s">
        <v>100</v>
      </c>
      <c r="L206" s="22" t="s">
        <v>51</v>
      </c>
      <c r="M206" s="18">
        <v>124.2</v>
      </c>
      <c r="N206" s="18">
        <v>123.49</v>
      </c>
      <c r="O206" s="22">
        <v>1.0</v>
      </c>
      <c r="P206" s="18">
        <v>124.2</v>
      </c>
      <c r="Q206" s="14">
        <f t="shared" si="1"/>
        <v>0.71</v>
      </c>
    </row>
    <row r="207">
      <c r="A207" s="21">
        <v>42020.0</v>
      </c>
      <c r="B207" s="21" t="s">
        <v>2353</v>
      </c>
      <c r="C207" s="8" t="s">
        <v>1654</v>
      </c>
      <c r="D207" s="23" t="s">
        <v>2353</v>
      </c>
      <c r="E207" s="22" t="s">
        <v>20</v>
      </c>
      <c r="F207" s="22" t="s">
        <v>2519</v>
      </c>
      <c r="G207" s="22" t="s">
        <v>2520</v>
      </c>
      <c r="H207" s="22" t="s">
        <v>23</v>
      </c>
      <c r="I207" s="22" t="s">
        <v>98</v>
      </c>
      <c r="J207" s="22" t="s">
        <v>99</v>
      </c>
      <c r="K207" s="22" t="s">
        <v>100</v>
      </c>
      <c r="L207" s="22" t="s">
        <v>38</v>
      </c>
      <c r="M207" s="18">
        <v>18.588</v>
      </c>
      <c r="N207" s="18">
        <v>18.21</v>
      </c>
      <c r="O207" s="22">
        <v>1.0</v>
      </c>
      <c r="P207" s="18">
        <v>18.588</v>
      </c>
      <c r="Q207" s="14">
        <f t="shared" si="1"/>
        <v>0.378</v>
      </c>
    </row>
    <row r="208">
      <c r="A208" s="21">
        <v>42020.0</v>
      </c>
      <c r="B208" s="21" t="s">
        <v>2353</v>
      </c>
      <c r="C208" s="8" t="s">
        <v>1654</v>
      </c>
      <c r="D208" s="23" t="s">
        <v>2353</v>
      </c>
      <c r="E208" s="22" t="s">
        <v>20</v>
      </c>
      <c r="F208" s="22" t="s">
        <v>2519</v>
      </c>
      <c r="G208" s="22" t="s">
        <v>2520</v>
      </c>
      <c r="H208" s="22" t="s">
        <v>23</v>
      </c>
      <c r="I208" s="22" t="s">
        <v>98</v>
      </c>
      <c r="J208" s="22" t="s">
        <v>99</v>
      </c>
      <c r="K208" s="22" t="s">
        <v>100</v>
      </c>
      <c r="L208" s="22" t="s">
        <v>38</v>
      </c>
      <c r="M208" s="18">
        <v>30.072</v>
      </c>
      <c r="N208" s="18">
        <v>29.51</v>
      </c>
      <c r="O208" s="22">
        <v>1.0</v>
      </c>
      <c r="P208" s="18">
        <v>30.072</v>
      </c>
      <c r="Q208" s="14">
        <f t="shared" si="1"/>
        <v>0.562</v>
      </c>
    </row>
    <row r="209">
      <c r="A209" s="21">
        <v>43230.0</v>
      </c>
      <c r="B209" s="21" t="s">
        <v>2335</v>
      </c>
      <c r="C209" s="24">
        <v>43322.0</v>
      </c>
      <c r="D209" s="23" t="s">
        <v>2322</v>
      </c>
      <c r="E209" s="22" t="s">
        <v>20</v>
      </c>
      <c r="F209" s="22" t="s">
        <v>2764</v>
      </c>
      <c r="G209" s="22" t="s">
        <v>2765</v>
      </c>
      <c r="H209" s="22" t="s">
        <v>68</v>
      </c>
      <c r="I209" s="22" t="s">
        <v>174</v>
      </c>
      <c r="J209" s="22" t="s">
        <v>175</v>
      </c>
      <c r="K209" s="22" t="s">
        <v>100</v>
      </c>
      <c r="L209" s="22" t="s">
        <v>51</v>
      </c>
      <c r="M209" s="18">
        <v>160.93</v>
      </c>
      <c r="N209" s="18">
        <v>160.25</v>
      </c>
      <c r="O209" s="22">
        <v>1.0</v>
      </c>
      <c r="P209" s="18">
        <v>160.93</v>
      </c>
      <c r="Q209" s="14">
        <f t="shared" si="1"/>
        <v>0.68</v>
      </c>
    </row>
    <row r="210">
      <c r="A210" s="21">
        <v>43230.0</v>
      </c>
      <c r="B210" s="21" t="s">
        <v>2335</v>
      </c>
      <c r="C210" s="24">
        <v>43322.0</v>
      </c>
      <c r="D210" s="23" t="s">
        <v>2322</v>
      </c>
      <c r="E210" s="22" t="s">
        <v>20</v>
      </c>
      <c r="F210" s="22" t="s">
        <v>2764</v>
      </c>
      <c r="G210" s="22" t="s">
        <v>2765</v>
      </c>
      <c r="H210" s="22" t="s">
        <v>68</v>
      </c>
      <c r="I210" s="22" t="s">
        <v>174</v>
      </c>
      <c r="J210" s="22" t="s">
        <v>175</v>
      </c>
      <c r="K210" s="22" t="s">
        <v>100</v>
      </c>
      <c r="L210" s="22" t="s">
        <v>38</v>
      </c>
      <c r="M210" s="18">
        <v>75.792</v>
      </c>
      <c r="N210" s="18">
        <v>75.6</v>
      </c>
      <c r="O210" s="22">
        <v>1.0</v>
      </c>
      <c r="P210" s="18">
        <v>75.792</v>
      </c>
      <c r="Q210" s="14">
        <f t="shared" si="1"/>
        <v>0.192</v>
      </c>
    </row>
    <row r="211">
      <c r="A211" s="21">
        <v>42319.0</v>
      </c>
      <c r="B211" s="21" t="s">
        <v>2326</v>
      </c>
      <c r="C211" s="8" t="s">
        <v>1666</v>
      </c>
      <c r="D211" s="23" t="s">
        <v>2326</v>
      </c>
      <c r="E211" s="22" t="s">
        <v>20</v>
      </c>
      <c r="F211" s="22" t="s">
        <v>2356</v>
      </c>
      <c r="G211" s="22" t="s">
        <v>2844</v>
      </c>
      <c r="H211" s="22" t="s">
        <v>23</v>
      </c>
      <c r="I211" s="22" t="s">
        <v>818</v>
      </c>
      <c r="J211" s="22" t="s">
        <v>279</v>
      </c>
      <c r="K211" s="22" t="s">
        <v>37</v>
      </c>
      <c r="L211" s="22" t="s">
        <v>38</v>
      </c>
      <c r="M211" s="18">
        <v>3.392</v>
      </c>
      <c r="N211" s="18">
        <v>3.21</v>
      </c>
      <c r="O211" s="22">
        <v>8.0</v>
      </c>
      <c r="P211" s="18">
        <v>27.136</v>
      </c>
      <c r="Q211" s="14">
        <f t="shared" si="1"/>
        <v>23.926</v>
      </c>
    </row>
    <row r="212">
      <c r="A212" s="21">
        <v>42319.0</v>
      </c>
      <c r="B212" s="21" t="s">
        <v>2326</v>
      </c>
      <c r="C212" s="8" t="s">
        <v>1666</v>
      </c>
      <c r="D212" s="23" t="s">
        <v>2326</v>
      </c>
      <c r="E212" s="22" t="s">
        <v>20</v>
      </c>
      <c r="F212" s="22" t="s">
        <v>2356</v>
      </c>
      <c r="G212" s="22" t="s">
        <v>2844</v>
      </c>
      <c r="H212" s="22" t="s">
        <v>23</v>
      </c>
      <c r="I212" s="22" t="s">
        <v>818</v>
      </c>
      <c r="J212" s="22" t="s">
        <v>279</v>
      </c>
      <c r="K212" s="22" t="s">
        <v>37</v>
      </c>
      <c r="L212" s="22" t="s">
        <v>51</v>
      </c>
      <c r="M212" s="18">
        <v>559.984</v>
      </c>
      <c r="N212" s="18">
        <v>559.5</v>
      </c>
      <c r="O212" s="22">
        <v>8.0</v>
      </c>
      <c r="P212" s="18">
        <v>4479.872</v>
      </c>
      <c r="Q212" s="14">
        <f t="shared" si="1"/>
        <v>3920.372</v>
      </c>
    </row>
    <row r="213">
      <c r="A213" s="21">
        <v>42319.0</v>
      </c>
      <c r="B213" s="21" t="s">
        <v>2326</v>
      </c>
      <c r="C213" s="8" t="s">
        <v>1666</v>
      </c>
      <c r="D213" s="23" t="s">
        <v>2326</v>
      </c>
      <c r="E213" s="22" t="s">
        <v>20</v>
      </c>
      <c r="F213" s="22" t="s">
        <v>2356</v>
      </c>
      <c r="G213" s="22" t="s">
        <v>2844</v>
      </c>
      <c r="H213" s="22" t="s">
        <v>23</v>
      </c>
      <c r="I213" s="22" t="s">
        <v>818</v>
      </c>
      <c r="J213" s="22" t="s">
        <v>279</v>
      </c>
      <c r="K213" s="22" t="s">
        <v>37</v>
      </c>
      <c r="L213" s="22" t="s">
        <v>27</v>
      </c>
      <c r="M213" s="18">
        <v>603.92</v>
      </c>
      <c r="N213" s="18">
        <v>603.59</v>
      </c>
      <c r="O213" s="22">
        <v>8.0</v>
      </c>
      <c r="P213" s="18">
        <v>4831.36</v>
      </c>
      <c r="Q213" s="14">
        <f t="shared" si="1"/>
        <v>4227.77</v>
      </c>
    </row>
    <row r="214">
      <c r="A214" s="21">
        <v>42458.0</v>
      </c>
      <c r="B214" s="21" t="s">
        <v>2399</v>
      </c>
      <c r="C214" s="8" t="s">
        <v>1678</v>
      </c>
      <c r="D214" s="23" t="s">
        <v>2399</v>
      </c>
      <c r="E214" s="22" t="s">
        <v>20</v>
      </c>
      <c r="F214" s="22" t="s">
        <v>2848</v>
      </c>
      <c r="G214" s="22" t="s">
        <v>2849</v>
      </c>
      <c r="H214" s="22" t="s">
        <v>68</v>
      </c>
      <c r="I214" s="22" t="s">
        <v>849</v>
      </c>
      <c r="J214" s="22" t="s">
        <v>145</v>
      </c>
      <c r="K214" s="22" t="s">
        <v>26</v>
      </c>
      <c r="L214" s="22" t="s">
        <v>27</v>
      </c>
      <c r="M214" s="18">
        <v>1166.92</v>
      </c>
      <c r="N214" s="18">
        <v>1166.52</v>
      </c>
      <c r="O214" s="22">
        <v>3.0</v>
      </c>
      <c r="P214" s="18">
        <v>3500.76</v>
      </c>
      <c r="Q214" s="14">
        <f t="shared" si="1"/>
        <v>2334.24</v>
      </c>
    </row>
    <row r="215">
      <c r="A215" s="21">
        <v>43268.0</v>
      </c>
      <c r="B215" s="21" t="s">
        <v>2374</v>
      </c>
      <c r="C215" s="8" t="s">
        <v>1449</v>
      </c>
      <c r="D215" s="23" t="s">
        <v>2374</v>
      </c>
      <c r="E215" s="22" t="s">
        <v>20</v>
      </c>
      <c r="F215" s="22" t="s">
        <v>2440</v>
      </c>
      <c r="G215" s="22" t="s">
        <v>2441</v>
      </c>
      <c r="H215" s="22" t="s">
        <v>23</v>
      </c>
      <c r="I215" s="22" t="s">
        <v>1710</v>
      </c>
      <c r="J215" s="22" t="s">
        <v>63</v>
      </c>
      <c r="K215" s="22" t="s">
        <v>37</v>
      </c>
      <c r="L215" s="22" t="s">
        <v>27</v>
      </c>
      <c r="M215" s="18">
        <v>155.25</v>
      </c>
      <c r="N215" s="18">
        <v>155.14</v>
      </c>
      <c r="O215" s="22">
        <v>9.0</v>
      </c>
      <c r="P215" s="18">
        <v>1397.25</v>
      </c>
      <c r="Q215" s="14">
        <f t="shared" si="1"/>
        <v>1242.11</v>
      </c>
    </row>
    <row r="216">
      <c r="A216" s="21">
        <v>43268.0</v>
      </c>
      <c r="B216" s="21" t="s">
        <v>2374</v>
      </c>
      <c r="C216" s="8" t="s">
        <v>1449</v>
      </c>
      <c r="D216" s="23" t="s">
        <v>2374</v>
      </c>
      <c r="E216" s="22" t="s">
        <v>20</v>
      </c>
      <c r="F216" s="22" t="s">
        <v>2440</v>
      </c>
      <c r="G216" s="22" t="s">
        <v>2441</v>
      </c>
      <c r="H216" s="22" t="s">
        <v>23</v>
      </c>
      <c r="I216" s="22" t="s">
        <v>1710</v>
      </c>
      <c r="J216" s="22" t="s">
        <v>63</v>
      </c>
      <c r="K216" s="22" t="s">
        <v>37</v>
      </c>
      <c r="L216" s="22" t="s">
        <v>38</v>
      </c>
      <c r="M216" s="18">
        <v>14.03</v>
      </c>
      <c r="N216" s="18">
        <v>13.25</v>
      </c>
      <c r="O216" s="22">
        <v>9.0</v>
      </c>
      <c r="P216" s="18">
        <v>126.27</v>
      </c>
      <c r="Q216" s="14">
        <f t="shared" si="1"/>
        <v>113.02</v>
      </c>
    </row>
    <row r="217">
      <c r="A217" s="21">
        <v>42725.0</v>
      </c>
      <c r="B217" s="21" t="s">
        <v>2325</v>
      </c>
      <c r="C217" s="8" t="s">
        <v>684</v>
      </c>
      <c r="D217" s="23" t="s">
        <v>2325</v>
      </c>
      <c r="E217" s="22" t="s">
        <v>20</v>
      </c>
      <c r="F217" s="22" t="s">
        <v>2560</v>
      </c>
      <c r="G217" s="22" t="s">
        <v>2385</v>
      </c>
      <c r="H217" s="22" t="s">
        <v>23</v>
      </c>
      <c r="I217" s="22" t="s">
        <v>62</v>
      </c>
      <c r="J217" s="22" t="s">
        <v>63</v>
      </c>
      <c r="K217" s="22" t="s">
        <v>37</v>
      </c>
      <c r="L217" s="22" t="s">
        <v>27</v>
      </c>
      <c r="M217" s="18">
        <v>1618.37</v>
      </c>
      <c r="N217" s="18">
        <v>1618.18</v>
      </c>
      <c r="O217" s="22">
        <v>9.0</v>
      </c>
      <c r="P217" s="18">
        <v>14565.329999999998</v>
      </c>
      <c r="Q217" s="14">
        <f t="shared" si="1"/>
        <v>12947.15</v>
      </c>
    </row>
    <row r="218">
      <c r="A218" s="21">
        <v>42725.0</v>
      </c>
      <c r="B218" s="21" t="s">
        <v>2325</v>
      </c>
      <c r="C218" s="8" t="s">
        <v>684</v>
      </c>
      <c r="D218" s="23" t="s">
        <v>2325</v>
      </c>
      <c r="E218" s="22" t="s">
        <v>20</v>
      </c>
      <c r="F218" s="22" t="s">
        <v>2560</v>
      </c>
      <c r="G218" s="22" t="s">
        <v>2385</v>
      </c>
      <c r="H218" s="22" t="s">
        <v>23</v>
      </c>
      <c r="I218" s="22" t="s">
        <v>62</v>
      </c>
      <c r="J218" s="22" t="s">
        <v>63</v>
      </c>
      <c r="K218" s="22" t="s">
        <v>37</v>
      </c>
      <c r="L218" s="22" t="s">
        <v>51</v>
      </c>
      <c r="M218" s="18">
        <v>99.6</v>
      </c>
      <c r="N218" s="18">
        <v>98.63</v>
      </c>
      <c r="O218" s="22">
        <v>9.0</v>
      </c>
      <c r="P218" s="18">
        <v>896.4</v>
      </c>
      <c r="Q218" s="14">
        <f t="shared" si="1"/>
        <v>797.77</v>
      </c>
    </row>
    <row r="219">
      <c r="A219" s="21">
        <v>42630.0</v>
      </c>
      <c r="B219" s="21" t="s">
        <v>2329</v>
      </c>
      <c r="C219" s="8" t="s">
        <v>1715</v>
      </c>
      <c r="D219" s="23" t="s">
        <v>2329</v>
      </c>
      <c r="E219" s="22" t="s">
        <v>20</v>
      </c>
      <c r="F219" s="22" t="s">
        <v>2711</v>
      </c>
      <c r="G219" s="22" t="s">
        <v>2712</v>
      </c>
      <c r="H219" s="22" t="s">
        <v>68</v>
      </c>
      <c r="I219" s="22" t="s">
        <v>35</v>
      </c>
      <c r="J219" s="22" t="s">
        <v>52</v>
      </c>
      <c r="K219" s="22" t="s">
        <v>37</v>
      </c>
      <c r="L219" s="22" t="s">
        <v>38</v>
      </c>
      <c r="M219" s="18">
        <v>32.4</v>
      </c>
      <c r="N219" s="18">
        <v>31.92</v>
      </c>
      <c r="O219" s="22">
        <v>9.0</v>
      </c>
      <c r="P219" s="18">
        <v>291.59999999999997</v>
      </c>
      <c r="Q219" s="14">
        <f t="shared" si="1"/>
        <v>259.68</v>
      </c>
    </row>
    <row r="220">
      <c r="A220" s="21">
        <v>43040.0</v>
      </c>
      <c r="B220" s="21" t="s">
        <v>2326</v>
      </c>
      <c r="C220" s="8" t="s">
        <v>1728</v>
      </c>
      <c r="D220" s="23" t="s">
        <v>2353</v>
      </c>
      <c r="E220" s="22" t="s">
        <v>20</v>
      </c>
      <c r="F220" s="22" t="s">
        <v>2860</v>
      </c>
      <c r="G220" s="22" t="s">
        <v>2861</v>
      </c>
      <c r="H220" s="22" t="s">
        <v>68</v>
      </c>
      <c r="I220" s="22" t="s">
        <v>197</v>
      </c>
      <c r="J220" s="22" t="s">
        <v>304</v>
      </c>
      <c r="K220" s="22" t="s">
        <v>100</v>
      </c>
      <c r="L220" s="22" t="s">
        <v>38</v>
      </c>
      <c r="M220" s="18">
        <v>15.552</v>
      </c>
      <c r="N220" s="18">
        <v>15.04</v>
      </c>
      <c r="O220" s="22">
        <v>4.0</v>
      </c>
      <c r="P220" s="18">
        <v>62.208</v>
      </c>
      <c r="Q220" s="14">
        <f t="shared" si="1"/>
        <v>47.168</v>
      </c>
    </row>
    <row r="221">
      <c r="A221" s="21">
        <v>43040.0</v>
      </c>
      <c r="B221" s="21" t="s">
        <v>2326</v>
      </c>
      <c r="C221" s="8" t="s">
        <v>1728</v>
      </c>
      <c r="D221" s="23" t="s">
        <v>2353</v>
      </c>
      <c r="E221" s="22" t="s">
        <v>20</v>
      </c>
      <c r="F221" s="22" t="s">
        <v>2860</v>
      </c>
      <c r="G221" s="22" t="s">
        <v>2861</v>
      </c>
      <c r="H221" s="22" t="s">
        <v>68</v>
      </c>
      <c r="I221" s="22" t="s">
        <v>197</v>
      </c>
      <c r="J221" s="22" t="s">
        <v>304</v>
      </c>
      <c r="K221" s="22" t="s">
        <v>100</v>
      </c>
      <c r="L221" s="22" t="s">
        <v>38</v>
      </c>
      <c r="M221" s="18">
        <v>63.312</v>
      </c>
      <c r="N221" s="18">
        <v>63.23</v>
      </c>
      <c r="O221" s="22">
        <v>4.0</v>
      </c>
      <c r="P221" s="18">
        <v>253.248</v>
      </c>
      <c r="Q221" s="14">
        <f t="shared" si="1"/>
        <v>190.018</v>
      </c>
    </row>
    <row r="222">
      <c r="A222" s="21">
        <v>43040.0</v>
      </c>
      <c r="B222" s="21" t="s">
        <v>2326</v>
      </c>
      <c r="C222" s="8" t="s">
        <v>1728</v>
      </c>
      <c r="D222" s="23" t="s">
        <v>2353</v>
      </c>
      <c r="E222" s="22" t="s">
        <v>20</v>
      </c>
      <c r="F222" s="22" t="s">
        <v>2860</v>
      </c>
      <c r="G222" s="22" t="s">
        <v>2861</v>
      </c>
      <c r="H222" s="22" t="s">
        <v>68</v>
      </c>
      <c r="I222" s="22" t="s">
        <v>197</v>
      </c>
      <c r="J222" s="22" t="s">
        <v>304</v>
      </c>
      <c r="K222" s="22" t="s">
        <v>100</v>
      </c>
      <c r="L222" s="22" t="s">
        <v>51</v>
      </c>
      <c r="M222" s="18">
        <v>15.588</v>
      </c>
      <c r="N222" s="18">
        <v>15.5</v>
      </c>
      <c r="O222" s="22">
        <v>4.0</v>
      </c>
      <c r="P222" s="18">
        <v>62.352</v>
      </c>
      <c r="Q222" s="14">
        <f t="shared" si="1"/>
        <v>46.852</v>
      </c>
    </row>
    <row r="223">
      <c r="A223" s="21">
        <v>42895.0</v>
      </c>
      <c r="B223" s="21" t="s">
        <v>2374</v>
      </c>
      <c r="C223" s="24">
        <v>42987.0</v>
      </c>
      <c r="D223" s="23" t="s">
        <v>2329</v>
      </c>
      <c r="E223" s="22" t="s">
        <v>20</v>
      </c>
      <c r="F223" s="22" t="s">
        <v>2489</v>
      </c>
      <c r="G223" s="22" t="s">
        <v>2865</v>
      </c>
      <c r="H223" s="22" t="s">
        <v>23</v>
      </c>
      <c r="I223" s="22" t="s">
        <v>174</v>
      </c>
      <c r="J223" s="22" t="s">
        <v>175</v>
      </c>
      <c r="K223" s="22" t="s">
        <v>100</v>
      </c>
      <c r="L223" s="22" t="s">
        <v>51</v>
      </c>
      <c r="M223" s="18">
        <v>31.86</v>
      </c>
      <c r="N223" s="18">
        <v>31.06</v>
      </c>
      <c r="O223" s="22">
        <v>1.0</v>
      </c>
      <c r="P223" s="18">
        <v>31.86</v>
      </c>
      <c r="Q223" s="14">
        <f t="shared" si="1"/>
        <v>0.8</v>
      </c>
    </row>
    <row r="224">
      <c r="A224" s="21">
        <v>42895.0</v>
      </c>
      <c r="B224" s="21" t="s">
        <v>2374</v>
      </c>
      <c r="C224" s="24">
        <v>42987.0</v>
      </c>
      <c r="D224" s="23" t="s">
        <v>2329</v>
      </c>
      <c r="E224" s="22" t="s">
        <v>20</v>
      </c>
      <c r="F224" s="22" t="s">
        <v>2489</v>
      </c>
      <c r="G224" s="22" t="s">
        <v>2865</v>
      </c>
      <c r="H224" s="22" t="s">
        <v>23</v>
      </c>
      <c r="I224" s="22" t="s">
        <v>174</v>
      </c>
      <c r="J224" s="22" t="s">
        <v>175</v>
      </c>
      <c r="K224" s="22" t="s">
        <v>100</v>
      </c>
      <c r="L224" s="22" t="s">
        <v>27</v>
      </c>
      <c r="M224" s="18">
        <v>722.352</v>
      </c>
      <c r="N224" s="18">
        <v>721.86</v>
      </c>
      <c r="O224" s="22">
        <v>1.0</v>
      </c>
      <c r="P224" s="18">
        <v>722.352</v>
      </c>
      <c r="Q224" s="14">
        <f t="shared" si="1"/>
        <v>0.492</v>
      </c>
    </row>
    <row r="225">
      <c r="A225" s="21">
        <v>42151.0</v>
      </c>
      <c r="B225" s="21" t="s">
        <v>2335</v>
      </c>
      <c r="C225" s="24">
        <v>42010.0</v>
      </c>
      <c r="D225" s="23" t="s">
        <v>2353</v>
      </c>
      <c r="E225" s="22" t="s">
        <v>20</v>
      </c>
      <c r="F225" s="22" t="s">
        <v>2375</v>
      </c>
      <c r="G225" s="22" t="s">
        <v>2401</v>
      </c>
      <c r="H225" s="22" t="s">
        <v>23</v>
      </c>
      <c r="I225" s="22" t="s">
        <v>87</v>
      </c>
      <c r="J225" s="22" t="s">
        <v>52</v>
      </c>
      <c r="K225" s="22" t="s">
        <v>37</v>
      </c>
      <c r="L225" s="22" t="s">
        <v>51</v>
      </c>
      <c r="M225" s="18">
        <v>1113.504</v>
      </c>
      <c r="N225" s="18">
        <v>1113.45</v>
      </c>
      <c r="O225" s="22">
        <v>9.0</v>
      </c>
      <c r="P225" s="18">
        <v>10021.536</v>
      </c>
      <c r="Q225" s="14">
        <f t="shared" si="1"/>
        <v>8908.086</v>
      </c>
    </row>
    <row r="226">
      <c r="A226" s="21">
        <v>42151.0</v>
      </c>
      <c r="B226" s="21" t="s">
        <v>2335</v>
      </c>
      <c r="C226" s="24">
        <v>42010.0</v>
      </c>
      <c r="D226" s="23" t="s">
        <v>2353</v>
      </c>
      <c r="E226" s="22" t="s">
        <v>20</v>
      </c>
      <c r="F226" s="22" t="s">
        <v>2375</v>
      </c>
      <c r="G226" s="22" t="s">
        <v>2401</v>
      </c>
      <c r="H226" s="22" t="s">
        <v>23</v>
      </c>
      <c r="I226" s="22" t="s">
        <v>87</v>
      </c>
      <c r="J226" s="22" t="s">
        <v>52</v>
      </c>
      <c r="K226" s="22" t="s">
        <v>37</v>
      </c>
      <c r="L226" s="22" t="s">
        <v>51</v>
      </c>
      <c r="M226" s="18">
        <v>99.99</v>
      </c>
      <c r="N226" s="18">
        <v>99.38</v>
      </c>
      <c r="O226" s="22">
        <v>9.0</v>
      </c>
      <c r="P226" s="18">
        <v>899.91</v>
      </c>
      <c r="Q226" s="14">
        <f t="shared" si="1"/>
        <v>800.53</v>
      </c>
    </row>
    <row r="227">
      <c r="A227" s="21">
        <v>43371.0</v>
      </c>
      <c r="B227" s="21" t="s">
        <v>2329</v>
      </c>
      <c r="C227" s="8" t="s">
        <v>1784</v>
      </c>
      <c r="D227" s="23" t="s">
        <v>2329</v>
      </c>
      <c r="E227" s="22" t="s">
        <v>20</v>
      </c>
      <c r="F227" s="22" t="s">
        <v>2686</v>
      </c>
      <c r="G227" s="22" t="s">
        <v>2876</v>
      </c>
      <c r="H227" s="22" t="s">
        <v>23</v>
      </c>
      <c r="I227" s="22" t="s">
        <v>1787</v>
      </c>
      <c r="J227" s="22" t="s">
        <v>70</v>
      </c>
      <c r="K227" s="22" t="s">
        <v>71</v>
      </c>
      <c r="L227" s="22" t="s">
        <v>38</v>
      </c>
      <c r="M227" s="18">
        <v>1.744</v>
      </c>
      <c r="N227" s="18">
        <v>0.85</v>
      </c>
      <c r="O227" s="22">
        <v>7.0</v>
      </c>
      <c r="P227" s="18">
        <v>12.208</v>
      </c>
      <c r="Q227" s="14">
        <f t="shared" si="1"/>
        <v>11.358</v>
      </c>
    </row>
    <row r="228">
      <c r="A228" s="21">
        <v>43366.0</v>
      </c>
      <c r="B228" s="21" t="s">
        <v>2329</v>
      </c>
      <c r="C228" s="8" t="s">
        <v>1808</v>
      </c>
      <c r="D228" s="23" t="s">
        <v>2329</v>
      </c>
      <c r="E228" s="22" t="s">
        <v>20</v>
      </c>
      <c r="F228" s="22" t="s">
        <v>2558</v>
      </c>
      <c r="G228" s="22" t="s">
        <v>2641</v>
      </c>
      <c r="H228" s="22" t="s">
        <v>23</v>
      </c>
      <c r="I228" s="22" t="s">
        <v>62</v>
      </c>
      <c r="J228" s="22" t="s">
        <v>63</v>
      </c>
      <c r="K228" s="22" t="s">
        <v>37</v>
      </c>
      <c r="L228" s="22" t="s">
        <v>38</v>
      </c>
      <c r="M228" s="18">
        <v>119.96</v>
      </c>
      <c r="N228" s="18">
        <v>119.86</v>
      </c>
      <c r="O228" s="22">
        <v>9.0</v>
      </c>
      <c r="P228" s="18">
        <v>1079.6399999999999</v>
      </c>
      <c r="Q228" s="14">
        <f t="shared" si="1"/>
        <v>959.78</v>
      </c>
    </row>
    <row r="229">
      <c r="A229" s="21">
        <v>43366.0</v>
      </c>
      <c r="B229" s="21" t="s">
        <v>2329</v>
      </c>
      <c r="C229" s="8" t="s">
        <v>1808</v>
      </c>
      <c r="D229" s="23" t="s">
        <v>2329</v>
      </c>
      <c r="E229" s="22" t="s">
        <v>20</v>
      </c>
      <c r="F229" s="22" t="s">
        <v>2558</v>
      </c>
      <c r="G229" s="22" t="s">
        <v>2641</v>
      </c>
      <c r="H229" s="22" t="s">
        <v>23</v>
      </c>
      <c r="I229" s="22" t="s">
        <v>62</v>
      </c>
      <c r="J229" s="22" t="s">
        <v>63</v>
      </c>
      <c r="K229" s="22" t="s">
        <v>37</v>
      </c>
      <c r="L229" s="22" t="s">
        <v>38</v>
      </c>
      <c r="M229" s="18">
        <v>31.44</v>
      </c>
      <c r="N229" s="18">
        <v>30.57</v>
      </c>
      <c r="O229" s="22">
        <v>9.0</v>
      </c>
      <c r="P229" s="18">
        <v>282.96000000000004</v>
      </c>
      <c r="Q229" s="14">
        <f t="shared" si="1"/>
        <v>252.39</v>
      </c>
    </row>
    <row r="230">
      <c r="A230" s="21">
        <v>43366.0</v>
      </c>
      <c r="B230" s="21" t="s">
        <v>2329</v>
      </c>
      <c r="C230" s="8" t="s">
        <v>1808</v>
      </c>
      <c r="D230" s="23" t="s">
        <v>2329</v>
      </c>
      <c r="E230" s="22" t="s">
        <v>20</v>
      </c>
      <c r="F230" s="22" t="s">
        <v>2558</v>
      </c>
      <c r="G230" s="22" t="s">
        <v>2641</v>
      </c>
      <c r="H230" s="22" t="s">
        <v>23</v>
      </c>
      <c r="I230" s="22" t="s">
        <v>62</v>
      </c>
      <c r="J230" s="22" t="s">
        <v>63</v>
      </c>
      <c r="K230" s="22" t="s">
        <v>37</v>
      </c>
      <c r="L230" s="22" t="s">
        <v>38</v>
      </c>
      <c r="M230" s="18">
        <v>6.88</v>
      </c>
      <c r="N230" s="18">
        <v>6.42</v>
      </c>
      <c r="O230" s="22">
        <v>9.0</v>
      </c>
      <c r="P230" s="18">
        <v>61.92</v>
      </c>
      <c r="Q230" s="14">
        <f t="shared" si="1"/>
        <v>55.5</v>
      </c>
    </row>
    <row r="231">
      <c r="A231" s="21">
        <v>42962.0</v>
      </c>
      <c r="B231" s="21" t="s">
        <v>2322</v>
      </c>
      <c r="C231" s="8" t="s">
        <v>1818</v>
      </c>
      <c r="D231" s="23" t="s">
        <v>2322</v>
      </c>
      <c r="E231" s="22" t="s">
        <v>20</v>
      </c>
      <c r="F231" s="22" t="s">
        <v>2523</v>
      </c>
      <c r="G231" s="22" t="s">
        <v>2649</v>
      </c>
      <c r="H231" s="22" t="s">
        <v>34</v>
      </c>
      <c r="I231" s="22" t="s">
        <v>1821</v>
      </c>
      <c r="J231" s="22" t="s">
        <v>52</v>
      </c>
      <c r="K231" s="22" t="s">
        <v>37</v>
      </c>
      <c r="L231" s="22" t="s">
        <v>51</v>
      </c>
      <c r="M231" s="18">
        <v>71.976</v>
      </c>
      <c r="N231" s="18">
        <v>71.17</v>
      </c>
      <c r="O231" s="22">
        <v>9.0</v>
      </c>
      <c r="P231" s="18">
        <v>647.784</v>
      </c>
      <c r="Q231" s="14">
        <f t="shared" si="1"/>
        <v>576.614</v>
      </c>
    </row>
    <row r="232">
      <c r="A232" s="21">
        <v>42962.0</v>
      </c>
      <c r="B232" s="21" t="s">
        <v>2322</v>
      </c>
      <c r="C232" s="8" t="s">
        <v>1818</v>
      </c>
      <c r="D232" s="23" t="s">
        <v>2322</v>
      </c>
      <c r="E232" s="22" t="s">
        <v>20</v>
      </c>
      <c r="F232" s="22" t="s">
        <v>2523</v>
      </c>
      <c r="G232" s="22" t="s">
        <v>2649</v>
      </c>
      <c r="H232" s="22" t="s">
        <v>34</v>
      </c>
      <c r="I232" s="22" t="s">
        <v>1821</v>
      </c>
      <c r="J232" s="22" t="s">
        <v>52</v>
      </c>
      <c r="K232" s="22" t="s">
        <v>37</v>
      </c>
      <c r="L232" s="22" t="s">
        <v>38</v>
      </c>
      <c r="M232" s="18">
        <v>3.15</v>
      </c>
      <c r="N232" s="18">
        <v>2.16</v>
      </c>
      <c r="O232" s="22">
        <v>9.0</v>
      </c>
      <c r="P232" s="18">
        <v>28.349999999999998</v>
      </c>
      <c r="Q232" s="14">
        <f t="shared" si="1"/>
        <v>26.19</v>
      </c>
    </row>
    <row r="233">
      <c r="A233" s="21">
        <v>43452.0</v>
      </c>
      <c r="B233" s="21" t="s">
        <v>2325</v>
      </c>
      <c r="C233" s="8" t="s">
        <v>1526</v>
      </c>
      <c r="D233" s="23" t="s">
        <v>2325</v>
      </c>
      <c r="E233" s="22" t="s">
        <v>20</v>
      </c>
      <c r="F233" s="22" t="s">
        <v>2583</v>
      </c>
      <c r="G233" s="22" t="s">
        <v>2584</v>
      </c>
      <c r="H233" s="22" t="s">
        <v>23</v>
      </c>
      <c r="I233" s="22" t="s">
        <v>1849</v>
      </c>
      <c r="J233" s="22" t="s">
        <v>52</v>
      </c>
      <c r="K233" s="22" t="s">
        <v>37</v>
      </c>
      <c r="L233" s="22" t="s">
        <v>38</v>
      </c>
      <c r="M233" s="18">
        <v>46.672</v>
      </c>
      <c r="N233" s="18">
        <v>46.01</v>
      </c>
      <c r="O233" s="22">
        <v>9.0</v>
      </c>
      <c r="P233" s="18">
        <v>420.048</v>
      </c>
      <c r="Q233" s="14">
        <f t="shared" si="1"/>
        <v>374.038</v>
      </c>
    </row>
    <row r="234">
      <c r="A234" s="21">
        <v>43452.0</v>
      </c>
      <c r="B234" s="21" t="s">
        <v>2325</v>
      </c>
      <c r="C234" s="8" t="s">
        <v>1526</v>
      </c>
      <c r="D234" s="23" t="s">
        <v>2325</v>
      </c>
      <c r="E234" s="22" t="s">
        <v>20</v>
      </c>
      <c r="F234" s="22" t="s">
        <v>2583</v>
      </c>
      <c r="G234" s="22" t="s">
        <v>2584</v>
      </c>
      <c r="H234" s="22" t="s">
        <v>23</v>
      </c>
      <c r="I234" s="22" t="s">
        <v>1849</v>
      </c>
      <c r="J234" s="22" t="s">
        <v>52</v>
      </c>
      <c r="K234" s="22" t="s">
        <v>37</v>
      </c>
      <c r="L234" s="22" t="s">
        <v>27</v>
      </c>
      <c r="M234" s="18">
        <v>119.833</v>
      </c>
      <c r="N234" s="18">
        <v>119.49</v>
      </c>
      <c r="O234" s="22">
        <v>9.0</v>
      </c>
      <c r="P234" s="18">
        <v>1078.497</v>
      </c>
      <c r="Q234" s="14">
        <f t="shared" si="1"/>
        <v>959.007</v>
      </c>
    </row>
    <row r="235">
      <c r="A235" s="21">
        <v>43452.0</v>
      </c>
      <c r="B235" s="21" t="s">
        <v>2325</v>
      </c>
      <c r="C235" s="8" t="s">
        <v>1526</v>
      </c>
      <c r="D235" s="23" t="s">
        <v>2325</v>
      </c>
      <c r="E235" s="22" t="s">
        <v>20</v>
      </c>
      <c r="F235" s="22" t="s">
        <v>2583</v>
      </c>
      <c r="G235" s="22" t="s">
        <v>2584</v>
      </c>
      <c r="H235" s="22" t="s">
        <v>23</v>
      </c>
      <c r="I235" s="22" t="s">
        <v>1849</v>
      </c>
      <c r="J235" s="22" t="s">
        <v>52</v>
      </c>
      <c r="K235" s="22" t="s">
        <v>37</v>
      </c>
      <c r="L235" s="22" t="s">
        <v>51</v>
      </c>
      <c r="M235" s="18">
        <v>119.98</v>
      </c>
      <c r="N235" s="18">
        <v>119.77</v>
      </c>
      <c r="O235" s="22">
        <v>9.0</v>
      </c>
      <c r="P235" s="18">
        <v>1079.82</v>
      </c>
      <c r="Q235" s="14">
        <f t="shared" si="1"/>
        <v>960.05</v>
      </c>
    </row>
    <row r="236">
      <c r="A236" s="21">
        <v>42938.0</v>
      </c>
      <c r="B236" s="21" t="s">
        <v>2348</v>
      </c>
      <c r="C236" s="8" t="s">
        <v>1851</v>
      </c>
      <c r="D236" s="23" t="s">
        <v>2348</v>
      </c>
      <c r="E236" s="22" t="s">
        <v>20</v>
      </c>
      <c r="F236" s="22" t="s">
        <v>2886</v>
      </c>
      <c r="G236" s="22" t="s">
        <v>2887</v>
      </c>
      <c r="H236" s="22" t="s">
        <v>34</v>
      </c>
      <c r="I236" s="22" t="s">
        <v>87</v>
      </c>
      <c r="J236" s="22" t="s">
        <v>52</v>
      </c>
      <c r="K236" s="22" t="s">
        <v>37</v>
      </c>
      <c r="L236" s="22" t="s">
        <v>38</v>
      </c>
      <c r="M236" s="18">
        <v>6.3</v>
      </c>
      <c r="N236" s="18">
        <v>6.14</v>
      </c>
      <c r="O236" s="22">
        <v>9.0</v>
      </c>
      <c r="P236" s="18">
        <v>56.699999999999996</v>
      </c>
      <c r="Q236" s="14">
        <f t="shared" si="1"/>
        <v>50.56</v>
      </c>
    </row>
    <row r="237">
      <c r="A237" s="21">
        <v>43080.0</v>
      </c>
      <c r="B237" s="21" t="s">
        <v>2325</v>
      </c>
      <c r="C237" s="8" t="s">
        <v>1870</v>
      </c>
      <c r="D237" s="23" t="s">
        <v>2326</v>
      </c>
      <c r="E237" s="22" t="s">
        <v>20</v>
      </c>
      <c r="F237" s="22" t="s">
        <v>2483</v>
      </c>
      <c r="G237" s="22" t="s">
        <v>2888</v>
      </c>
      <c r="H237" s="22" t="s">
        <v>34</v>
      </c>
      <c r="I237" s="22" t="s">
        <v>1873</v>
      </c>
      <c r="J237" s="22" t="s">
        <v>169</v>
      </c>
      <c r="K237" s="22" t="s">
        <v>71</v>
      </c>
      <c r="L237" s="22" t="s">
        <v>38</v>
      </c>
      <c r="M237" s="18">
        <v>287.52</v>
      </c>
      <c r="N237" s="18">
        <v>287.48</v>
      </c>
      <c r="O237" s="22">
        <v>4.0</v>
      </c>
      <c r="P237" s="18">
        <v>1150.08</v>
      </c>
      <c r="Q237" s="14">
        <f t="shared" si="1"/>
        <v>862.6</v>
      </c>
    </row>
    <row r="238">
      <c r="A238" s="21">
        <v>43080.0</v>
      </c>
      <c r="B238" s="21" t="s">
        <v>2325</v>
      </c>
      <c r="C238" s="8" t="s">
        <v>1870</v>
      </c>
      <c r="D238" s="23" t="s">
        <v>2326</v>
      </c>
      <c r="E238" s="22" t="s">
        <v>20</v>
      </c>
      <c r="F238" s="22" t="s">
        <v>2483</v>
      </c>
      <c r="G238" s="22" t="s">
        <v>2888</v>
      </c>
      <c r="H238" s="22" t="s">
        <v>34</v>
      </c>
      <c r="I238" s="22" t="s">
        <v>1873</v>
      </c>
      <c r="J238" s="22" t="s">
        <v>169</v>
      </c>
      <c r="K238" s="22" t="s">
        <v>71</v>
      </c>
      <c r="L238" s="22" t="s">
        <v>38</v>
      </c>
      <c r="M238" s="18">
        <v>37.68</v>
      </c>
      <c r="N238" s="18">
        <v>37.68</v>
      </c>
      <c r="O238" s="22">
        <v>4.0</v>
      </c>
      <c r="P238" s="18">
        <v>150.72</v>
      </c>
      <c r="Q238" s="14">
        <f t="shared" si="1"/>
        <v>113.04</v>
      </c>
    </row>
    <row r="239">
      <c r="A239" s="21">
        <v>43080.0</v>
      </c>
      <c r="B239" s="21" t="s">
        <v>2325</v>
      </c>
      <c r="C239" s="8" t="s">
        <v>1870</v>
      </c>
      <c r="D239" s="23" t="s">
        <v>2326</v>
      </c>
      <c r="E239" s="22" t="s">
        <v>20</v>
      </c>
      <c r="F239" s="22" t="s">
        <v>2483</v>
      </c>
      <c r="G239" s="22" t="s">
        <v>2888</v>
      </c>
      <c r="H239" s="22" t="s">
        <v>34</v>
      </c>
      <c r="I239" s="22" t="s">
        <v>1873</v>
      </c>
      <c r="J239" s="22" t="s">
        <v>169</v>
      </c>
      <c r="K239" s="22" t="s">
        <v>71</v>
      </c>
      <c r="L239" s="22" t="s">
        <v>38</v>
      </c>
      <c r="M239" s="18">
        <v>19.98</v>
      </c>
      <c r="N239" s="18">
        <v>19.01</v>
      </c>
      <c r="O239" s="22">
        <v>4.0</v>
      </c>
      <c r="P239" s="18">
        <v>79.92</v>
      </c>
      <c r="Q239" s="14">
        <f t="shared" si="1"/>
        <v>60.91</v>
      </c>
    </row>
    <row r="240">
      <c r="A240" s="21">
        <v>43080.0</v>
      </c>
      <c r="B240" s="21" t="s">
        <v>2325</v>
      </c>
      <c r="C240" s="8" t="s">
        <v>1870</v>
      </c>
      <c r="D240" s="23" t="s">
        <v>2326</v>
      </c>
      <c r="E240" s="22" t="s">
        <v>20</v>
      </c>
      <c r="F240" s="22" t="s">
        <v>2483</v>
      </c>
      <c r="G240" s="22" t="s">
        <v>2888</v>
      </c>
      <c r="H240" s="22" t="s">
        <v>34</v>
      </c>
      <c r="I240" s="22" t="s">
        <v>1873</v>
      </c>
      <c r="J240" s="22" t="s">
        <v>169</v>
      </c>
      <c r="K240" s="22" t="s">
        <v>71</v>
      </c>
      <c r="L240" s="22" t="s">
        <v>38</v>
      </c>
      <c r="M240" s="18">
        <v>20.58</v>
      </c>
      <c r="N240" s="18">
        <v>20.44</v>
      </c>
      <c r="O240" s="22">
        <v>4.0</v>
      </c>
      <c r="P240" s="18">
        <v>82.32</v>
      </c>
      <c r="Q240" s="14">
        <f t="shared" si="1"/>
        <v>61.88</v>
      </c>
    </row>
    <row r="241">
      <c r="A241" s="21">
        <v>43080.0</v>
      </c>
      <c r="B241" s="21" t="s">
        <v>2325</v>
      </c>
      <c r="C241" s="8" t="s">
        <v>1870</v>
      </c>
      <c r="D241" s="23" t="s">
        <v>2326</v>
      </c>
      <c r="E241" s="22" t="s">
        <v>20</v>
      </c>
      <c r="F241" s="22" t="s">
        <v>2483</v>
      </c>
      <c r="G241" s="22" t="s">
        <v>2888</v>
      </c>
      <c r="H241" s="22" t="s">
        <v>34</v>
      </c>
      <c r="I241" s="22" t="s">
        <v>1873</v>
      </c>
      <c r="J241" s="22" t="s">
        <v>169</v>
      </c>
      <c r="K241" s="22" t="s">
        <v>71</v>
      </c>
      <c r="L241" s="22" t="s">
        <v>38</v>
      </c>
      <c r="M241" s="18">
        <v>17.38</v>
      </c>
      <c r="N241" s="18">
        <v>16.85</v>
      </c>
      <c r="O241" s="22">
        <v>4.0</v>
      </c>
      <c r="P241" s="18">
        <v>69.52</v>
      </c>
      <c r="Q241" s="14">
        <f t="shared" si="1"/>
        <v>52.67</v>
      </c>
    </row>
    <row r="242">
      <c r="A242" s="21">
        <v>42773.0</v>
      </c>
      <c r="B242" s="21" t="s">
        <v>2431</v>
      </c>
      <c r="C242" s="24">
        <v>42923.0</v>
      </c>
      <c r="D242" s="23" t="s">
        <v>2348</v>
      </c>
      <c r="E242" s="22" t="s">
        <v>20</v>
      </c>
      <c r="F242" s="22" t="s">
        <v>2822</v>
      </c>
      <c r="G242" s="22" t="s">
        <v>2823</v>
      </c>
      <c r="H242" s="22" t="s">
        <v>34</v>
      </c>
      <c r="I242" s="22" t="s">
        <v>35</v>
      </c>
      <c r="J242" s="22" t="s">
        <v>52</v>
      </c>
      <c r="K242" s="22" t="s">
        <v>37</v>
      </c>
      <c r="L242" s="22" t="s">
        <v>27</v>
      </c>
      <c r="M242" s="18">
        <v>195.184</v>
      </c>
      <c r="N242" s="18">
        <v>195.02</v>
      </c>
      <c r="O242" s="22">
        <v>9.0</v>
      </c>
      <c r="P242" s="18">
        <v>1756.656</v>
      </c>
      <c r="Q242" s="14">
        <f t="shared" si="1"/>
        <v>1561.636</v>
      </c>
    </row>
    <row r="243">
      <c r="A243" s="21">
        <v>42013.0</v>
      </c>
      <c r="B243" s="21" t="s">
        <v>2353</v>
      </c>
      <c r="C243" s="24">
        <v>42133.0</v>
      </c>
      <c r="D243" s="23" t="s">
        <v>2335</v>
      </c>
      <c r="E243" s="22" t="s">
        <v>20</v>
      </c>
      <c r="F243" s="22" t="s">
        <v>2891</v>
      </c>
      <c r="G243" s="22" t="s">
        <v>2892</v>
      </c>
      <c r="H243" s="22" t="s">
        <v>23</v>
      </c>
      <c r="I243" s="22" t="s">
        <v>1894</v>
      </c>
      <c r="J243" s="22" t="s">
        <v>52</v>
      </c>
      <c r="K243" s="22" t="s">
        <v>37</v>
      </c>
      <c r="L243" s="22" t="s">
        <v>38</v>
      </c>
      <c r="M243" s="18">
        <v>53.94</v>
      </c>
      <c r="N243" s="18">
        <v>53.63</v>
      </c>
      <c r="O243" s="22">
        <v>9.0</v>
      </c>
      <c r="P243" s="18">
        <v>485.46</v>
      </c>
      <c r="Q243" s="14">
        <f t="shared" si="1"/>
        <v>431.83</v>
      </c>
    </row>
    <row r="244">
      <c r="A244" s="21">
        <v>43324.0</v>
      </c>
      <c r="B244" s="21" t="s">
        <v>2322</v>
      </c>
      <c r="C244" s="32">
        <v>43385.0</v>
      </c>
      <c r="D244" s="23" t="s">
        <v>2358</v>
      </c>
      <c r="E244" s="22" t="s">
        <v>20</v>
      </c>
      <c r="F244" s="22" t="s">
        <v>2519</v>
      </c>
      <c r="G244" s="22" t="s">
        <v>2520</v>
      </c>
      <c r="H244" s="22" t="s">
        <v>23</v>
      </c>
      <c r="I244" s="22" t="s">
        <v>174</v>
      </c>
      <c r="J244" s="22" t="s">
        <v>175</v>
      </c>
      <c r="K244" s="22" t="s">
        <v>100</v>
      </c>
      <c r="L244" s="22" t="s">
        <v>27</v>
      </c>
      <c r="M244" s="18">
        <v>109.48</v>
      </c>
      <c r="N244" s="18">
        <v>109.47</v>
      </c>
      <c r="O244" s="22">
        <v>1.0</v>
      </c>
      <c r="P244" s="18">
        <v>109.48</v>
      </c>
      <c r="Q244" s="14">
        <f t="shared" si="1"/>
        <v>0.01</v>
      </c>
    </row>
    <row r="245">
      <c r="A245" s="21">
        <v>43324.0</v>
      </c>
      <c r="B245" s="21" t="s">
        <v>2322</v>
      </c>
      <c r="C245" s="32">
        <v>43385.0</v>
      </c>
      <c r="D245" s="23" t="s">
        <v>2358</v>
      </c>
      <c r="E245" s="22" t="s">
        <v>20</v>
      </c>
      <c r="F245" s="22" t="s">
        <v>2519</v>
      </c>
      <c r="G245" s="22" t="s">
        <v>2520</v>
      </c>
      <c r="H245" s="22" t="s">
        <v>23</v>
      </c>
      <c r="I245" s="22" t="s">
        <v>174</v>
      </c>
      <c r="J245" s="22" t="s">
        <v>175</v>
      </c>
      <c r="K245" s="22" t="s">
        <v>100</v>
      </c>
      <c r="L245" s="22" t="s">
        <v>38</v>
      </c>
      <c r="M245" s="18">
        <v>272.94</v>
      </c>
      <c r="N245" s="18">
        <v>272.66</v>
      </c>
      <c r="O245" s="22">
        <v>1.0</v>
      </c>
      <c r="P245" s="18">
        <v>272.94</v>
      </c>
      <c r="Q245" s="14">
        <f t="shared" si="1"/>
        <v>0.28</v>
      </c>
    </row>
    <row r="246">
      <c r="A246" s="21">
        <v>43324.0</v>
      </c>
      <c r="B246" s="21" t="s">
        <v>2322</v>
      </c>
      <c r="C246" s="32">
        <v>43385.0</v>
      </c>
      <c r="D246" s="23" t="s">
        <v>2358</v>
      </c>
      <c r="E246" s="22" t="s">
        <v>20</v>
      </c>
      <c r="F246" s="22" t="s">
        <v>2519</v>
      </c>
      <c r="G246" s="22" t="s">
        <v>2520</v>
      </c>
      <c r="H246" s="22" t="s">
        <v>23</v>
      </c>
      <c r="I246" s="22" t="s">
        <v>174</v>
      </c>
      <c r="J246" s="22" t="s">
        <v>175</v>
      </c>
      <c r="K246" s="22" t="s">
        <v>100</v>
      </c>
      <c r="L246" s="22" t="s">
        <v>38</v>
      </c>
      <c r="M246" s="18">
        <v>19.44</v>
      </c>
      <c r="N246" s="18">
        <v>19.4</v>
      </c>
      <c r="O246" s="22">
        <v>1.0</v>
      </c>
      <c r="P246" s="18">
        <v>19.44</v>
      </c>
      <c r="Q246" s="14">
        <f t="shared" si="1"/>
        <v>0.04</v>
      </c>
    </row>
    <row r="247">
      <c r="A247" s="21">
        <v>43324.0</v>
      </c>
      <c r="B247" s="21" t="s">
        <v>2322</v>
      </c>
      <c r="C247" s="32">
        <v>43385.0</v>
      </c>
      <c r="D247" s="23" t="s">
        <v>2358</v>
      </c>
      <c r="E247" s="22" t="s">
        <v>20</v>
      </c>
      <c r="F247" s="22" t="s">
        <v>2519</v>
      </c>
      <c r="G247" s="22" t="s">
        <v>2520</v>
      </c>
      <c r="H247" s="22" t="s">
        <v>23</v>
      </c>
      <c r="I247" s="22" t="s">
        <v>174</v>
      </c>
      <c r="J247" s="22" t="s">
        <v>175</v>
      </c>
      <c r="K247" s="22" t="s">
        <v>100</v>
      </c>
      <c r="L247" s="22" t="s">
        <v>38</v>
      </c>
      <c r="M247" s="18">
        <v>31.92</v>
      </c>
      <c r="N247" s="18">
        <v>31.49</v>
      </c>
      <c r="O247" s="22">
        <v>1.0</v>
      </c>
      <c r="P247" s="18">
        <v>31.92</v>
      </c>
      <c r="Q247" s="14">
        <f t="shared" si="1"/>
        <v>0.43</v>
      </c>
    </row>
    <row r="248">
      <c r="A248" s="21">
        <v>42365.0</v>
      </c>
      <c r="B248" s="21" t="s">
        <v>2325</v>
      </c>
      <c r="C248" s="8" t="s">
        <v>644</v>
      </c>
      <c r="D248" s="23" t="s">
        <v>2325</v>
      </c>
      <c r="E248" s="22" t="s">
        <v>20</v>
      </c>
      <c r="F248" s="22" t="s">
        <v>2564</v>
      </c>
      <c r="G248" s="22" t="s">
        <v>2895</v>
      </c>
      <c r="H248" s="22" t="s">
        <v>68</v>
      </c>
      <c r="I248" s="22" t="s">
        <v>35</v>
      </c>
      <c r="J248" s="22" t="s">
        <v>52</v>
      </c>
      <c r="K248" s="22" t="s">
        <v>37</v>
      </c>
      <c r="L248" s="22" t="s">
        <v>38</v>
      </c>
      <c r="M248" s="18">
        <v>11.56</v>
      </c>
      <c r="N248" s="18">
        <v>11.38</v>
      </c>
      <c r="O248" s="22">
        <v>9.0</v>
      </c>
      <c r="P248" s="18">
        <v>104.04</v>
      </c>
      <c r="Q248" s="14">
        <f t="shared" si="1"/>
        <v>92.66</v>
      </c>
    </row>
    <row r="249">
      <c r="A249" s="21">
        <v>42849.0</v>
      </c>
      <c r="B249" s="21" t="s">
        <v>2332</v>
      </c>
      <c r="C249" s="8" t="s">
        <v>656</v>
      </c>
      <c r="D249" s="23" t="s">
        <v>2332</v>
      </c>
      <c r="E249" s="22" t="s">
        <v>20</v>
      </c>
      <c r="F249" s="22" t="s">
        <v>2896</v>
      </c>
      <c r="G249" s="22" t="s">
        <v>2424</v>
      </c>
      <c r="H249" s="22" t="s">
        <v>68</v>
      </c>
      <c r="I249" s="22" t="s">
        <v>129</v>
      </c>
      <c r="J249" s="22" t="s">
        <v>70</v>
      </c>
      <c r="K249" s="22" t="s">
        <v>71</v>
      </c>
      <c r="L249" s="22" t="s">
        <v>51</v>
      </c>
      <c r="M249" s="18">
        <v>258.696</v>
      </c>
      <c r="N249" s="18">
        <v>257.79</v>
      </c>
      <c r="O249" s="22">
        <v>7.0</v>
      </c>
      <c r="P249" s="18">
        <v>1810.8720000000003</v>
      </c>
      <c r="Q249" s="14">
        <f t="shared" si="1"/>
        <v>1553.082</v>
      </c>
    </row>
    <row r="250">
      <c r="A250" s="21">
        <v>43157.0</v>
      </c>
      <c r="B250" s="21" t="s">
        <v>2431</v>
      </c>
      <c r="C250" s="8" t="s">
        <v>1929</v>
      </c>
      <c r="D250" s="23" t="s">
        <v>2431</v>
      </c>
      <c r="E250" s="22" t="s">
        <v>20</v>
      </c>
      <c r="F250" s="22" t="s">
        <v>2652</v>
      </c>
      <c r="G250" s="22" t="s">
        <v>2897</v>
      </c>
      <c r="H250" s="22" t="s">
        <v>68</v>
      </c>
      <c r="I250" s="22" t="s">
        <v>35</v>
      </c>
      <c r="J250" s="22" t="s">
        <v>52</v>
      </c>
      <c r="K250" s="22" t="s">
        <v>37</v>
      </c>
      <c r="L250" s="22" t="s">
        <v>38</v>
      </c>
      <c r="M250" s="18">
        <v>81.92</v>
      </c>
      <c r="N250" s="18">
        <v>81.69</v>
      </c>
      <c r="O250" s="22">
        <v>9.0</v>
      </c>
      <c r="P250" s="18">
        <v>737.28</v>
      </c>
      <c r="Q250" s="14">
        <f t="shared" si="1"/>
        <v>655.59</v>
      </c>
    </row>
    <row r="251">
      <c r="A251" s="21">
        <v>43157.0</v>
      </c>
      <c r="B251" s="21" t="s">
        <v>2431</v>
      </c>
      <c r="C251" s="8" t="s">
        <v>1929</v>
      </c>
      <c r="D251" s="23" t="s">
        <v>2431</v>
      </c>
      <c r="E251" s="22" t="s">
        <v>20</v>
      </c>
      <c r="F251" s="22" t="s">
        <v>2652</v>
      </c>
      <c r="G251" s="22" t="s">
        <v>2897</v>
      </c>
      <c r="H251" s="22" t="s">
        <v>68</v>
      </c>
      <c r="I251" s="22" t="s">
        <v>35</v>
      </c>
      <c r="J251" s="22" t="s">
        <v>52</v>
      </c>
      <c r="K251" s="22" t="s">
        <v>37</v>
      </c>
      <c r="L251" s="22" t="s">
        <v>51</v>
      </c>
      <c r="M251" s="18">
        <v>889.536</v>
      </c>
      <c r="N251" s="18">
        <v>889.08</v>
      </c>
      <c r="O251" s="22">
        <v>9.0</v>
      </c>
      <c r="P251" s="18">
        <v>8005.824</v>
      </c>
      <c r="Q251" s="14">
        <f t="shared" si="1"/>
        <v>7116.744</v>
      </c>
    </row>
    <row r="252">
      <c r="A252" s="21">
        <v>43157.0</v>
      </c>
      <c r="B252" s="21" t="s">
        <v>2431</v>
      </c>
      <c r="C252" s="8" t="s">
        <v>1929</v>
      </c>
      <c r="D252" s="23" t="s">
        <v>2431</v>
      </c>
      <c r="E252" s="22" t="s">
        <v>20</v>
      </c>
      <c r="F252" s="22" t="s">
        <v>2652</v>
      </c>
      <c r="G252" s="22" t="s">
        <v>2897</v>
      </c>
      <c r="H252" s="22" t="s">
        <v>68</v>
      </c>
      <c r="I252" s="22" t="s">
        <v>35</v>
      </c>
      <c r="J252" s="22" t="s">
        <v>52</v>
      </c>
      <c r="K252" s="22" t="s">
        <v>37</v>
      </c>
      <c r="L252" s="22" t="s">
        <v>27</v>
      </c>
      <c r="M252" s="18">
        <v>892.224</v>
      </c>
      <c r="N252" s="18">
        <v>891.53</v>
      </c>
      <c r="O252" s="22">
        <v>9.0</v>
      </c>
      <c r="P252" s="18">
        <v>8030.0160000000005</v>
      </c>
      <c r="Q252" s="14">
        <f t="shared" si="1"/>
        <v>7138.486</v>
      </c>
    </row>
    <row r="253">
      <c r="A253" s="21">
        <v>43157.0</v>
      </c>
      <c r="B253" s="21" t="s">
        <v>2431</v>
      </c>
      <c r="C253" s="8" t="s">
        <v>1929</v>
      </c>
      <c r="D253" s="23" t="s">
        <v>2431</v>
      </c>
      <c r="E253" s="22" t="s">
        <v>20</v>
      </c>
      <c r="F253" s="22" t="s">
        <v>2652</v>
      </c>
      <c r="G253" s="22" t="s">
        <v>2897</v>
      </c>
      <c r="H253" s="22" t="s">
        <v>68</v>
      </c>
      <c r="I253" s="22" t="s">
        <v>35</v>
      </c>
      <c r="J253" s="22" t="s">
        <v>52</v>
      </c>
      <c r="K253" s="22" t="s">
        <v>37</v>
      </c>
      <c r="L253" s="22" t="s">
        <v>38</v>
      </c>
      <c r="M253" s="18">
        <v>223.92</v>
      </c>
      <c r="N253" s="18">
        <v>223.32</v>
      </c>
      <c r="O253" s="22">
        <v>9.0</v>
      </c>
      <c r="P253" s="18">
        <v>2015.28</v>
      </c>
      <c r="Q253" s="14">
        <f t="shared" si="1"/>
        <v>1791.96</v>
      </c>
    </row>
    <row r="254">
      <c r="A254" s="21">
        <v>43157.0</v>
      </c>
      <c r="B254" s="21" t="s">
        <v>2431</v>
      </c>
      <c r="C254" s="8" t="s">
        <v>1929</v>
      </c>
      <c r="D254" s="23" t="s">
        <v>2431</v>
      </c>
      <c r="E254" s="22" t="s">
        <v>20</v>
      </c>
      <c r="F254" s="22" t="s">
        <v>2652</v>
      </c>
      <c r="G254" s="22" t="s">
        <v>2897</v>
      </c>
      <c r="H254" s="22" t="s">
        <v>68</v>
      </c>
      <c r="I254" s="22" t="s">
        <v>35</v>
      </c>
      <c r="J254" s="22" t="s">
        <v>52</v>
      </c>
      <c r="K254" s="22" t="s">
        <v>37</v>
      </c>
      <c r="L254" s="22" t="s">
        <v>38</v>
      </c>
      <c r="M254" s="18">
        <v>23.12</v>
      </c>
      <c r="N254" s="18">
        <v>22.75</v>
      </c>
      <c r="O254" s="22">
        <v>9.0</v>
      </c>
      <c r="P254" s="18">
        <v>208.08</v>
      </c>
      <c r="Q254" s="14">
        <f t="shared" si="1"/>
        <v>185.33</v>
      </c>
    </row>
    <row r="255">
      <c r="A255" s="21">
        <v>42930.0</v>
      </c>
      <c r="B255" s="21" t="s">
        <v>2348</v>
      </c>
      <c r="C255" s="8" t="s">
        <v>1941</v>
      </c>
      <c r="D255" s="23" t="s">
        <v>2348</v>
      </c>
      <c r="E255" s="22" t="s">
        <v>20</v>
      </c>
      <c r="F255" s="22" t="s">
        <v>2436</v>
      </c>
      <c r="G255" s="22" t="s">
        <v>2898</v>
      </c>
      <c r="H255" s="22" t="s">
        <v>34</v>
      </c>
      <c r="I255" s="22" t="s">
        <v>174</v>
      </c>
      <c r="J255" s="22" t="s">
        <v>175</v>
      </c>
      <c r="K255" s="22" t="s">
        <v>100</v>
      </c>
      <c r="L255" s="22" t="s">
        <v>38</v>
      </c>
      <c r="M255" s="18">
        <v>11.21</v>
      </c>
      <c r="N255" s="18">
        <v>10.64</v>
      </c>
      <c r="O255" s="22">
        <v>1.0</v>
      </c>
      <c r="P255" s="18">
        <v>11.21</v>
      </c>
      <c r="Q255" s="14">
        <f t="shared" si="1"/>
        <v>0.57</v>
      </c>
    </row>
    <row r="256">
      <c r="A256" s="21">
        <v>42930.0</v>
      </c>
      <c r="B256" s="21" t="s">
        <v>2348</v>
      </c>
      <c r="C256" s="8" t="s">
        <v>1941</v>
      </c>
      <c r="D256" s="23" t="s">
        <v>2348</v>
      </c>
      <c r="E256" s="22" t="s">
        <v>20</v>
      </c>
      <c r="F256" s="22" t="s">
        <v>2436</v>
      </c>
      <c r="G256" s="22" t="s">
        <v>2898</v>
      </c>
      <c r="H256" s="22" t="s">
        <v>34</v>
      </c>
      <c r="I256" s="22" t="s">
        <v>174</v>
      </c>
      <c r="J256" s="22" t="s">
        <v>175</v>
      </c>
      <c r="K256" s="22" t="s">
        <v>100</v>
      </c>
      <c r="L256" s="22" t="s">
        <v>38</v>
      </c>
      <c r="M256" s="18">
        <v>9.144</v>
      </c>
      <c r="N256" s="18">
        <v>8.57</v>
      </c>
      <c r="O256" s="22">
        <v>1.0</v>
      </c>
      <c r="P256" s="18">
        <v>9.144</v>
      </c>
      <c r="Q256" s="14">
        <f t="shared" si="1"/>
        <v>0.574</v>
      </c>
    </row>
    <row r="257">
      <c r="A257" s="21">
        <v>42930.0</v>
      </c>
      <c r="B257" s="21" t="s">
        <v>2348</v>
      </c>
      <c r="C257" s="8" t="s">
        <v>1941</v>
      </c>
      <c r="D257" s="23" t="s">
        <v>2348</v>
      </c>
      <c r="E257" s="22" t="s">
        <v>20</v>
      </c>
      <c r="F257" s="22" t="s">
        <v>2436</v>
      </c>
      <c r="G257" s="22" t="s">
        <v>2898</v>
      </c>
      <c r="H257" s="22" t="s">
        <v>34</v>
      </c>
      <c r="I257" s="22" t="s">
        <v>174</v>
      </c>
      <c r="J257" s="22" t="s">
        <v>175</v>
      </c>
      <c r="K257" s="22" t="s">
        <v>100</v>
      </c>
      <c r="L257" s="22" t="s">
        <v>38</v>
      </c>
      <c r="M257" s="18">
        <v>14.07</v>
      </c>
      <c r="N257" s="18">
        <v>13.85</v>
      </c>
      <c r="O257" s="22">
        <v>1.0</v>
      </c>
      <c r="P257" s="18">
        <v>14.07</v>
      </c>
      <c r="Q257" s="14">
        <f t="shared" si="1"/>
        <v>0.22</v>
      </c>
    </row>
    <row r="258">
      <c r="A258" s="21">
        <v>42930.0</v>
      </c>
      <c r="B258" s="21" t="s">
        <v>2348</v>
      </c>
      <c r="C258" s="8" t="s">
        <v>1941</v>
      </c>
      <c r="D258" s="23" t="s">
        <v>2348</v>
      </c>
      <c r="E258" s="22" t="s">
        <v>20</v>
      </c>
      <c r="F258" s="22" t="s">
        <v>2436</v>
      </c>
      <c r="G258" s="22" t="s">
        <v>2898</v>
      </c>
      <c r="H258" s="22" t="s">
        <v>34</v>
      </c>
      <c r="I258" s="22" t="s">
        <v>174</v>
      </c>
      <c r="J258" s="22" t="s">
        <v>175</v>
      </c>
      <c r="K258" s="22" t="s">
        <v>100</v>
      </c>
      <c r="L258" s="22" t="s">
        <v>38</v>
      </c>
      <c r="M258" s="18">
        <v>41.86</v>
      </c>
      <c r="N258" s="18">
        <v>41.19</v>
      </c>
      <c r="O258" s="22">
        <v>1.0</v>
      </c>
      <c r="P258" s="18">
        <v>41.86</v>
      </c>
      <c r="Q258" s="14">
        <f t="shared" si="1"/>
        <v>0.67</v>
      </c>
    </row>
    <row r="259">
      <c r="A259" s="21">
        <v>42930.0</v>
      </c>
      <c r="B259" s="21" t="s">
        <v>2348</v>
      </c>
      <c r="C259" s="8" t="s">
        <v>1941</v>
      </c>
      <c r="D259" s="23" t="s">
        <v>2348</v>
      </c>
      <c r="E259" s="22" t="s">
        <v>20</v>
      </c>
      <c r="F259" s="22" t="s">
        <v>2436</v>
      </c>
      <c r="G259" s="22" t="s">
        <v>2898</v>
      </c>
      <c r="H259" s="22" t="s">
        <v>34</v>
      </c>
      <c r="I259" s="22" t="s">
        <v>174</v>
      </c>
      <c r="J259" s="22" t="s">
        <v>175</v>
      </c>
      <c r="K259" s="22" t="s">
        <v>100</v>
      </c>
      <c r="L259" s="22" t="s">
        <v>38</v>
      </c>
      <c r="M259" s="18">
        <v>8.544</v>
      </c>
      <c r="N259" s="18">
        <v>8.39</v>
      </c>
      <c r="O259" s="22">
        <v>1.0</v>
      </c>
      <c r="P259" s="18">
        <v>8.544</v>
      </c>
      <c r="Q259" s="14">
        <f t="shared" si="1"/>
        <v>0.154</v>
      </c>
    </row>
    <row r="260">
      <c r="A260" s="21">
        <v>42930.0</v>
      </c>
      <c r="B260" s="21" t="s">
        <v>2348</v>
      </c>
      <c r="C260" s="8" t="s">
        <v>1941</v>
      </c>
      <c r="D260" s="23" t="s">
        <v>2348</v>
      </c>
      <c r="E260" s="22" t="s">
        <v>20</v>
      </c>
      <c r="F260" s="22" t="s">
        <v>2436</v>
      </c>
      <c r="G260" s="22" t="s">
        <v>2898</v>
      </c>
      <c r="H260" s="22" t="s">
        <v>34</v>
      </c>
      <c r="I260" s="22" t="s">
        <v>174</v>
      </c>
      <c r="J260" s="22" t="s">
        <v>175</v>
      </c>
      <c r="K260" s="22" t="s">
        <v>100</v>
      </c>
      <c r="L260" s="22" t="s">
        <v>27</v>
      </c>
      <c r="M260" s="18">
        <v>579.136</v>
      </c>
      <c r="N260" s="18">
        <v>578.55</v>
      </c>
      <c r="O260" s="22">
        <v>1.0</v>
      </c>
      <c r="P260" s="18">
        <v>579.136</v>
      </c>
      <c r="Q260" s="14">
        <f t="shared" si="1"/>
        <v>0.586</v>
      </c>
    </row>
    <row r="261">
      <c r="A261" s="21">
        <v>42674.0</v>
      </c>
      <c r="B261" s="21" t="s">
        <v>2358</v>
      </c>
      <c r="C261" s="24">
        <v>42411.0</v>
      </c>
      <c r="D261" s="23" t="s">
        <v>2431</v>
      </c>
      <c r="E261" s="22" t="s">
        <v>20</v>
      </c>
      <c r="F261" s="22" t="s">
        <v>2902</v>
      </c>
      <c r="G261" s="22" t="s">
        <v>2577</v>
      </c>
      <c r="H261" s="22" t="s">
        <v>23</v>
      </c>
      <c r="I261" s="22" t="s">
        <v>1957</v>
      </c>
      <c r="J261" s="22" t="s">
        <v>175</v>
      </c>
      <c r="K261" s="22" t="s">
        <v>100</v>
      </c>
      <c r="L261" s="22" t="s">
        <v>38</v>
      </c>
      <c r="M261" s="18">
        <v>2.78</v>
      </c>
      <c r="N261" s="18">
        <v>2.6</v>
      </c>
      <c r="O261" s="22">
        <v>1.0</v>
      </c>
      <c r="P261" s="18">
        <v>2.78</v>
      </c>
      <c r="Q261" s="14">
        <f t="shared" si="1"/>
        <v>0.18</v>
      </c>
    </row>
    <row r="262">
      <c r="A262" s="21">
        <v>42674.0</v>
      </c>
      <c r="B262" s="21" t="s">
        <v>2358</v>
      </c>
      <c r="C262" s="24">
        <v>42411.0</v>
      </c>
      <c r="D262" s="23" t="s">
        <v>2431</v>
      </c>
      <c r="E262" s="22" t="s">
        <v>20</v>
      </c>
      <c r="F262" s="22" t="s">
        <v>2902</v>
      </c>
      <c r="G262" s="22" t="s">
        <v>2577</v>
      </c>
      <c r="H262" s="22" t="s">
        <v>23</v>
      </c>
      <c r="I262" s="22" t="s">
        <v>1957</v>
      </c>
      <c r="J262" s="22" t="s">
        <v>175</v>
      </c>
      <c r="K262" s="22" t="s">
        <v>100</v>
      </c>
      <c r="L262" s="22" t="s">
        <v>38</v>
      </c>
      <c r="M262" s="18">
        <v>79.96</v>
      </c>
      <c r="N262" s="18">
        <v>79.32</v>
      </c>
      <c r="O262" s="22">
        <v>1.0</v>
      </c>
      <c r="P262" s="18">
        <v>79.96</v>
      </c>
      <c r="Q262" s="14">
        <f t="shared" si="1"/>
        <v>0.64</v>
      </c>
    </row>
    <row r="263">
      <c r="A263" s="21">
        <v>42350.0</v>
      </c>
      <c r="B263" s="21" t="s">
        <v>2325</v>
      </c>
      <c r="C263" s="8" t="s">
        <v>1976</v>
      </c>
      <c r="D263" s="23" t="s">
        <v>2325</v>
      </c>
      <c r="E263" s="22" t="s">
        <v>20</v>
      </c>
      <c r="F263" s="22" t="s">
        <v>2465</v>
      </c>
      <c r="G263" s="22" t="s">
        <v>2599</v>
      </c>
      <c r="H263" s="22" t="s">
        <v>23</v>
      </c>
      <c r="I263" s="22" t="s">
        <v>1979</v>
      </c>
      <c r="J263" s="22" t="s">
        <v>52</v>
      </c>
      <c r="K263" s="22" t="s">
        <v>37</v>
      </c>
      <c r="L263" s="22" t="s">
        <v>27</v>
      </c>
      <c r="M263" s="18">
        <v>764.688</v>
      </c>
      <c r="N263" s="18">
        <v>764.45</v>
      </c>
      <c r="O263" s="22">
        <v>9.0</v>
      </c>
      <c r="P263" s="18">
        <v>6882.192</v>
      </c>
      <c r="Q263" s="14">
        <f t="shared" si="1"/>
        <v>6117.742</v>
      </c>
    </row>
    <row r="264">
      <c r="A264" s="21">
        <v>42350.0</v>
      </c>
      <c r="B264" s="21" t="s">
        <v>2325</v>
      </c>
      <c r="C264" s="8" t="s">
        <v>1976</v>
      </c>
      <c r="D264" s="23" t="s">
        <v>2325</v>
      </c>
      <c r="E264" s="22" t="s">
        <v>20</v>
      </c>
      <c r="F264" s="22" t="s">
        <v>2465</v>
      </c>
      <c r="G264" s="22" t="s">
        <v>2599</v>
      </c>
      <c r="H264" s="22" t="s">
        <v>23</v>
      </c>
      <c r="I264" s="22" t="s">
        <v>1979</v>
      </c>
      <c r="J264" s="22" t="s">
        <v>52</v>
      </c>
      <c r="K264" s="22" t="s">
        <v>37</v>
      </c>
      <c r="L264" s="22" t="s">
        <v>27</v>
      </c>
      <c r="M264" s="18">
        <v>3610.848</v>
      </c>
      <c r="N264" s="18">
        <v>3610.76</v>
      </c>
      <c r="O264" s="22">
        <v>9.0</v>
      </c>
      <c r="P264" s="18">
        <v>32497.631999999998</v>
      </c>
      <c r="Q264" s="14">
        <f t="shared" si="1"/>
        <v>28886.872</v>
      </c>
    </row>
    <row r="265">
      <c r="A265" s="21">
        <v>42350.0</v>
      </c>
      <c r="B265" s="21" t="s">
        <v>2325</v>
      </c>
      <c r="C265" s="8" t="s">
        <v>1976</v>
      </c>
      <c r="D265" s="23" t="s">
        <v>2325</v>
      </c>
      <c r="E265" s="22" t="s">
        <v>20</v>
      </c>
      <c r="F265" s="22" t="s">
        <v>2465</v>
      </c>
      <c r="G265" s="22" t="s">
        <v>2599</v>
      </c>
      <c r="H265" s="22" t="s">
        <v>23</v>
      </c>
      <c r="I265" s="22" t="s">
        <v>1979</v>
      </c>
      <c r="J265" s="22" t="s">
        <v>52</v>
      </c>
      <c r="K265" s="22" t="s">
        <v>37</v>
      </c>
      <c r="L265" s="22" t="s">
        <v>27</v>
      </c>
      <c r="M265" s="18">
        <v>254.9745</v>
      </c>
      <c r="N265" s="18">
        <v>254.54</v>
      </c>
      <c r="O265" s="22">
        <v>9.0</v>
      </c>
      <c r="P265" s="18">
        <v>2294.7705</v>
      </c>
      <c r="Q265" s="14">
        <f t="shared" si="1"/>
        <v>2040.2305</v>
      </c>
    </row>
    <row r="266">
      <c r="A266" s="21">
        <v>43093.0</v>
      </c>
      <c r="B266" s="21" t="s">
        <v>2325</v>
      </c>
      <c r="C266" s="8" t="s">
        <v>1988</v>
      </c>
      <c r="D266" s="23" t="s">
        <v>2325</v>
      </c>
      <c r="E266" s="22" t="s">
        <v>20</v>
      </c>
      <c r="F266" s="22" t="s">
        <v>2617</v>
      </c>
      <c r="G266" s="22" t="s">
        <v>2618</v>
      </c>
      <c r="H266" s="22" t="s">
        <v>68</v>
      </c>
      <c r="I266" s="22" t="s">
        <v>284</v>
      </c>
      <c r="J266" s="22" t="s">
        <v>58</v>
      </c>
      <c r="K266" s="22" t="s">
        <v>26</v>
      </c>
      <c r="L266" s="22" t="s">
        <v>38</v>
      </c>
      <c r="M266" s="18">
        <v>27.882</v>
      </c>
      <c r="N266" s="18">
        <v>27.08</v>
      </c>
      <c r="O266" s="22">
        <v>2.0</v>
      </c>
      <c r="P266" s="18">
        <v>55.764</v>
      </c>
      <c r="Q266" s="14">
        <f t="shared" si="1"/>
        <v>28.684</v>
      </c>
    </row>
    <row r="267">
      <c r="A267" s="21">
        <v>43093.0</v>
      </c>
      <c r="B267" s="21" t="s">
        <v>2325</v>
      </c>
      <c r="C267" s="8" t="s">
        <v>1988</v>
      </c>
      <c r="D267" s="23" t="s">
        <v>2325</v>
      </c>
      <c r="E267" s="22" t="s">
        <v>20</v>
      </c>
      <c r="F267" s="22" t="s">
        <v>2617</v>
      </c>
      <c r="G267" s="22" t="s">
        <v>2618</v>
      </c>
      <c r="H267" s="22" t="s">
        <v>68</v>
      </c>
      <c r="I267" s="22" t="s">
        <v>284</v>
      </c>
      <c r="J267" s="22" t="s">
        <v>58</v>
      </c>
      <c r="K267" s="22" t="s">
        <v>26</v>
      </c>
      <c r="L267" s="22" t="s">
        <v>38</v>
      </c>
      <c r="M267" s="18">
        <v>540.048</v>
      </c>
      <c r="N267" s="18">
        <v>539.46</v>
      </c>
      <c r="O267" s="22">
        <v>2.0</v>
      </c>
      <c r="P267" s="18">
        <v>1080.096</v>
      </c>
      <c r="Q267" s="14">
        <f t="shared" si="1"/>
        <v>540.636</v>
      </c>
    </row>
    <row r="268">
      <c r="A268" s="21">
        <v>43093.0</v>
      </c>
      <c r="B268" s="21" t="s">
        <v>2325</v>
      </c>
      <c r="C268" s="8" t="s">
        <v>1988</v>
      </c>
      <c r="D268" s="23" t="s">
        <v>2325</v>
      </c>
      <c r="E268" s="22" t="s">
        <v>20</v>
      </c>
      <c r="F268" s="22" t="s">
        <v>2617</v>
      </c>
      <c r="G268" s="22" t="s">
        <v>2618</v>
      </c>
      <c r="H268" s="22" t="s">
        <v>68</v>
      </c>
      <c r="I268" s="22" t="s">
        <v>284</v>
      </c>
      <c r="J268" s="22" t="s">
        <v>58</v>
      </c>
      <c r="K268" s="22" t="s">
        <v>26</v>
      </c>
      <c r="L268" s="22" t="s">
        <v>51</v>
      </c>
      <c r="M268" s="18">
        <v>255.68</v>
      </c>
      <c r="N268" s="18">
        <v>255.03</v>
      </c>
      <c r="O268" s="22">
        <v>2.0</v>
      </c>
      <c r="P268" s="18">
        <v>511.36</v>
      </c>
      <c r="Q268" s="14">
        <f t="shared" si="1"/>
        <v>256.33</v>
      </c>
    </row>
    <row r="269">
      <c r="A269" s="21">
        <v>43288.0</v>
      </c>
      <c r="B269" s="21" t="s">
        <v>2348</v>
      </c>
      <c r="C269" s="24">
        <v>43350.0</v>
      </c>
      <c r="D269" s="23" t="s">
        <v>2329</v>
      </c>
      <c r="E269" s="22" t="s">
        <v>20</v>
      </c>
      <c r="F269" s="22" t="s">
        <v>2532</v>
      </c>
      <c r="G269" s="22" t="s">
        <v>2631</v>
      </c>
      <c r="H269" s="22" t="s">
        <v>23</v>
      </c>
      <c r="I269" s="22" t="s">
        <v>654</v>
      </c>
      <c r="J269" s="22" t="s">
        <v>175</v>
      </c>
      <c r="K269" s="22" t="s">
        <v>100</v>
      </c>
      <c r="L269" s="22" t="s">
        <v>38</v>
      </c>
      <c r="M269" s="18">
        <v>17.472</v>
      </c>
      <c r="N269" s="18">
        <v>17.28</v>
      </c>
      <c r="O269" s="22">
        <v>1.0</v>
      </c>
      <c r="P269" s="18">
        <v>17.472</v>
      </c>
      <c r="Q269" s="14">
        <f t="shared" si="1"/>
        <v>0.192</v>
      </c>
    </row>
    <row r="270">
      <c r="A270" s="21">
        <v>42959.0</v>
      </c>
      <c r="B270" s="21" t="s">
        <v>2322</v>
      </c>
      <c r="C270" s="32">
        <v>43081.0</v>
      </c>
      <c r="D270" s="23" t="s">
        <v>2325</v>
      </c>
      <c r="E270" s="22" t="s">
        <v>20</v>
      </c>
      <c r="F270" s="22" t="s">
        <v>733</v>
      </c>
      <c r="G270" s="22" t="s">
        <v>2471</v>
      </c>
      <c r="H270" s="22" t="s">
        <v>34</v>
      </c>
      <c r="I270" s="22" t="s">
        <v>267</v>
      </c>
      <c r="J270" s="22" t="s">
        <v>151</v>
      </c>
      <c r="K270" s="22" t="s">
        <v>71</v>
      </c>
      <c r="L270" s="22" t="s">
        <v>51</v>
      </c>
      <c r="M270" s="18">
        <v>114.95</v>
      </c>
      <c r="N270" s="18">
        <v>113.97</v>
      </c>
      <c r="O270" s="22">
        <v>5.0</v>
      </c>
      <c r="P270" s="18">
        <v>574.75</v>
      </c>
      <c r="Q270" s="14">
        <f t="shared" si="1"/>
        <v>460.78</v>
      </c>
    </row>
    <row r="271">
      <c r="A271" s="21">
        <v>43092.0</v>
      </c>
      <c r="B271" s="21" t="s">
        <v>2325</v>
      </c>
      <c r="C271" s="8" t="s">
        <v>2047</v>
      </c>
      <c r="D271" s="23" t="s">
        <v>2325</v>
      </c>
      <c r="E271" s="22" t="s">
        <v>20</v>
      </c>
      <c r="F271" s="22" t="s">
        <v>2499</v>
      </c>
      <c r="G271" s="22" t="s">
        <v>2500</v>
      </c>
      <c r="H271" s="22" t="s">
        <v>23</v>
      </c>
      <c r="I271" s="22" t="s">
        <v>197</v>
      </c>
      <c r="J271" s="22" t="s">
        <v>198</v>
      </c>
      <c r="K271" s="22" t="s">
        <v>26</v>
      </c>
      <c r="L271" s="22" t="s">
        <v>27</v>
      </c>
      <c r="M271" s="18">
        <v>572.76</v>
      </c>
      <c r="N271" s="18">
        <v>572.23</v>
      </c>
      <c r="O271" s="22">
        <v>2.0</v>
      </c>
      <c r="P271" s="18">
        <v>1145.52</v>
      </c>
      <c r="Q271" s="14">
        <f t="shared" si="1"/>
        <v>573.29</v>
      </c>
    </row>
    <row r="272">
      <c r="A272" s="21">
        <v>43092.0</v>
      </c>
      <c r="B272" s="21" t="s">
        <v>2325</v>
      </c>
      <c r="C272" s="8" t="s">
        <v>2047</v>
      </c>
      <c r="D272" s="23" t="s">
        <v>2325</v>
      </c>
      <c r="E272" s="22" t="s">
        <v>20</v>
      </c>
      <c r="F272" s="22" t="s">
        <v>2499</v>
      </c>
      <c r="G272" s="22" t="s">
        <v>2500</v>
      </c>
      <c r="H272" s="22" t="s">
        <v>23</v>
      </c>
      <c r="I272" s="22" t="s">
        <v>197</v>
      </c>
      <c r="J272" s="22" t="s">
        <v>198</v>
      </c>
      <c r="K272" s="22" t="s">
        <v>26</v>
      </c>
      <c r="L272" s="22" t="s">
        <v>27</v>
      </c>
      <c r="M272" s="18">
        <v>286.38</v>
      </c>
      <c r="N272" s="18">
        <v>285.56</v>
      </c>
      <c r="O272" s="22">
        <v>2.0</v>
      </c>
      <c r="P272" s="18">
        <v>572.76</v>
      </c>
      <c r="Q272" s="14">
        <f t="shared" si="1"/>
        <v>287.2</v>
      </c>
    </row>
    <row r="273">
      <c r="A273" s="21">
        <v>42632.0</v>
      </c>
      <c r="B273" s="21" t="s">
        <v>2329</v>
      </c>
      <c r="C273" s="8" t="s">
        <v>2049</v>
      </c>
      <c r="D273" s="23" t="s">
        <v>2329</v>
      </c>
      <c r="E273" s="22" t="s">
        <v>20</v>
      </c>
      <c r="F273" s="22" t="s">
        <v>2356</v>
      </c>
      <c r="G273" s="22" t="s">
        <v>2528</v>
      </c>
      <c r="H273" s="22" t="s">
        <v>68</v>
      </c>
      <c r="I273" s="22" t="s">
        <v>628</v>
      </c>
      <c r="J273" s="22" t="s">
        <v>198</v>
      </c>
      <c r="K273" s="22" t="s">
        <v>26</v>
      </c>
      <c r="L273" s="22" t="s">
        <v>27</v>
      </c>
      <c r="M273" s="18">
        <v>61.96</v>
      </c>
      <c r="N273" s="18">
        <v>61.66</v>
      </c>
      <c r="O273" s="22">
        <v>2.0</v>
      </c>
      <c r="P273" s="18">
        <v>123.92</v>
      </c>
      <c r="Q273" s="14">
        <f t="shared" si="1"/>
        <v>62.26</v>
      </c>
    </row>
    <row r="274">
      <c r="A274" s="21">
        <v>42930.0</v>
      </c>
      <c r="B274" s="21" t="s">
        <v>2348</v>
      </c>
      <c r="C274" s="8" t="s">
        <v>1006</v>
      </c>
      <c r="D274" s="23" t="s">
        <v>2348</v>
      </c>
      <c r="E274" s="22" t="s">
        <v>20</v>
      </c>
      <c r="F274" s="22" t="s">
        <v>2781</v>
      </c>
      <c r="G274" s="22" t="s">
        <v>2782</v>
      </c>
      <c r="H274" s="22" t="s">
        <v>23</v>
      </c>
      <c r="I274" s="22" t="s">
        <v>129</v>
      </c>
      <c r="J274" s="22" t="s">
        <v>70</v>
      </c>
      <c r="K274" s="22" t="s">
        <v>71</v>
      </c>
      <c r="L274" s="22" t="s">
        <v>51</v>
      </c>
      <c r="M274" s="18">
        <v>419.944</v>
      </c>
      <c r="N274" s="18">
        <v>419.72</v>
      </c>
      <c r="O274" s="22">
        <v>7.0</v>
      </c>
      <c r="P274" s="18">
        <v>2939.608</v>
      </c>
      <c r="Q274" s="14">
        <f t="shared" si="1"/>
        <v>2519.888</v>
      </c>
    </row>
    <row r="275">
      <c r="A275" s="21">
        <v>43388.0</v>
      </c>
      <c r="B275" s="21" t="s">
        <v>2358</v>
      </c>
      <c r="C275" s="8" t="s">
        <v>2091</v>
      </c>
      <c r="D275" s="23" t="s">
        <v>2358</v>
      </c>
      <c r="E275" s="22" t="s">
        <v>20</v>
      </c>
      <c r="F275" s="22" t="s">
        <v>2483</v>
      </c>
      <c r="G275" s="22" t="s">
        <v>2455</v>
      </c>
      <c r="H275" s="22" t="s">
        <v>68</v>
      </c>
      <c r="I275" s="22" t="s">
        <v>87</v>
      </c>
      <c r="J275" s="22" t="s">
        <v>52</v>
      </c>
      <c r="K275" s="22" t="s">
        <v>37</v>
      </c>
      <c r="L275" s="22" t="s">
        <v>38</v>
      </c>
      <c r="M275" s="18">
        <v>87.92</v>
      </c>
      <c r="N275" s="18">
        <v>87.9</v>
      </c>
      <c r="O275" s="22">
        <v>9.0</v>
      </c>
      <c r="P275" s="18">
        <v>791.28</v>
      </c>
      <c r="Q275" s="14">
        <f t="shared" si="1"/>
        <v>703.38</v>
      </c>
    </row>
    <row r="276">
      <c r="A276" s="21">
        <v>43190.0</v>
      </c>
      <c r="B276" s="21" t="s">
        <v>2399</v>
      </c>
      <c r="C276" s="24">
        <v>43135.0</v>
      </c>
      <c r="D276" s="23" t="s">
        <v>2431</v>
      </c>
      <c r="E276" s="22" t="s">
        <v>20</v>
      </c>
      <c r="F276" s="22" t="s">
        <v>2473</v>
      </c>
      <c r="G276" s="22" t="s">
        <v>2931</v>
      </c>
      <c r="H276" s="22" t="s">
        <v>23</v>
      </c>
      <c r="I276" s="22" t="s">
        <v>174</v>
      </c>
      <c r="J276" s="22" t="s">
        <v>175</v>
      </c>
      <c r="K276" s="22" t="s">
        <v>100</v>
      </c>
      <c r="L276" s="22" t="s">
        <v>27</v>
      </c>
      <c r="M276" s="18">
        <v>29.78</v>
      </c>
      <c r="N276" s="18">
        <v>29.58</v>
      </c>
      <c r="O276" s="22">
        <v>1.0</v>
      </c>
      <c r="P276" s="18">
        <v>29.78</v>
      </c>
      <c r="Q276" s="14">
        <f t="shared" si="1"/>
        <v>0.2</v>
      </c>
    </row>
    <row r="277">
      <c r="A277" s="21">
        <v>43190.0</v>
      </c>
      <c r="B277" s="21" t="s">
        <v>2399</v>
      </c>
      <c r="C277" s="24">
        <v>43135.0</v>
      </c>
      <c r="D277" s="23" t="s">
        <v>2431</v>
      </c>
      <c r="E277" s="22" t="s">
        <v>20</v>
      </c>
      <c r="F277" s="22" t="s">
        <v>2473</v>
      </c>
      <c r="G277" s="22" t="s">
        <v>2931</v>
      </c>
      <c r="H277" s="22" t="s">
        <v>23</v>
      </c>
      <c r="I277" s="22" t="s">
        <v>174</v>
      </c>
      <c r="J277" s="22" t="s">
        <v>175</v>
      </c>
      <c r="K277" s="22" t="s">
        <v>100</v>
      </c>
      <c r="L277" s="22" t="s">
        <v>51</v>
      </c>
      <c r="M277" s="18">
        <v>677.58</v>
      </c>
      <c r="N277" s="18">
        <v>677.48</v>
      </c>
      <c r="O277" s="22">
        <v>1.0</v>
      </c>
      <c r="P277" s="18">
        <v>677.58</v>
      </c>
      <c r="Q277" s="14">
        <f t="shared" si="1"/>
        <v>0.1</v>
      </c>
    </row>
    <row r="278">
      <c r="A278" s="21">
        <v>43190.0</v>
      </c>
      <c r="B278" s="21" t="s">
        <v>2399</v>
      </c>
      <c r="C278" s="24">
        <v>43135.0</v>
      </c>
      <c r="D278" s="23" t="s">
        <v>2431</v>
      </c>
      <c r="E278" s="22" t="s">
        <v>20</v>
      </c>
      <c r="F278" s="22" t="s">
        <v>2473</v>
      </c>
      <c r="G278" s="22" t="s">
        <v>2931</v>
      </c>
      <c r="H278" s="22" t="s">
        <v>23</v>
      </c>
      <c r="I278" s="22" t="s">
        <v>174</v>
      </c>
      <c r="J278" s="22" t="s">
        <v>175</v>
      </c>
      <c r="K278" s="22" t="s">
        <v>100</v>
      </c>
      <c r="L278" s="22" t="s">
        <v>38</v>
      </c>
      <c r="M278" s="18">
        <v>75.04</v>
      </c>
      <c r="N278" s="18">
        <v>74.14</v>
      </c>
      <c r="O278" s="22">
        <v>1.0</v>
      </c>
      <c r="P278" s="18">
        <v>75.04</v>
      </c>
      <c r="Q278" s="14">
        <f t="shared" si="1"/>
        <v>0.9</v>
      </c>
    </row>
    <row r="279">
      <c r="A279" s="21">
        <v>42073.0</v>
      </c>
      <c r="B279" s="21" t="s">
        <v>2399</v>
      </c>
      <c r="C279" s="24">
        <v>42226.0</v>
      </c>
      <c r="D279" s="23" t="s">
        <v>2322</v>
      </c>
      <c r="E279" s="22" t="s">
        <v>20</v>
      </c>
      <c r="F279" s="22" t="s">
        <v>2934</v>
      </c>
      <c r="G279" s="22" t="s">
        <v>2466</v>
      </c>
      <c r="H279" s="22" t="s">
        <v>23</v>
      </c>
      <c r="I279" s="22" t="s">
        <v>1329</v>
      </c>
      <c r="J279" s="22" t="s">
        <v>135</v>
      </c>
      <c r="K279" s="22" t="s">
        <v>71</v>
      </c>
      <c r="L279" s="22" t="s">
        <v>27</v>
      </c>
      <c r="M279" s="18">
        <v>258.279</v>
      </c>
      <c r="N279" s="18">
        <v>257.86</v>
      </c>
      <c r="O279" s="22">
        <v>6.0</v>
      </c>
      <c r="P279" s="18">
        <v>1549.674</v>
      </c>
      <c r="Q279" s="14">
        <f t="shared" si="1"/>
        <v>1291.814</v>
      </c>
    </row>
    <row r="280">
      <c r="A280" s="21">
        <v>42273.0</v>
      </c>
      <c r="B280" s="21" t="s">
        <v>2329</v>
      </c>
      <c r="C280" s="24">
        <v>42014.0</v>
      </c>
      <c r="D280" s="23" t="s">
        <v>2353</v>
      </c>
      <c r="E280" s="22" t="s">
        <v>20</v>
      </c>
      <c r="F280" s="22" t="s">
        <v>2902</v>
      </c>
      <c r="G280" s="22" t="s">
        <v>2936</v>
      </c>
      <c r="H280" s="22" t="s">
        <v>23</v>
      </c>
      <c r="I280" s="22" t="s">
        <v>35</v>
      </c>
      <c r="J280" s="22" t="s">
        <v>52</v>
      </c>
      <c r="K280" s="22" t="s">
        <v>37</v>
      </c>
      <c r="L280" s="22" t="s">
        <v>27</v>
      </c>
      <c r="M280" s="18">
        <v>145.568</v>
      </c>
      <c r="N280" s="18">
        <v>145.04</v>
      </c>
      <c r="O280" s="22">
        <v>9.0</v>
      </c>
      <c r="P280" s="18">
        <v>1310.112</v>
      </c>
      <c r="Q280" s="14">
        <f t="shared" si="1"/>
        <v>1165.072</v>
      </c>
    </row>
    <row r="281">
      <c r="A281" s="21">
        <v>42008.0</v>
      </c>
      <c r="B281" s="21" t="s">
        <v>2353</v>
      </c>
      <c r="C281" s="24">
        <v>42159.0</v>
      </c>
      <c r="D281" s="23" t="s">
        <v>2374</v>
      </c>
      <c r="E281" s="22" t="s">
        <v>20</v>
      </c>
      <c r="F281" s="22" t="s">
        <v>2383</v>
      </c>
      <c r="G281" s="22" t="s">
        <v>2384</v>
      </c>
      <c r="H281" s="22" t="s">
        <v>23</v>
      </c>
      <c r="I281" s="22" t="s">
        <v>1166</v>
      </c>
      <c r="J281" s="22" t="s">
        <v>52</v>
      </c>
      <c r="K281" s="22" t="s">
        <v>37</v>
      </c>
      <c r="L281" s="22" t="s">
        <v>38</v>
      </c>
      <c r="M281" s="18">
        <v>29.6</v>
      </c>
      <c r="N281" s="18">
        <v>29.5</v>
      </c>
      <c r="O281" s="22">
        <v>9.0</v>
      </c>
      <c r="P281" s="18">
        <v>266.40000000000003</v>
      </c>
      <c r="Q281" s="14">
        <f t="shared" si="1"/>
        <v>236.9</v>
      </c>
    </row>
    <row r="282">
      <c r="A282" s="21">
        <v>42008.0</v>
      </c>
      <c r="B282" s="21" t="s">
        <v>2353</v>
      </c>
      <c r="C282" s="24">
        <v>42159.0</v>
      </c>
      <c r="D282" s="23" t="s">
        <v>2374</v>
      </c>
      <c r="E282" s="22" t="s">
        <v>20</v>
      </c>
      <c r="F282" s="22" t="s">
        <v>2383</v>
      </c>
      <c r="G282" s="22" t="s">
        <v>2384</v>
      </c>
      <c r="H282" s="22" t="s">
        <v>23</v>
      </c>
      <c r="I282" s="22" t="s">
        <v>1166</v>
      </c>
      <c r="J282" s="22" t="s">
        <v>52</v>
      </c>
      <c r="K282" s="22" t="s">
        <v>37</v>
      </c>
      <c r="L282" s="22" t="s">
        <v>38</v>
      </c>
      <c r="M282" s="18">
        <v>17.088</v>
      </c>
      <c r="N282" s="18">
        <v>16.94</v>
      </c>
      <c r="O282" s="22">
        <v>9.0</v>
      </c>
      <c r="P282" s="18">
        <v>153.792</v>
      </c>
      <c r="Q282" s="14">
        <f t="shared" si="1"/>
        <v>136.852</v>
      </c>
    </row>
    <row r="283">
      <c r="A283" s="21">
        <v>42102.0</v>
      </c>
      <c r="B283" s="21" t="s">
        <v>2332</v>
      </c>
      <c r="C283" s="24">
        <v>42255.0</v>
      </c>
      <c r="D283" s="23" t="s">
        <v>2329</v>
      </c>
      <c r="E283" s="22" t="s">
        <v>20</v>
      </c>
      <c r="F283" s="22" t="s">
        <v>2493</v>
      </c>
      <c r="G283" s="22" t="s">
        <v>2439</v>
      </c>
      <c r="H283" s="22" t="s">
        <v>23</v>
      </c>
      <c r="I283" s="22" t="s">
        <v>2159</v>
      </c>
      <c r="J283" s="22" t="s">
        <v>83</v>
      </c>
      <c r="K283" s="22" t="s">
        <v>37</v>
      </c>
      <c r="L283" s="22" t="s">
        <v>38</v>
      </c>
      <c r="M283" s="18">
        <v>1089.75</v>
      </c>
      <c r="N283" s="18">
        <v>1089.44</v>
      </c>
      <c r="O283" s="22">
        <v>8.0</v>
      </c>
      <c r="P283" s="18">
        <v>8718.0</v>
      </c>
      <c r="Q283" s="14">
        <f t="shared" si="1"/>
        <v>7628.56</v>
      </c>
    </row>
    <row r="284">
      <c r="A284" s="21">
        <v>42102.0</v>
      </c>
      <c r="B284" s="21" t="s">
        <v>2332</v>
      </c>
      <c r="C284" s="24">
        <v>42255.0</v>
      </c>
      <c r="D284" s="23" t="s">
        <v>2329</v>
      </c>
      <c r="E284" s="22" t="s">
        <v>20</v>
      </c>
      <c r="F284" s="22" t="s">
        <v>2493</v>
      </c>
      <c r="G284" s="22" t="s">
        <v>2439</v>
      </c>
      <c r="H284" s="22" t="s">
        <v>23</v>
      </c>
      <c r="I284" s="22" t="s">
        <v>2159</v>
      </c>
      <c r="J284" s="22" t="s">
        <v>83</v>
      </c>
      <c r="K284" s="22" t="s">
        <v>37</v>
      </c>
      <c r="L284" s="22" t="s">
        <v>38</v>
      </c>
      <c r="M284" s="18">
        <v>447.84</v>
      </c>
      <c r="N284" s="18">
        <v>447.4</v>
      </c>
      <c r="O284" s="22">
        <v>8.0</v>
      </c>
      <c r="P284" s="18">
        <v>3582.72</v>
      </c>
      <c r="Q284" s="14">
        <f t="shared" si="1"/>
        <v>3135.32</v>
      </c>
    </row>
    <row r="285">
      <c r="A285" s="21">
        <v>42102.0</v>
      </c>
      <c r="B285" s="21" t="s">
        <v>2332</v>
      </c>
      <c r="C285" s="24">
        <v>42255.0</v>
      </c>
      <c r="D285" s="23" t="s">
        <v>2329</v>
      </c>
      <c r="E285" s="22" t="s">
        <v>20</v>
      </c>
      <c r="F285" s="22" t="s">
        <v>2493</v>
      </c>
      <c r="G285" s="22" t="s">
        <v>2439</v>
      </c>
      <c r="H285" s="22" t="s">
        <v>23</v>
      </c>
      <c r="I285" s="22" t="s">
        <v>2159</v>
      </c>
      <c r="J285" s="22" t="s">
        <v>83</v>
      </c>
      <c r="K285" s="22" t="s">
        <v>37</v>
      </c>
      <c r="L285" s="22" t="s">
        <v>38</v>
      </c>
      <c r="M285" s="18">
        <v>16.4</v>
      </c>
      <c r="N285" s="18">
        <v>15.73</v>
      </c>
      <c r="O285" s="22">
        <v>8.0</v>
      </c>
      <c r="P285" s="18">
        <v>131.2</v>
      </c>
      <c r="Q285" s="14">
        <f t="shared" si="1"/>
        <v>115.47</v>
      </c>
    </row>
    <row r="286">
      <c r="A286" s="21">
        <v>42102.0</v>
      </c>
      <c r="B286" s="21" t="s">
        <v>2332</v>
      </c>
      <c r="C286" s="24">
        <v>42255.0</v>
      </c>
      <c r="D286" s="23" t="s">
        <v>2329</v>
      </c>
      <c r="E286" s="22" t="s">
        <v>20</v>
      </c>
      <c r="F286" s="22" t="s">
        <v>2493</v>
      </c>
      <c r="G286" s="22" t="s">
        <v>2439</v>
      </c>
      <c r="H286" s="22" t="s">
        <v>23</v>
      </c>
      <c r="I286" s="22" t="s">
        <v>2159</v>
      </c>
      <c r="J286" s="22" t="s">
        <v>83</v>
      </c>
      <c r="K286" s="22" t="s">
        <v>37</v>
      </c>
      <c r="L286" s="22" t="s">
        <v>51</v>
      </c>
      <c r="M286" s="18">
        <v>399.96</v>
      </c>
      <c r="N286" s="18">
        <v>399.87</v>
      </c>
      <c r="O286" s="22">
        <v>8.0</v>
      </c>
      <c r="P286" s="18">
        <v>3199.68</v>
      </c>
      <c r="Q286" s="14">
        <f t="shared" si="1"/>
        <v>2799.81</v>
      </c>
    </row>
    <row r="287">
      <c r="A287" s="21">
        <v>42102.0</v>
      </c>
      <c r="B287" s="21" t="s">
        <v>2332</v>
      </c>
      <c r="C287" s="24">
        <v>42255.0</v>
      </c>
      <c r="D287" s="23" t="s">
        <v>2329</v>
      </c>
      <c r="E287" s="22" t="s">
        <v>20</v>
      </c>
      <c r="F287" s="22" t="s">
        <v>2493</v>
      </c>
      <c r="G287" s="22" t="s">
        <v>2439</v>
      </c>
      <c r="H287" s="22" t="s">
        <v>23</v>
      </c>
      <c r="I287" s="22" t="s">
        <v>2159</v>
      </c>
      <c r="J287" s="22" t="s">
        <v>83</v>
      </c>
      <c r="K287" s="22" t="s">
        <v>37</v>
      </c>
      <c r="L287" s="22" t="s">
        <v>38</v>
      </c>
      <c r="M287" s="18">
        <v>158.9</v>
      </c>
      <c r="N287" s="18">
        <v>158.17</v>
      </c>
      <c r="O287" s="22">
        <v>8.0</v>
      </c>
      <c r="P287" s="18">
        <v>1271.2</v>
      </c>
      <c r="Q287" s="14">
        <f t="shared" si="1"/>
        <v>1113.03</v>
      </c>
    </row>
    <row r="288">
      <c r="A288" s="21">
        <v>42102.0</v>
      </c>
      <c r="B288" s="21" t="s">
        <v>2332</v>
      </c>
      <c r="C288" s="24">
        <v>42255.0</v>
      </c>
      <c r="D288" s="23" t="s">
        <v>2329</v>
      </c>
      <c r="E288" s="22" t="s">
        <v>20</v>
      </c>
      <c r="F288" s="22" t="s">
        <v>2493</v>
      </c>
      <c r="G288" s="22" t="s">
        <v>2439</v>
      </c>
      <c r="H288" s="22" t="s">
        <v>23</v>
      </c>
      <c r="I288" s="22" t="s">
        <v>2159</v>
      </c>
      <c r="J288" s="22" t="s">
        <v>83</v>
      </c>
      <c r="K288" s="22" t="s">
        <v>37</v>
      </c>
      <c r="L288" s="22" t="s">
        <v>38</v>
      </c>
      <c r="M288" s="18">
        <v>13.184</v>
      </c>
      <c r="N288" s="18">
        <v>12.9</v>
      </c>
      <c r="O288" s="22">
        <v>8.0</v>
      </c>
      <c r="P288" s="18">
        <v>105.472</v>
      </c>
      <c r="Q288" s="14">
        <f t="shared" si="1"/>
        <v>92.572</v>
      </c>
    </row>
    <row r="289">
      <c r="A289" s="21">
        <v>43128.0</v>
      </c>
      <c r="B289" s="21" t="s">
        <v>2353</v>
      </c>
      <c r="C289" s="8" t="s">
        <v>2190</v>
      </c>
      <c r="D289" s="23" t="s">
        <v>2353</v>
      </c>
      <c r="E289" s="22" t="s">
        <v>20</v>
      </c>
      <c r="F289" s="22" t="s">
        <v>2934</v>
      </c>
      <c r="G289" s="22" t="s">
        <v>2783</v>
      </c>
      <c r="H289" s="22" t="s">
        <v>68</v>
      </c>
      <c r="I289" s="22" t="s">
        <v>947</v>
      </c>
      <c r="J289" s="22" t="s">
        <v>52</v>
      </c>
      <c r="K289" s="22" t="s">
        <v>37</v>
      </c>
      <c r="L289" s="22" t="s">
        <v>51</v>
      </c>
      <c r="M289" s="18">
        <v>239.97</v>
      </c>
      <c r="N289" s="18">
        <v>239.38</v>
      </c>
      <c r="O289" s="22">
        <v>9.0</v>
      </c>
      <c r="P289" s="18">
        <v>2159.73</v>
      </c>
      <c r="Q289" s="14">
        <f t="shared" si="1"/>
        <v>1920.35</v>
      </c>
    </row>
    <row r="290">
      <c r="A290" s="21">
        <v>43128.0</v>
      </c>
      <c r="B290" s="21" t="s">
        <v>2353</v>
      </c>
      <c r="C290" s="8" t="s">
        <v>2190</v>
      </c>
      <c r="D290" s="23" t="s">
        <v>2353</v>
      </c>
      <c r="E290" s="22" t="s">
        <v>20</v>
      </c>
      <c r="F290" s="22" t="s">
        <v>2934</v>
      </c>
      <c r="G290" s="22" t="s">
        <v>2783</v>
      </c>
      <c r="H290" s="22" t="s">
        <v>68</v>
      </c>
      <c r="I290" s="22" t="s">
        <v>947</v>
      </c>
      <c r="J290" s="22" t="s">
        <v>52</v>
      </c>
      <c r="K290" s="22" t="s">
        <v>37</v>
      </c>
      <c r="L290" s="22" t="s">
        <v>27</v>
      </c>
      <c r="M290" s="18">
        <v>37.74</v>
      </c>
      <c r="N290" s="18">
        <v>37.36</v>
      </c>
      <c r="O290" s="22">
        <v>9.0</v>
      </c>
      <c r="P290" s="18">
        <v>339.66</v>
      </c>
      <c r="Q290" s="14">
        <f t="shared" si="1"/>
        <v>302.3</v>
      </c>
    </row>
    <row r="291">
      <c r="A291" s="21">
        <v>42674.0</v>
      </c>
      <c r="B291" s="21" t="s">
        <v>2358</v>
      </c>
      <c r="C291" s="24">
        <v>42471.0</v>
      </c>
      <c r="D291" s="23" t="s">
        <v>2332</v>
      </c>
      <c r="E291" s="22" t="s">
        <v>20</v>
      </c>
      <c r="F291" s="22" t="s">
        <v>2949</v>
      </c>
      <c r="G291" s="22" t="s">
        <v>2950</v>
      </c>
      <c r="H291" s="22" t="s">
        <v>34</v>
      </c>
      <c r="I291" s="22" t="s">
        <v>1480</v>
      </c>
      <c r="J291" s="22" t="s">
        <v>52</v>
      </c>
      <c r="K291" s="22" t="s">
        <v>37</v>
      </c>
      <c r="L291" s="22" t="s">
        <v>38</v>
      </c>
      <c r="M291" s="18">
        <v>9.728</v>
      </c>
      <c r="N291" s="18">
        <v>9.0</v>
      </c>
      <c r="O291" s="22">
        <v>9.0</v>
      </c>
      <c r="P291" s="18">
        <v>87.55199999999999</v>
      </c>
      <c r="Q291" s="14">
        <f t="shared" si="1"/>
        <v>78.552</v>
      </c>
    </row>
    <row r="292">
      <c r="A292" s="21">
        <v>42674.0</v>
      </c>
      <c r="B292" s="21" t="s">
        <v>2358</v>
      </c>
      <c r="C292" s="24">
        <v>42471.0</v>
      </c>
      <c r="D292" s="23" t="s">
        <v>2332</v>
      </c>
      <c r="E292" s="22" t="s">
        <v>20</v>
      </c>
      <c r="F292" s="22" t="s">
        <v>2949</v>
      </c>
      <c r="G292" s="22" t="s">
        <v>2950</v>
      </c>
      <c r="H292" s="22" t="s">
        <v>34</v>
      </c>
      <c r="I292" s="22" t="s">
        <v>1480</v>
      </c>
      <c r="J292" s="22" t="s">
        <v>52</v>
      </c>
      <c r="K292" s="22" t="s">
        <v>37</v>
      </c>
      <c r="L292" s="22" t="s">
        <v>38</v>
      </c>
      <c r="M292" s="18">
        <v>14.75</v>
      </c>
      <c r="N292" s="18">
        <v>14.38</v>
      </c>
      <c r="O292" s="22">
        <v>9.0</v>
      </c>
      <c r="P292" s="18">
        <v>132.75</v>
      </c>
      <c r="Q292" s="14">
        <f t="shared" si="1"/>
        <v>118.37</v>
      </c>
    </row>
    <row r="293">
      <c r="A293" s="21">
        <v>42674.0</v>
      </c>
      <c r="B293" s="21" t="s">
        <v>2358</v>
      </c>
      <c r="C293" s="24">
        <v>42471.0</v>
      </c>
      <c r="D293" s="23" t="s">
        <v>2332</v>
      </c>
      <c r="E293" s="22" t="s">
        <v>20</v>
      </c>
      <c r="F293" s="22" t="s">
        <v>2949</v>
      </c>
      <c r="G293" s="22" t="s">
        <v>2950</v>
      </c>
      <c r="H293" s="22" t="s">
        <v>34</v>
      </c>
      <c r="I293" s="22" t="s">
        <v>1480</v>
      </c>
      <c r="J293" s="22" t="s">
        <v>52</v>
      </c>
      <c r="K293" s="22" t="s">
        <v>37</v>
      </c>
      <c r="L293" s="22" t="s">
        <v>38</v>
      </c>
      <c r="M293" s="18">
        <v>29.8</v>
      </c>
      <c r="N293" s="18">
        <v>29.02</v>
      </c>
      <c r="O293" s="22">
        <v>9.0</v>
      </c>
      <c r="P293" s="18">
        <v>268.2</v>
      </c>
      <c r="Q293" s="14">
        <f t="shared" si="1"/>
        <v>239.18</v>
      </c>
    </row>
    <row r="294">
      <c r="A294" s="21">
        <v>42674.0</v>
      </c>
      <c r="B294" s="21" t="s">
        <v>2358</v>
      </c>
      <c r="C294" s="24">
        <v>42471.0</v>
      </c>
      <c r="D294" s="23" t="s">
        <v>2332</v>
      </c>
      <c r="E294" s="22" t="s">
        <v>20</v>
      </c>
      <c r="F294" s="22" t="s">
        <v>2949</v>
      </c>
      <c r="G294" s="22" t="s">
        <v>2950</v>
      </c>
      <c r="H294" s="22" t="s">
        <v>34</v>
      </c>
      <c r="I294" s="22" t="s">
        <v>1480</v>
      </c>
      <c r="J294" s="22" t="s">
        <v>52</v>
      </c>
      <c r="K294" s="22" t="s">
        <v>37</v>
      </c>
      <c r="L294" s="22" t="s">
        <v>38</v>
      </c>
      <c r="M294" s="18">
        <v>427.42</v>
      </c>
      <c r="N294" s="18">
        <v>427.03</v>
      </c>
      <c r="O294" s="22">
        <v>9.0</v>
      </c>
      <c r="P294" s="18">
        <v>3846.78</v>
      </c>
      <c r="Q294" s="14">
        <f t="shared" si="1"/>
        <v>3419.75</v>
      </c>
    </row>
    <row r="295">
      <c r="A295" s="21">
        <v>42357.0</v>
      </c>
      <c r="B295" s="21" t="s">
        <v>2325</v>
      </c>
      <c r="C295" s="8" t="s">
        <v>1885</v>
      </c>
      <c r="D295" s="23" t="s">
        <v>2325</v>
      </c>
      <c r="E295" s="22" t="s">
        <v>20</v>
      </c>
      <c r="F295" s="22" t="s">
        <v>2336</v>
      </c>
      <c r="G295" s="22" t="s">
        <v>2337</v>
      </c>
      <c r="H295" s="22" t="s">
        <v>23</v>
      </c>
      <c r="I295" s="22" t="s">
        <v>1450</v>
      </c>
      <c r="J295" s="22" t="s">
        <v>220</v>
      </c>
      <c r="K295" s="22" t="s">
        <v>26</v>
      </c>
      <c r="L295" s="22" t="s">
        <v>38</v>
      </c>
      <c r="M295" s="18">
        <v>152.76</v>
      </c>
      <c r="N295" s="18">
        <v>152.09</v>
      </c>
      <c r="O295" s="22">
        <v>3.0</v>
      </c>
      <c r="P295" s="18">
        <v>458.28</v>
      </c>
      <c r="Q295" s="14">
        <f t="shared" si="1"/>
        <v>306.19</v>
      </c>
    </row>
    <row r="296">
      <c r="A296" s="21">
        <v>42357.0</v>
      </c>
      <c r="B296" s="21" t="s">
        <v>2325</v>
      </c>
      <c r="C296" s="8" t="s">
        <v>1885</v>
      </c>
      <c r="D296" s="23" t="s">
        <v>2325</v>
      </c>
      <c r="E296" s="22" t="s">
        <v>20</v>
      </c>
      <c r="F296" s="22" t="s">
        <v>2336</v>
      </c>
      <c r="G296" s="22" t="s">
        <v>2337</v>
      </c>
      <c r="H296" s="22" t="s">
        <v>23</v>
      </c>
      <c r="I296" s="22" t="s">
        <v>1450</v>
      </c>
      <c r="J296" s="22" t="s">
        <v>220</v>
      </c>
      <c r="K296" s="22" t="s">
        <v>26</v>
      </c>
      <c r="L296" s="22" t="s">
        <v>38</v>
      </c>
      <c r="M296" s="18">
        <v>7.27</v>
      </c>
      <c r="N296" s="18">
        <v>6.34</v>
      </c>
      <c r="O296" s="22">
        <v>3.0</v>
      </c>
      <c r="P296" s="18">
        <v>21.81</v>
      </c>
      <c r="Q296" s="14">
        <f t="shared" si="1"/>
        <v>15.47</v>
      </c>
    </row>
    <row r="297">
      <c r="A297" s="21">
        <v>42357.0</v>
      </c>
      <c r="B297" s="21" t="s">
        <v>2325</v>
      </c>
      <c r="C297" s="8" t="s">
        <v>1885</v>
      </c>
      <c r="D297" s="23" t="s">
        <v>2325</v>
      </c>
      <c r="E297" s="22" t="s">
        <v>20</v>
      </c>
      <c r="F297" s="22" t="s">
        <v>2336</v>
      </c>
      <c r="G297" s="22" t="s">
        <v>2337</v>
      </c>
      <c r="H297" s="22" t="s">
        <v>23</v>
      </c>
      <c r="I297" s="22" t="s">
        <v>1450</v>
      </c>
      <c r="J297" s="22" t="s">
        <v>220</v>
      </c>
      <c r="K297" s="22" t="s">
        <v>26</v>
      </c>
      <c r="L297" s="22" t="s">
        <v>27</v>
      </c>
      <c r="M297" s="18">
        <v>1819.86</v>
      </c>
      <c r="N297" s="18">
        <v>1818.88</v>
      </c>
      <c r="O297" s="22">
        <v>3.0</v>
      </c>
      <c r="P297" s="18">
        <v>5459.58</v>
      </c>
      <c r="Q297" s="14">
        <f t="shared" si="1"/>
        <v>3640.7</v>
      </c>
    </row>
    <row r="298">
      <c r="A298" s="21">
        <v>43438.0</v>
      </c>
      <c r="B298" s="21" t="s">
        <v>2325</v>
      </c>
      <c r="C298" s="8" t="s">
        <v>1488</v>
      </c>
      <c r="D298" s="23" t="s">
        <v>2332</v>
      </c>
      <c r="E298" s="22" t="s">
        <v>20</v>
      </c>
      <c r="F298" s="22" t="s">
        <v>2670</v>
      </c>
      <c r="G298" s="22" t="s">
        <v>2345</v>
      </c>
      <c r="H298" s="22" t="s">
        <v>23</v>
      </c>
      <c r="I298" s="22" t="s">
        <v>2026</v>
      </c>
      <c r="J298" s="22" t="s">
        <v>782</v>
      </c>
      <c r="K298" s="22" t="s">
        <v>100</v>
      </c>
      <c r="L298" s="22" t="s">
        <v>38</v>
      </c>
      <c r="M298" s="18">
        <v>29.7</v>
      </c>
      <c r="N298" s="18">
        <v>29.43</v>
      </c>
      <c r="O298" s="22">
        <v>2.0</v>
      </c>
      <c r="P298" s="18">
        <v>59.4</v>
      </c>
      <c r="Q298" s="14">
        <f t="shared" si="1"/>
        <v>29.97</v>
      </c>
    </row>
    <row r="299">
      <c r="A299" s="21">
        <v>43438.0</v>
      </c>
      <c r="B299" s="21" t="s">
        <v>2325</v>
      </c>
      <c r="C299" s="8" t="s">
        <v>1488</v>
      </c>
      <c r="D299" s="23" t="s">
        <v>2332</v>
      </c>
      <c r="E299" s="22" t="s">
        <v>20</v>
      </c>
      <c r="F299" s="22" t="s">
        <v>2670</v>
      </c>
      <c r="G299" s="22" t="s">
        <v>2345</v>
      </c>
      <c r="H299" s="22" t="s">
        <v>23</v>
      </c>
      <c r="I299" s="22" t="s">
        <v>2026</v>
      </c>
      <c r="J299" s="22" t="s">
        <v>782</v>
      </c>
      <c r="K299" s="22" t="s">
        <v>100</v>
      </c>
      <c r="L299" s="22" t="s">
        <v>38</v>
      </c>
      <c r="M299" s="18">
        <v>39.96</v>
      </c>
      <c r="N299" s="18">
        <v>39.24</v>
      </c>
      <c r="O299" s="22">
        <v>2.0</v>
      </c>
      <c r="P299" s="18">
        <v>79.92</v>
      </c>
      <c r="Q299" s="14">
        <f t="shared" si="1"/>
        <v>40.68</v>
      </c>
    </row>
    <row r="300">
      <c r="A300" s="21">
        <v>43453.0</v>
      </c>
      <c r="B300" s="21" t="s">
        <v>2325</v>
      </c>
      <c r="C300" s="8" t="s">
        <v>1981</v>
      </c>
      <c r="D300" s="23" t="s">
        <v>2325</v>
      </c>
      <c r="E300" s="22" t="s">
        <v>20</v>
      </c>
      <c r="F300" s="22" t="s">
        <v>2507</v>
      </c>
      <c r="G300" s="22" t="s">
        <v>2953</v>
      </c>
      <c r="H300" s="22" t="s">
        <v>23</v>
      </c>
      <c r="I300" s="22" t="s">
        <v>87</v>
      </c>
      <c r="J300" s="22" t="s">
        <v>52</v>
      </c>
      <c r="K300" s="22" t="s">
        <v>37</v>
      </c>
      <c r="L300" s="22" t="s">
        <v>38</v>
      </c>
      <c r="M300" s="18">
        <v>36.672</v>
      </c>
      <c r="N300" s="18">
        <v>36.0</v>
      </c>
      <c r="O300" s="22">
        <v>9.0</v>
      </c>
      <c r="P300" s="18">
        <v>330.048</v>
      </c>
      <c r="Q300" s="14">
        <f t="shared" si="1"/>
        <v>294.048</v>
      </c>
    </row>
    <row r="301">
      <c r="A301" s="21">
        <v>42637.0</v>
      </c>
      <c r="B301" s="21" t="s">
        <v>2329</v>
      </c>
      <c r="C301" s="8" t="s">
        <v>2267</v>
      </c>
      <c r="D301" s="23" t="s">
        <v>2329</v>
      </c>
      <c r="E301" s="22" t="s">
        <v>20</v>
      </c>
      <c r="F301" s="22" t="s">
        <v>2371</v>
      </c>
      <c r="G301" s="22" t="s">
        <v>2372</v>
      </c>
      <c r="H301" s="22" t="s">
        <v>34</v>
      </c>
      <c r="I301" s="22" t="s">
        <v>98</v>
      </c>
      <c r="J301" s="22" t="s">
        <v>99</v>
      </c>
      <c r="K301" s="22" t="s">
        <v>100</v>
      </c>
      <c r="L301" s="22" t="s">
        <v>38</v>
      </c>
      <c r="M301" s="18">
        <v>6.848</v>
      </c>
      <c r="N301" s="18">
        <v>6.24</v>
      </c>
      <c r="O301" s="22">
        <v>1.0</v>
      </c>
      <c r="P301" s="18">
        <v>6.848</v>
      </c>
      <c r="Q301" s="14">
        <f t="shared" si="1"/>
        <v>0.608</v>
      </c>
    </row>
    <row r="302">
      <c r="A302" s="21">
        <v>43337.0</v>
      </c>
      <c r="B302" s="21" t="s">
        <v>2322</v>
      </c>
      <c r="C302" s="8" t="s">
        <v>1447</v>
      </c>
      <c r="D302" s="23" t="s">
        <v>2322</v>
      </c>
      <c r="E302" s="22" t="s">
        <v>20</v>
      </c>
      <c r="F302" s="22" t="s">
        <v>2558</v>
      </c>
      <c r="G302" s="22" t="s">
        <v>2641</v>
      </c>
      <c r="H302" s="22" t="s">
        <v>23</v>
      </c>
      <c r="I302" s="22" t="s">
        <v>205</v>
      </c>
      <c r="J302" s="22" t="s">
        <v>210</v>
      </c>
      <c r="K302" s="22" t="s">
        <v>26</v>
      </c>
      <c r="L302" s="22" t="s">
        <v>38</v>
      </c>
      <c r="M302" s="18">
        <v>9.728</v>
      </c>
      <c r="N302" s="18">
        <v>9.14</v>
      </c>
      <c r="O302" s="22">
        <v>3.0</v>
      </c>
      <c r="P302" s="18">
        <v>29.183999999999997</v>
      </c>
      <c r="Q302" s="14">
        <f t="shared" si="1"/>
        <v>20.044</v>
      </c>
    </row>
    <row r="303">
      <c r="A303" s="21">
        <v>43337.0</v>
      </c>
      <c r="B303" s="21" t="s">
        <v>2322</v>
      </c>
      <c r="C303" s="8" t="s">
        <v>1447</v>
      </c>
      <c r="D303" s="23" t="s">
        <v>2322</v>
      </c>
      <c r="E303" s="22" t="s">
        <v>20</v>
      </c>
      <c r="F303" s="22" t="s">
        <v>2558</v>
      </c>
      <c r="G303" s="22" t="s">
        <v>2641</v>
      </c>
      <c r="H303" s="22" t="s">
        <v>23</v>
      </c>
      <c r="I303" s="22" t="s">
        <v>205</v>
      </c>
      <c r="J303" s="22" t="s">
        <v>210</v>
      </c>
      <c r="K303" s="22" t="s">
        <v>26</v>
      </c>
      <c r="L303" s="22" t="s">
        <v>38</v>
      </c>
      <c r="M303" s="18">
        <v>3.424</v>
      </c>
      <c r="N303" s="18">
        <v>3.15</v>
      </c>
      <c r="O303" s="22">
        <v>3.0</v>
      </c>
      <c r="P303" s="18">
        <v>10.272</v>
      </c>
      <c r="Q303" s="14">
        <f t="shared" si="1"/>
        <v>7.122</v>
      </c>
    </row>
    <row r="304">
      <c r="A304" s="21">
        <v>43220.0</v>
      </c>
      <c r="B304" s="21" t="s">
        <v>2332</v>
      </c>
      <c r="C304" s="24">
        <v>43225.0</v>
      </c>
      <c r="D304" s="23" t="s">
        <v>2335</v>
      </c>
      <c r="E304" s="22" t="s">
        <v>20</v>
      </c>
      <c r="F304" s="22" t="s">
        <v>2886</v>
      </c>
      <c r="G304" s="22" t="s">
        <v>2887</v>
      </c>
      <c r="H304" s="22" t="s">
        <v>34</v>
      </c>
      <c r="I304" s="22" t="s">
        <v>174</v>
      </c>
      <c r="J304" s="22" t="s">
        <v>175</v>
      </c>
      <c r="K304" s="22" t="s">
        <v>100</v>
      </c>
      <c r="L304" s="22" t="s">
        <v>38</v>
      </c>
      <c r="M304" s="18">
        <v>62.96</v>
      </c>
      <c r="N304" s="18">
        <v>62.24</v>
      </c>
      <c r="O304" s="22">
        <v>1.0</v>
      </c>
      <c r="P304" s="18">
        <v>62.96</v>
      </c>
      <c r="Q304" s="14">
        <f t="shared" si="1"/>
        <v>0.72</v>
      </c>
    </row>
    <row r="305">
      <c r="A305" s="21">
        <v>42355.0</v>
      </c>
      <c r="B305" s="21" t="s">
        <v>2325</v>
      </c>
      <c r="C305" s="8" t="s">
        <v>2307</v>
      </c>
      <c r="D305" s="23" t="s">
        <v>2325</v>
      </c>
      <c r="E305" s="22" t="s">
        <v>20</v>
      </c>
      <c r="F305" s="22" t="s">
        <v>2527</v>
      </c>
      <c r="G305" s="22" t="s">
        <v>2606</v>
      </c>
      <c r="H305" s="22" t="s">
        <v>23</v>
      </c>
      <c r="I305" s="22" t="s">
        <v>303</v>
      </c>
      <c r="J305" s="22" t="s">
        <v>707</v>
      </c>
      <c r="K305" s="22" t="s">
        <v>26</v>
      </c>
      <c r="L305" s="22" t="s">
        <v>38</v>
      </c>
      <c r="M305" s="18">
        <v>40.05</v>
      </c>
      <c r="N305" s="18">
        <v>39.83</v>
      </c>
      <c r="O305" s="22">
        <v>3.0</v>
      </c>
      <c r="P305" s="18">
        <v>120.14999999999999</v>
      </c>
      <c r="Q305" s="14">
        <f t="shared" si="1"/>
        <v>80.32</v>
      </c>
    </row>
    <row r="306">
      <c r="C306" s="8"/>
      <c r="Q306" s="14">
        <f t="shared" si="1"/>
        <v>0</v>
      </c>
    </row>
    <row r="307">
      <c r="C307" s="8"/>
      <c r="Q307" s="14">
        <f t="shared" si="1"/>
        <v>0</v>
      </c>
    </row>
    <row r="308">
      <c r="C308" s="8"/>
      <c r="Q308" s="14">
        <f t="shared" si="1"/>
        <v>0</v>
      </c>
    </row>
    <row r="309">
      <c r="C309" s="8"/>
      <c r="Q309" s="14">
        <f t="shared" si="1"/>
        <v>0</v>
      </c>
    </row>
    <row r="310">
      <c r="C310" s="8"/>
      <c r="Q310" s="14">
        <f t="shared" si="1"/>
        <v>0</v>
      </c>
    </row>
    <row r="311">
      <c r="C311" s="8"/>
      <c r="Q311" s="14">
        <f t="shared" si="1"/>
        <v>0</v>
      </c>
    </row>
    <row r="312">
      <c r="C312" s="8"/>
      <c r="Q312" s="14">
        <f t="shared" si="1"/>
        <v>0</v>
      </c>
    </row>
    <row r="313">
      <c r="C313" s="8"/>
      <c r="Q313" s="14">
        <f t="shared" si="1"/>
        <v>0</v>
      </c>
    </row>
    <row r="314">
      <c r="C314" s="8"/>
      <c r="Q314" s="14">
        <f t="shared" si="1"/>
        <v>0</v>
      </c>
    </row>
    <row r="315">
      <c r="C315" s="8"/>
      <c r="Q315" s="14">
        <f t="shared" si="1"/>
        <v>0</v>
      </c>
    </row>
    <row r="316">
      <c r="C316" s="8"/>
      <c r="Q316" s="14">
        <f t="shared" si="1"/>
        <v>0</v>
      </c>
    </row>
    <row r="317">
      <c r="C317" s="8"/>
      <c r="Q317" s="14">
        <f t="shared" si="1"/>
        <v>0</v>
      </c>
    </row>
    <row r="318">
      <c r="C318" s="8"/>
      <c r="Q318" s="14">
        <f t="shared" si="1"/>
        <v>0</v>
      </c>
    </row>
    <row r="319">
      <c r="C319" s="8"/>
      <c r="Q319" s="14">
        <f t="shared" si="1"/>
        <v>0</v>
      </c>
    </row>
    <row r="320">
      <c r="C320" s="8"/>
      <c r="Q320" s="14">
        <f t="shared" si="1"/>
        <v>0</v>
      </c>
    </row>
    <row r="321">
      <c r="C321" s="8"/>
      <c r="Q321" s="14">
        <f t="shared" si="1"/>
        <v>0</v>
      </c>
    </row>
    <row r="322">
      <c r="C322" s="8"/>
      <c r="Q322" s="14">
        <f t="shared" si="1"/>
        <v>0</v>
      </c>
    </row>
    <row r="323">
      <c r="C323" s="8"/>
      <c r="Q323" s="14">
        <f t="shared" si="1"/>
        <v>0</v>
      </c>
    </row>
    <row r="324">
      <c r="C324" s="8"/>
      <c r="Q324" s="14">
        <f t="shared" si="1"/>
        <v>0</v>
      </c>
    </row>
    <row r="325">
      <c r="C325" s="8"/>
      <c r="Q325" s="14">
        <f t="shared" si="1"/>
        <v>0</v>
      </c>
    </row>
    <row r="326">
      <c r="C326" s="8"/>
      <c r="Q326" s="14">
        <f t="shared" si="1"/>
        <v>0</v>
      </c>
    </row>
    <row r="327">
      <c r="C327" s="8"/>
      <c r="Q327" s="14">
        <f t="shared" si="1"/>
        <v>0</v>
      </c>
    </row>
    <row r="328">
      <c r="C328" s="8"/>
      <c r="Q328" s="14">
        <f t="shared" si="1"/>
        <v>0</v>
      </c>
    </row>
    <row r="329">
      <c r="C329" s="8"/>
      <c r="Q329" s="14">
        <f t="shared" si="1"/>
        <v>0</v>
      </c>
    </row>
    <row r="330">
      <c r="C330" s="8"/>
      <c r="Q330" s="14">
        <f t="shared" si="1"/>
        <v>0</v>
      </c>
    </row>
    <row r="331">
      <c r="C331" s="8"/>
      <c r="Q331" s="14">
        <f t="shared" si="1"/>
        <v>0</v>
      </c>
    </row>
    <row r="332">
      <c r="C332" s="8"/>
      <c r="Q332" s="14">
        <f t="shared" si="1"/>
        <v>0</v>
      </c>
    </row>
    <row r="333">
      <c r="C333" s="8"/>
      <c r="Q333" s="14">
        <f t="shared" si="1"/>
        <v>0</v>
      </c>
    </row>
    <row r="334">
      <c r="C334" s="8"/>
      <c r="Q334" s="14">
        <f t="shared" si="1"/>
        <v>0</v>
      </c>
    </row>
    <row r="335">
      <c r="C335" s="8"/>
      <c r="Q335" s="14">
        <f t="shared" si="1"/>
        <v>0</v>
      </c>
    </row>
    <row r="336">
      <c r="C336" s="8"/>
      <c r="Q336" s="14">
        <f t="shared" si="1"/>
        <v>0</v>
      </c>
    </row>
    <row r="337">
      <c r="C337" s="8"/>
      <c r="Q337" s="14">
        <f t="shared" si="1"/>
        <v>0</v>
      </c>
    </row>
    <row r="338">
      <c r="C338" s="8"/>
      <c r="Q338" s="14">
        <f t="shared" si="1"/>
        <v>0</v>
      </c>
    </row>
    <row r="339">
      <c r="C339" s="8"/>
      <c r="Q339" s="14">
        <f t="shared" si="1"/>
        <v>0</v>
      </c>
    </row>
    <row r="340">
      <c r="C340" s="8"/>
      <c r="Q340" s="14">
        <f t="shared" si="1"/>
        <v>0</v>
      </c>
    </row>
    <row r="341">
      <c r="C341" s="8"/>
      <c r="Q341" s="14">
        <f t="shared" si="1"/>
        <v>0</v>
      </c>
    </row>
    <row r="342">
      <c r="C342" s="8"/>
      <c r="Q342" s="14">
        <f t="shared" si="1"/>
        <v>0</v>
      </c>
    </row>
    <row r="343">
      <c r="C343" s="8"/>
      <c r="Q343" s="14">
        <f t="shared" si="1"/>
        <v>0</v>
      </c>
    </row>
    <row r="344">
      <c r="C344" s="8"/>
      <c r="Q344" s="14">
        <f t="shared" si="1"/>
        <v>0</v>
      </c>
    </row>
    <row r="345">
      <c r="C345" s="8"/>
      <c r="Q345" s="14">
        <f t="shared" si="1"/>
        <v>0</v>
      </c>
    </row>
    <row r="346">
      <c r="C346" s="8"/>
      <c r="Q346" s="14">
        <f t="shared" si="1"/>
        <v>0</v>
      </c>
    </row>
    <row r="347">
      <c r="C347" s="8"/>
      <c r="Q347" s="14">
        <f t="shared" si="1"/>
        <v>0</v>
      </c>
    </row>
    <row r="348">
      <c r="C348" s="8"/>
      <c r="Q348" s="14">
        <f t="shared" si="1"/>
        <v>0</v>
      </c>
    </row>
    <row r="349">
      <c r="C349" s="8"/>
      <c r="Q349" s="14">
        <f t="shared" si="1"/>
        <v>0</v>
      </c>
    </row>
    <row r="350">
      <c r="C350" s="8"/>
      <c r="Q350" s="14">
        <f t="shared" si="1"/>
        <v>0</v>
      </c>
    </row>
    <row r="351">
      <c r="C351" s="8"/>
      <c r="Q351" s="14">
        <f t="shared" si="1"/>
        <v>0</v>
      </c>
    </row>
    <row r="352">
      <c r="C352" s="8"/>
      <c r="Q352" s="14">
        <f t="shared" si="1"/>
        <v>0</v>
      </c>
    </row>
    <row r="353">
      <c r="C353" s="8"/>
      <c r="Q353" s="14">
        <f t="shared" si="1"/>
        <v>0</v>
      </c>
    </row>
    <row r="354">
      <c r="C354" s="8"/>
      <c r="Q354" s="14">
        <f t="shared" si="1"/>
        <v>0</v>
      </c>
    </row>
    <row r="355">
      <c r="C355" s="8"/>
      <c r="Q355" s="14">
        <f t="shared" si="1"/>
        <v>0</v>
      </c>
    </row>
    <row r="356">
      <c r="C356" s="8"/>
      <c r="Q356" s="14">
        <f t="shared" si="1"/>
        <v>0</v>
      </c>
    </row>
    <row r="357">
      <c r="C357" s="8"/>
      <c r="Q357" s="14">
        <f t="shared" si="1"/>
        <v>0</v>
      </c>
    </row>
    <row r="358">
      <c r="C358" s="8"/>
      <c r="Q358" s="14">
        <f t="shared" si="1"/>
        <v>0</v>
      </c>
    </row>
    <row r="359">
      <c r="C359" s="8"/>
      <c r="Q359" s="14">
        <f t="shared" si="1"/>
        <v>0</v>
      </c>
    </row>
    <row r="360">
      <c r="C360" s="8"/>
      <c r="Q360" s="14">
        <f t="shared" si="1"/>
        <v>0</v>
      </c>
    </row>
    <row r="361">
      <c r="C361" s="8"/>
      <c r="Q361" s="14">
        <f t="shared" si="1"/>
        <v>0</v>
      </c>
    </row>
    <row r="362">
      <c r="C362" s="8"/>
      <c r="Q362" s="14">
        <f t="shared" si="1"/>
        <v>0</v>
      </c>
    </row>
    <row r="363">
      <c r="C363" s="8"/>
      <c r="Q363" s="14">
        <f t="shared" si="1"/>
        <v>0</v>
      </c>
    </row>
    <row r="364">
      <c r="C364" s="8"/>
      <c r="Q364" s="14">
        <f t="shared" si="1"/>
        <v>0</v>
      </c>
    </row>
    <row r="365">
      <c r="C365" s="8"/>
      <c r="Q365" s="14">
        <f t="shared" si="1"/>
        <v>0</v>
      </c>
    </row>
    <row r="366">
      <c r="C366" s="8"/>
      <c r="Q366" s="14">
        <f t="shared" si="1"/>
        <v>0</v>
      </c>
    </row>
    <row r="367">
      <c r="C367" s="8"/>
      <c r="Q367" s="14">
        <f t="shared" si="1"/>
        <v>0</v>
      </c>
    </row>
    <row r="368">
      <c r="C368" s="8"/>
      <c r="Q368" s="14">
        <f t="shared" si="1"/>
        <v>0</v>
      </c>
    </row>
    <row r="369">
      <c r="C369" s="8"/>
      <c r="Q369" s="14">
        <f t="shared" si="1"/>
        <v>0</v>
      </c>
    </row>
    <row r="370">
      <c r="C370" s="8"/>
      <c r="Q370" s="14">
        <f t="shared" si="1"/>
        <v>0</v>
      </c>
    </row>
    <row r="371">
      <c r="C371" s="8"/>
      <c r="Q371" s="14">
        <f t="shared" si="1"/>
        <v>0</v>
      </c>
    </row>
    <row r="372">
      <c r="C372" s="8"/>
      <c r="Q372" s="14">
        <f t="shared" si="1"/>
        <v>0</v>
      </c>
    </row>
    <row r="373">
      <c r="C373" s="8"/>
      <c r="Q373" s="14">
        <f t="shared" si="1"/>
        <v>0</v>
      </c>
    </row>
    <row r="374">
      <c r="C374" s="8"/>
      <c r="Q374" s="14">
        <f t="shared" si="1"/>
        <v>0</v>
      </c>
    </row>
    <row r="375">
      <c r="C375" s="8"/>
      <c r="Q375" s="14">
        <f t="shared" si="1"/>
        <v>0</v>
      </c>
    </row>
    <row r="376">
      <c r="C376" s="8"/>
      <c r="Q376" s="14">
        <f t="shared" si="1"/>
        <v>0</v>
      </c>
    </row>
    <row r="377">
      <c r="C377" s="8"/>
      <c r="Q377" s="14">
        <f t="shared" si="1"/>
        <v>0</v>
      </c>
    </row>
    <row r="378">
      <c r="C378" s="8"/>
      <c r="Q378" s="14">
        <f t="shared" si="1"/>
        <v>0</v>
      </c>
    </row>
    <row r="379">
      <c r="C379" s="8"/>
      <c r="Q379" s="14">
        <f t="shared" si="1"/>
        <v>0</v>
      </c>
    </row>
    <row r="380">
      <c r="C380" s="8"/>
      <c r="Q380" s="14">
        <f t="shared" si="1"/>
        <v>0</v>
      </c>
    </row>
    <row r="381">
      <c r="C381" s="8"/>
      <c r="Q381" s="14">
        <f t="shared" si="1"/>
        <v>0</v>
      </c>
    </row>
    <row r="382">
      <c r="C382" s="8"/>
      <c r="Q382" s="14">
        <f t="shared" si="1"/>
        <v>0</v>
      </c>
    </row>
    <row r="383">
      <c r="C383" s="8"/>
      <c r="Q383" s="14">
        <f t="shared" si="1"/>
        <v>0</v>
      </c>
    </row>
    <row r="384">
      <c r="C384" s="8"/>
      <c r="Q384" s="14">
        <f t="shared" si="1"/>
        <v>0</v>
      </c>
    </row>
    <row r="385">
      <c r="C385" s="8"/>
      <c r="Q385" s="14">
        <f t="shared" si="1"/>
        <v>0</v>
      </c>
    </row>
    <row r="386">
      <c r="C386" s="8"/>
      <c r="Q386" s="14">
        <f t="shared" si="1"/>
        <v>0</v>
      </c>
    </row>
    <row r="387">
      <c r="C387" s="8"/>
      <c r="Q387" s="14">
        <f t="shared" si="1"/>
        <v>0</v>
      </c>
    </row>
    <row r="388">
      <c r="C388" s="8"/>
      <c r="Q388" s="14">
        <f t="shared" si="1"/>
        <v>0</v>
      </c>
    </row>
    <row r="389">
      <c r="C389" s="8"/>
      <c r="Q389" s="14">
        <f t="shared" si="1"/>
        <v>0</v>
      </c>
    </row>
    <row r="390">
      <c r="C390" s="8"/>
      <c r="Q390" s="14">
        <f t="shared" si="1"/>
        <v>0</v>
      </c>
    </row>
    <row r="391">
      <c r="C391" s="8"/>
      <c r="Q391" s="14">
        <f t="shared" si="1"/>
        <v>0</v>
      </c>
    </row>
    <row r="392">
      <c r="C392" s="8"/>
      <c r="Q392" s="14">
        <f t="shared" si="1"/>
        <v>0</v>
      </c>
    </row>
    <row r="393">
      <c r="C393" s="8"/>
      <c r="Q393" s="14">
        <f t="shared" si="1"/>
        <v>0</v>
      </c>
    </row>
    <row r="394">
      <c r="C394" s="8"/>
      <c r="Q394" s="14">
        <f t="shared" si="1"/>
        <v>0</v>
      </c>
    </row>
    <row r="395">
      <c r="C395" s="8"/>
      <c r="Q395" s="14">
        <f t="shared" si="1"/>
        <v>0</v>
      </c>
    </row>
    <row r="396">
      <c r="C396" s="8"/>
      <c r="Q396" s="14">
        <f t="shared" si="1"/>
        <v>0</v>
      </c>
    </row>
    <row r="397">
      <c r="C397" s="8"/>
      <c r="Q397" s="14">
        <f t="shared" si="1"/>
        <v>0</v>
      </c>
    </row>
    <row r="398">
      <c r="C398" s="8"/>
      <c r="Q398" s="14">
        <f t="shared" si="1"/>
        <v>0</v>
      </c>
    </row>
    <row r="399">
      <c r="C399" s="8"/>
      <c r="Q399" s="14">
        <f t="shared" si="1"/>
        <v>0</v>
      </c>
    </row>
    <row r="400">
      <c r="C400" s="8"/>
      <c r="Q400" s="14">
        <f t="shared" si="1"/>
        <v>0</v>
      </c>
    </row>
    <row r="401">
      <c r="C401" s="8"/>
      <c r="Q401" s="14">
        <f t="shared" si="1"/>
        <v>0</v>
      </c>
    </row>
    <row r="402">
      <c r="C402" s="8"/>
      <c r="Q402" s="14">
        <f t="shared" si="1"/>
        <v>0</v>
      </c>
    </row>
    <row r="403">
      <c r="C403" s="8"/>
      <c r="Q403" s="14">
        <f t="shared" si="1"/>
        <v>0</v>
      </c>
    </row>
    <row r="404">
      <c r="C404" s="8"/>
      <c r="Q404" s="14">
        <f t="shared" si="1"/>
        <v>0</v>
      </c>
    </row>
    <row r="405">
      <c r="C405" s="8"/>
      <c r="Q405" s="14">
        <f t="shared" si="1"/>
        <v>0</v>
      </c>
    </row>
    <row r="406">
      <c r="C406" s="8"/>
      <c r="Q406" s="14">
        <f t="shared" si="1"/>
        <v>0</v>
      </c>
    </row>
    <row r="407">
      <c r="C407" s="8"/>
      <c r="Q407" s="14">
        <f t="shared" si="1"/>
        <v>0</v>
      </c>
    </row>
    <row r="408">
      <c r="C408" s="8"/>
      <c r="Q408" s="14">
        <f t="shared" si="1"/>
        <v>0</v>
      </c>
    </row>
    <row r="409">
      <c r="C409" s="8"/>
      <c r="Q409" s="14">
        <f t="shared" si="1"/>
        <v>0</v>
      </c>
    </row>
    <row r="410">
      <c r="C410" s="8"/>
      <c r="Q410" s="14">
        <f t="shared" si="1"/>
        <v>0</v>
      </c>
    </row>
    <row r="411">
      <c r="C411" s="8"/>
      <c r="Q411" s="14">
        <f t="shared" si="1"/>
        <v>0</v>
      </c>
    </row>
    <row r="412">
      <c r="C412" s="8"/>
      <c r="Q412" s="14">
        <f t="shared" si="1"/>
        <v>0</v>
      </c>
    </row>
    <row r="413">
      <c r="C413" s="8"/>
      <c r="Q413" s="14">
        <f t="shared" si="1"/>
        <v>0</v>
      </c>
    </row>
    <row r="414">
      <c r="C414" s="8"/>
      <c r="Q414" s="14">
        <f t="shared" si="1"/>
        <v>0</v>
      </c>
    </row>
    <row r="415">
      <c r="C415" s="8"/>
      <c r="Q415" s="14">
        <f t="shared" si="1"/>
        <v>0</v>
      </c>
    </row>
    <row r="416">
      <c r="C416" s="8"/>
      <c r="Q416" s="14">
        <f t="shared" si="1"/>
        <v>0</v>
      </c>
    </row>
    <row r="417">
      <c r="C417" s="8"/>
      <c r="Q417" s="14">
        <f t="shared" si="1"/>
        <v>0</v>
      </c>
    </row>
    <row r="418">
      <c r="C418" s="8"/>
      <c r="Q418" s="14">
        <f t="shared" si="1"/>
        <v>0</v>
      </c>
    </row>
    <row r="419">
      <c r="C419" s="8"/>
      <c r="Q419" s="14">
        <f t="shared" si="1"/>
        <v>0</v>
      </c>
    </row>
    <row r="420">
      <c r="C420" s="8"/>
      <c r="Q420" s="14">
        <f t="shared" si="1"/>
        <v>0</v>
      </c>
    </row>
    <row r="421">
      <c r="C421" s="8"/>
      <c r="Q421" s="14">
        <f t="shared" si="1"/>
        <v>0</v>
      </c>
    </row>
    <row r="422">
      <c r="C422" s="8"/>
      <c r="Q422" s="14">
        <f t="shared" si="1"/>
        <v>0</v>
      </c>
    </row>
    <row r="423">
      <c r="C423" s="8"/>
      <c r="Q423" s="14">
        <f t="shared" si="1"/>
        <v>0</v>
      </c>
    </row>
    <row r="424">
      <c r="C424" s="8"/>
      <c r="Q424" s="14">
        <f t="shared" si="1"/>
        <v>0</v>
      </c>
    </row>
    <row r="425">
      <c r="C425" s="8"/>
      <c r="Q425" s="14">
        <f t="shared" si="1"/>
        <v>0</v>
      </c>
    </row>
    <row r="426">
      <c r="C426" s="8"/>
      <c r="Q426" s="14">
        <f t="shared" si="1"/>
        <v>0</v>
      </c>
    </row>
    <row r="427">
      <c r="C427" s="8"/>
      <c r="Q427" s="14">
        <f t="shared" si="1"/>
        <v>0</v>
      </c>
    </row>
    <row r="428">
      <c r="C428" s="8"/>
      <c r="Q428" s="14">
        <f t="shared" si="1"/>
        <v>0</v>
      </c>
    </row>
    <row r="429">
      <c r="C429" s="8"/>
      <c r="Q429" s="14">
        <f t="shared" si="1"/>
        <v>0</v>
      </c>
    </row>
    <row r="430">
      <c r="C430" s="8"/>
      <c r="Q430" s="14">
        <f t="shared" si="1"/>
        <v>0</v>
      </c>
    </row>
    <row r="431">
      <c r="C431" s="8"/>
      <c r="Q431" s="14">
        <f t="shared" si="1"/>
        <v>0</v>
      </c>
    </row>
    <row r="432">
      <c r="C432" s="8"/>
      <c r="Q432" s="14">
        <f t="shared" si="1"/>
        <v>0</v>
      </c>
    </row>
    <row r="433">
      <c r="C433" s="8"/>
      <c r="Q433" s="14">
        <f t="shared" si="1"/>
        <v>0</v>
      </c>
    </row>
    <row r="434">
      <c r="C434" s="8"/>
      <c r="Q434" s="14">
        <f t="shared" si="1"/>
        <v>0</v>
      </c>
    </row>
    <row r="435">
      <c r="C435" s="8"/>
      <c r="Q435" s="14">
        <f t="shared" si="1"/>
        <v>0</v>
      </c>
    </row>
    <row r="436">
      <c r="C436" s="8"/>
      <c r="Q436" s="14">
        <f t="shared" si="1"/>
        <v>0</v>
      </c>
    </row>
    <row r="437">
      <c r="C437" s="8"/>
      <c r="Q437" s="14">
        <f t="shared" si="1"/>
        <v>0</v>
      </c>
    </row>
    <row r="438">
      <c r="C438" s="8"/>
      <c r="Q438" s="14">
        <f t="shared" si="1"/>
        <v>0</v>
      </c>
    </row>
    <row r="439">
      <c r="C439" s="8"/>
      <c r="Q439" s="14">
        <f t="shared" si="1"/>
        <v>0</v>
      </c>
    </row>
    <row r="440">
      <c r="C440" s="8"/>
      <c r="Q440" s="14">
        <f t="shared" si="1"/>
        <v>0</v>
      </c>
    </row>
    <row r="441">
      <c r="C441" s="8"/>
      <c r="Q441" s="14">
        <f t="shared" si="1"/>
        <v>0</v>
      </c>
    </row>
    <row r="442">
      <c r="C442" s="8"/>
      <c r="Q442" s="14">
        <f t="shared" si="1"/>
        <v>0</v>
      </c>
    </row>
    <row r="443">
      <c r="C443" s="8"/>
      <c r="Q443" s="14">
        <f t="shared" si="1"/>
        <v>0</v>
      </c>
    </row>
    <row r="444">
      <c r="C444" s="8"/>
      <c r="Q444" s="14">
        <f t="shared" si="1"/>
        <v>0</v>
      </c>
    </row>
    <row r="445">
      <c r="C445" s="8"/>
      <c r="Q445" s="14">
        <f t="shared" si="1"/>
        <v>0</v>
      </c>
    </row>
    <row r="446">
      <c r="C446" s="8"/>
      <c r="Q446" s="14">
        <f t="shared" si="1"/>
        <v>0</v>
      </c>
    </row>
    <row r="447">
      <c r="C447" s="8"/>
      <c r="Q447" s="14">
        <f t="shared" si="1"/>
        <v>0</v>
      </c>
    </row>
    <row r="448">
      <c r="C448" s="8"/>
      <c r="Q448" s="14">
        <f t="shared" si="1"/>
        <v>0</v>
      </c>
    </row>
    <row r="449">
      <c r="C449" s="8"/>
      <c r="Q449" s="14">
        <f t="shared" si="1"/>
        <v>0</v>
      </c>
    </row>
    <row r="450">
      <c r="C450" s="8"/>
      <c r="Q450" s="14">
        <f t="shared" si="1"/>
        <v>0</v>
      </c>
    </row>
    <row r="451">
      <c r="C451" s="8"/>
      <c r="Q451" s="14">
        <f t="shared" si="1"/>
        <v>0</v>
      </c>
    </row>
    <row r="452">
      <c r="C452" s="8"/>
      <c r="Q452" s="14">
        <f t="shared" si="1"/>
        <v>0</v>
      </c>
    </row>
    <row r="453">
      <c r="C453" s="8"/>
      <c r="Q453" s="14">
        <f t="shared" si="1"/>
        <v>0</v>
      </c>
    </row>
    <row r="454">
      <c r="C454" s="8"/>
      <c r="Q454" s="14">
        <f t="shared" si="1"/>
        <v>0</v>
      </c>
    </row>
    <row r="455">
      <c r="C455" s="8"/>
      <c r="Q455" s="14">
        <f t="shared" si="1"/>
        <v>0</v>
      </c>
    </row>
    <row r="456">
      <c r="C456" s="8"/>
      <c r="Q456" s="14">
        <f t="shared" si="1"/>
        <v>0</v>
      </c>
    </row>
    <row r="457">
      <c r="C457" s="8"/>
      <c r="Q457" s="14">
        <f t="shared" si="1"/>
        <v>0</v>
      </c>
    </row>
    <row r="458">
      <c r="C458" s="8"/>
      <c r="Q458" s="14">
        <f t="shared" si="1"/>
        <v>0</v>
      </c>
    </row>
    <row r="459">
      <c r="C459" s="8"/>
      <c r="Q459" s="14">
        <f t="shared" si="1"/>
        <v>0</v>
      </c>
    </row>
    <row r="460">
      <c r="C460" s="8"/>
      <c r="Q460" s="14">
        <f t="shared" si="1"/>
        <v>0</v>
      </c>
    </row>
    <row r="461">
      <c r="C461" s="8"/>
      <c r="Q461" s="14">
        <f t="shared" si="1"/>
        <v>0</v>
      </c>
    </row>
    <row r="462">
      <c r="C462" s="8"/>
      <c r="Q462" s="14">
        <f t="shared" si="1"/>
        <v>0</v>
      </c>
    </row>
    <row r="463">
      <c r="C463" s="8"/>
      <c r="Q463" s="14">
        <f t="shared" si="1"/>
        <v>0</v>
      </c>
    </row>
    <row r="464">
      <c r="C464" s="8"/>
      <c r="Q464" s="14">
        <f t="shared" si="1"/>
        <v>0</v>
      </c>
    </row>
    <row r="465">
      <c r="C465" s="8"/>
      <c r="Q465" s="14">
        <f t="shared" si="1"/>
        <v>0</v>
      </c>
    </row>
    <row r="466">
      <c r="C466" s="8"/>
      <c r="Q466" s="14">
        <f t="shared" si="1"/>
        <v>0</v>
      </c>
    </row>
    <row r="467">
      <c r="C467" s="8"/>
      <c r="Q467" s="14">
        <f t="shared" si="1"/>
        <v>0</v>
      </c>
    </row>
    <row r="468">
      <c r="C468" s="8"/>
      <c r="Q468" s="14">
        <f t="shared" si="1"/>
        <v>0</v>
      </c>
    </row>
    <row r="469">
      <c r="C469" s="8"/>
      <c r="Q469" s="14">
        <f t="shared" si="1"/>
        <v>0</v>
      </c>
    </row>
    <row r="470">
      <c r="C470" s="8"/>
      <c r="Q470" s="14">
        <f t="shared" si="1"/>
        <v>0</v>
      </c>
    </row>
    <row r="471">
      <c r="C471" s="8"/>
      <c r="Q471" s="14">
        <f t="shared" si="1"/>
        <v>0</v>
      </c>
    </row>
    <row r="472">
      <c r="C472" s="8"/>
      <c r="Q472" s="14">
        <f t="shared" si="1"/>
        <v>0</v>
      </c>
    </row>
    <row r="473">
      <c r="C473" s="8"/>
      <c r="Q473" s="14">
        <f t="shared" si="1"/>
        <v>0</v>
      </c>
    </row>
    <row r="474">
      <c r="C474" s="8"/>
      <c r="Q474" s="14">
        <f t="shared" si="1"/>
        <v>0</v>
      </c>
    </row>
    <row r="475">
      <c r="C475" s="8"/>
      <c r="Q475" s="14">
        <f t="shared" si="1"/>
        <v>0</v>
      </c>
    </row>
    <row r="476">
      <c r="C476" s="8"/>
      <c r="Q476" s="14">
        <f t="shared" si="1"/>
        <v>0</v>
      </c>
    </row>
    <row r="477">
      <c r="C477" s="8"/>
      <c r="Q477" s="14">
        <f t="shared" si="1"/>
        <v>0</v>
      </c>
    </row>
    <row r="478">
      <c r="C478" s="8"/>
      <c r="Q478" s="14">
        <f t="shared" si="1"/>
        <v>0</v>
      </c>
    </row>
    <row r="479">
      <c r="C479" s="8"/>
      <c r="Q479" s="14">
        <f t="shared" si="1"/>
        <v>0</v>
      </c>
    </row>
    <row r="480">
      <c r="C480" s="8"/>
      <c r="Q480" s="14">
        <f t="shared" si="1"/>
        <v>0</v>
      </c>
    </row>
    <row r="481">
      <c r="C481" s="8"/>
      <c r="Q481" s="14">
        <f t="shared" si="1"/>
        <v>0</v>
      </c>
    </row>
    <row r="482">
      <c r="C482" s="8"/>
      <c r="Q482" s="14">
        <f t="shared" si="1"/>
        <v>0</v>
      </c>
    </row>
    <row r="483">
      <c r="C483" s="8"/>
      <c r="Q483" s="14">
        <f t="shared" si="1"/>
        <v>0</v>
      </c>
    </row>
    <row r="484">
      <c r="C484" s="8"/>
      <c r="Q484" s="14">
        <f t="shared" si="1"/>
        <v>0</v>
      </c>
    </row>
    <row r="485">
      <c r="C485" s="8"/>
      <c r="Q485" s="14">
        <f t="shared" si="1"/>
        <v>0</v>
      </c>
    </row>
    <row r="486">
      <c r="C486" s="8"/>
      <c r="Q486" s="14">
        <f t="shared" si="1"/>
        <v>0</v>
      </c>
    </row>
    <row r="487">
      <c r="C487" s="8"/>
      <c r="Q487" s="14">
        <f t="shared" si="1"/>
        <v>0</v>
      </c>
    </row>
    <row r="488">
      <c r="C488" s="8"/>
      <c r="Q488" s="14">
        <f t="shared" si="1"/>
        <v>0</v>
      </c>
    </row>
    <row r="489">
      <c r="C489" s="8"/>
      <c r="Q489" s="14">
        <f t="shared" si="1"/>
        <v>0</v>
      </c>
    </row>
    <row r="490">
      <c r="C490" s="8"/>
      <c r="Q490" s="14">
        <f t="shared" si="1"/>
        <v>0</v>
      </c>
    </row>
    <row r="491">
      <c r="C491" s="8"/>
      <c r="Q491" s="14">
        <f t="shared" si="1"/>
        <v>0</v>
      </c>
    </row>
    <row r="492">
      <c r="C492" s="8"/>
      <c r="Q492" s="14">
        <f t="shared" si="1"/>
        <v>0</v>
      </c>
    </row>
    <row r="493">
      <c r="C493" s="8"/>
      <c r="Q493" s="14">
        <f t="shared" si="1"/>
        <v>0</v>
      </c>
    </row>
    <row r="494">
      <c r="C494" s="8"/>
      <c r="Q494" s="14">
        <f t="shared" si="1"/>
        <v>0</v>
      </c>
    </row>
    <row r="495">
      <c r="C495" s="8"/>
      <c r="Q495" s="14">
        <f t="shared" si="1"/>
        <v>0</v>
      </c>
    </row>
    <row r="496">
      <c r="C496" s="8"/>
      <c r="Q496" s="14">
        <f t="shared" si="1"/>
        <v>0</v>
      </c>
    </row>
    <row r="497">
      <c r="C497" s="8"/>
      <c r="Q497" s="14">
        <f t="shared" si="1"/>
        <v>0</v>
      </c>
    </row>
    <row r="498">
      <c r="C498" s="8"/>
      <c r="Q498" s="14">
        <f t="shared" si="1"/>
        <v>0</v>
      </c>
    </row>
    <row r="499">
      <c r="C499" s="8"/>
      <c r="Q499" s="14">
        <f t="shared" si="1"/>
        <v>0</v>
      </c>
    </row>
    <row r="500">
      <c r="C500" s="8"/>
      <c r="Q500" s="14">
        <f t="shared" si="1"/>
        <v>0</v>
      </c>
    </row>
    <row r="501">
      <c r="C501" s="8"/>
      <c r="Q501" s="14">
        <f t="shared" si="1"/>
        <v>0</v>
      </c>
    </row>
    <row r="502">
      <c r="C502" s="8"/>
      <c r="Q502" s="14">
        <f t="shared" si="1"/>
        <v>0</v>
      </c>
    </row>
    <row r="503">
      <c r="C503" s="8"/>
      <c r="Q503" s="14">
        <f t="shared" si="1"/>
        <v>0</v>
      </c>
    </row>
    <row r="504">
      <c r="C504" s="8"/>
      <c r="Q504" s="14">
        <f t="shared" si="1"/>
        <v>0</v>
      </c>
    </row>
    <row r="505">
      <c r="C505" s="8"/>
      <c r="Q505" s="14">
        <f t="shared" si="1"/>
        <v>0</v>
      </c>
    </row>
    <row r="506">
      <c r="C506" s="8"/>
      <c r="Q506" s="14">
        <f t="shared" si="1"/>
        <v>0</v>
      </c>
    </row>
    <row r="507">
      <c r="C507" s="8"/>
      <c r="Q507" s="14">
        <f t="shared" si="1"/>
        <v>0</v>
      </c>
    </row>
    <row r="508">
      <c r="C508" s="8"/>
      <c r="Q508" s="14">
        <f t="shared" si="1"/>
        <v>0</v>
      </c>
    </row>
    <row r="509">
      <c r="C509" s="8"/>
      <c r="Q509" s="14">
        <f t="shared" si="1"/>
        <v>0</v>
      </c>
    </row>
    <row r="510">
      <c r="C510" s="8"/>
      <c r="Q510" s="14">
        <f t="shared" si="1"/>
        <v>0</v>
      </c>
    </row>
    <row r="511">
      <c r="C511" s="8"/>
      <c r="Q511" s="14">
        <f t="shared" si="1"/>
        <v>0</v>
      </c>
    </row>
    <row r="512">
      <c r="C512" s="8"/>
      <c r="Q512" s="14">
        <f t="shared" si="1"/>
        <v>0</v>
      </c>
    </row>
    <row r="513">
      <c r="C513" s="8"/>
      <c r="Q513" s="14">
        <f t="shared" si="1"/>
        <v>0</v>
      </c>
    </row>
    <row r="514">
      <c r="C514" s="8"/>
      <c r="Q514" s="14">
        <f t="shared" si="1"/>
        <v>0</v>
      </c>
    </row>
    <row r="515">
      <c r="C515" s="8"/>
      <c r="Q515" s="14">
        <f t="shared" si="1"/>
        <v>0</v>
      </c>
    </row>
    <row r="516">
      <c r="C516" s="8"/>
      <c r="Q516" s="14">
        <f t="shared" si="1"/>
        <v>0</v>
      </c>
    </row>
    <row r="517">
      <c r="C517" s="8"/>
      <c r="Q517" s="14">
        <f t="shared" si="1"/>
        <v>0</v>
      </c>
    </row>
    <row r="518">
      <c r="C518" s="8"/>
      <c r="Q518" s="14">
        <f t="shared" si="1"/>
        <v>0</v>
      </c>
    </row>
    <row r="519">
      <c r="C519" s="8"/>
      <c r="Q519" s="14">
        <f t="shared" si="1"/>
        <v>0</v>
      </c>
    </row>
    <row r="520">
      <c r="C520" s="8"/>
      <c r="Q520" s="14">
        <f t="shared" si="1"/>
        <v>0</v>
      </c>
    </row>
    <row r="521">
      <c r="C521" s="8"/>
      <c r="Q521" s="14">
        <f t="shared" si="1"/>
        <v>0</v>
      </c>
    </row>
    <row r="522">
      <c r="C522" s="8"/>
      <c r="Q522" s="14">
        <f t="shared" si="1"/>
        <v>0</v>
      </c>
    </row>
    <row r="523">
      <c r="C523" s="8"/>
      <c r="Q523" s="14">
        <f t="shared" si="1"/>
        <v>0</v>
      </c>
    </row>
    <row r="524">
      <c r="C524" s="8"/>
      <c r="Q524" s="14">
        <f t="shared" si="1"/>
        <v>0</v>
      </c>
    </row>
    <row r="525">
      <c r="C525" s="8"/>
      <c r="Q525" s="14">
        <f t="shared" si="1"/>
        <v>0</v>
      </c>
    </row>
    <row r="526">
      <c r="C526" s="8"/>
      <c r="Q526" s="14">
        <f t="shared" si="1"/>
        <v>0</v>
      </c>
    </row>
    <row r="527">
      <c r="C527" s="8"/>
      <c r="Q527" s="14">
        <f t="shared" si="1"/>
        <v>0</v>
      </c>
    </row>
    <row r="528">
      <c r="C528" s="8"/>
      <c r="Q528" s="14">
        <f t="shared" si="1"/>
        <v>0</v>
      </c>
    </row>
    <row r="529">
      <c r="C529" s="8"/>
      <c r="Q529" s="14">
        <f t="shared" si="1"/>
        <v>0</v>
      </c>
    </row>
    <row r="530">
      <c r="C530" s="8"/>
      <c r="Q530" s="14">
        <f t="shared" si="1"/>
        <v>0</v>
      </c>
    </row>
    <row r="531">
      <c r="C531" s="8"/>
      <c r="Q531" s="14">
        <f t="shared" si="1"/>
        <v>0</v>
      </c>
    </row>
    <row r="532">
      <c r="C532" s="8"/>
      <c r="Q532" s="14">
        <f t="shared" si="1"/>
        <v>0</v>
      </c>
    </row>
    <row r="533">
      <c r="C533" s="8"/>
      <c r="Q533" s="14">
        <f t="shared" si="1"/>
        <v>0</v>
      </c>
    </row>
    <row r="534">
      <c r="C534" s="8"/>
      <c r="Q534" s="14">
        <f t="shared" si="1"/>
        <v>0</v>
      </c>
    </row>
    <row r="535">
      <c r="C535" s="8"/>
      <c r="Q535" s="14">
        <f t="shared" si="1"/>
        <v>0</v>
      </c>
    </row>
    <row r="536">
      <c r="C536" s="8"/>
      <c r="Q536" s="14">
        <f t="shared" si="1"/>
        <v>0</v>
      </c>
    </row>
    <row r="537">
      <c r="C537" s="8"/>
      <c r="Q537" s="14">
        <f t="shared" si="1"/>
        <v>0</v>
      </c>
    </row>
    <row r="538">
      <c r="C538" s="8"/>
      <c r="Q538" s="14">
        <f t="shared" si="1"/>
        <v>0</v>
      </c>
    </row>
    <row r="539">
      <c r="C539" s="8"/>
      <c r="Q539" s="14">
        <f t="shared" si="1"/>
        <v>0</v>
      </c>
    </row>
    <row r="540">
      <c r="C540" s="8"/>
      <c r="Q540" s="14">
        <f t="shared" si="1"/>
        <v>0</v>
      </c>
    </row>
    <row r="541">
      <c r="C541" s="8"/>
      <c r="Q541" s="14">
        <f t="shared" si="1"/>
        <v>0</v>
      </c>
    </row>
    <row r="542">
      <c r="C542" s="8"/>
      <c r="Q542" s="14">
        <f t="shared" si="1"/>
        <v>0</v>
      </c>
    </row>
    <row r="543">
      <c r="C543" s="8"/>
      <c r="Q543" s="14">
        <f t="shared" si="1"/>
        <v>0</v>
      </c>
    </row>
    <row r="544">
      <c r="C544" s="8"/>
      <c r="Q544" s="14">
        <f t="shared" si="1"/>
        <v>0</v>
      </c>
    </row>
    <row r="545">
      <c r="C545" s="8"/>
      <c r="Q545" s="14">
        <f t="shared" si="1"/>
        <v>0</v>
      </c>
    </row>
    <row r="546">
      <c r="C546" s="8"/>
      <c r="Q546" s="14">
        <f t="shared" si="1"/>
        <v>0</v>
      </c>
    </row>
    <row r="547">
      <c r="C547" s="8"/>
      <c r="Q547" s="14">
        <f t="shared" si="1"/>
        <v>0</v>
      </c>
    </row>
    <row r="548">
      <c r="C548" s="8"/>
      <c r="Q548" s="14">
        <f t="shared" si="1"/>
        <v>0</v>
      </c>
    </row>
    <row r="549">
      <c r="C549" s="8"/>
      <c r="Q549" s="14">
        <f t="shared" si="1"/>
        <v>0</v>
      </c>
    </row>
    <row r="550">
      <c r="C550" s="8"/>
      <c r="Q550" s="14">
        <f t="shared" si="1"/>
        <v>0</v>
      </c>
    </row>
    <row r="551">
      <c r="C551" s="8"/>
      <c r="Q551" s="14">
        <f t="shared" si="1"/>
        <v>0</v>
      </c>
    </row>
    <row r="552">
      <c r="C552" s="8"/>
      <c r="Q552" s="14">
        <f t="shared" si="1"/>
        <v>0</v>
      </c>
    </row>
    <row r="553">
      <c r="C553" s="8"/>
      <c r="Q553" s="14">
        <f t="shared" si="1"/>
        <v>0</v>
      </c>
    </row>
    <row r="554">
      <c r="C554" s="8"/>
      <c r="Q554" s="14">
        <f t="shared" si="1"/>
        <v>0</v>
      </c>
    </row>
    <row r="555">
      <c r="C555" s="8"/>
      <c r="Q555" s="14">
        <f t="shared" si="1"/>
        <v>0</v>
      </c>
    </row>
    <row r="556">
      <c r="C556" s="8"/>
      <c r="Q556" s="14">
        <f t="shared" si="1"/>
        <v>0</v>
      </c>
    </row>
    <row r="557">
      <c r="C557" s="8"/>
      <c r="Q557" s="14">
        <f t="shared" si="1"/>
        <v>0</v>
      </c>
    </row>
    <row r="558">
      <c r="C558" s="8"/>
      <c r="Q558" s="14">
        <f t="shared" si="1"/>
        <v>0</v>
      </c>
    </row>
    <row r="559">
      <c r="C559" s="8"/>
      <c r="Q559" s="14">
        <f t="shared" si="1"/>
        <v>0</v>
      </c>
    </row>
    <row r="560">
      <c r="C560" s="8"/>
      <c r="Q560" s="14">
        <f t="shared" si="1"/>
        <v>0</v>
      </c>
    </row>
    <row r="561">
      <c r="C561" s="8"/>
      <c r="Q561" s="14">
        <f t="shared" si="1"/>
        <v>0</v>
      </c>
    </row>
    <row r="562">
      <c r="C562" s="8"/>
      <c r="Q562" s="14">
        <f t="shared" si="1"/>
        <v>0</v>
      </c>
    </row>
    <row r="563">
      <c r="C563" s="8"/>
      <c r="Q563" s="14">
        <f t="shared" si="1"/>
        <v>0</v>
      </c>
    </row>
    <row r="564">
      <c r="C564" s="8"/>
      <c r="Q564" s="14">
        <f t="shared" si="1"/>
        <v>0</v>
      </c>
    </row>
    <row r="565">
      <c r="C565" s="8"/>
      <c r="Q565" s="14">
        <f t="shared" si="1"/>
        <v>0</v>
      </c>
    </row>
    <row r="566">
      <c r="C566" s="8"/>
      <c r="Q566" s="14">
        <f t="shared" si="1"/>
        <v>0</v>
      </c>
    </row>
    <row r="567">
      <c r="C567" s="8"/>
      <c r="Q567" s="14">
        <f t="shared" si="1"/>
        <v>0</v>
      </c>
    </row>
    <row r="568">
      <c r="C568" s="8"/>
      <c r="Q568" s="14">
        <f t="shared" si="1"/>
        <v>0</v>
      </c>
    </row>
    <row r="569">
      <c r="C569" s="8"/>
      <c r="Q569" s="14">
        <f t="shared" si="1"/>
        <v>0</v>
      </c>
    </row>
    <row r="570">
      <c r="C570" s="8"/>
      <c r="Q570" s="14">
        <f t="shared" si="1"/>
        <v>0</v>
      </c>
    </row>
    <row r="571">
      <c r="C571" s="8"/>
      <c r="Q571" s="14">
        <f t="shared" si="1"/>
        <v>0</v>
      </c>
    </row>
    <row r="572">
      <c r="C572" s="8"/>
      <c r="Q572" s="14">
        <f t="shared" si="1"/>
        <v>0</v>
      </c>
    </row>
    <row r="573">
      <c r="C573" s="8"/>
      <c r="Q573" s="14">
        <f t="shared" si="1"/>
        <v>0</v>
      </c>
    </row>
    <row r="574">
      <c r="C574" s="8"/>
      <c r="Q574" s="14">
        <f t="shared" si="1"/>
        <v>0</v>
      </c>
    </row>
    <row r="575">
      <c r="C575" s="8"/>
      <c r="Q575" s="14">
        <f t="shared" si="1"/>
        <v>0</v>
      </c>
    </row>
    <row r="576">
      <c r="C576" s="8"/>
      <c r="Q576" s="14">
        <f t="shared" si="1"/>
        <v>0</v>
      </c>
    </row>
    <row r="577">
      <c r="C577" s="8"/>
      <c r="Q577" s="14">
        <f t="shared" si="1"/>
        <v>0</v>
      </c>
    </row>
    <row r="578">
      <c r="C578" s="8"/>
      <c r="Q578" s="14">
        <f t="shared" si="1"/>
        <v>0</v>
      </c>
    </row>
    <row r="579">
      <c r="C579" s="8"/>
      <c r="Q579" s="14">
        <f t="shared" si="1"/>
        <v>0</v>
      </c>
    </row>
    <row r="580">
      <c r="C580" s="8"/>
      <c r="Q580" s="14">
        <f t="shared" si="1"/>
        <v>0</v>
      </c>
    </row>
    <row r="581">
      <c r="C581" s="8"/>
      <c r="Q581" s="14">
        <f t="shared" si="1"/>
        <v>0</v>
      </c>
    </row>
    <row r="582">
      <c r="C582" s="8"/>
      <c r="Q582" s="14">
        <f t="shared" si="1"/>
        <v>0</v>
      </c>
    </row>
    <row r="583">
      <c r="C583" s="8"/>
      <c r="Q583" s="14">
        <f t="shared" si="1"/>
        <v>0</v>
      </c>
    </row>
    <row r="584">
      <c r="C584" s="8"/>
      <c r="Q584" s="14">
        <f t="shared" si="1"/>
        <v>0</v>
      </c>
    </row>
    <row r="585">
      <c r="C585" s="8"/>
      <c r="Q585" s="14">
        <f t="shared" si="1"/>
        <v>0</v>
      </c>
    </row>
    <row r="586">
      <c r="C586" s="8"/>
      <c r="Q586" s="14">
        <f t="shared" si="1"/>
        <v>0</v>
      </c>
    </row>
    <row r="587">
      <c r="C587" s="8"/>
      <c r="Q587" s="14">
        <f t="shared" si="1"/>
        <v>0</v>
      </c>
    </row>
    <row r="588">
      <c r="C588" s="8"/>
      <c r="Q588" s="14">
        <f t="shared" si="1"/>
        <v>0</v>
      </c>
    </row>
    <row r="589">
      <c r="C589" s="8"/>
      <c r="Q589" s="14">
        <f t="shared" si="1"/>
        <v>0</v>
      </c>
    </row>
    <row r="590">
      <c r="C590" s="8"/>
      <c r="Q590" s="14">
        <f t="shared" si="1"/>
        <v>0</v>
      </c>
    </row>
    <row r="591">
      <c r="C591" s="8"/>
      <c r="Q591" s="14">
        <f t="shared" si="1"/>
        <v>0</v>
      </c>
    </row>
    <row r="592">
      <c r="C592" s="8"/>
      <c r="Q592" s="14">
        <f t="shared" si="1"/>
        <v>0</v>
      </c>
    </row>
    <row r="593">
      <c r="C593" s="8"/>
      <c r="Q593" s="14">
        <f t="shared" si="1"/>
        <v>0</v>
      </c>
    </row>
    <row r="594">
      <c r="C594" s="8"/>
      <c r="Q594" s="14">
        <f t="shared" si="1"/>
        <v>0</v>
      </c>
    </row>
    <row r="595">
      <c r="C595" s="8"/>
      <c r="Q595" s="14">
        <f t="shared" si="1"/>
        <v>0</v>
      </c>
    </row>
    <row r="596">
      <c r="C596" s="8"/>
      <c r="Q596" s="14">
        <f t="shared" si="1"/>
        <v>0</v>
      </c>
    </row>
    <row r="597">
      <c r="C597" s="8"/>
      <c r="Q597" s="14">
        <f t="shared" si="1"/>
        <v>0</v>
      </c>
    </row>
    <row r="598">
      <c r="C598" s="8"/>
      <c r="Q598" s="14">
        <f t="shared" si="1"/>
        <v>0</v>
      </c>
    </row>
    <row r="599">
      <c r="C599" s="8"/>
      <c r="Q599" s="14">
        <f t="shared" si="1"/>
        <v>0</v>
      </c>
    </row>
    <row r="600">
      <c r="C600" s="8"/>
      <c r="Q600" s="14">
        <f t="shared" si="1"/>
        <v>0</v>
      </c>
    </row>
    <row r="601">
      <c r="C601" s="8"/>
      <c r="Q601" s="14">
        <f t="shared" si="1"/>
        <v>0</v>
      </c>
    </row>
    <row r="602">
      <c r="C602" s="8"/>
      <c r="Q602" s="14">
        <f t="shared" si="1"/>
        <v>0</v>
      </c>
    </row>
    <row r="603">
      <c r="C603" s="8"/>
      <c r="Q603" s="14">
        <f t="shared" si="1"/>
        <v>0</v>
      </c>
    </row>
    <row r="604">
      <c r="C604" s="8"/>
      <c r="Q604" s="14">
        <f t="shared" si="1"/>
        <v>0</v>
      </c>
    </row>
    <row r="605">
      <c r="C605" s="8"/>
      <c r="Q605" s="14">
        <f t="shared" si="1"/>
        <v>0</v>
      </c>
    </row>
    <row r="606">
      <c r="C606" s="8"/>
      <c r="Q606" s="14">
        <f t="shared" si="1"/>
        <v>0</v>
      </c>
    </row>
    <row r="607">
      <c r="C607" s="8"/>
      <c r="Q607" s="14">
        <f t="shared" si="1"/>
        <v>0</v>
      </c>
    </row>
    <row r="608">
      <c r="C608" s="8"/>
      <c r="Q608" s="14">
        <f t="shared" si="1"/>
        <v>0</v>
      </c>
    </row>
    <row r="609">
      <c r="C609" s="8"/>
      <c r="Q609" s="14">
        <f t="shared" si="1"/>
        <v>0</v>
      </c>
    </row>
    <row r="610">
      <c r="C610" s="8"/>
      <c r="Q610" s="14">
        <f t="shared" si="1"/>
        <v>0</v>
      </c>
    </row>
    <row r="611">
      <c r="C611" s="8"/>
      <c r="Q611" s="14">
        <f t="shared" si="1"/>
        <v>0</v>
      </c>
    </row>
    <row r="612">
      <c r="C612" s="8"/>
      <c r="Q612" s="14">
        <f t="shared" si="1"/>
        <v>0</v>
      </c>
    </row>
    <row r="613">
      <c r="C613" s="8"/>
      <c r="Q613" s="14">
        <f t="shared" si="1"/>
        <v>0</v>
      </c>
    </row>
    <row r="614">
      <c r="C614" s="8"/>
      <c r="Q614" s="14">
        <f t="shared" si="1"/>
        <v>0</v>
      </c>
    </row>
    <row r="615">
      <c r="C615" s="8"/>
      <c r="Q615" s="14">
        <f t="shared" si="1"/>
        <v>0</v>
      </c>
    </row>
    <row r="616">
      <c r="C616" s="8"/>
      <c r="Q616" s="14">
        <f t="shared" si="1"/>
        <v>0</v>
      </c>
    </row>
    <row r="617">
      <c r="C617" s="8"/>
      <c r="Q617" s="14">
        <f t="shared" si="1"/>
        <v>0</v>
      </c>
    </row>
    <row r="618">
      <c r="C618" s="8"/>
      <c r="Q618" s="14">
        <f t="shared" si="1"/>
        <v>0</v>
      </c>
    </row>
    <row r="619">
      <c r="C619" s="8"/>
      <c r="Q619" s="14">
        <f t="shared" si="1"/>
        <v>0</v>
      </c>
    </row>
    <row r="620">
      <c r="C620" s="8"/>
      <c r="Q620" s="14">
        <f t="shared" si="1"/>
        <v>0</v>
      </c>
    </row>
    <row r="621">
      <c r="C621" s="8"/>
      <c r="Q621" s="14">
        <f t="shared" si="1"/>
        <v>0</v>
      </c>
    </row>
    <row r="622">
      <c r="C622" s="8"/>
      <c r="Q622" s="14">
        <f t="shared" si="1"/>
        <v>0</v>
      </c>
    </row>
    <row r="623">
      <c r="C623" s="8"/>
      <c r="Q623" s="14">
        <f t="shared" si="1"/>
        <v>0</v>
      </c>
    </row>
    <row r="624">
      <c r="C624" s="8"/>
      <c r="Q624" s="14">
        <f t="shared" si="1"/>
        <v>0</v>
      </c>
    </row>
    <row r="625">
      <c r="C625" s="8"/>
      <c r="Q625" s="14">
        <f t="shared" si="1"/>
        <v>0</v>
      </c>
    </row>
    <row r="626">
      <c r="C626" s="8"/>
      <c r="Q626" s="14">
        <f t="shared" si="1"/>
        <v>0</v>
      </c>
    </row>
    <row r="627">
      <c r="C627" s="8"/>
      <c r="Q627" s="14">
        <f t="shared" si="1"/>
        <v>0</v>
      </c>
    </row>
    <row r="628">
      <c r="C628" s="8"/>
      <c r="Q628" s="14">
        <f t="shared" si="1"/>
        <v>0</v>
      </c>
    </row>
    <row r="629">
      <c r="C629" s="8"/>
      <c r="Q629" s="14">
        <f t="shared" si="1"/>
        <v>0</v>
      </c>
    </row>
    <row r="630">
      <c r="C630" s="8"/>
      <c r="Q630" s="14">
        <f t="shared" si="1"/>
        <v>0</v>
      </c>
    </row>
    <row r="631">
      <c r="C631" s="8"/>
      <c r="Q631" s="14">
        <f t="shared" si="1"/>
        <v>0</v>
      </c>
    </row>
    <row r="632">
      <c r="C632" s="8"/>
      <c r="Q632" s="14">
        <f t="shared" si="1"/>
        <v>0</v>
      </c>
    </row>
    <row r="633">
      <c r="C633" s="8"/>
      <c r="Q633" s="14">
        <f t="shared" si="1"/>
        <v>0</v>
      </c>
    </row>
    <row r="634">
      <c r="C634" s="8"/>
      <c r="Q634" s="14">
        <f t="shared" si="1"/>
        <v>0</v>
      </c>
    </row>
    <row r="635">
      <c r="C635" s="8"/>
      <c r="Q635" s="14">
        <f t="shared" si="1"/>
        <v>0</v>
      </c>
    </row>
    <row r="636">
      <c r="C636" s="8"/>
      <c r="Q636" s="14">
        <f t="shared" si="1"/>
        <v>0</v>
      </c>
    </row>
    <row r="637">
      <c r="C637" s="8"/>
      <c r="Q637" s="14">
        <f t="shared" si="1"/>
        <v>0</v>
      </c>
    </row>
    <row r="638">
      <c r="C638" s="8"/>
      <c r="Q638" s="14">
        <f t="shared" si="1"/>
        <v>0</v>
      </c>
    </row>
    <row r="639">
      <c r="C639" s="8"/>
      <c r="Q639" s="14">
        <f t="shared" si="1"/>
        <v>0</v>
      </c>
    </row>
    <row r="640">
      <c r="C640" s="8"/>
      <c r="Q640" s="14">
        <f t="shared" si="1"/>
        <v>0</v>
      </c>
    </row>
    <row r="641">
      <c r="C641" s="8"/>
      <c r="Q641" s="14">
        <f t="shared" si="1"/>
        <v>0</v>
      </c>
    </row>
    <row r="642">
      <c r="C642" s="8"/>
      <c r="Q642" s="14">
        <f t="shared" si="1"/>
        <v>0</v>
      </c>
    </row>
    <row r="643">
      <c r="C643" s="8"/>
      <c r="Q643" s="14">
        <f t="shared" si="1"/>
        <v>0</v>
      </c>
    </row>
    <row r="644">
      <c r="C644" s="8"/>
      <c r="Q644" s="14">
        <f t="shared" si="1"/>
        <v>0</v>
      </c>
    </row>
    <row r="645">
      <c r="C645" s="8"/>
      <c r="Q645" s="14">
        <f t="shared" si="1"/>
        <v>0</v>
      </c>
    </row>
    <row r="646">
      <c r="C646" s="8"/>
      <c r="Q646" s="14">
        <f t="shared" si="1"/>
        <v>0</v>
      </c>
    </row>
    <row r="647">
      <c r="C647" s="8"/>
      <c r="Q647" s="14">
        <f t="shared" si="1"/>
        <v>0</v>
      </c>
    </row>
    <row r="648">
      <c r="C648" s="8"/>
      <c r="Q648" s="14">
        <f t="shared" si="1"/>
        <v>0</v>
      </c>
    </row>
    <row r="649">
      <c r="C649" s="8"/>
      <c r="Q649" s="14">
        <f t="shared" si="1"/>
        <v>0</v>
      </c>
    </row>
    <row r="650">
      <c r="C650" s="8"/>
      <c r="Q650" s="14">
        <f t="shared" si="1"/>
        <v>0</v>
      </c>
    </row>
    <row r="651">
      <c r="C651" s="8"/>
      <c r="Q651" s="14">
        <f t="shared" si="1"/>
        <v>0</v>
      </c>
    </row>
    <row r="652">
      <c r="C652" s="8"/>
      <c r="Q652" s="14">
        <f t="shared" si="1"/>
        <v>0</v>
      </c>
    </row>
    <row r="653">
      <c r="C653" s="8"/>
      <c r="Q653" s="14">
        <f t="shared" si="1"/>
        <v>0</v>
      </c>
    </row>
    <row r="654">
      <c r="C654" s="8"/>
      <c r="Q654" s="14">
        <f t="shared" si="1"/>
        <v>0</v>
      </c>
    </row>
    <row r="655">
      <c r="C655" s="8"/>
      <c r="Q655" s="14">
        <f t="shared" si="1"/>
        <v>0</v>
      </c>
    </row>
    <row r="656">
      <c r="C656" s="8"/>
      <c r="Q656" s="14">
        <f t="shared" si="1"/>
        <v>0</v>
      </c>
    </row>
    <row r="657">
      <c r="C657" s="8"/>
      <c r="Q657" s="14">
        <f t="shared" si="1"/>
        <v>0</v>
      </c>
    </row>
    <row r="658">
      <c r="C658" s="8"/>
      <c r="Q658" s="14">
        <f t="shared" si="1"/>
        <v>0</v>
      </c>
    </row>
    <row r="659">
      <c r="C659" s="8"/>
      <c r="Q659" s="14">
        <f t="shared" si="1"/>
        <v>0</v>
      </c>
    </row>
    <row r="660">
      <c r="C660" s="8"/>
      <c r="Q660" s="14">
        <f t="shared" si="1"/>
        <v>0</v>
      </c>
    </row>
    <row r="661">
      <c r="C661" s="8"/>
      <c r="Q661" s="14">
        <f t="shared" si="1"/>
        <v>0</v>
      </c>
    </row>
    <row r="662">
      <c r="C662" s="8"/>
      <c r="Q662" s="14">
        <f t="shared" si="1"/>
        <v>0</v>
      </c>
    </row>
    <row r="663">
      <c r="C663" s="8"/>
      <c r="Q663" s="14">
        <f t="shared" si="1"/>
        <v>0</v>
      </c>
    </row>
    <row r="664">
      <c r="C664" s="8"/>
      <c r="Q664" s="14">
        <f t="shared" si="1"/>
        <v>0</v>
      </c>
    </row>
    <row r="665">
      <c r="C665" s="8"/>
      <c r="Q665" s="14">
        <f t="shared" si="1"/>
        <v>0</v>
      </c>
    </row>
    <row r="666">
      <c r="C666" s="8"/>
      <c r="Q666" s="14">
        <f t="shared" si="1"/>
        <v>0</v>
      </c>
    </row>
    <row r="667">
      <c r="C667" s="8"/>
      <c r="Q667" s="14">
        <f t="shared" si="1"/>
        <v>0</v>
      </c>
    </row>
    <row r="668">
      <c r="C668" s="8"/>
      <c r="Q668" s="14">
        <f t="shared" si="1"/>
        <v>0</v>
      </c>
    </row>
    <row r="669">
      <c r="C669" s="8"/>
      <c r="Q669" s="14">
        <f t="shared" si="1"/>
        <v>0</v>
      </c>
    </row>
    <row r="670">
      <c r="C670" s="8"/>
      <c r="Q670" s="14">
        <f t="shared" si="1"/>
        <v>0</v>
      </c>
    </row>
    <row r="671">
      <c r="C671" s="8"/>
      <c r="Q671" s="14">
        <f t="shared" si="1"/>
        <v>0</v>
      </c>
    </row>
    <row r="672">
      <c r="C672" s="8"/>
      <c r="Q672" s="14">
        <f t="shared" si="1"/>
        <v>0</v>
      </c>
    </row>
    <row r="673">
      <c r="C673" s="8"/>
      <c r="Q673" s="14">
        <f t="shared" si="1"/>
        <v>0</v>
      </c>
    </row>
    <row r="674">
      <c r="C674" s="8"/>
      <c r="Q674" s="14">
        <f t="shared" si="1"/>
        <v>0</v>
      </c>
    </row>
    <row r="675">
      <c r="C675" s="8"/>
      <c r="Q675" s="14">
        <f t="shared" si="1"/>
        <v>0</v>
      </c>
    </row>
    <row r="676">
      <c r="C676" s="8"/>
      <c r="Q676" s="14">
        <f t="shared" si="1"/>
        <v>0</v>
      </c>
    </row>
    <row r="677">
      <c r="C677" s="8"/>
      <c r="Q677" s="14">
        <f t="shared" si="1"/>
        <v>0</v>
      </c>
    </row>
    <row r="678">
      <c r="C678" s="8"/>
      <c r="Q678" s="14">
        <f t="shared" si="1"/>
        <v>0</v>
      </c>
    </row>
    <row r="679">
      <c r="C679" s="8"/>
      <c r="Q679" s="14">
        <f t="shared" si="1"/>
        <v>0</v>
      </c>
    </row>
    <row r="680">
      <c r="C680" s="8"/>
      <c r="Q680" s="14">
        <f t="shared" si="1"/>
        <v>0</v>
      </c>
    </row>
    <row r="681">
      <c r="C681" s="8"/>
      <c r="Q681" s="14">
        <f t="shared" si="1"/>
        <v>0</v>
      </c>
    </row>
    <row r="682">
      <c r="C682" s="8"/>
      <c r="Q682" s="14">
        <f t="shared" si="1"/>
        <v>0</v>
      </c>
    </row>
    <row r="683">
      <c r="C683" s="8"/>
      <c r="Q683" s="14">
        <f t="shared" si="1"/>
        <v>0</v>
      </c>
    </row>
    <row r="684">
      <c r="C684" s="8"/>
      <c r="Q684" s="14">
        <f t="shared" si="1"/>
        <v>0</v>
      </c>
    </row>
    <row r="685">
      <c r="C685" s="8"/>
      <c r="Q685" s="14">
        <f t="shared" si="1"/>
        <v>0</v>
      </c>
    </row>
    <row r="686">
      <c r="C686" s="8"/>
      <c r="Q686" s="14">
        <f t="shared" si="1"/>
        <v>0</v>
      </c>
    </row>
    <row r="687">
      <c r="C687" s="8"/>
      <c r="Q687" s="14">
        <f t="shared" si="1"/>
        <v>0</v>
      </c>
    </row>
    <row r="688">
      <c r="C688" s="8"/>
      <c r="Q688" s="14">
        <f t="shared" si="1"/>
        <v>0</v>
      </c>
    </row>
    <row r="689">
      <c r="C689" s="8"/>
      <c r="Q689" s="14">
        <f t="shared" si="1"/>
        <v>0</v>
      </c>
    </row>
    <row r="690">
      <c r="C690" s="8"/>
      <c r="Q690" s="14">
        <f t="shared" si="1"/>
        <v>0</v>
      </c>
    </row>
    <row r="691">
      <c r="C691" s="8"/>
      <c r="Q691" s="14">
        <f t="shared" si="1"/>
        <v>0</v>
      </c>
    </row>
    <row r="692">
      <c r="C692" s="8"/>
      <c r="Q692" s="14">
        <f t="shared" si="1"/>
        <v>0</v>
      </c>
    </row>
    <row r="693">
      <c r="C693" s="8"/>
      <c r="Q693" s="14">
        <f t="shared" si="1"/>
        <v>0</v>
      </c>
    </row>
    <row r="694">
      <c r="C694" s="8"/>
      <c r="Q694" s="14">
        <f t="shared" si="1"/>
        <v>0</v>
      </c>
    </row>
    <row r="695">
      <c r="C695" s="8"/>
      <c r="Q695" s="14">
        <f t="shared" si="1"/>
        <v>0</v>
      </c>
    </row>
    <row r="696">
      <c r="C696" s="8"/>
      <c r="Q696" s="14">
        <f t="shared" si="1"/>
        <v>0</v>
      </c>
    </row>
    <row r="697">
      <c r="C697" s="8"/>
      <c r="Q697" s="14">
        <f t="shared" si="1"/>
        <v>0</v>
      </c>
    </row>
    <row r="698">
      <c r="C698" s="8"/>
      <c r="Q698" s="14">
        <f t="shared" si="1"/>
        <v>0</v>
      </c>
    </row>
    <row r="699">
      <c r="C699" s="8"/>
      <c r="Q699" s="14">
        <f t="shared" si="1"/>
        <v>0</v>
      </c>
    </row>
    <row r="700">
      <c r="C700" s="8"/>
      <c r="Q700" s="14">
        <f t="shared" si="1"/>
        <v>0</v>
      </c>
    </row>
    <row r="701">
      <c r="C701" s="8"/>
      <c r="Q701" s="14">
        <f t="shared" si="1"/>
        <v>0</v>
      </c>
    </row>
    <row r="702">
      <c r="C702" s="8"/>
      <c r="Q702" s="14">
        <f t="shared" si="1"/>
        <v>0</v>
      </c>
    </row>
    <row r="703">
      <c r="C703" s="8"/>
      <c r="Q703" s="14">
        <f t="shared" si="1"/>
        <v>0</v>
      </c>
    </row>
    <row r="704">
      <c r="C704" s="8"/>
      <c r="Q704" s="14">
        <f t="shared" si="1"/>
        <v>0</v>
      </c>
    </row>
    <row r="705">
      <c r="C705" s="8"/>
      <c r="Q705" s="14">
        <f t="shared" si="1"/>
        <v>0</v>
      </c>
    </row>
    <row r="706">
      <c r="C706" s="8"/>
      <c r="Q706" s="14">
        <f t="shared" si="1"/>
        <v>0</v>
      </c>
    </row>
    <row r="707">
      <c r="C707" s="8"/>
      <c r="Q707" s="14">
        <f t="shared" si="1"/>
        <v>0</v>
      </c>
    </row>
    <row r="708">
      <c r="C708" s="8"/>
      <c r="Q708" s="14">
        <f t="shared" si="1"/>
        <v>0</v>
      </c>
    </row>
    <row r="709">
      <c r="C709" s="8"/>
      <c r="Q709" s="14">
        <f t="shared" si="1"/>
        <v>0</v>
      </c>
    </row>
    <row r="710">
      <c r="C710" s="8"/>
      <c r="Q710" s="14">
        <f t="shared" si="1"/>
        <v>0</v>
      </c>
    </row>
    <row r="711">
      <c r="C711" s="8"/>
      <c r="Q711" s="14">
        <f t="shared" si="1"/>
        <v>0</v>
      </c>
    </row>
    <row r="712">
      <c r="C712" s="8"/>
      <c r="Q712" s="14">
        <f t="shared" si="1"/>
        <v>0</v>
      </c>
    </row>
    <row r="713">
      <c r="C713" s="8"/>
      <c r="Q713" s="14">
        <f t="shared" si="1"/>
        <v>0</v>
      </c>
    </row>
    <row r="714">
      <c r="C714" s="8"/>
      <c r="Q714" s="14">
        <f t="shared" si="1"/>
        <v>0</v>
      </c>
    </row>
    <row r="715">
      <c r="C715" s="8"/>
      <c r="Q715" s="14">
        <f t="shared" si="1"/>
        <v>0</v>
      </c>
    </row>
    <row r="716">
      <c r="C716" s="8"/>
      <c r="Q716" s="14">
        <f t="shared" si="1"/>
        <v>0</v>
      </c>
    </row>
    <row r="717">
      <c r="C717" s="8"/>
      <c r="Q717" s="14">
        <f t="shared" si="1"/>
        <v>0</v>
      </c>
    </row>
    <row r="718">
      <c r="C718" s="8"/>
      <c r="Q718" s="14">
        <f t="shared" si="1"/>
        <v>0</v>
      </c>
    </row>
    <row r="719">
      <c r="C719" s="8"/>
      <c r="Q719" s="14">
        <f t="shared" si="1"/>
        <v>0</v>
      </c>
    </row>
    <row r="720">
      <c r="C720" s="8"/>
      <c r="Q720" s="14">
        <f t="shared" si="1"/>
        <v>0</v>
      </c>
    </row>
    <row r="721">
      <c r="C721" s="8"/>
      <c r="Q721" s="14">
        <f t="shared" si="1"/>
        <v>0</v>
      </c>
    </row>
    <row r="722">
      <c r="C722" s="8"/>
      <c r="Q722" s="14">
        <f t="shared" si="1"/>
        <v>0</v>
      </c>
    </row>
    <row r="723">
      <c r="C723" s="8"/>
      <c r="Q723" s="14">
        <f t="shared" si="1"/>
        <v>0</v>
      </c>
    </row>
    <row r="724">
      <c r="C724" s="8"/>
      <c r="Q724" s="14">
        <f t="shared" si="1"/>
        <v>0</v>
      </c>
    </row>
    <row r="725">
      <c r="C725" s="8"/>
      <c r="Q725" s="14">
        <f t="shared" si="1"/>
        <v>0</v>
      </c>
    </row>
    <row r="726">
      <c r="C726" s="8"/>
      <c r="Q726" s="14">
        <f t="shared" si="1"/>
        <v>0</v>
      </c>
    </row>
    <row r="727">
      <c r="C727" s="8"/>
      <c r="Q727" s="14">
        <f t="shared" si="1"/>
        <v>0</v>
      </c>
    </row>
    <row r="728">
      <c r="C728" s="8"/>
      <c r="Q728" s="14">
        <f t="shared" si="1"/>
        <v>0</v>
      </c>
    </row>
    <row r="729">
      <c r="C729" s="8"/>
      <c r="Q729" s="14">
        <f t="shared" si="1"/>
        <v>0</v>
      </c>
    </row>
    <row r="730">
      <c r="C730" s="8"/>
      <c r="Q730" s="14">
        <f t="shared" si="1"/>
        <v>0</v>
      </c>
    </row>
    <row r="731">
      <c r="C731" s="8"/>
      <c r="Q731" s="14">
        <f t="shared" si="1"/>
        <v>0</v>
      </c>
    </row>
    <row r="732">
      <c r="C732" s="8"/>
      <c r="Q732" s="14">
        <f t="shared" si="1"/>
        <v>0</v>
      </c>
    </row>
    <row r="733">
      <c r="C733" s="8"/>
      <c r="Q733" s="14">
        <f t="shared" si="1"/>
        <v>0</v>
      </c>
    </row>
    <row r="734">
      <c r="C734" s="8"/>
      <c r="Q734" s="14">
        <f t="shared" si="1"/>
        <v>0</v>
      </c>
    </row>
    <row r="735">
      <c r="C735" s="8"/>
      <c r="Q735" s="14">
        <f t="shared" si="1"/>
        <v>0</v>
      </c>
    </row>
    <row r="736">
      <c r="C736" s="8"/>
      <c r="Q736" s="14">
        <f t="shared" si="1"/>
        <v>0</v>
      </c>
    </row>
    <row r="737">
      <c r="C737" s="8"/>
      <c r="Q737" s="14">
        <f t="shared" si="1"/>
        <v>0</v>
      </c>
    </row>
    <row r="738">
      <c r="C738" s="8"/>
      <c r="Q738" s="14">
        <f t="shared" si="1"/>
        <v>0</v>
      </c>
    </row>
    <row r="739">
      <c r="C739" s="8"/>
      <c r="Q739" s="14">
        <f t="shared" si="1"/>
        <v>0</v>
      </c>
    </row>
    <row r="740">
      <c r="C740" s="8"/>
      <c r="Q740" s="14">
        <f t="shared" si="1"/>
        <v>0</v>
      </c>
    </row>
    <row r="741">
      <c r="C741" s="8"/>
      <c r="Q741" s="14">
        <f t="shared" si="1"/>
        <v>0</v>
      </c>
    </row>
    <row r="742">
      <c r="C742" s="8"/>
      <c r="Q742" s="14">
        <f t="shared" si="1"/>
        <v>0</v>
      </c>
    </row>
    <row r="743">
      <c r="C743" s="8"/>
      <c r="Q743" s="14">
        <f t="shared" si="1"/>
        <v>0</v>
      </c>
    </row>
    <row r="744">
      <c r="C744" s="8"/>
      <c r="Q744" s="14">
        <f t="shared" si="1"/>
        <v>0</v>
      </c>
    </row>
    <row r="745">
      <c r="C745" s="8"/>
      <c r="Q745" s="14">
        <f t="shared" si="1"/>
        <v>0</v>
      </c>
    </row>
    <row r="746">
      <c r="C746" s="8"/>
      <c r="Q746" s="14">
        <f t="shared" si="1"/>
        <v>0</v>
      </c>
    </row>
    <row r="747">
      <c r="C747" s="8"/>
      <c r="Q747" s="14">
        <f t="shared" si="1"/>
        <v>0</v>
      </c>
    </row>
    <row r="748">
      <c r="C748" s="8"/>
      <c r="Q748" s="14">
        <f t="shared" si="1"/>
        <v>0</v>
      </c>
    </row>
    <row r="749">
      <c r="C749" s="8"/>
      <c r="Q749" s="14">
        <f t="shared" si="1"/>
        <v>0</v>
      </c>
    </row>
    <row r="750">
      <c r="C750" s="8"/>
      <c r="Q750" s="14">
        <f t="shared" si="1"/>
        <v>0</v>
      </c>
    </row>
    <row r="751">
      <c r="C751" s="8"/>
      <c r="Q751" s="14">
        <f t="shared" si="1"/>
        <v>0</v>
      </c>
    </row>
    <row r="752">
      <c r="C752" s="8"/>
      <c r="Q752" s="14">
        <f t="shared" si="1"/>
        <v>0</v>
      </c>
    </row>
    <row r="753">
      <c r="C753" s="8"/>
      <c r="Q753" s="14">
        <f t="shared" si="1"/>
        <v>0</v>
      </c>
    </row>
    <row r="754">
      <c r="C754" s="8"/>
      <c r="Q754" s="14">
        <f t="shared" si="1"/>
        <v>0</v>
      </c>
    </row>
    <row r="755">
      <c r="C755" s="8"/>
      <c r="Q755" s="14">
        <f t="shared" si="1"/>
        <v>0</v>
      </c>
    </row>
    <row r="756">
      <c r="C756" s="8"/>
      <c r="Q756" s="14">
        <f t="shared" si="1"/>
        <v>0</v>
      </c>
    </row>
    <row r="757">
      <c r="C757" s="8"/>
      <c r="Q757" s="14">
        <f t="shared" si="1"/>
        <v>0</v>
      </c>
    </row>
    <row r="758">
      <c r="C758" s="8"/>
      <c r="Q758" s="14">
        <f t="shared" si="1"/>
        <v>0</v>
      </c>
    </row>
    <row r="759">
      <c r="C759" s="8"/>
      <c r="Q759" s="14">
        <f t="shared" si="1"/>
        <v>0</v>
      </c>
    </row>
    <row r="760">
      <c r="C760" s="8"/>
      <c r="Q760" s="14">
        <f t="shared" si="1"/>
        <v>0</v>
      </c>
    </row>
    <row r="761">
      <c r="C761" s="8"/>
      <c r="Q761" s="14">
        <f t="shared" si="1"/>
        <v>0</v>
      </c>
    </row>
    <row r="762">
      <c r="C762" s="8"/>
      <c r="Q762" s="14">
        <f t="shared" si="1"/>
        <v>0</v>
      </c>
    </row>
    <row r="763">
      <c r="C763" s="8"/>
      <c r="Q763" s="14">
        <f t="shared" si="1"/>
        <v>0</v>
      </c>
    </row>
    <row r="764">
      <c r="C764" s="8"/>
      <c r="Q764" s="14">
        <f t="shared" si="1"/>
        <v>0</v>
      </c>
    </row>
    <row r="765">
      <c r="C765" s="8"/>
      <c r="Q765" s="14">
        <f t="shared" si="1"/>
        <v>0</v>
      </c>
    </row>
    <row r="766">
      <c r="C766" s="8"/>
      <c r="Q766" s="14">
        <f t="shared" si="1"/>
        <v>0</v>
      </c>
    </row>
    <row r="767">
      <c r="C767" s="8"/>
      <c r="Q767" s="14">
        <f t="shared" si="1"/>
        <v>0</v>
      </c>
    </row>
    <row r="768">
      <c r="C768" s="8"/>
      <c r="Q768" s="14">
        <f t="shared" si="1"/>
        <v>0</v>
      </c>
    </row>
    <row r="769">
      <c r="C769" s="8"/>
      <c r="Q769" s="14">
        <f t="shared" si="1"/>
        <v>0</v>
      </c>
    </row>
    <row r="770">
      <c r="C770" s="8"/>
      <c r="Q770" s="14">
        <f t="shared" si="1"/>
        <v>0</v>
      </c>
    </row>
    <row r="771">
      <c r="C771" s="8"/>
      <c r="Q771" s="14">
        <f t="shared" si="1"/>
        <v>0</v>
      </c>
    </row>
    <row r="772">
      <c r="C772" s="8"/>
      <c r="Q772" s="14">
        <f t="shared" si="1"/>
        <v>0</v>
      </c>
    </row>
    <row r="773">
      <c r="C773" s="8"/>
      <c r="Q773" s="14">
        <f t="shared" si="1"/>
        <v>0</v>
      </c>
    </row>
    <row r="774">
      <c r="C774" s="8"/>
      <c r="Q774" s="14">
        <f t="shared" si="1"/>
        <v>0</v>
      </c>
    </row>
    <row r="775">
      <c r="C775" s="8"/>
      <c r="Q775" s="14">
        <f t="shared" si="1"/>
        <v>0</v>
      </c>
    </row>
    <row r="776">
      <c r="C776" s="8"/>
      <c r="Q776" s="14">
        <f t="shared" si="1"/>
        <v>0</v>
      </c>
    </row>
    <row r="777">
      <c r="C777" s="8"/>
      <c r="Q777" s="14">
        <f t="shared" si="1"/>
        <v>0</v>
      </c>
    </row>
    <row r="778">
      <c r="C778" s="8"/>
      <c r="Q778" s="14">
        <f t="shared" si="1"/>
        <v>0</v>
      </c>
    </row>
    <row r="779">
      <c r="C779" s="8"/>
      <c r="Q779" s="14">
        <f t="shared" si="1"/>
        <v>0</v>
      </c>
    </row>
    <row r="780">
      <c r="C780" s="8"/>
      <c r="Q780" s="14">
        <f t="shared" si="1"/>
        <v>0</v>
      </c>
    </row>
    <row r="781">
      <c r="C781" s="8"/>
      <c r="Q781" s="14">
        <f t="shared" si="1"/>
        <v>0</v>
      </c>
    </row>
    <row r="782">
      <c r="C782" s="8"/>
      <c r="Q782" s="14">
        <f t="shared" si="1"/>
        <v>0</v>
      </c>
    </row>
    <row r="783">
      <c r="C783" s="8"/>
      <c r="Q783" s="14">
        <f t="shared" si="1"/>
        <v>0</v>
      </c>
    </row>
    <row r="784">
      <c r="C784" s="8"/>
      <c r="Q784" s="14">
        <f t="shared" si="1"/>
        <v>0</v>
      </c>
    </row>
    <row r="785">
      <c r="C785" s="8"/>
      <c r="Q785" s="14">
        <f t="shared" si="1"/>
        <v>0</v>
      </c>
    </row>
    <row r="786">
      <c r="C786" s="8"/>
      <c r="Q786" s="14">
        <f t="shared" si="1"/>
        <v>0</v>
      </c>
    </row>
    <row r="787">
      <c r="C787" s="8"/>
      <c r="Q787" s="14">
        <f t="shared" si="1"/>
        <v>0</v>
      </c>
    </row>
    <row r="788">
      <c r="C788" s="8"/>
      <c r="Q788" s="14">
        <f t="shared" si="1"/>
        <v>0</v>
      </c>
    </row>
    <row r="789">
      <c r="C789" s="8"/>
      <c r="Q789" s="14">
        <f t="shared" si="1"/>
        <v>0</v>
      </c>
    </row>
    <row r="790">
      <c r="C790" s="8"/>
      <c r="Q790" s="14">
        <f t="shared" si="1"/>
        <v>0</v>
      </c>
    </row>
    <row r="791">
      <c r="C791" s="8"/>
      <c r="Q791" s="14">
        <f t="shared" si="1"/>
        <v>0</v>
      </c>
    </row>
    <row r="792">
      <c r="C792" s="8"/>
      <c r="Q792" s="14">
        <f t="shared" si="1"/>
        <v>0</v>
      </c>
    </row>
    <row r="793">
      <c r="C793" s="8"/>
      <c r="Q793" s="14">
        <f t="shared" si="1"/>
        <v>0</v>
      </c>
    </row>
    <row r="794">
      <c r="C794" s="8"/>
      <c r="Q794" s="14">
        <f t="shared" si="1"/>
        <v>0</v>
      </c>
    </row>
    <row r="795">
      <c r="C795" s="8"/>
      <c r="Q795" s="14">
        <f t="shared" si="1"/>
        <v>0</v>
      </c>
    </row>
    <row r="796">
      <c r="C796" s="8"/>
      <c r="Q796" s="14">
        <f t="shared" si="1"/>
        <v>0</v>
      </c>
    </row>
    <row r="797">
      <c r="C797" s="8"/>
      <c r="Q797" s="14">
        <f t="shared" si="1"/>
        <v>0</v>
      </c>
    </row>
    <row r="798">
      <c r="C798" s="8"/>
      <c r="Q798" s="14">
        <f t="shared" si="1"/>
        <v>0</v>
      </c>
    </row>
    <row r="799">
      <c r="C799" s="8"/>
      <c r="Q799" s="14">
        <f t="shared" si="1"/>
        <v>0</v>
      </c>
    </row>
    <row r="800">
      <c r="C800" s="8"/>
      <c r="Q800" s="14">
        <f t="shared" si="1"/>
        <v>0</v>
      </c>
    </row>
    <row r="801">
      <c r="C801" s="8"/>
      <c r="Q801" s="14">
        <f t="shared" si="1"/>
        <v>0</v>
      </c>
    </row>
    <row r="802">
      <c r="C802" s="8"/>
      <c r="Q802" s="14">
        <f t="shared" si="1"/>
        <v>0</v>
      </c>
    </row>
    <row r="803">
      <c r="C803" s="8"/>
      <c r="Q803" s="14">
        <f t="shared" si="1"/>
        <v>0</v>
      </c>
    </row>
    <row r="804">
      <c r="C804" s="8"/>
      <c r="Q804" s="14">
        <f t="shared" si="1"/>
        <v>0</v>
      </c>
    </row>
    <row r="805">
      <c r="C805" s="8"/>
      <c r="Q805" s="14">
        <f t="shared" si="1"/>
        <v>0</v>
      </c>
    </row>
    <row r="806">
      <c r="C806" s="8"/>
      <c r="Q806" s="14">
        <f t="shared" si="1"/>
        <v>0</v>
      </c>
    </row>
    <row r="807">
      <c r="C807" s="8"/>
      <c r="Q807" s="14">
        <f t="shared" si="1"/>
        <v>0</v>
      </c>
    </row>
    <row r="808">
      <c r="C808" s="8"/>
      <c r="Q808" s="14">
        <f t="shared" si="1"/>
        <v>0</v>
      </c>
    </row>
    <row r="809">
      <c r="C809" s="8"/>
      <c r="Q809" s="14">
        <f t="shared" si="1"/>
        <v>0</v>
      </c>
    </row>
    <row r="810">
      <c r="C810" s="8"/>
      <c r="Q810" s="14">
        <f t="shared" si="1"/>
        <v>0</v>
      </c>
    </row>
    <row r="811">
      <c r="C811" s="8"/>
      <c r="Q811" s="14">
        <f t="shared" si="1"/>
        <v>0</v>
      </c>
    </row>
    <row r="812">
      <c r="C812" s="8"/>
      <c r="Q812" s="14">
        <f t="shared" si="1"/>
        <v>0</v>
      </c>
    </row>
    <row r="813">
      <c r="C813" s="8"/>
      <c r="Q813" s="14">
        <f t="shared" si="1"/>
        <v>0</v>
      </c>
    </row>
    <row r="814">
      <c r="C814" s="8"/>
      <c r="Q814" s="14">
        <f t="shared" si="1"/>
        <v>0</v>
      </c>
    </row>
    <row r="815">
      <c r="C815" s="8"/>
      <c r="Q815" s="14">
        <f t="shared" si="1"/>
        <v>0</v>
      </c>
    </row>
    <row r="816">
      <c r="C816" s="8"/>
      <c r="Q816" s="14">
        <f t="shared" si="1"/>
        <v>0</v>
      </c>
    </row>
    <row r="817">
      <c r="C817" s="8"/>
      <c r="Q817" s="14">
        <f t="shared" si="1"/>
        <v>0</v>
      </c>
    </row>
    <row r="818">
      <c r="C818" s="8"/>
      <c r="Q818" s="14">
        <f t="shared" si="1"/>
        <v>0</v>
      </c>
    </row>
    <row r="819">
      <c r="C819" s="8"/>
      <c r="Q819" s="14">
        <f t="shared" si="1"/>
        <v>0</v>
      </c>
    </row>
    <row r="820">
      <c r="C820" s="8"/>
      <c r="Q820" s="14">
        <f t="shared" si="1"/>
        <v>0</v>
      </c>
    </row>
    <row r="821">
      <c r="C821" s="8"/>
      <c r="Q821" s="14">
        <f t="shared" si="1"/>
        <v>0</v>
      </c>
    </row>
    <row r="822">
      <c r="C822" s="8"/>
      <c r="Q822" s="14">
        <f t="shared" si="1"/>
        <v>0</v>
      </c>
    </row>
    <row r="823">
      <c r="C823" s="8"/>
      <c r="Q823" s="14">
        <f t="shared" si="1"/>
        <v>0</v>
      </c>
    </row>
    <row r="824">
      <c r="C824" s="8"/>
      <c r="Q824" s="14">
        <f t="shared" si="1"/>
        <v>0</v>
      </c>
    </row>
    <row r="825">
      <c r="C825" s="8"/>
      <c r="Q825" s="14">
        <f t="shared" si="1"/>
        <v>0</v>
      </c>
    </row>
    <row r="826">
      <c r="C826" s="8"/>
      <c r="Q826" s="14">
        <f t="shared" si="1"/>
        <v>0</v>
      </c>
    </row>
    <row r="827">
      <c r="C827" s="8"/>
      <c r="Q827" s="14">
        <f t="shared" si="1"/>
        <v>0</v>
      </c>
    </row>
    <row r="828">
      <c r="C828" s="8"/>
      <c r="Q828" s="14">
        <f t="shared" si="1"/>
        <v>0</v>
      </c>
    </row>
    <row r="829">
      <c r="C829" s="8"/>
      <c r="Q829" s="14">
        <f t="shared" si="1"/>
        <v>0</v>
      </c>
    </row>
    <row r="830">
      <c r="C830" s="8"/>
      <c r="Q830" s="14">
        <f t="shared" si="1"/>
        <v>0</v>
      </c>
    </row>
    <row r="831">
      <c r="C831" s="8"/>
      <c r="Q831" s="14">
        <f t="shared" si="1"/>
        <v>0</v>
      </c>
    </row>
    <row r="832">
      <c r="C832" s="8"/>
      <c r="Q832" s="14">
        <f t="shared" si="1"/>
        <v>0</v>
      </c>
    </row>
    <row r="833">
      <c r="C833" s="8"/>
      <c r="Q833" s="14">
        <f t="shared" si="1"/>
        <v>0</v>
      </c>
    </row>
    <row r="834">
      <c r="C834" s="8"/>
      <c r="Q834" s="14">
        <f t="shared" si="1"/>
        <v>0</v>
      </c>
    </row>
    <row r="835">
      <c r="C835" s="8"/>
      <c r="Q835" s="14">
        <f t="shared" si="1"/>
        <v>0</v>
      </c>
    </row>
    <row r="836">
      <c r="C836" s="8"/>
      <c r="Q836" s="14">
        <f t="shared" si="1"/>
        <v>0</v>
      </c>
    </row>
    <row r="837">
      <c r="C837" s="8"/>
      <c r="Q837" s="14">
        <f t="shared" si="1"/>
        <v>0</v>
      </c>
    </row>
    <row r="838">
      <c r="C838" s="8"/>
      <c r="Q838" s="14">
        <f t="shared" si="1"/>
        <v>0</v>
      </c>
    </row>
    <row r="839">
      <c r="C839" s="8"/>
      <c r="Q839" s="14">
        <f t="shared" si="1"/>
        <v>0</v>
      </c>
    </row>
    <row r="840">
      <c r="C840" s="8"/>
      <c r="Q840" s="14">
        <f t="shared" si="1"/>
        <v>0</v>
      </c>
    </row>
    <row r="841">
      <c r="C841" s="8"/>
      <c r="Q841" s="14">
        <f t="shared" si="1"/>
        <v>0</v>
      </c>
    </row>
    <row r="842">
      <c r="C842" s="8"/>
      <c r="Q842" s="14">
        <f t="shared" si="1"/>
        <v>0</v>
      </c>
    </row>
    <row r="843">
      <c r="C843" s="8"/>
      <c r="Q843" s="14">
        <f t="shared" si="1"/>
        <v>0</v>
      </c>
    </row>
    <row r="844">
      <c r="C844" s="8"/>
      <c r="Q844" s="14">
        <f t="shared" si="1"/>
        <v>0</v>
      </c>
    </row>
    <row r="845">
      <c r="C845" s="8"/>
      <c r="Q845" s="14">
        <f t="shared" si="1"/>
        <v>0</v>
      </c>
    </row>
    <row r="846">
      <c r="C846" s="8"/>
      <c r="Q846" s="14">
        <f t="shared" si="1"/>
        <v>0</v>
      </c>
    </row>
    <row r="847">
      <c r="C847" s="8"/>
      <c r="Q847" s="14">
        <f t="shared" si="1"/>
        <v>0</v>
      </c>
    </row>
    <row r="848">
      <c r="C848" s="8"/>
      <c r="Q848" s="14">
        <f t="shared" si="1"/>
        <v>0</v>
      </c>
    </row>
    <row r="849">
      <c r="C849" s="8"/>
      <c r="Q849" s="14">
        <f t="shared" si="1"/>
        <v>0</v>
      </c>
    </row>
    <row r="850">
      <c r="C850" s="8"/>
      <c r="Q850" s="14">
        <f t="shared" si="1"/>
        <v>0</v>
      </c>
    </row>
    <row r="851">
      <c r="C851" s="8"/>
      <c r="Q851" s="14">
        <f t="shared" si="1"/>
        <v>0</v>
      </c>
    </row>
    <row r="852">
      <c r="C852" s="8"/>
      <c r="Q852" s="14">
        <f t="shared" si="1"/>
        <v>0</v>
      </c>
    </row>
    <row r="853">
      <c r="C853" s="8"/>
      <c r="Q853" s="14">
        <f t="shared" si="1"/>
        <v>0</v>
      </c>
    </row>
    <row r="854">
      <c r="C854" s="8"/>
      <c r="Q854" s="14">
        <f t="shared" si="1"/>
        <v>0</v>
      </c>
    </row>
    <row r="855">
      <c r="C855" s="8"/>
      <c r="Q855" s="14">
        <f t="shared" si="1"/>
        <v>0</v>
      </c>
    </row>
    <row r="856">
      <c r="C856" s="8"/>
      <c r="Q856" s="14">
        <f t="shared" si="1"/>
        <v>0</v>
      </c>
    </row>
    <row r="857">
      <c r="C857" s="8"/>
      <c r="Q857" s="14">
        <f t="shared" si="1"/>
        <v>0</v>
      </c>
    </row>
    <row r="858">
      <c r="C858" s="8"/>
      <c r="Q858" s="14">
        <f t="shared" si="1"/>
        <v>0</v>
      </c>
    </row>
    <row r="859">
      <c r="C859" s="8"/>
      <c r="Q859" s="14">
        <f t="shared" si="1"/>
        <v>0</v>
      </c>
    </row>
    <row r="860">
      <c r="C860" s="8"/>
      <c r="Q860" s="14">
        <f t="shared" si="1"/>
        <v>0</v>
      </c>
    </row>
    <row r="861">
      <c r="C861" s="8"/>
      <c r="Q861" s="14">
        <f t="shared" si="1"/>
        <v>0</v>
      </c>
    </row>
    <row r="862">
      <c r="C862" s="8"/>
      <c r="Q862" s="14">
        <f t="shared" si="1"/>
        <v>0</v>
      </c>
    </row>
    <row r="863">
      <c r="C863" s="8"/>
      <c r="Q863" s="14">
        <f t="shared" si="1"/>
        <v>0</v>
      </c>
    </row>
    <row r="864">
      <c r="C864" s="8"/>
      <c r="Q864" s="14">
        <f t="shared" si="1"/>
        <v>0</v>
      </c>
    </row>
    <row r="865">
      <c r="C865" s="8"/>
      <c r="Q865" s="14">
        <f t="shared" si="1"/>
        <v>0</v>
      </c>
    </row>
    <row r="866">
      <c r="C866" s="8"/>
      <c r="Q866" s="14">
        <f t="shared" si="1"/>
        <v>0</v>
      </c>
    </row>
    <row r="867">
      <c r="C867" s="8"/>
      <c r="Q867" s="14">
        <f t="shared" si="1"/>
        <v>0</v>
      </c>
    </row>
    <row r="868">
      <c r="C868" s="8"/>
      <c r="Q868" s="14">
        <f t="shared" si="1"/>
        <v>0</v>
      </c>
    </row>
    <row r="869">
      <c r="C869" s="8"/>
      <c r="Q869" s="14">
        <f t="shared" si="1"/>
        <v>0</v>
      </c>
    </row>
    <row r="870">
      <c r="C870" s="8"/>
      <c r="Q870" s="14">
        <f t="shared" si="1"/>
        <v>0</v>
      </c>
    </row>
    <row r="871">
      <c r="C871" s="8"/>
      <c r="Q871" s="14">
        <f t="shared" si="1"/>
        <v>0</v>
      </c>
    </row>
    <row r="872">
      <c r="C872" s="8"/>
      <c r="Q872" s="14">
        <f t="shared" si="1"/>
        <v>0</v>
      </c>
    </row>
    <row r="873">
      <c r="C873" s="8"/>
      <c r="Q873" s="14">
        <f t="shared" si="1"/>
        <v>0</v>
      </c>
    </row>
    <row r="874">
      <c r="C874" s="8"/>
      <c r="Q874" s="14">
        <f t="shared" si="1"/>
        <v>0</v>
      </c>
    </row>
    <row r="875">
      <c r="C875" s="8"/>
      <c r="Q875" s="14">
        <f t="shared" si="1"/>
        <v>0</v>
      </c>
    </row>
    <row r="876">
      <c r="C876" s="8"/>
      <c r="Q876" s="14">
        <f t="shared" si="1"/>
        <v>0</v>
      </c>
    </row>
    <row r="877">
      <c r="C877" s="8"/>
      <c r="Q877" s="14">
        <f t="shared" si="1"/>
        <v>0</v>
      </c>
    </row>
    <row r="878">
      <c r="C878" s="8"/>
      <c r="Q878" s="14">
        <f t="shared" si="1"/>
        <v>0</v>
      </c>
    </row>
    <row r="879">
      <c r="C879" s="8"/>
      <c r="Q879" s="14">
        <f t="shared" si="1"/>
        <v>0</v>
      </c>
    </row>
    <row r="880">
      <c r="C880" s="8"/>
      <c r="Q880" s="14">
        <f t="shared" si="1"/>
        <v>0</v>
      </c>
    </row>
    <row r="881">
      <c r="C881" s="8"/>
      <c r="Q881" s="14">
        <f t="shared" si="1"/>
        <v>0</v>
      </c>
    </row>
    <row r="882">
      <c r="C882" s="8"/>
      <c r="Q882" s="14">
        <f t="shared" si="1"/>
        <v>0</v>
      </c>
    </row>
    <row r="883">
      <c r="C883" s="8"/>
      <c r="Q883" s="14">
        <f t="shared" si="1"/>
        <v>0</v>
      </c>
    </row>
    <row r="884">
      <c r="C884" s="8"/>
      <c r="Q884" s="14">
        <f t="shared" si="1"/>
        <v>0</v>
      </c>
    </row>
    <row r="885">
      <c r="C885" s="8"/>
      <c r="Q885" s="14">
        <f t="shared" si="1"/>
        <v>0</v>
      </c>
    </row>
    <row r="886">
      <c r="C886" s="8"/>
      <c r="Q886" s="14">
        <f t="shared" si="1"/>
        <v>0</v>
      </c>
    </row>
    <row r="887">
      <c r="C887" s="8"/>
      <c r="Q887" s="14">
        <f t="shared" si="1"/>
        <v>0</v>
      </c>
    </row>
    <row r="888">
      <c r="C888" s="8"/>
      <c r="Q888" s="14">
        <f t="shared" si="1"/>
        <v>0</v>
      </c>
    </row>
    <row r="889">
      <c r="C889" s="8"/>
      <c r="Q889" s="14">
        <f t="shared" si="1"/>
        <v>0</v>
      </c>
    </row>
    <row r="890">
      <c r="C890" s="8"/>
      <c r="Q890" s="14">
        <f t="shared" si="1"/>
        <v>0</v>
      </c>
    </row>
    <row r="891">
      <c r="C891" s="8"/>
      <c r="Q891" s="14">
        <f t="shared" si="1"/>
        <v>0</v>
      </c>
    </row>
    <row r="892">
      <c r="C892" s="8"/>
      <c r="Q892" s="14">
        <f t="shared" si="1"/>
        <v>0</v>
      </c>
    </row>
    <row r="893">
      <c r="C893" s="8"/>
      <c r="Q893" s="14">
        <f t="shared" si="1"/>
        <v>0</v>
      </c>
    </row>
    <row r="894">
      <c r="C894" s="8"/>
      <c r="Q894" s="14">
        <f t="shared" si="1"/>
        <v>0</v>
      </c>
    </row>
    <row r="895">
      <c r="C895" s="8"/>
      <c r="Q895" s="14">
        <f t="shared" si="1"/>
        <v>0</v>
      </c>
    </row>
    <row r="896">
      <c r="C896" s="8"/>
      <c r="Q896" s="14">
        <f t="shared" si="1"/>
        <v>0</v>
      </c>
    </row>
    <row r="897">
      <c r="C897" s="8"/>
      <c r="Q897" s="14">
        <f t="shared" si="1"/>
        <v>0</v>
      </c>
    </row>
    <row r="898">
      <c r="C898" s="8"/>
      <c r="Q898" s="14">
        <f t="shared" si="1"/>
        <v>0</v>
      </c>
    </row>
    <row r="899">
      <c r="C899" s="8"/>
      <c r="Q899" s="14">
        <f t="shared" si="1"/>
        <v>0</v>
      </c>
    </row>
    <row r="900">
      <c r="C900" s="8"/>
      <c r="Q900" s="14">
        <f t="shared" si="1"/>
        <v>0</v>
      </c>
    </row>
    <row r="901">
      <c r="C901" s="8"/>
      <c r="Q901" s="14">
        <f t="shared" si="1"/>
        <v>0</v>
      </c>
    </row>
    <row r="902">
      <c r="C902" s="8"/>
      <c r="Q902" s="14">
        <f t="shared" si="1"/>
        <v>0</v>
      </c>
    </row>
    <row r="903">
      <c r="C903" s="8"/>
      <c r="Q903" s="14">
        <f t="shared" si="1"/>
        <v>0</v>
      </c>
    </row>
    <row r="904">
      <c r="C904" s="8"/>
      <c r="Q904" s="14">
        <f t="shared" si="1"/>
        <v>0</v>
      </c>
    </row>
    <row r="905">
      <c r="C905" s="8"/>
      <c r="Q905" s="14">
        <f t="shared" si="1"/>
        <v>0</v>
      </c>
    </row>
    <row r="906">
      <c r="C906" s="8"/>
      <c r="Q906" s="14">
        <f t="shared" si="1"/>
        <v>0</v>
      </c>
    </row>
    <row r="907">
      <c r="C907" s="8"/>
      <c r="Q907" s="14">
        <f t="shared" si="1"/>
        <v>0</v>
      </c>
    </row>
    <row r="908">
      <c r="C908" s="8"/>
      <c r="Q908" s="14">
        <f t="shared" si="1"/>
        <v>0</v>
      </c>
    </row>
    <row r="909">
      <c r="C909" s="8"/>
      <c r="Q909" s="14">
        <f t="shared" si="1"/>
        <v>0</v>
      </c>
    </row>
    <row r="910">
      <c r="C910" s="8"/>
      <c r="Q910" s="14">
        <f t="shared" si="1"/>
        <v>0</v>
      </c>
    </row>
    <row r="911">
      <c r="C911" s="8"/>
      <c r="Q911" s="14">
        <f t="shared" si="1"/>
        <v>0</v>
      </c>
    </row>
    <row r="912">
      <c r="C912" s="8"/>
      <c r="Q912" s="14">
        <f t="shared" si="1"/>
        <v>0</v>
      </c>
    </row>
    <row r="913">
      <c r="C913" s="8"/>
      <c r="Q913" s="14">
        <f t="shared" si="1"/>
        <v>0</v>
      </c>
    </row>
    <row r="914">
      <c r="C914" s="8"/>
      <c r="Q914" s="14">
        <f t="shared" si="1"/>
        <v>0</v>
      </c>
    </row>
    <row r="915">
      <c r="C915" s="8"/>
      <c r="Q915" s="14">
        <f t="shared" si="1"/>
        <v>0</v>
      </c>
    </row>
    <row r="916">
      <c r="C916" s="8"/>
      <c r="Q916" s="14">
        <f t="shared" si="1"/>
        <v>0</v>
      </c>
    </row>
    <row r="917">
      <c r="C917" s="8"/>
      <c r="Q917" s="14">
        <f t="shared" si="1"/>
        <v>0</v>
      </c>
    </row>
    <row r="918">
      <c r="C918" s="8"/>
      <c r="Q918" s="14">
        <f t="shared" si="1"/>
        <v>0</v>
      </c>
    </row>
    <row r="919">
      <c r="C919" s="8"/>
      <c r="Q919" s="14">
        <f t="shared" si="1"/>
        <v>0</v>
      </c>
    </row>
    <row r="920">
      <c r="C920" s="8"/>
      <c r="Q920" s="14">
        <f t="shared" si="1"/>
        <v>0</v>
      </c>
    </row>
    <row r="921">
      <c r="C921" s="8"/>
      <c r="Q921" s="14">
        <f t="shared" si="1"/>
        <v>0</v>
      </c>
    </row>
    <row r="922">
      <c r="C922" s="8"/>
      <c r="Q922" s="14">
        <f t="shared" si="1"/>
        <v>0</v>
      </c>
    </row>
    <row r="923">
      <c r="C923" s="8"/>
      <c r="Q923" s="14">
        <f t="shared" si="1"/>
        <v>0</v>
      </c>
    </row>
    <row r="924">
      <c r="C924" s="8"/>
      <c r="Q924" s="14">
        <f t="shared" si="1"/>
        <v>0</v>
      </c>
    </row>
    <row r="925">
      <c r="C925" s="8"/>
      <c r="Q925" s="14">
        <f t="shared" si="1"/>
        <v>0</v>
      </c>
    </row>
    <row r="926">
      <c r="C926" s="8"/>
      <c r="Q926" s="14">
        <f t="shared" si="1"/>
        <v>0</v>
      </c>
    </row>
    <row r="927">
      <c r="C927" s="8"/>
      <c r="Q927" s="14">
        <f t="shared" si="1"/>
        <v>0</v>
      </c>
    </row>
    <row r="928">
      <c r="C928" s="8"/>
      <c r="Q928" s="14">
        <f t="shared" si="1"/>
        <v>0</v>
      </c>
    </row>
    <row r="929">
      <c r="C929" s="8"/>
      <c r="Q929" s="14">
        <f t="shared" si="1"/>
        <v>0</v>
      </c>
    </row>
    <row r="930">
      <c r="C930" s="8"/>
      <c r="Q930" s="14">
        <f t="shared" si="1"/>
        <v>0</v>
      </c>
    </row>
    <row r="931">
      <c r="C931" s="8"/>
      <c r="Q931" s="14">
        <f t="shared" si="1"/>
        <v>0</v>
      </c>
    </row>
    <row r="932">
      <c r="C932" s="8"/>
      <c r="Q932" s="14">
        <f t="shared" si="1"/>
        <v>0</v>
      </c>
    </row>
    <row r="933">
      <c r="C933" s="8"/>
      <c r="Q933" s="14">
        <f t="shared" si="1"/>
        <v>0</v>
      </c>
    </row>
    <row r="934">
      <c r="C934" s="8"/>
      <c r="Q934" s="14">
        <f t="shared" si="1"/>
        <v>0</v>
      </c>
    </row>
    <row r="935">
      <c r="C935" s="8"/>
      <c r="Q935" s="14">
        <f t="shared" si="1"/>
        <v>0</v>
      </c>
    </row>
    <row r="936">
      <c r="C936" s="8"/>
      <c r="Q936" s="14">
        <f t="shared" si="1"/>
        <v>0</v>
      </c>
    </row>
    <row r="937">
      <c r="C937" s="8"/>
      <c r="Q937" s="14">
        <f t="shared" si="1"/>
        <v>0</v>
      </c>
    </row>
    <row r="938">
      <c r="C938" s="8"/>
      <c r="Q938" s="14">
        <f t="shared" si="1"/>
        <v>0</v>
      </c>
    </row>
    <row r="939">
      <c r="C939" s="8"/>
      <c r="Q939" s="14">
        <f t="shared" si="1"/>
        <v>0</v>
      </c>
    </row>
    <row r="940">
      <c r="C940" s="8"/>
      <c r="Q940" s="14">
        <f t="shared" si="1"/>
        <v>0</v>
      </c>
    </row>
    <row r="941">
      <c r="C941" s="8"/>
      <c r="Q941" s="14">
        <f t="shared" si="1"/>
        <v>0</v>
      </c>
    </row>
    <row r="942">
      <c r="C942" s="8"/>
      <c r="Q942" s="14">
        <f t="shared" si="1"/>
        <v>0</v>
      </c>
    </row>
    <row r="943">
      <c r="C943" s="8"/>
      <c r="Q943" s="14">
        <f t="shared" si="1"/>
        <v>0</v>
      </c>
    </row>
    <row r="944">
      <c r="C944" s="8"/>
      <c r="Q944" s="14">
        <f t="shared" si="1"/>
        <v>0</v>
      </c>
    </row>
    <row r="945">
      <c r="C945" s="8"/>
      <c r="Q945" s="14">
        <f t="shared" si="1"/>
        <v>0</v>
      </c>
    </row>
    <row r="946">
      <c r="C946" s="8"/>
      <c r="Q946" s="14">
        <f t="shared" si="1"/>
        <v>0</v>
      </c>
    </row>
    <row r="947">
      <c r="C947" s="8"/>
      <c r="Q947" s="14">
        <f t="shared" si="1"/>
        <v>0</v>
      </c>
    </row>
    <row r="948">
      <c r="C948" s="8"/>
      <c r="Q948" s="14">
        <f t="shared" si="1"/>
        <v>0</v>
      </c>
    </row>
    <row r="949">
      <c r="C949" s="8"/>
      <c r="Q949" s="14">
        <f t="shared" si="1"/>
        <v>0</v>
      </c>
    </row>
    <row r="950">
      <c r="C950" s="8"/>
      <c r="Q950" s="14">
        <f t="shared" si="1"/>
        <v>0</v>
      </c>
    </row>
    <row r="951">
      <c r="C951" s="8"/>
      <c r="Q951" s="14">
        <f t="shared" si="1"/>
        <v>0</v>
      </c>
    </row>
    <row r="952">
      <c r="C952" s="8"/>
      <c r="Q952" s="14">
        <f t="shared" si="1"/>
        <v>0</v>
      </c>
    </row>
    <row r="953">
      <c r="C953" s="8"/>
      <c r="Q953" s="14">
        <f t="shared" si="1"/>
        <v>0</v>
      </c>
    </row>
    <row r="954">
      <c r="C954" s="8"/>
      <c r="Q954" s="14">
        <f t="shared" si="1"/>
        <v>0</v>
      </c>
    </row>
    <row r="955">
      <c r="C955" s="8"/>
      <c r="Q955" s="14">
        <f t="shared" si="1"/>
        <v>0</v>
      </c>
    </row>
    <row r="956">
      <c r="C956" s="8"/>
      <c r="Q956" s="14">
        <f t="shared" si="1"/>
        <v>0</v>
      </c>
    </row>
    <row r="957">
      <c r="C957" s="8"/>
      <c r="Q957" s="14">
        <f t="shared" si="1"/>
        <v>0</v>
      </c>
    </row>
    <row r="958">
      <c r="C958" s="8"/>
      <c r="Q958" s="14">
        <f t="shared" si="1"/>
        <v>0</v>
      </c>
    </row>
    <row r="959">
      <c r="C959" s="8"/>
      <c r="Q959" s="14">
        <f t="shared" si="1"/>
        <v>0</v>
      </c>
    </row>
    <row r="960">
      <c r="C960" s="8"/>
      <c r="Q960" s="14">
        <f t="shared" si="1"/>
        <v>0</v>
      </c>
    </row>
    <row r="961">
      <c r="C961" s="8"/>
      <c r="Q961" s="14">
        <f t="shared" si="1"/>
        <v>0</v>
      </c>
    </row>
    <row r="962">
      <c r="C962" s="8"/>
      <c r="Q962" s="14">
        <f t="shared" si="1"/>
        <v>0</v>
      </c>
    </row>
    <row r="963">
      <c r="C963" s="8"/>
      <c r="Q963" s="14">
        <f t="shared" si="1"/>
        <v>0</v>
      </c>
    </row>
    <row r="964">
      <c r="C964" s="8"/>
      <c r="Q964" s="14">
        <f t="shared" si="1"/>
        <v>0</v>
      </c>
    </row>
    <row r="965">
      <c r="C965" s="8"/>
      <c r="Q965" s="14">
        <f t="shared" si="1"/>
        <v>0</v>
      </c>
    </row>
    <row r="966">
      <c r="C966" s="8"/>
      <c r="Q966" s="14">
        <f t="shared" si="1"/>
        <v>0</v>
      </c>
    </row>
    <row r="967">
      <c r="C967" s="8"/>
      <c r="Q967" s="14">
        <f t="shared" si="1"/>
        <v>0</v>
      </c>
    </row>
    <row r="968">
      <c r="C968" s="8"/>
      <c r="Q968" s="14">
        <f t="shared" si="1"/>
        <v>0</v>
      </c>
    </row>
    <row r="969">
      <c r="C969" s="8"/>
      <c r="Q969" s="14">
        <f t="shared" si="1"/>
        <v>0</v>
      </c>
    </row>
    <row r="970">
      <c r="C970" s="8"/>
      <c r="Q970" s="14">
        <f t="shared" si="1"/>
        <v>0</v>
      </c>
    </row>
    <row r="971">
      <c r="C971" s="8"/>
      <c r="Q971" s="14">
        <f t="shared" si="1"/>
        <v>0</v>
      </c>
    </row>
    <row r="972">
      <c r="C972" s="8"/>
      <c r="Q972" s="14">
        <f t="shared" si="1"/>
        <v>0</v>
      </c>
    </row>
    <row r="973">
      <c r="C973" s="8"/>
      <c r="Q973" s="14">
        <f t="shared" si="1"/>
        <v>0</v>
      </c>
    </row>
    <row r="974">
      <c r="C974" s="8"/>
      <c r="Q974" s="14">
        <f t="shared" si="1"/>
        <v>0</v>
      </c>
    </row>
    <row r="975">
      <c r="C975" s="8"/>
      <c r="Q975" s="14">
        <f t="shared" si="1"/>
        <v>0</v>
      </c>
    </row>
    <row r="976">
      <c r="C976" s="8"/>
      <c r="Q976" s="14">
        <f t="shared" si="1"/>
        <v>0</v>
      </c>
    </row>
    <row r="977">
      <c r="C977" s="8"/>
      <c r="Q977" s="14">
        <f t="shared" si="1"/>
        <v>0</v>
      </c>
    </row>
    <row r="978">
      <c r="C978" s="8"/>
      <c r="Q978" s="14">
        <f t="shared" si="1"/>
        <v>0</v>
      </c>
    </row>
    <row r="979">
      <c r="C979" s="8"/>
      <c r="Q979" s="14">
        <f t="shared" si="1"/>
        <v>0</v>
      </c>
    </row>
    <row r="980">
      <c r="C980" s="8"/>
      <c r="Q980" s="14">
        <f t="shared" si="1"/>
        <v>0</v>
      </c>
    </row>
    <row r="981">
      <c r="C981" s="8"/>
      <c r="Q981" s="14">
        <f t="shared" si="1"/>
        <v>0</v>
      </c>
    </row>
    <row r="982">
      <c r="C982" s="8"/>
      <c r="Q982" s="14">
        <f t="shared" si="1"/>
        <v>0</v>
      </c>
    </row>
    <row r="983">
      <c r="C983" s="8"/>
      <c r="Q983" s="14">
        <f t="shared" si="1"/>
        <v>0</v>
      </c>
    </row>
    <row r="984">
      <c r="C984" s="8"/>
      <c r="Q984" s="14">
        <f t="shared" si="1"/>
        <v>0</v>
      </c>
    </row>
    <row r="985">
      <c r="C985" s="8"/>
      <c r="Q985" s="14">
        <f t="shared" si="1"/>
        <v>0</v>
      </c>
    </row>
    <row r="986">
      <c r="C986" s="8"/>
      <c r="Q986" s="14">
        <f t="shared" si="1"/>
        <v>0</v>
      </c>
    </row>
    <row r="987">
      <c r="C987" s="8"/>
      <c r="Q987" s="14">
        <f t="shared" si="1"/>
        <v>0</v>
      </c>
    </row>
    <row r="988">
      <c r="C988" s="8"/>
      <c r="Q988" s="14">
        <f t="shared" si="1"/>
        <v>0</v>
      </c>
    </row>
    <row r="989">
      <c r="C989" s="8"/>
      <c r="Q989" s="14">
        <f t="shared" si="1"/>
        <v>0</v>
      </c>
    </row>
    <row r="990">
      <c r="C990" s="8"/>
      <c r="Q990" s="14">
        <f t="shared" si="1"/>
        <v>0</v>
      </c>
    </row>
    <row r="991">
      <c r="C991" s="8"/>
      <c r="Q991" s="14">
        <f t="shared" si="1"/>
        <v>0</v>
      </c>
    </row>
    <row r="992">
      <c r="C992" s="8"/>
      <c r="Q992" s="14">
        <f t="shared" si="1"/>
        <v>0</v>
      </c>
    </row>
    <row r="993">
      <c r="C993" s="8"/>
      <c r="Q993" s="14">
        <f t="shared" si="1"/>
        <v>0</v>
      </c>
    </row>
    <row r="994">
      <c r="C994" s="8"/>
      <c r="Q994" s="14">
        <f t="shared" si="1"/>
        <v>0</v>
      </c>
    </row>
    <row r="995">
      <c r="C995" s="8"/>
      <c r="Q995" s="14">
        <f t="shared" si="1"/>
        <v>0</v>
      </c>
    </row>
    <row r="996">
      <c r="C996" s="8"/>
      <c r="Q996" s="14">
        <f t="shared" si="1"/>
        <v>0</v>
      </c>
    </row>
    <row r="997">
      <c r="C997" s="8"/>
      <c r="Q997" s="14">
        <f t="shared" si="1"/>
        <v>0</v>
      </c>
    </row>
    <row r="998">
      <c r="C998" s="8"/>
      <c r="Q998" s="14">
        <f t="shared" si="1"/>
        <v>0</v>
      </c>
    </row>
    <row r="999">
      <c r="C999" s="8"/>
      <c r="Q999" s="14">
        <f t="shared" si="1"/>
        <v>0</v>
      </c>
    </row>
    <row r="1000">
      <c r="C1000" s="8"/>
      <c r="Q1000" s="14">
        <f t="shared" si="1"/>
        <v>0</v>
      </c>
    </row>
    <row r="1001">
      <c r="C1001" s="8"/>
      <c r="Q1001" s="14">
        <f t="shared" si="1"/>
        <v>0</v>
      </c>
    </row>
    <row r="1002">
      <c r="C1002" s="8"/>
      <c r="Q1002" s="14">
        <f t="shared" si="1"/>
        <v>0</v>
      </c>
    </row>
    <row r="1003">
      <c r="C1003" s="8"/>
      <c r="Q1003" s="14">
        <f t="shared" si="1"/>
        <v>0</v>
      </c>
    </row>
    <row r="1004">
      <c r="C1004" s="8"/>
      <c r="Q1004" s="14">
        <f t="shared" si="1"/>
        <v>0</v>
      </c>
    </row>
    <row r="1005">
      <c r="C1005" s="8"/>
      <c r="Q1005" s="14">
        <f t="shared" si="1"/>
        <v>0</v>
      </c>
    </row>
    <row r="1006">
      <c r="C1006" s="8"/>
      <c r="Q1006" s="14">
        <f t="shared" si="1"/>
        <v>0</v>
      </c>
    </row>
    <row r="1007">
      <c r="C1007" s="8"/>
      <c r="Q1007" s="14">
        <f t="shared" si="1"/>
        <v>0</v>
      </c>
    </row>
    <row r="1008">
      <c r="C1008" s="8"/>
      <c r="Q1008" s="14">
        <f t="shared" si="1"/>
        <v>0</v>
      </c>
    </row>
    <row r="1009">
      <c r="C1009" s="8"/>
      <c r="Q1009" s="14">
        <f t="shared" si="1"/>
        <v>0</v>
      </c>
    </row>
    <row r="1010">
      <c r="C1010" s="8"/>
      <c r="Q1010" s="14">
        <f t="shared" si="1"/>
        <v>0</v>
      </c>
    </row>
    <row r="1011">
      <c r="C1011" s="8"/>
      <c r="Q1011" s="14">
        <f t="shared" si="1"/>
        <v>0</v>
      </c>
    </row>
    <row r="1012">
      <c r="C1012" s="8"/>
      <c r="Q1012" s="14">
        <f t="shared" si="1"/>
        <v>0</v>
      </c>
    </row>
    <row r="1013">
      <c r="C1013" s="8"/>
      <c r="Q1013" s="14">
        <f t="shared" si="1"/>
        <v>0</v>
      </c>
    </row>
    <row r="1014">
      <c r="C1014" s="8"/>
      <c r="Q1014" s="14">
        <f t="shared" si="1"/>
        <v>0</v>
      </c>
    </row>
    <row r="1015">
      <c r="C1015" s="8"/>
      <c r="Q1015" s="14">
        <f t="shared" si="1"/>
        <v>0</v>
      </c>
    </row>
    <row r="1016">
      <c r="C1016" s="8"/>
      <c r="Q1016" s="14">
        <f t="shared" si="1"/>
        <v>0</v>
      </c>
    </row>
    <row r="1017">
      <c r="C1017" s="8"/>
      <c r="Q1017" s="14">
        <f t="shared" si="1"/>
        <v>0</v>
      </c>
    </row>
    <row r="1018">
      <c r="C1018" s="8"/>
      <c r="Q1018" s="14">
        <f t="shared" si="1"/>
        <v>0</v>
      </c>
    </row>
    <row r="1019">
      <c r="C1019" s="8"/>
      <c r="Q1019" s="14">
        <f t="shared" si="1"/>
        <v>0</v>
      </c>
    </row>
    <row r="1020">
      <c r="C1020" s="8"/>
      <c r="Q1020" s="14">
        <f t="shared" si="1"/>
        <v>0</v>
      </c>
    </row>
    <row r="1021">
      <c r="C1021" s="8"/>
      <c r="Q1021" s="14">
        <f t="shared" si="1"/>
        <v>0</v>
      </c>
    </row>
    <row r="1022">
      <c r="C1022" s="8"/>
      <c r="Q1022" s="14">
        <f t="shared" si="1"/>
        <v>0</v>
      </c>
    </row>
    <row r="1023">
      <c r="C1023" s="8"/>
      <c r="Q1023" s="14">
        <f t="shared" si="1"/>
        <v>0</v>
      </c>
    </row>
    <row r="1024">
      <c r="C1024" s="8"/>
      <c r="Q1024" s="14">
        <f t="shared" si="1"/>
        <v>0</v>
      </c>
    </row>
    <row r="1025">
      <c r="C1025" s="8"/>
      <c r="Q1025" s="14">
        <f t="shared" si="1"/>
        <v>0</v>
      </c>
    </row>
    <row r="1026">
      <c r="C1026" s="8"/>
      <c r="Q1026" s="14">
        <f t="shared" si="1"/>
        <v>0</v>
      </c>
    </row>
    <row r="1027">
      <c r="C1027" s="8"/>
      <c r="Q1027" s="14">
        <f t="shared" si="1"/>
        <v>0</v>
      </c>
    </row>
    <row r="1028">
      <c r="C1028" s="8"/>
      <c r="Q1028" s="14">
        <f t="shared" si="1"/>
        <v>0</v>
      </c>
    </row>
    <row r="1029">
      <c r="C1029" s="8"/>
      <c r="Q1029" s="14">
        <f t="shared" si="1"/>
        <v>0</v>
      </c>
    </row>
    <row r="1030">
      <c r="C1030" s="8"/>
      <c r="Q1030" s="14">
        <f t="shared" si="1"/>
        <v>0</v>
      </c>
    </row>
    <row r="1031">
      <c r="C1031" s="8"/>
      <c r="Q1031" s="14">
        <f t="shared" si="1"/>
        <v>0</v>
      </c>
    </row>
    <row r="1032">
      <c r="C1032" s="8"/>
      <c r="Q1032" s="14">
        <f t="shared" si="1"/>
        <v>0</v>
      </c>
    </row>
    <row r="1033">
      <c r="C1033" s="8"/>
      <c r="Q1033" s="14">
        <f t="shared" si="1"/>
        <v>0</v>
      </c>
    </row>
    <row r="1034">
      <c r="C1034" s="8"/>
      <c r="Q1034" s="14">
        <f t="shared" si="1"/>
        <v>0</v>
      </c>
    </row>
    <row r="1035">
      <c r="C1035" s="8"/>
      <c r="Q1035" s="14">
        <f t="shared" si="1"/>
        <v>0</v>
      </c>
    </row>
    <row r="1036">
      <c r="C1036" s="8"/>
      <c r="Q1036" s="14">
        <f t="shared" si="1"/>
        <v>0</v>
      </c>
    </row>
    <row r="1037">
      <c r="C1037" s="8"/>
      <c r="Q1037" s="14">
        <f t="shared" si="1"/>
        <v>0</v>
      </c>
    </row>
    <row r="1038">
      <c r="C1038" s="8"/>
      <c r="Q1038" s="14">
        <f t="shared" si="1"/>
        <v>0</v>
      </c>
    </row>
    <row r="1039">
      <c r="C1039" s="8"/>
      <c r="Q1039" s="14">
        <f t="shared" si="1"/>
        <v>0</v>
      </c>
    </row>
    <row r="1040">
      <c r="C1040" s="8"/>
      <c r="Q1040" s="14">
        <f t="shared" si="1"/>
        <v>0</v>
      </c>
    </row>
    <row r="1041">
      <c r="C1041" s="8"/>
      <c r="Q1041" s="14">
        <f t="shared" si="1"/>
        <v>0</v>
      </c>
    </row>
    <row r="1042">
      <c r="C1042" s="8"/>
      <c r="Q1042" s="14">
        <f t="shared" si="1"/>
        <v>0</v>
      </c>
    </row>
    <row r="1043">
      <c r="C1043" s="8"/>
      <c r="Q1043" s="14">
        <f t="shared" si="1"/>
        <v>0</v>
      </c>
    </row>
    <row r="1044">
      <c r="C1044" s="8"/>
      <c r="Q1044" s="14">
        <f t="shared" si="1"/>
        <v>0</v>
      </c>
    </row>
    <row r="1045">
      <c r="C1045" s="8"/>
      <c r="Q1045" s="14">
        <f t="shared" si="1"/>
        <v>0</v>
      </c>
    </row>
    <row r="1046">
      <c r="C1046" s="8"/>
      <c r="Q1046" s="14">
        <f t="shared" si="1"/>
        <v>0</v>
      </c>
    </row>
    <row r="1047">
      <c r="C1047" s="8"/>
      <c r="Q1047" s="14">
        <f t="shared" si="1"/>
        <v>0</v>
      </c>
    </row>
    <row r="1048">
      <c r="C1048" s="8"/>
      <c r="Q1048" s="14">
        <f t="shared" si="1"/>
        <v>0</v>
      </c>
    </row>
    <row r="1049">
      <c r="C1049" s="8"/>
      <c r="Q1049" s="14">
        <f t="shared" si="1"/>
        <v>0</v>
      </c>
    </row>
    <row r="1050">
      <c r="C1050" s="8"/>
      <c r="Q1050" s="14">
        <f t="shared" si="1"/>
        <v>0</v>
      </c>
    </row>
    <row r="1051">
      <c r="C1051" s="8"/>
      <c r="Q1051" s="14">
        <f t="shared" si="1"/>
        <v>0</v>
      </c>
    </row>
    <row r="1052">
      <c r="C1052" s="8"/>
      <c r="Q1052" s="14">
        <f t="shared" si="1"/>
        <v>0</v>
      </c>
    </row>
    <row r="1053">
      <c r="C1053" s="8"/>
      <c r="Q1053" s="14">
        <f t="shared" si="1"/>
        <v>0</v>
      </c>
    </row>
    <row r="1054">
      <c r="C1054" s="8"/>
      <c r="Q1054" s="14">
        <f t="shared" si="1"/>
        <v>0</v>
      </c>
    </row>
    <row r="1055">
      <c r="C1055" s="8"/>
      <c r="Q1055" s="14">
        <f t="shared" si="1"/>
        <v>0</v>
      </c>
    </row>
    <row r="1056">
      <c r="C1056" s="8"/>
      <c r="Q1056" s="14">
        <f t="shared" si="1"/>
        <v>0</v>
      </c>
    </row>
    <row r="1057">
      <c r="C1057" s="8"/>
      <c r="Q1057" s="14">
        <f t="shared" si="1"/>
        <v>0</v>
      </c>
    </row>
    <row r="1058">
      <c r="C1058" s="8"/>
      <c r="Q1058" s="14">
        <f t="shared" si="1"/>
        <v>0</v>
      </c>
    </row>
    <row r="1059">
      <c r="C1059" s="8"/>
      <c r="Q1059" s="14">
        <f t="shared" si="1"/>
        <v>0</v>
      </c>
    </row>
    <row r="1060">
      <c r="C1060" s="8"/>
      <c r="Q1060" s="14">
        <f t="shared" si="1"/>
        <v>0</v>
      </c>
    </row>
    <row r="1061">
      <c r="C1061" s="8"/>
      <c r="Q1061" s="14">
        <f t="shared" si="1"/>
        <v>0</v>
      </c>
    </row>
    <row r="1062">
      <c r="C1062" s="8"/>
      <c r="Q1062" s="14">
        <f t="shared" si="1"/>
        <v>0</v>
      </c>
    </row>
    <row r="1063">
      <c r="C1063" s="8"/>
      <c r="Q1063" s="14">
        <f t="shared" si="1"/>
        <v>0</v>
      </c>
    </row>
    <row r="1064">
      <c r="C1064" s="8"/>
      <c r="Q1064" s="14">
        <f t="shared" si="1"/>
        <v>0</v>
      </c>
    </row>
    <row r="1065">
      <c r="C1065" s="8"/>
      <c r="Q1065" s="14">
        <f t="shared" si="1"/>
        <v>0</v>
      </c>
    </row>
    <row r="1066">
      <c r="C1066" s="8"/>
      <c r="Q1066" s="14">
        <f t="shared" si="1"/>
        <v>0</v>
      </c>
    </row>
    <row r="1067">
      <c r="C1067" s="8"/>
      <c r="Q1067" s="14">
        <f t="shared" si="1"/>
        <v>0</v>
      </c>
    </row>
    <row r="1068">
      <c r="C1068" s="8"/>
      <c r="Q1068" s="14">
        <f t="shared" si="1"/>
        <v>0</v>
      </c>
    </row>
    <row r="1069">
      <c r="C1069" s="8"/>
      <c r="Q1069" s="14">
        <f t="shared" si="1"/>
        <v>0</v>
      </c>
    </row>
    <row r="1070">
      <c r="C1070" s="8"/>
      <c r="Q1070" s="14">
        <f t="shared" si="1"/>
        <v>0</v>
      </c>
    </row>
    <row r="1071">
      <c r="C1071" s="8"/>
      <c r="Q1071" s="14">
        <f t="shared" si="1"/>
        <v>0</v>
      </c>
    </row>
    <row r="1072">
      <c r="C1072" s="8"/>
      <c r="Q1072" s="14">
        <f t="shared" si="1"/>
        <v>0</v>
      </c>
    </row>
    <row r="1073">
      <c r="C1073" s="8"/>
      <c r="Q1073" s="14">
        <f t="shared" si="1"/>
        <v>0</v>
      </c>
    </row>
    <row r="1074">
      <c r="C1074" s="8"/>
      <c r="Q1074" s="14">
        <f t="shared" si="1"/>
        <v>0</v>
      </c>
    </row>
    <row r="1075">
      <c r="C1075" s="8"/>
      <c r="Q1075" s="14">
        <f t="shared" si="1"/>
        <v>0</v>
      </c>
    </row>
    <row r="1076">
      <c r="C1076" s="8"/>
      <c r="Q1076" s="14">
        <f t="shared" si="1"/>
        <v>0</v>
      </c>
    </row>
    <row r="1077">
      <c r="C1077" s="8"/>
      <c r="Q1077" s="14">
        <f t="shared" si="1"/>
        <v>0</v>
      </c>
    </row>
    <row r="1078">
      <c r="C1078" s="8"/>
      <c r="Q1078" s="14">
        <f t="shared" si="1"/>
        <v>0</v>
      </c>
    </row>
    <row r="1079">
      <c r="C1079" s="8"/>
      <c r="Q1079" s="14">
        <f t="shared" si="1"/>
        <v>0</v>
      </c>
    </row>
    <row r="1080">
      <c r="C1080" s="8"/>
      <c r="Q1080" s="14">
        <f t="shared" si="1"/>
        <v>0</v>
      </c>
    </row>
    <row r="1081">
      <c r="C1081" s="8"/>
      <c r="Q1081" s="14">
        <f t="shared" si="1"/>
        <v>0</v>
      </c>
    </row>
    <row r="1082">
      <c r="C1082" s="8"/>
      <c r="Q1082" s="14">
        <f t="shared" si="1"/>
        <v>0</v>
      </c>
    </row>
    <row r="1083">
      <c r="C1083" s="8"/>
      <c r="Q1083" s="14">
        <f t="shared" si="1"/>
        <v>0</v>
      </c>
    </row>
    <row r="1084">
      <c r="C1084" s="8"/>
      <c r="Q1084" s="14">
        <f t="shared" si="1"/>
        <v>0</v>
      </c>
    </row>
    <row r="1085">
      <c r="C1085" s="8"/>
      <c r="Q1085" s="14">
        <f t="shared" si="1"/>
        <v>0</v>
      </c>
    </row>
    <row r="1086">
      <c r="C1086" s="8"/>
      <c r="Q1086" s="14">
        <f t="shared" si="1"/>
        <v>0</v>
      </c>
    </row>
    <row r="1087">
      <c r="C1087" s="8"/>
      <c r="Q1087" s="14">
        <f t="shared" si="1"/>
        <v>0</v>
      </c>
    </row>
    <row r="1088">
      <c r="C1088" s="8"/>
      <c r="Q1088" s="14">
        <f t="shared" si="1"/>
        <v>0</v>
      </c>
    </row>
    <row r="1089">
      <c r="C1089" s="8"/>
      <c r="Q1089" s="14">
        <f t="shared" si="1"/>
        <v>0</v>
      </c>
    </row>
    <row r="1090">
      <c r="C1090" s="8"/>
      <c r="Q1090" s="14">
        <f t="shared" si="1"/>
        <v>0</v>
      </c>
    </row>
    <row r="1091">
      <c r="C1091" s="8"/>
      <c r="Q1091" s="14">
        <f t="shared" si="1"/>
        <v>0</v>
      </c>
    </row>
    <row r="1092">
      <c r="C1092" s="8"/>
      <c r="Q1092" s="14">
        <f t="shared" si="1"/>
        <v>0</v>
      </c>
    </row>
    <row r="1093">
      <c r="C1093" s="8"/>
      <c r="Q1093" s="14">
        <f t="shared" si="1"/>
        <v>0</v>
      </c>
    </row>
    <row r="1094">
      <c r="C1094" s="8"/>
      <c r="Q1094" s="14">
        <f t="shared" si="1"/>
        <v>0</v>
      </c>
    </row>
    <row r="1095">
      <c r="C1095" s="8"/>
      <c r="Q1095" s="14">
        <f t="shared" si="1"/>
        <v>0</v>
      </c>
    </row>
    <row r="1096">
      <c r="C1096" s="8"/>
      <c r="Q1096" s="14">
        <f t="shared" si="1"/>
        <v>0</v>
      </c>
    </row>
    <row r="1097">
      <c r="C1097" s="8"/>
      <c r="Q1097" s="14">
        <f t="shared" si="1"/>
        <v>0</v>
      </c>
    </row>
    <row r="1098">
      <c r="C1098" s="8"/>
      <c r="Q1098" s="14">
        <f t="shared" si="1"/>
        <v>0</v>
      </c>
    </row>
    <row r="1099">
      <c r="C1099" s="8"/>
      <c r="Q1099" s="14">
        <f t="shared" si="1"/>
        <v>0</v>
      </c>
    </row>
    <row r="1100">
      <c r="C1100" s="8"/>
      <c r="Q1100" s="14">
        <f t="shared" si="1"/>
        <v>0</v>
      </c>
    </row>
    <row r="1101">
      <c r="C1101" s="8"/>
      <c r="Q1101" s="14">
        <f t="shared" si="1"/>
        <v>0</v>
      </c>
    </row>
    <row r="1102">
      <c r="C1102" s="8"/>
      <c r="Q1102" s="14">
        <f t="shared" si="1"/>
        <v>0</v>
      </c>
    </row>
    <row r="1103">
      <c r="C1103" s="8"/>
      <c r="Q1103" s="14">
        <f t="shared" si="1"/>
        <v>0</v>
      </c>
    </row>
    <row r="1104">
      <c r="C1104" s="8"/>
      <c r="Q1104" s="14">
        <f t="shared" si="1"/>
        <v>0</v>
      </c>
    </row>
    <row r="1105">
      <c r="C1105" s="8"/>
      <c r="Q1105" s="14">
        <f t="shared" si="1"/>
        <v>0</v>
      </c>
    </row>
    <row r="1106">
      <c r="C1106" s="8"/>
      <c r="Q1106" s="14">
        <f t="shared" si="1"/>
        <v>0</v>
      </c>
    </row>
    <row r="1107">
      <c r="C1107" s="8"/>
      <c r="Q1107" s="14">
        <f t="shared" si="1"/>
        <v>0</v>
      </c>
    </row>
    <row r="1108">
      <c r="C1108" s="8"/>
      <c r="Q1108" s="14">
        <f t="shared" si="1"/>
        <v>0</v>
      </c>
    </row>
    <row r="1109">
      <c r="C1109" s="8"/>
      <c r="Q1109" s="14">
        <f t="shared" si="1"/>
        <v>0</v>
      </c>
    </row>
    <row r="1110">
      <c r="C1110" s="8"/>
      <c r="Q1110" s="14">
        <f t="shared" si="1"/>
        <v>0</v>
      </c>
    </row>
    <row r="1111">
      <c r="C1111" s="8"/>
      <c r="Q1111" s="14">
        <f t="shared" si="1"/>
        <v>0</v>
      </c>
    </row>
    <row r="1112">
      <c r="C1112" s="8"/>
      <c r="Q1112" s="14">
        <f t="shared" si="1"/>
        <v>0</v>
      </c>
    </row>
    <row r="1113">
      <c r="C1113" s="8"/>
      <c r="Q1113" s="14">
        <f t="shared" si="1"/>
        <v>0</v>
      </c>
    </row>
    <row r="1114">
      <c r="C1114" s="8"/>
      <c r="Q1114" s="14">
        <f t="shared" si="1"/>
        <v>0</v>
      </c>
    </row>
    <row r="1115">
      <c r="C1115" s="8"/>
      <c r="Q1115" s="14">
        <f t="shared" si="1"/>
        <v>0</v>
      </c>
    </row>
    <row r="1116">
      <c r="C1116" s="8"/>
      <c r="Q1116" s="14">
        <f t="shared" si="1"/>
        <v>0</v>
      </c>
    </row>
    <row r="1117">
      <c r="C1117" s="8"/>
      <c r="Q1117" s="14">
        <f t="shared" si="1"/>
        <v>0</v>
      </c>
    </row>
    <row r="1118">
      <c r="C1118" s="8"/>
      <c r="Q1118" s="14">
        <f t="shared" si="1"/>
        <v>0</v>
      </c>
    </row>
    <row r="1119">
      <c r="C1119" s="8"/>
      <c r="Q1119" s="14">
        <f t="shared" si="1"/>
        <v>0</v>
      </c>
    </row>
    <row r="1120">
      <c r="C1120" s="8"/>
      <c r="Q1120" s="14">
        <f t="shared" si="1"/>
        <v>0</v>
      </c>
    </row>
    <row r="1121">
      <c r="C1121" s="8"/>
      <c r="Q1121" s="14">
        <f t="shared" si="1"/>
        <v>0</v>
      </c>
    </row>
    <row r="1122">
      <c r="C1122" s="8"/>
      <c r="Q1122" s="14">
        <f t="shared" si="1"/>
        <v>0</v>
      </c>
    </row>
    <row r="1123">
      <c r="C1123" s="8"/>
      <c r="Q1123" s="14">
        <f t="shared" si="1"/>
        <v>0</v>
      </c>
    </row>
    <row r="1124">
      <c r="C1124" s="8"/>
      <c r="Q1124" s="14">
        <f t="shared" si="1"/>
        <v>0</v>
      </c>
    </row>
    <row r="1125">
      <c r="C1125" s="8"/>
      <c r="Q1125" s="14">
        <f t="shared" si="1"/>
        <v>0</v>
      </c>
    </row>
    <row r="1126">
      <c r="C1126" s="8"/>
      <c r="Q1126" s="14">
        <f t="shared" si="1"/>
        <v>0</v>
      </c>
    </row>
    <row r="1127">
      <c r="C1127" s="8"/>
      <c r="Q1127" s="14">
        <f t="shared" si="1"/>
        <v>0</v>
      </c>
    </row>
    <row r="1128">
      <c r="C1128" s="8"/>
      <c r="Q1128" s="14">
        <f t="shared" si="1"/>
        <v>0</v>
      </c>
    </row>
    <row r="1129">
      <c r="C1129" s="8"/>
      <c r="Q1129" s="14">
        <f t="shared" si="1"/>
        <v>0</v>
      </c>
    </row>
    <row r="1130">
      <c r="C1130" s="8"/>
      <c r="Q1130" s="14">
        <f t="shared" si="1"/>
        <v>0</v>
      </c>
    </row>
    <row r="1131">
      <c r="C1131" s="8"/>
      <c r="Q1131" s="14">
        <f t="shared" si="1"/>
        <v>0</v>
      </c>
    </row>
    <row r="1132">
      <c r="C1132" s="8"/>
      <c r="Q1132" s="14">
        <f t="shared" si="1"/>
        <v>0</v>
      </c>
    </row>
    <row r="1133">
      <c r="C1133" s="8"/>
      <c r="Q1133" s="14">
        <f t="shared" si="1"/>
        <v>0</v>
      </c>
    </row>
    <row r="1134">
      <c r="C1134" s="8"/>
      <c r="Q1134" s="14">
        <f t="shared" si="1"/>
        <v>0</v>
      </c>
    </row>
    <row r="1135">
      <c r="C1135" s="8"/>
      <c r="Q1135" s="14">
        <f t="shared" si="1"/>
        <v>0</v>
      </c>
    </row>
    <row r="1136">
      <c r="C1136" s="8"/>
      <c r="Q1136" s="14">
        <f t="shared" si="1"/>
        <v>0</v>
      </c>
    </row>
    <row r="1137">
      <c r="C1137" s="8"/>
      <c r="Q1137" s="14">
        <f t="shared" si="1"/>
        <v>0</v>
      </c>
    </row>
    <row r="1138">
      <c r="C1138" s="8"/>
      <c r="Q1138" s="14">
        <f t="shared" si="1"/>
        <v>0</v>
      </c>
    </row>
    <row r="1139">
      <c r="C1139" s="8"/>
      <c r="Q1139" s="14">
        <f t="shared" si="1"/>
        <v>0</v>
      </c>
    </row>
    <row r="1140">
      <c r="C1140" s="8"/>
      <c r="Q1140" s="14">
        <f t="shared" si="1"/>
        <v>0</v>
      </c>
    </row>
    <row r="1141">
      <c r="C1141" s="8"/>
      <c r="Q1141" s="14">
        <f t="shared" si="1"/>
        <v>0</v>
      </c>
    </row>
    <row r="1142">
      <c r="C1142" s="8"/>
      <c r="Q1142" s="14">
        <f t="shared" si="1"/>
        <v>0</v>
      </c>
    </row>
    <row r="1143">
      <c r="C1143" s="8"/>
      <c r="Q1143" s="14">
        <f t="shared" si="1"/>
        <v>0</v>
      </c>
    </row>
    <row r="1144">
      <c r="C1144" s="8"/>
      <c r="Q1144" s="14">
        <f t="shared" si="1"/>
        <v>0</v>
      </c>
    </row>
    <row r="1145">
      <c r="C1145" s="8"/>
      <c r="Q1145" s="14">
        <f t="shared" si="1"/>
        <v>0</v>
      </c>
    </row>
    <row r="1146">
      <c r="C1146" s="8"/>
      <c r="Q1146" s="14">
        <f t="shared" si="1"/>
        <v>0</v>
      </c>
    </row>
    <row r="1147">
      <c r="C1147" s="8"/>
      <c r="Q1147" s="14">
        <f t="shared" si="1"/>
        <v>0</v>
      </c>
    </row>
    <row r="1148">
      <c r="C1148" s="8"/>
      <c r="Q1148" s="14">
        <f t="shared" si="1"/>
        <v>0</v>
      </c>
    </row>
    <row r="1149">
      <c r="C1149" s="8"/>
      <c r="Q1149" s="14">
        <f t="shared" si="1"/>
        <v>0</v>
      </c>
    </row>
    <row r="1150">
      <c r="C1150" s="8"/>
      <c r="Q1150" s="14">
        <f t="shared" si="1"/>
        <v>0</v>
      </c>
    </row>
    <row r="1151">
      <c r="C1151" s="8"/>
      <c r="Q1151" s="14">
        <f t="shared" si="1"/>
        <v>0</v>
      </c>
    </row>
    <row r="1152">
      <c r="C1152" s="8"/>
      <c r="Q1152" s="14">
        <f t="shared" si="1"/>
        <v>0</v>
      </c>
    </row>
    <row r="1153">
      <c r="C1153" s="8"/>
      <c r="Q1153" s="14">
        <f t="shared" si="1"/>
        <v>0</v>
      </c>
    </row>
    <row r="1154">
      <c r="C1154" s="8"/>
      <c r="Q1154" s="14">
        <f t="shared" si="1"/>
        <v>0</v>
      </c>
    </row>
    <row r="1155">
      <c r="C1155" s="8"/>
      <c r="Q1155" s="14">
        <f t="shared" si="1"/>
        <v>0</v>
      </c>
    </row>
    <row r="1156">
      <c r="C1156" s="8"/>
      <c r="Q1156" s="14">
        <f t="shared" si="1"/>
        <v>0</v>
      </c>
    </row>
    <row r="1157">
      <c r="C1157" s="8"/>
      <c r="Q1157" s="14">
        <f t="shared" si="1"/>
        <v>0</v>
      </c>
    </row>
    <row r="1158">
      <c r="C1158" s="8"/>
      <c r="Q1158" s="14">
        <f t="shared" si="1"/>
        <v>0</v>
      </c>
    </row>
    <row r="1159">
      <c r="C1159" s="8"/>
      <c r="Q1159" s="14">
        <f t="shared" si="1"/>
        <v>0</v>
      </c>
    </row>
    <row r="1160">
      <c r="C1160" s="8"/>
      <c r="Q1160" s="14">
        <f t="shared" si="1"/>
        <v>0</v>
      </c>
    </row>
    <row r="1161">
      <c r="C1161" s="8"/>
      <c r="Q1161" s="14">
        <f t="shared" si="1"/>
        <v>0</v>
      </c>
    </row>
    <row r="1162">
      <c r="C1162" s="8"/>
      <c r="Q1162" s="14">
        <f t="shared" si="1"/>
        <v>0</v>
      </c>
    </row>
    <row r="1163">
      <c r="C1163" s="8"/>
      <c r="Q1163" s="14">
        <f t="shared" si="1"/>
        <v>0</v>
      </c>
    </row>
    <row r="1164">
      <c r="C1164" s="8"/>
      <c r="Q1164" s="14">
        <f t="shared" si="1"/>
        <v>0</v>
      </c>
    </row>
    <row r="1165">
      <c r="C1165" s="8"/>
      <c r="Q1165" s="14">
        <f t="shared" si="1"/>
        <v>0</v>
      </c>
    </row>
    <row r="1166">
      <c r="C1166" s="8"/>
      <c r="Q1166" s="14">
        <f t="shared" si="1"/>
        <v>0</v>
      </c>
    </row>
    <row r="1167">
      <c r="C1167" s="8"/>
      <c r="Q1167" s="14">
        <f t="shared" si="1"/>
        <v>0</v>
      </c>
    </row>
    <row r="1168">
      <c r="C1168" s="8"/>
      <c r="Q1168" s="14">
        <f t="shared" si="1"/>
        <v>0</v>
      </c>
    </row>
    <row r="1169">
      <c r="C1169" s="8"/>
      <c r="Q1169" s="14">
        <f t="shared" si="1"/>
        <v>0</v>
      </c>
    </row>
    <row r="1170">
      <c r="C1170" s="8"/>
      <c r="Q1170" s="14">
        <f t="shared" si="1"/>
        <v>0</v>
      </c>
    </row>
    <row r="1171">
      <c r="C1171" s="8"/>
      <c r="Q1171" s="14">
        <f t="shared" si="1"/>
        <v>0</v>
      </c>
    </row>
    <row r="1172">
      <c r="C1172" s="8"/>
      <c r="Q1172" s="14">
        <f t="shared" si="1"/>
        <v>0</v>
      </c>
    </row>
    <row r="1173">
      <c r="C1173" s="8"/>
      <c r="Q1173" s="14">
        <f t="shared" si="1"/>
        <v>0</v>
      </c>
    </row>
    <row r="1174">
      <c r="C1174" s="8"/>
      <c r="Q1174" s="14">
        <f t="shared" si="1"/>
        <v>0</v>
      </c>
    </row>
    <row r="1175">
      <c r="C1175" s="8"/>
      <c r="Q1175" s="14">
        <f t="shared" si="1"/>
        <v>0</v>
      </c>
    </row>
    <row r="1176">
      <c r="C1176" s="8"/>
      <c r="Q1176" s="14">
        <f t="shared" si="1"/>
        <v>0</v>
      </c>
    </row>
    <row r="1177">
      <c r="C1177" s="8"/>
      <c r="Q1177" s="14">
        <f t="shared" si="1"/>
        <v>0</v>
      </c>
    </row>
    <row r="1178">
      <c r="C1178" s="8"/>
      <c r="Q1178" s="14">
        <f t="shared" si="1"/>
        <v>0</v>
      </c>
    </row>
    <row r="1179">
      <c r="C1179" s="8"/>
      <c r="Q1179" s="14">
        <f t="shared" si="1"/>
        <v>0</v>
      </c>
    </row>
    <row r="1180">
      <c r="C1180" s="8"/>
      <c r="Q1180" s="14">
        <f t="shared" si="1"/>
        <v>0</v>
      </c>
    </row>
    <row r="1181">
      <c r="C1181" s="8"/>
      <c r="Q1181" s="14">
        <f t="shared" si="1"/>
        <v>0</v>
      </c>
    </row>
    <row r="1182">
      <c r="C1182" s="8"/>
      <c r="Q1182" s="14">
        <f t="shared" si="1"/>
        <v>0</v>
      </c>
    </row>
    <row r="1183">
      <c r="C1183" s="8"/>
      <c r="Q1183" s="14">
        <f t="shared" si="1"/>
        <v>0</v>
      </c>
    </row>
    <row r="1184">
      <c r="C1184" s="8"/>
      <c r="Q1184" s="14">
        <f t="shared" si="1"/>
        <v>0</v>
      </c>
    </row>
    <row r="1185">
      <c r="C1185" s="8"/>
      <c r="Q1185" s="14">
        <f t="shared" si="1"/>
        <v>0</v>
      </c>
    </row>
    <row r="1186">
      <c r="C1186" s="8"/>
      <c r="Q1186" s="14">
        <f t="shared" si="1"/>
        <v>0</v>
      </c>
    </row>
    <row r="1187">
      <c r="C1187" s="8"/>
      <c r="Q1187" s="14">
        <f t="shared" si="1"/>
        <v>0</v>
      </c>
    </row>
    <row r="1188">
      <c r="C1188" s="8"/>
      <c r="Q1188" s="14">
        <f t="shared" si="1"/>
        <v>0</v>
      </c>
    </row>
    <row r="1189">
      <c r="C1189" s="8"/>
      <c r="Q1189" s="14">
        <f t="shared" si="1"/>
        <v>0</v>
      </c>
    </row>
    <row r="1190">
      <c r="C1190" s="8"/>
      <c r="Q1190" s="14">
        <f t="shared" si="1"/>
        <v>0</v>
      </c>
    </row>
    <row r="1191">
      <c r="C1191" s="8"/>
      <c r="Q1191" s="14">
        <f t="shared" si="1"/>
        <v>0</v>
      </c>
    </row>
    <row r="1192">
      <c r="C1192" s="8"/>
      <c r="Q1192" s="14">
        <f t="shared" si="1"/>
        <v>0</v>
      </c>
    </row>
    <row r="1193">
      <c r="C1193" s="8"/>
      <c r="Q1193" s="14">
        <f t="shared" si="1"/>
        <v>0</v>
      </c>
    </row>
    <row r="1194">
      <c r="C1194" s="8"/>
      <c r="Q1194" s="14">
        <f t="shared" si="1"/>
        <v>0</v>
      </c>
    </row>
    <row r="1195">
      <c r="C1195" s="8"/>
      <c r="Q1195" s="14">
        <f t="shared" si="1"/>
        <v>0</v>
      </c>
    </row>
    <row r="1196">
      <c r="C1196" s="8"/>
      <c r="Q1196" s="14">
        <f t="shared" si="1"/>
        <v>0</v>
      </c>
    </row>
    <row r="1197">
      <c r="C1197" s="8"/>
      <c r="Q1197" s="14">
        <f t="shared" si="1"/>
        <v>0</v>
      </c>
    </row>
    <row r="1198">
      <c r="C1198" s="8"/>
      <c r="Q1198" s="14">
        <f t="shared" si="1"/>
        <v>0</v>
      </c>
    </row>
    <row r="1199">
      <c r="C1199" s="8"/>
      <c r="Q1199" s="14">
        <f t="shared" si="1"/>
        <v>0</v>
      </c>
    </row>
    <row r="1200">
      <c r="C1200" s="8"/>
      <c r="Q1200" s="14">
        <f t="shared" si="1"/>
        <v>0</v>
      </c>
    </row>
    <row r="1201">
      <c r="C1201" s="8"/>
      <c r="Q1201" s="14">
        <f t="shared" si="1"/>
        <v>0</v>
      </c>
    </row>
    <row r="1202">
      <c r="C1202" s="8"/>
      <c r="Q1202" s="14">
        <f t="shared" si="1"/>
        <v>0</v>
      </c>
    </row>
    <row r="1203">
      <c r="C1203" s="8"/>
      <c r="Q1203" s="14">
        <f t="shared" si="1"/>
        <v>0</v>
      </c>
    </row>
    <row r="1204">
      <c r="C1204" s="8"/>
      <c r="Q1204" s="14">
        <f t="shared" si="1"/>
        <v>0</v>
      </c>
    </row>
    <row r="1205">
      <c r="C1205" s="8"/>
      <c r="Q1205" s="14">
        <f t="shared" si="1"/>
        <v>0</v>
      </c>
    </row>
    <row r="1206">
      <c r="C1206" s="8"/>
      <c r="Q1206" s="14">
        <f t="shared" si="1"/>
        <v>0</v>
      </c>
    </row>
    <row r="1207">
      <c r="C1207" s="8"/>
      <c r="Q1207" s="14">
        <f t="shared" si="1"/>
        <v>0</v>
      </c>
    </row>
    <row r="1208">
      <c r="C1208" s="8"/>
      <c r="Q1208" s="14">
        <f t="shared" si="1"/>
        <v>0</v>
      </c>
    </row>
    <row r="1209">
      <c r="C1209" s="8"/>
      <c r="Q1209" s="14">
        <f t="shared" si="1"/>
        <v>0</v>
      </c>
    </row>
    <row r="1210">
      <c r="C1210" s="8"/>
      <c r="Q1210" s="14">
        <f t="shared" si="1"/>
        <v>0</v>
      </c>
    </row>
    <row r="1211">
      <c r="C1211" s="8"/>
      <c r="Q1211" s="14">
        <f t="shared" si="1"/>
        <v>0</v>
      </c>
    </row>
    <row r="1212">
      <c r="C1212" s="8"/>
      <c r="Q1212" s="14">
        <f t="shared" si="1"/>
        <v>0</v>
      </c>
    </row>
    <row r="1213">
      <c r="C1213" s="8"/>
      <c r="Q1213" s="14">
        <f t="shared" si="1"/>
        <v>0</v>
      </c>
    </row>
    <row r="1214">
      <c r="C1214" s="8"/>
      <c r="Q1214" s="14">
        <f t="shared" si="1"/>
        <v>0</v>
      </c>
    </row>
    <row r="1215">
      <c r="C1215" s="8"/>
      <c r="Q1215" s="14">
        <f t="shared" si="1"/>
        <v>0</v>
      </c>
    </row>
    <row r="1216">
      <c r="C1216" s="8"/>
      <c r="Q1216" s="14">
        <f t="shared" si="1"/>
        <v>0</v>
      </c>
    </row>
    <row r="1217">
      <c r="C1217" s="8"/>
      <c r="Q1217" s="14">
        <f t="shared" si="1"/>
        <v>0</v>
      </c>
    </row>
    <row r="1218">
      <c r="C1218" s="8"/>
      <c r="Q1218" s="14">
        <f t="shared" si="1"/>
        <v>0</v>
      </c>
    </row>
    <row r="1219">
      <c r="C1219" s="8"/>
      <c r="Q1219" s="14">
        <f t="shared" si="1"/>
        <v>0</v>
      </c>
    </row>
    <row r="1220">
      <c r="C1220" s="8"/>
      <c r="Q1220" s="14">
        <f t="shared" si="1"/>
        <v>0</v>
      </c>
    </row>
    <row r="1221">
      <c r="C1221" s="8"/>
      <c r="Q1221" s="14">
        <f t="shared" si="1"/>
        <v>0</v>
      </c>
    </row>
    <row r="1222">
      <c r="C1222" s="8"/>
      <c r="Q1222" s="14">
        <f t="shared" si="1"/>
        <v>0</v>
      </c>
    </row>
    <row r="1223">
      <c r="C1223" s="8"/>
      <c r="Q1223" s="14">
        <f t="shared" si="1"/>
        <v>0</v>
      </c>
    </row>
    <row r="1224">
      <c r="C1224" s="8"/>
      <c r="Q1224" s="14">
        <f t="shared" si="1"/>
        <v>0</v>
      </c>
    </row>
    <row r="1225">
      <c r="C1225" s="8"/>
      <c r="Q1225" s="14">
        <f t="shared" si="1"/>
        <v>0</v>
      </c>
    </row>
    <row r="1226">
      <c r="C1226" s="8"/>
      <c r="Q1226" s="14">
        <f t="shared" si="1"/>
        <v>0</v>
      </c>
    </row>
    <row r="1227">
      <c r="C1227" s="8"/>
      <c r="Q1227" s="14">
        <f t="shared" si="1"/>
        <v>0</v>
      </c>
    </row>
    <row r="1228">
      <c r="C1228" s="8"/>
      <c r="Q1228" s="14">
        <f t="shared" si="1"/>
        <v>0</v>
      </c>
    </row>
    <row r="1229">
      <c r="C1229" s="8"/>
      <c r="Q1229" s="14">
        <f t="shared" si="1"/>
        <v>0</v>
      </c>
    </row>
    <row r="1230">
      <c r="C1230" s="8"/>
      <c r="Q1230" s="14">
        <f t="shared" si="1"/>
        <v>0</v>
      </c>
    </row>
    <row r="1231">
      <c r="C1231" s="8"/>
      <c r="Q1231" s="14">
        <f t="shared" si="1"/>
        <v>0</v>
      </c>
    </row>
    <row r="1232">
      <c r="C1232" s="8"/>
      <c r="Q1232" s="14">
        <f t="shared" si="1"/>
        <v>0</v>
      </c>
    </row>
    <row r="1233">
      <c r="C1233" s="8"/>
      <c r="Q1233" s="14">
        <f t="shared" si="1"/>
        <v>0</v>
      </c>
    </row>
    <row r="1234">
      <c r="C1234" s="8"/>
      <c r="Q1234" s="14">
        <f t="shared" si="1"/>
        <v>0</v>
      </c>
    </row>
    <row r="1235">
      <c r="C1235" s="8"/>
      <c r="Q1235" s="14">
        <f t="shared" si="1"/>
        <v>0</v>
      </c>
    </row>
    <row r="1236">
      <c r="C1236" s="8"/>
      <c r="Q1236" s="14">
        <f t="shared" si="1"/>
        <v>0</v>
      </c>
    </row>
    <row r="1237">
      <c r="C1237" s="8"/>
      <c r="Q1237" s="14">
        <f t="shared" si="1"/>
        <v>0</v>
      </c>
    </row>
    <row r="1238">
      <c r="C1238" s="8"/>
      <c r="Q1238" s="14">
        <f t="shared" si="1"/>
        <v>0</v>
      </c>
    </row>
    <row r="1239">
      <c r="C1239" s="8"/>
      <c r="Q1239" s="14">
        <f t="shared" si="1"/>
        <v>0</v>
      </c>
    </row>
    <row r="1240">
      <c r="C1240" s="8"/>
      <c r="Q1240" s="14">
        <f t="shared" si="1"/>
        <v>0</v>
      </c>
    </row>
    <row r="1241">
      <c r="C1241" s="8"/>
      <c r="Q1241" s="14">
        <f t="shared" si="1"/>
        <v>0</v>
      </c>
    </row>
    <row r="1242">
      <c r="C1242" s="8"/>
      <c r="Q1242" s="14">
        <f t="shared" si="1"/>
        <v>0</v>
      </c>
    </row>
    <row r="1243">
      <c r="C1243" s="8"/>
      <c r="Q1243" s="14">
        <f t="shared" si="1"/>
        <v>0</v>
      </c>
    </row>
    <row r="1244">
      <c r="C1244" s="8"/>
      <c r="Q1244" s="14">
        <f t="shared" si="1"/>
        <v>0</v>
      </c>
    </row>
    <row r="1245">
      <c r="C1245" s="8"/>
      <c r="Q1245" s="14">
        <f t="shared" si="1"/>
        <v>0</v>
      </c>
    </row>
    <row r="1246">
      <c r="C1246" s="8"/>
      <c r="Q1246" s="14">
        <f t="shared" si="1"/>
        <v>0</v>
      </c>
    </row>
    <row r="1247">
      <c r="C1247" s="8"/>
      <c r="Q1247" s="14">
        <f t="shared" si="1"/>
        <v>0</v>
      </c>
    </row>
    <row r="1248">
      <c r="C1248" s="8"/>
      <c r="Q1248" s="14">
        <f t="shared" si="1"/>
        <v>0</v>
      </c>
    </row>
    <row r="1249">
      <c r="C1249" s="8"/>
      <c r="Q1249" s="14">
        <f t="shared" si="1"/>
        <v>0</v>
      </c>
    </row>
    <row r="1250">
      <c r="C1250" s="8"/>
      <c r="Q1250" s="14">
        <f t="shared" si="1"/>
        <v>0</v>
      </c>
    </row>
    <row r="1251">
      <c r="C1251" s="8"/>
      <c r="Q1251" s="14">
        <f t="shared" si="1"/>
        <v>0</v>
      </c>
    </row>
    <row r="1252">
      <c r="C1252" s="8"/>
      <c r="Q1252" s="14">
        <f t="shared" si="1"/>
        <v>0</v>
      </c>
    </row>
    <row r="1253">
      <c r="C1253" s="8"/>
      <c r="Q1253" s="14">
        <f t="shared" si="1"/>
        <v>0</v>
      </c>
    </row>
    <row r="1254">
      <c r="C1254" s="8"/>
      <c r="Q1254" s="14">
        <f t="shared" si="1"/>
        <v>0</v>
      </c>
    </row>
    <row r="1255">
      <c r="C1255" s="8"/>
      <c r="Q1255" s="14">
        <f t="shared" si="1"/>
        <v>0</v>
      </c>
    </row>
    <row r="1256">
      <c r="C1256" s="8"/>
      <c r="Q1256" s="14">
        <f t="shared" si="1"/>
        <v>0</v>
      </c>
    </row>
    <row r="1257">
      <c r="C1257" s="8"/>
      <c r="Q1257" s="14">
        <f t="shared" si="1"/>
        <v>0</v>
      </c>
    </row>
    <row r="1258">
      <c r="C1258" s="8"/>
      <c r="Q1258" s="14">
        <f t="shared" si="1"/>
        <v>0</v>
      </c>
    </row>
    <row r="1259">
      <c r="C1259" s="8"/>
      <c r="Q1259" s="14">
        <f t="shared" si="1"/>
        <v>0</v>
      </c>
    </row>
    <row r="1260">
      <c r="C1260" s="8"/>
      <c r="Q1260" s="14">
        <f t="shared" si="1"/>
        <v>0</v>
      </c>
    </row>
    <row r="1261">
      <c r="C1261" s="8"/>
      <c r="Q1261" s="14">
        <f t="shared" si="1"/>
        <v>0</v>
      </c>
    </row>
    <row r="1262">
      <c r="C1262" s="8"/>
      <c r="Q1262" s="14">
        <f t="shared" si="1"/>
        <v>0</v>
      </c>
    </row>
    <row r="1263">
      <c r="C1263" s="8"/>
      <c r="Q1263" s="14">
        <f t="shared" si="1"/>
        <v>0</v>
      </c>
    </row>
    <row r="1264">
      <c r="C1264" s="8"/>
      <c r="Q1264" s="14">
        <f t="shared" si="1"/>
        <v>0</v>
      </c>
    </row>
    <row r="1265">
      <c r="C1265" s="8"/>
      <c r="Q1265" s="14">
        <f t="shared" si="1"/>
        <v>0</v>
      </c>
    </row>
    <row r="1266">
      <c r="C1266" s="8"/>
      <c r="Q1266" s="14">
        <f t="shared" si="1"/>
        <v>0</v>
      </c>
    </row>
    <row r="1267">
      <c r="C1267" s="8"/>
      <c r="Q1267" s="14">
        <f t="shared" si="1"/>
        <v>0</v>
      </c>
    </row>
    <row r="1268">
      <c r="C1268" s="8"/>
      <c r="Q1268" s="14">
        <f t="shared" si="1"/>
        <v>0</v>
      </c>
    </row>
    <row r="1269">
      <c r="C1269" s="8"/>
      <c r="Q1269" s="14">
        <f t="shared" si="1"/>
        <v>0</v>
      </c>
    </row>
    <row r="1270">
      <c r="C1270" s="8"/>
      <c r="Q1270" s="14">
        <f t="shared" si="1"/>
        <v>0</v>
      </c>
    </row>
    <row r="1271">
      <c r="C1271" s="8"/>
      <c r="Q1271" s="14">
        <f t="shared" si="1"/>
        <v>0</v>
      </c>
    </row>
    <row r="1272">
      <c r="C1272" s="8"/>
      <c r="Q1272" s="14">
        <f t="shared" si="1"/>
        <v>0</v>
      </c>
    </row>
    <row r="1273">
      <c r="C1273" s="8"/>
      <c r="Q1273" s="14">
        <f t="shared" si="1"/>
        <v>0</v>
      </c>
    </row>
    <row r="1274">
      <c r="C1274" s="8"/>
      <c r="Q1274" s="14">
        <f t="shared" si="1"/>
        <v>0</v>
      </c>
    </row>
    <row r="1275">
      <c r="C1275" s="8"/>
      <c r="Q1275" s="14">
        <f t="shared" si="1"/>
        <v>0</v>
      </c>
    </row>
    <row r="1276">
      <c r="C1276" s="8"/>
      <c r="Q1276" s="14">
        <f t="shared" si="1"/>
        <v>0</v>
      </c>
    </row>
    <row r="1277">
      <c r="C1277" s="8"/>
      <c r="Q1277" s="14">
        <f t="shared" si="1"/>
        <v>0</v>
      </c>
    </row>
    <row r="1278">
      <c r="C1278" s="8"/>
      <c r="Q1278" s="14">
        <f t="shared" si="1"/>
        <v>0</v>
      </c>
    </row>
    <row r="1279">
      <c r="C1279" s="8"/>
      <c r="Q1279" s="14">
        <f t="shared" si="1"/>
        <v>0</v>
      </c>
    </row>
    <row r="1280">
      <c r="C1280" s="8"/>
      <c r="Q1280" s="14">
        <f t="shared" si="1"/>
        <v>0</v>
      </c>
    </row>
    <row r="1281">
      <c r="C1281" s="8"/>
      <c r="Q1281" s="14">
        <f t="shared" si="1"/>
        <v>0</v>
      </c>
    </row>
    <row r="1282">
      <c r="C1282" s="8"/>
      <c r="Q1282" s="14">
        <f t="shared" si="1"/>
        <v>0</v>
      </c>
    </row>
    <row r="1283">
      <c r="C1283" s="8"/>
      <c r="Q1283" s="14">
        <f t="shared" si="1"/>
        <v>0</v>
      </c>
    </row>
    <row r="1284">
      <c r="C1284" s="8"/>
      <c r="Q1284" s="14">
        <f t="shared" si="1"/>
        <v>0</v>
      </c>
    </row>
    <row r="1285">
      <c r="C1285" s="8"/>
      <c r="Q1285" s="14">
        <f t="shared" si="1"/>
        <v>0</v>
      </c>
    </row>
    <row r="1286">
      <c r="C1286" s="8"/>
      <c r="Q1286" s="14">
        <f t="shared" si="1"/>
        <v>0</v>
      </c>
    </row>
    <row r="1287">
      <c r="C1287" s="8"/>
      <c r="Q1287" s="14">
        <f t="shared" si="1"/>
        <v>0</v>
      </c>
    </row>
    <row r="1288">
      <c r="C1288" s="8"/>
      <c r="Q1288" s="14">
        <f t="shared" si="1"/>
        <v>0</v>
      </c>
    </row>
    <row r="1289">
      <c r="C1289" s="8"/>
      <c r="Q1289" s="14">
        <f t="shared" si="1"/>
        <v>0</v>
      </c>
    </row>
    <row r="1290">
      <c r="C1290" s="8"/>
      <c r="Q1290" s="14">
        <f t="shared" si="1"/>
        <v>0</v>
      </c>
    </row>
    <row r="1291">
      <c r="C1291" s="8"/>
      <c r="Q1291" s="14">
        <f t="shared" si="1"/>
        <v>0</v>
      </c>
    </row>
    <row r="1292">
      <c r="C1292" s="8"/>
      <c r="Q1292" s="14">
        <f t="shared" si="1"/>
        <v>0</v>
      </c>
    </row>
    <row r="1293">
      <c r="C1293" s="8"/>
      <c r="Q1293" s="14">
        <f t="shared" si="1"/>
        <v>0</v>
      </c>
    </row>
    <row r="1294">
      <c r="C1294" s="8"/>
      <c r="Q1294" s="14">
        <f t="shared" si="1"/>
        <v>0</v>
      </c>
    </row>
    <row r="1295">
      <c r="C1295" s="8"/>
      <c r="Q1295" s="14">
        <f t="shared" si="1"/>
        <v>0</v>
      </c>
    </row>
    <row r="1296">
      <c r="C1296" s="8"/>
      <c r="Q1296" s="14">
        <f t="shared" si="1"/>
        <v>0</v>
      </c>
    </row>
    <row r="1297">
      <c r="C1297" s="8"/>
      <c r="Q1297" s="14">
        <f t="shared" si="1"/>
        <v>0</v>
      </c>
    </row>
    <row r="1298">
      <c r="C1298" s="8"/>
      <c r="Q1298" s="14">
        <f t="shared" si="1"/>
        <v>0</v>
      </c>
    </row>
    <row r="1299">
      <c r="C1299" s="8"/>
      <c r="Q1299" s="14">
        <f t="shared" si="1"/>
        <v>0</v>
      </c>
    </row>
    <row r="1300">
      <c r="C1300" s="8"/>
      <c r="Q1300" s="14">
        <f t="shared" si="1"/>
        <v>0</v>
      </c>
    </row>
    <row r="1301">
      <c r="C1301" s="8"/>
      <c r="Q1301" s="14">
        <f t="shared" si="1"/>
        <v>0</v>
      </c>
    </row>
    <row r="1302">
      <c r="C1302" s="8"/>
      <c r="Q1302" s="14">
        <f t="shared" si="1"/>
        <v>0</v>
      </c>
    </row>
    <row r="1303">
      <c r="C1303" s="8"/>
      <c r="Q1303" s="14">
        <f t="shared" si="1"/>
        <v>0</v>
      </c>
    </row>
    <row r="1304">
      <c r="C1304" s="8"/>
      <c r="Q1304" s="14">
        <f t="shared" si="1"/>
        <v>0</v>
      </c>
    </row>
    <row r="1305">
      <c r="C1305" s="8"/>
      <c r="Q1305" s="14">
        <f t="shared" si="1"/>
        <v>0</v>
      </c>
    </row>
    <row r="1306">
      <c r="C1306" s="8"/>
      <c r="Q1306" s="14">
        <f t="shared" si="1"/>
        <v>0</v>
      </c>
    </row>
    <row r="1307">
      <c r="C1307" s="8"/>
      <c r="Q1307" s="14">
        <f t="shared" si="1"/>
        <v>0</v>
      </c>
    </row>
    <row r="1308">
      <c r="C1308" s="8"/>
      <c r="Q1308" s="14">
        <f t="shared" si="1"/>
        <v>0</v>
      </c>
    </row>
    <row r="1309">
      <c r="C1309" s="8"/>
      <c r="Q1309" s="14">
        <f t="shared" si="1"/>
        <v>0</v>
      </c>
    </row>
    <row r="1310">
      <c r="C1310" s="8"/>
      <c r="Q1310" s="14">
        <f t="shared" si="1"/>
        <v>0</v>
      </c>
    </row>
    <row r="1311">
      <c r="C1311" s="8"/>
      <c r="Q1311" s="14">
        <f t="shared" si="1"/>
        <v>0</v>
      </c>
    </row>
    <row r="1312">
      <c r="C1312" s="8"/>
      <c r="Q1312" s="14">
        <f t="shared" si="1"/>
        <v>0</v>
      </c>
    </row>
    <row r="1313">
      <c r="C1313" s="8"/>
      <c r="Q1313" s="14">
        <f t="shared" si="1"/>
        <v>0</v>
      </c>
    </row>
    <row r="1314">
      <c r="C1314" s="8"/>
      <c r="Q1314" s="14">
        <f t="shared" si="1"/>
        <v>0</v>
      </c>
    </row>
    <row r="1315">
      <c r="C1315" s="8"/>
      <c r="Q1315" s="14">
        <f t="shared" si="1"/>
        <v>0</v>
      </c>
    </row>
    <row r="1316">
      <c r="C1316" s="8"/>
      <c r="Q1316" s="14">
        <f t="shared" si="1"/>
        <v>0</v>
      </c>
    </row>
    <row r="1317">
      <c r="C1317" s="8"/>
      <c r="Q1317" s="14">
        <f t="shared" si="1"/>
        <v>0</v>
      </c>
    </row>
    <row r="1318">
      <c r="C1318" s="8"/>
      <c r="Q1318" s="14">
        <f t="shared" si="1"/>
        <v>0</v>
      </c>
    </row>
    <row r="1319">
      <c r="C1319" s="8"/>
      <c r="Q1319" s="14">
        <f t="shared" si="1"/>
        <v>0</v>
      </c>
    </row>
    <row r="1320">
      <c r="C1320" s="8"/>
      <c r="Q1320" s="14">
        <f t="shared" si="1"/>
        <v>0</v>
      </c>
    </row>
    <row r="1321">
      <c r="C1321" s="8"/>
      <c r="Q1321" s="14">
        <f t="shared" si="1"/>
        <v>0</v>
      </c>
    </row>
    <row r="1322">
      <c r="C1322" s="8"/>
      <c r="Q1322" s="14">
        <f t="shared" si="1"/>
        <v>0</v>
      </c>
    </row>
    <row r="1323">
      <c r="C1323" s="8"/>
      <c r="Q1323" s="14">
        <f t="shared" si="1"/>
        <v>0</v>
      </c>
    </row>
    <row r="1324">
      <c r="C1324" s="8"/>
      <c r="Q1324" s="14">
        <f t="shared" si="1"/>
        <v>0</v>
      </c>
    </row>
    <row r="1325">
      <c r="C1325" s="8"/>
      <c r="Q1325" s="14">
        <f t="shared" si="1"/>
        <v>0</v>
      </c>
    </row>
    <row r="1326">
      <c r="C1326" s="8"/>
      <c r="Q1326" s="14">
        <f t="shared" si="1"/>
        <v>0</v>
      </c>
    </row>
    <row r="1327">
      <c r="C1327" s="8"/>
      <c r="Q1327" s="14">
        <f t="shared" si="1"/>
        <v>0</v>
      </c>
    </row>
    <row r="1328">
      <c r="C1328" s="8"/>
      <c r="Q1328" s="14">
        <f t="shared" si="1"/>
        <v>0</v>
      </c>
    </row>
    <row r="1329">
      <c r="C1329" s="8"/>
      <c r="Q1329" s="14">
        <f t="shared" si="1"/>
        <v>0</v>
      </c>
    </row>
    <row r="1330">
      <c r="C1330" s="8"/>
      <c r="Q1330" s="14">
        <f t="shared" si="1"/>
        <v>0</v>
      </c>
    </row>
    <row r="1331">
      <c r="C1331" s="8"/>
      <c r="Q1331" s="14">
        <f t="shared" si="1"/>
        <v>0</v>
      </c>
    </row>
    <row r="1332">
      <c r="C1332" s="8"/>
      <c r="Q1332" s="14">
        <f t="shared" si="1"/>
        <v>0</v>
      </c>
    </row>
    <row r="1333">
      <c r="C1333" s="8"/>
      <c r="Q1333" s="14">
        <f t="shared" si="1"/>
        <v>0</v>
      </c>
    </row>
    <row r="1334">
      <c r="C1334" s="8"/>
      <c r="Q1334" s="14">
        <f t="shared" si="1"/>
        <v>0</v>
      </c>
    </row>
    <row r="1335">
      <c r="C1335" s="8"/>
      <c r="Q1335" s="14">
        <f t="shared" si="1"/>
        <v>0</v>
      </c>
    </row>
    <row r="1336">
      <c r="C1336" s="8"/>
      <c r="Q1336" s="14">
        <f t="shared" si="1"/>
        <v>0</v>
      </c>
    </row>
    <row r="1337">
      <c r="C1337" s="8"/>
      <c r="Q1337" s="14">
        <f t="shared" si="1"/>
        <v>0</v>
      </c>
    </row>
    <row r="1338">
      <c r="C1338" s="8"/>
      <c r="Q1338" s="14">
        <f t="shared" si="1"/>
        <v>0</v>
      </c>
    </row>
    <row r="1339">
      <c r="C1339" s="8"/>
      <c r="Q1339" s="14">
        <f t="shared" si="1"/>
        <v>0</v>
      </c>
    </row>
    <row r="1340">
      <c r="C1340" s="8"/>
      <c r="Q1340" s="14">
        <f t="shared" si="1"/>
        <v>0</v>
      </c>
    </row>
    <row r="1341">
      <c r="C1341" s="8"/>
      <c r="Q1341" s="14">
        <f t="shared" si="1"/>
        <v>0</v>
      </c>
    </row>
    <row r="1342">
      <c r="C1342" s="8"/>
      <c r="Q1342" s="14">
        <f t="shared" si="1"/>
        <v>0</v>
      </c>
    </row>
    <row r="1343">
      <c r="C1343" s="8"/>
      <c r="Q1343" s="14">
        <f t="shared" si="1"/>
        <v>0</v>
      </c>
    </row>
    <row r="1344">
      <c r="C1344" s="8"/>
      <c r="Q1344" s="14">
        <f t="shared" si="1"/>
        <v>0</v>
      </c>
    </row>
    <row r="1345">
      <c r="C1345" s="8"/>
      <c r="Q1345" s="14">
        <f t="shared" si="1"/>
        <v>0</v>
      </c>
    </row>
    <row r="1346">
      <c r="C1346" s="8"/>
      <c r="Q1346" s="14">
        <f t="shared" si="1"/>
        <v>0</v>
      </c>
    </row>
    <row r="1347">
      <c r="C1347" s="8"/>
      <c r="Q1347" s="14">
        <f t="shared" si="1"/>
        <v>0</v>
      </c>
    </row>
    <row r="1348">
      <c r="C1348" s="8"/>
      <c r="Q1348" s="14">
        <f t="shared" si="1"/>
        <v>0</v>
      </c>
    </row>
    <row r="1349">
      <c r="C1349" s="8"/>
      <c r="Q1349" s="14">
        <f t="shared" si="1"/>
        <v>0</v>
      </c>
    </row>
    <row r="1350">
      <c r="C1350" s="8"/>
      <c r="Q1350" s="14">
        <f t="shared" si="1"/>
        <v>0</v>
      </c>
    </row>
    <row r="1351">
      <c r="C1351" s="8"/>
      <c r="Q1351" s="14">
        <f t="shared" si="1"/>
        <v>0</v>
      </c>
    </row>
    <row r="1352">
      <c r="C1352" s="8"/>
      <c r="Q1352" s="14">
        <f t="shared" si="1"/>
        <v>0</v>
      </c>
    </row>
    <row r="1353">
      <c r="C1353" s="8"/>
      <c r="Q1353" s="14">
        <f t="shared" si="1"/>
        <v>0</v>
      </c>
    </row>
    <row r="1354">
      <c r="C1354" s="8"/>
      <c r="Q1354" s="14">
        <f t="shared" si="1"/>
        <v>0</v>
      </c>
    </row>
    <row r="1355">
      <c r="C1355" s="8"/>
      <c r="Q1355" s="14">
        <f t="shared" si="1"/>
        <v>0</v>
      </c>
    </row>
    <row r="1356">
      <c r="C1356" s="8"/>
      <c r="Q1356" s="14">
        <f t="shared" si="1"/>
        <v>0</v>
      </c>
    </row>
    <row r="1357">
      <c r="C1357" s="8"/>
      <c r="Q1357" s="14">
        <f t="shared" si="1"/>
        <v>0</v>
      </c>
    </row>
    <row r="1358">
      <c r="C1358" s="8"/>
      <c r="Q1358" s="14">
        <f t="shared" si="1"/>
        <v>0</v>
      </c>
    </row>
    <row r="1359">
      <c r="C1359" s="8"/>
      <c r="Q1359" s="14">
        <f t="shared" si="1"/>
        <v>0</v>
      </c>
    </row>
    <row r="1360">
      <c r="C1360" s="8"/>
      <c r="Q1360" s="14">
        <f t="shared" si="1"/>
        <v>0</v>
      </c>
    </row>
    <row r="1361">
      <c r="C1361" s="8"/>
      <c r="Q1361" s="14">
        <f t="shared" si="1"/>
        <v>0</v>
      </c>
    </row>
    <row r="1362">
      <c r="C1362" s="8"/>
      <c r="Q1362" s="14">
        <f t="shared" si="1"/>
        <v>0</v>
      </c>
    </row>
    <row r="1363">
      <c r="C1363" s="8"/>
      <c r="Q1363" s="14">
        <f t="shared" si="1"/>
        <v>0</v>
      </c>
    </row>
    <row r="1364">
      <c r="C1364" s="8"/>
      <c r="Q1364" s="14">
        <f t="shared" si="1"/>
        <v>0</v>
      </c>
    </row>
    <row r="1365">
      <c r="C1365" s="8"/>
      <c r="Q1365" s="14">
        <f t="shared" si="1"/>
        <v>0</v>
      </c>
    </row>
    <row r="1366">
      <c r="C1366" s="8"/>
      <c r="Q1366" s="14">
        <f t="shared" si="1"/>
        <v>0</v>
      </c>
    </row>
    <row r="1367">
      <c r="C1367" s="8"/>
      <c r="Q1367" s="14">
        <f t="shared" si="1"/>
        <v>0</v>
      </c>
    </row>
    <row r="1368">
      <c r="C1368" s="8"/>
      <c r="Q1368" s="14">
        <f t="shared" si="1"/>
        <v>0</v>
      </c>
    </row>
    <row r="1369">
      <c r="C1369" s="8"/>
      <c r="Q1369" s="14">
        <f t="shared" si="1"/>
        <v>0</v>
      </c>
    </row>
    <row r="1370">
      <c r="C1370" s="8"/>
      <c r="Q1370" s="14">
        <f t="shared" si="1"/>
        <v>0</v>
      </c>
    </row>
    <row r="1371">
      <c r="C1371" s="8"/>
      <c r="Q1371" s="14">
        <f t="shared" si="1"/>
        <v>0</v>
      </c>
    </row>
    <row r="1372">
      <c r="C1372" s="8"/>
      <c r="Q1372" s="14">
        <f t="shared" si="1"/>
        <v>0</v>
      </c>
    </row>
    <row r="1373">
      <c r="C1373" s="8"/>
      <c r="Q1373" s="14">
        <f t="shared" si="1"/>
        <v>0</v>
      </c>
    </row>
    <row r="1374">
      <c r="C1374" s="8"/>
      <c r="Q1374" s="14">
        <f t="shared" si="1"/>
        <v>0</v>
      </c>
    </row>
    <row r="1375">
      <c r="C1375" s="8"/>
      <c r="Q1375" s="14">
        <f t="shared" si="1"/>
        <v>0</v>
      </c>
    </row>
    <row r="1376">
      <c r="C1376" s="8"/>
      <c r="Q1376" s="14">
        <f t="shared" si="1"/>
        <v>0</v>
      </c>
    </row>
    <row r="1377">
      <c r="C1377" s="8"/>
      <c r="Q1377" s="14">
        <f t="shared" si="1"/>
        <v>0</v>
      </c>
    </row>
    <row r="1378">
      <c r="C1378" s="8"/>
      <c r="Q1378" s="14">
        <f t="shared" si="1"/>
        <v>0</v>
      </c>
    </row>
    <row r="1379">
      <c r="C1379" s="8"/>
      <c r="Q1379" s="14">
        <f t="shared" si="1"/>
        <v>0</v>
      </c>
    </row>
    <row r="1380">
      <c r="C1380" s="8"/>
      <c r="Q1380" s="14">
        <f t="shared" si="1"/>
        <v>0</v>
      </c>
    </row>
    <row r="1381">
      <c r="C1381" s="8"/>
      <c r="Q1381" s="14">
        <f t="shared" si="1"/>
        <v>0</v>
      </c>
    </row>
    <row r="1382">
      <c r="C1382" s="8"/>
      <c r="Q1382" s="14">
        <f t="shared" si="1"/>
        <v>0</v>
      </c>
    </row>
    <row r="1383">
      <c r="C1383" s="8"/>
      <c r="Q1383" s="14">
        <f t="shared" si="1"/>
        <v>0</v>
      </c>
    </row>
    <row r="1384">
      <c r="C1384" s="8"/>
      <c r="Q1384" s="14">
        <f t="shared" si="1"/>
        <v>0</v>
      </c>
    </row>
    <row r="1385">
      <c r="C1385" s="8"/>
      <c r="Q1385" s="14">
        <f t="shared" si="1"/>
        <v>0</v>
      </c>
    </row>
    <row r="1386">
      <c r="C1386" s="8"/>
      <c r="Q1386" s="14">
        <f t="shared" si="1"/>
        <v>0</v>
      </c>
    </row>
    <row r="1387">
      <c r="C1387" s="8"/>
      <c r="Q1387" s="14">
        <f t="shared" si="1"/>
        <v>0</v>
      </c>
    </row>
    <row r="1388">
      <c r="C1388" s="8"/>
      <c r="Q1388" s="14">
        <f t="shared" si="1"/>
        <v>0</v>
      </c>
    </row>
    <row r="1389">
      <c r="C1389" s="8"/>
      <c r="Q1389" s="14">
        <f t="shared" si="1"/>
        <v>0</v>
      </c>
    </row>
    <row r="1390">
      <c r="C1390" s="8"/>
      <c r="Q1390" s="14">
        <f t="shared" si="1"/>
        <v>0</v>
      </c>
    </row>
    <row r="1391">
      <c r="C1391" s="8"/>
      <c r="Q1391" s="14">
        <f t="shared" si="1"/>
        <v>0</v>
      </c>
    </row>
    <row r="1392">
      <c r="C1392" s="8"/>
      <c r="Q1392" s="14">
        <f t="shared" si="1"/>
        <v>0</v>
      </c>
    </row>
    <row r="1393">
      <c r="C1393" s="8"/>
      <c r="Q1393" s="14">
        <f t="shared" si="1"/>
        <v>0</v>
      </c>
    </row>
    <row r="1394">
      <c r="C1394" s="8"/>
      <c r="Q1394" s="14">
        <f t="shared" si="1"/>
        <v>0</v>
      </c>
    </row>
    <row r="1395">
      <c r="C1395" s="8"/>
      <c r="Q1395" s="14">
        <f t="shared" si="1"/>
        <v>0</v>
      </c>
    </row>
    <row r="1396">
      <c r="C1396" s="8"/>
      <c r="Q1396" s="14">
        <f t="shared" si="1"/>
        <v>0</v>
      </c>
    </row>
    <row r="1397">
      <c r="C1397" s="8"/>
      <c r="Q1397" s="14">
        <f t="shared" si="1"/>
        <v>0</v>
      </c>
    </row>
    <row r="1398">
      <c r="C1398" s="8"/>
      <c r="Q1398" s="14">
        <f t="shared" si="1"/>
        <v>0</v>
      </c>
    </row>
    <row r="1399">
      <c r="C1399" s="8"/>
      <c r="Q1399" s="14">
        <f t="shared" si="1"/>
        <v>0</v>
      </c>
    </row>
    <row r="1400">
      <c r="C1400" s="8"/>
      <c r="Q1400" s="14">
        <f t="shared" si="1"/>
        <v>0</v>
      </c>
    </row>
    <row r="1401">
      <c r="C1401" s="8"/>
      <c r="Q1401" s="14">
        <f t="shared" si="1"/>
        <v>0</v>
      </c>
    </row>
    <row r="1402">
      <c r="C1402" s="8"/>
      <c r="Q1402" s="14">
        <f t="shared" si="1"/>
        <v>0</v>
      </c>
    </row>
    <row r="1403">
      <c r="C1403" s="8"/>
      <c r="Q1403" s="14">
        <f t="shared" si="1"/>
        <v>0</v>
      </c>
    </row>
    <row r="1404">
      <c r="C1404" s="8"/>
      <c r="Q1404" s="14">
        <f t="shared" si="1"/>
        <v>0</v>
      </c>
    </row>
    <row r="1405">
      <c r="C1405" s="8"/>
      <c r="Q1405" s="14">
        <f t="shared" si="1"/>
        <v>0</v>
      </c>
    </row>
    <row r="1406">
      <c r="C1406" s="8"/>
      <c r="Q1406" s="14">
        <f t="shared" si="1"/>
        <v>0</v>
      </c>
    </row>
    <row r="1407">
      <c r="C1407" s="8"/>
      <c r="Q1407" s="14">
        <f t="shared" si="1"/>
        <v>0</v>
      </c>
    </row>
    <row r="1408">
      <c r="C1408" s="8"/>
      <c r="Q1408" s="14">
        <f t="shared" si="1"/>
        <v>0</v>
      </c>
    </row>
    <row r="1409">
      <c r="C1409" s="8"/>
      <c r="Q1409" s="14">
        <f t="shared" si="1"/>
        <v>0</v>
      </c>
    </row>
    <row r="1410">
      <c r="C1410" s="8"/>
      <c r="Q1410" s="14">
        <f t="shared" si="1"/>
        <v>0</v>
      </c>
    </row>
    <row r="1411">
      <c r="C1411" s="8"/>
      <c r="Q1411" s="14">
        <f t="shared" si="1"/>
        <v>0</v>
      </c>
    </row>
    <row r="1412">
      <c r="C1412" s="8"/>
      <c r="Q1412" s="14">
        <f t="shared" si="1"/>
        <v>0</v>
      </c>
    </row>
    <row r="1413">
      <c r="C1413" s="8"/>
      <c r="Q1413" s="14">
        <f t="shared" si="1"/>
        <v>0</v>
      </c>
    </row>
    <row r="1414">
      <c r="C1414" s="8"/>
      <c r="Q1414" s="14">
        <f t="shared" si="1"/>
        <v>0</v>
      </c>
    </row>
    <row r="1415">
      <c r="C1415" s="8"/>
      <c r="Q1415" s="14">
        <f t="shared" si="1"/>
        <v>0</v>
      </c>
    </row>
    <row r="1416">
      <c r="C1416" s="8"/>
      <c r="Q1416" s="14">
        <f t="shared" si="1"/>
        <v>0</v>
      </c>
    </row>
    <row r="1417">
      <c r="C1417" s="8"/>
      <c r="Q1417" s="14">
        <f t="shared" si="1"/>
        <v>0</v>
      </c>
    </row>
    <row r="1418">
      <c r="C1418" s="8"/>
      <c r="Q1418" s="14">
        <f t="shared" si="1"/>
        <v>0</v>
      </c>
    </row>
    <row r="1419">
      <c r="C1419" s="8"/>
      <c r="Q1419" s="14">
        <f t="shared" si="1"/>
        <v>0</v>
      </c>
    </row>
    <row r="1420">
      <c r="C1420" s="8"/>
      <c r="Q1420" s="14">
        <f t="shared" si="1"/>
        <v>0</v>
      </c>
    </row>
    <row r="1421">
      <c r="C1421" s="8"/>
      <c r="Q1421" s="14">
        <f t="shared" si="1"/>
        <v>0</v>
      </c>
    </row>
    <row r="1422">
      <c r="C1422" s="8"/>
      <c r="Q1422" s="14">
        <f t="shared" si="1"/>
        <v>0</v>
      </c>
    </row>
    <row r="1423">
      <c r="C1423" s="8"/>
      <c r="Q1423" s="14">
        <f t="shared" si="1"/>
        <v>0</v>
      </c>
    </row>
    <row r="1424">
      <c r="C1424" s="8"/>
      <c r="Q1424" s="14">
        <f t="shared" si="1"/>
        <v>0</v>
      </c>
    </row>
    <row r="1425">
      <c r="C1425" s="8"/>
      <c r="Q1425" s="14">
        <f t="shared" si="1"/>
        <v>0</v>
      </c>
    </row>
    <row r="1426">
      <c r="C1426" s="8"/>
      <c r="Q1426" s="14">
        <f t="shared" si="1"/>
        <v>0</v>
      </c>
    </row>
    <row r="1427">
      <c r="C1427" s="8"/>
      <c r="Q1427" s="14">
        <f t="shared" si="1"/>
        <v>0</v>
      </c>
    </row>
    <row r="1428">
      <c r="C1428" s="8"/>
      <c r="Q1428" s="14">
        <f t="shared" si="1"/>
        <v>0</v>
      </c>
    </row>
    <row r="1429">
      <c r="C1429" s="8"/>
      <c r="Q1429" s="14">
        <f t="shared" si="1"/>
        <v>0</v>
      </c>
    </row>
    <row r="1430">
      <c r="C1430" s="8"/>
      <c r="Q1430" s="14">
        <f t="shared" si="1"/>
        <v>0</v>
      </c>
    </row>
    <row r="1431">
      <c r="C1431" s="8"/>
      <c r="Q1431" s="14">
        <f t="shared" si="1"/>
        <v>0</v>
      </c>
    </row>
    <row r="1432">
      <c r="C1432" s="8"/>
      <c r="Q1432" s="14">
        <f t="shared" si="1"/>
        <v>0</v>
      </c>
    </row>
    <row r="1433">
      <c r="C1433" s="8"/>
      <c r="Q1433" s="14">
        <f t="shared" si="1"/>
        <v>0</v>
      </c>
    </row>
    <row r="1434">
      <c r="C1434" s="8"/>
      <c r="Q1434" s="14">
        <f t="shared" si="1"/>
        <v>0</v>
      </c>
    </row>
    <row r="1435">
      <c r="C1435" s="8"/>
      <c r="Q1435" s="14">
        <f t="shared" si="1"/>
        <v>0</v>
      </c>
    </row>
    <row r="1436">
      <c r="C1436" s="8"/>
      <c r="Q1436" s="14">
        <f t="shared" si="1"/>
        <v>0</v>
      </c>
    </row>
    <row r="1437">
      <c r="C1437" s="8"/>
      <c r="Q1437" s="14">
        <f t="shared" si="1"/>
        <v>0</v>
      </c>
    </row>
    <row r="1438">
      <c r="C1438" s="8"/>
      <c r="Q1438" s="14">
        <f t="shared" si="1"/>
        <v>0</v>
      </c>
    </row>
    <row r="1439">
      <c r="C1439" s="8"/>
      <c r="Q1439" s="14">
        <f t="shared" si="1"/>
        <v>0</v>
      </c>
    </row>
    <row r="1440">
      <c r="C1440" s="8"/>
      <c r="Q1440" s="14">
        <f t="shared" si="1"/>
        <v>0</v>
      </c>
    </row>
    <row r="1441">
      <c r="C1441" s="8"/>
      <c r="Q1441" s="14">
        <f t="shared" si="1"/>
        <v>0</v>
      </c>
    </row>
    <row r="1442">
      <c r="C1442" s="8"/>
      <c r="Q1442" s="14">
        <f t="shared" si="1"/>
        <v>0</v>
      </c>
    </row>
    <row r="1443">
      <c r="C1443" s="8"/>
      <c r="Q1443" s="14">
        <f t="shared" si="1"/>
        <v>0</v>
      </c>
    </row>
    <row r="1444">
      <c r="C1444" s="8"/>
      <c r="Q1444" s="14">
        <f t="shared" si="1"/>
        <v>0</v>
      </c>
    </row>
    <row r="1445">
      <c r="C1445" s="8"/>
      <c r="Q1445" s="14">
        <f t="shared" si="1"/>
        <v>0</v>
      </c>
    </row>
    <row r="1446">
      <c r="C1446" s="8"/>
      <c r="Q1446" s="14">
        <f t="shared" si="1"/>
        <v>0</v>
      </c>
    </row>
    <row r="1447">
      <c r="C1447" s="8"/>
      <c r="Q1447" s="14">
        <f t="shared" si="1"/>
        <v>0</v>
      </c>
    </row>
    <row r="1448">
      <c r="C1448" s="8"/>
      <c r="Q1448" s="14">
        <f t="shared" si="1"/>
        <v>0</v>
      </c>
    </row>
    <row r="1449">
      <c r="C1449" s="8"/>
      <c r="Q1449" s="14">
        <f t="shared" si="1"/>
        <v>0</v>
      </c>
    </row>
    <row r="1450">
      <c r="C1450" s="8"/>
      <c r="Q1450" s="14">
        <f t="shared" si="1"/>
        <v>0</v>
      </c>
    </row>
    <row r="1451">
      <c r="C1451" s="8"/>
      <c r="Q1451" s="14">
        <f t="shared" si="1"/>
        <v>0</v>
      </c>
    </row>
    <row r="1452">
      <c r="C1452" s="8"/>
      <c r="Q1452" s="14">
        <f t="shared" si="1"/>
        <v>0</v>
      </c>
    </row>
    <row r="1453">
      <c r="C1453" s="8"/>
      <c r="Q1453" s="14">
        <f t="shared" si="1"/>
        <v>0</v>
      </c>
    </row>
    <row r="1454">
      <c r="C1454" s="8"/>
      <c r="Q1454" s="14">
        <f t="shared" si="1"/>
        <v>0</v>
      </c>
    </row>
    <row r="1455">
      <c r="C1455" s="8"/>
      <c r="Q1455" s="14">
        <f t="shared" si="1"/>
        <v>0</v>
      </c>
    </row>
    <row r="1456">
      <c r="C1456" s="8"/>
      <c r="Q1456" s="14">
        <f t="shared" si="1"/>
        <v>0</v>
      </c>
    </row>
    <row r="1457">
      <c r="C1457" s="8"/>
      <c r="Q1457" s="14">
        <f t="shared" si="1"/>
        <v>0</v>
      </c>
    </row>
    <row r="1458">
      <c r="C1458" s="8"/>
      <c r="Q1458" s="14">
        <f t="shared" si="1"/>
        <v>0</v>
      </c>
    </row>
    <row r="1459">
      <c r="C1459" s="8"/>
      <c r="Q1459" s="14">
        <f t="shared" si="1"/>
        <v>0</v>
      </c>
    </row>
    <row r="1460">
      <c r="C1460" s="8"/>
      <c r="Q1460" s="14">
        <f t="shared" si="1"/>
        <v>0</v>
      </c>
    </row>
    <row r="1461">
      <c r="C1461" s="8"/>
      <c r="Q1461" s="14">
        <f t="shared" si="1"/>
        <v>0</v>
      </c>
    </row>
    <row r="1462">
      <c r="C1462" s="8"/>
      <c r="Q1462" s="14">
        <f t="shared" si="1"/>
        <v>0</v>
      </c>
    </row>
    <row r="1463">
      <c r="C1463" s="8"/>
      <c r="Q1463" s="14">
        <f t="shared" si="1"/>
        <v>0</v>
      </c>
    </row>
    <row r="1464">
      <c r="C1464" s="8"/>
      <c r="Q1464" s="14">
        <f t="shared" si="1"/>
        <v>0</v>
      </c>
    </row>
    <row r="1465">
      <c r="C1465" s="8"/>
      <c r="Q1465" s="14">
        <f t="shared" si="1"/>
        <v>0</v>
      </c>
    </row>
    <row r="1466">
      <c r="C1466" s="8"/>
      <c r="Q1466" s="14">
        <f t="shared" si="1"/>
        <v>0</v>
      </c>
    </row>
    <row r="1467">
      <c r="C1467" s="8"/>
      <c r="Q1467" s="14">
        <f t="shared" si="1"/>
        <v>0</v>
      </c>
    </row>
    <row r="1468">
      <c r="C1468" s="8"/>
      <c r="Q1468" s="14">
        <f t="shared" si="1"/>
        <v>0</v>
      </c>
    </row>
    <row r="1469">
      <c r="C1469" s="8"/>
      <c r="Q1469" s="14">
        <f t="shared" si="1"/>
        <v>0</v>
      </c>
    </row>
    <row r="1470">
      <c r="C1470" s="8"/>
      <c r="Q1470" s="14">
        <f t="shared" si="1"/>
        <v>0</v>
      </c>
    </row>
    <row r="1471">
      <c r="C1471" s="8"/>
      <c r="Q1471" s="14">
        <f t="shared" si="1"/>
        <v>0</v>
      </c>
    </row>
    <row r="1472">
      <c r="C1472" s="8"/>
      <c r="Q1472" s="14">
        <f t="shared" si="1"/>
        <v>0</v>
      </c>
    </row>
    <row r="1473">
      <c r="C1473" s="8"/>
      <c r="Q1473" s="14">
        <f t="shared" si="1"/>
        <v>0</v>
      </c>
    </row>
    <row r="1474">
      <c r="C1474" s="8"/>
      <c r="Q1474" s="14">
        <f t="shared" si="1"/>
        <v>0</v>
      </c>
    </row>
    <row r="1475">
      <c r="C1475" s="8"/>
      <c r="Q1475" s="14">
        <f t="shared" si="1"/>
        <v>0</v>
      </c>
    </row>
    <row r="1476">
      <c r="C1476" s="8"/>
      <c r="Q1476" s="14">
        <f t="shared" si="1"/>
        <v>0</v>
      </c>
    </row>
    <row r="1477">
      <c r="C1477" s="8"/>
      <c r="Q1477" s="14">
        <f t="shared" si="1"/>
        <v>0</v>
      </c>
    </row>
    <row r="1478">
      <c r="C1478" s="8"/>
      <c r="Q1478" s="14">
        <f t="shared" si="1"/>
        <v>0</v>
      </c>
    </row>
    <row r="1479">
      <c r="C1479" s="8"/>
      <c r="Q1479" s="14">
        <f t="shared" si="1"/>
        <v>0</v>
      </c>
    </row>
    <row r="1480">
      <c r="C1480" s="8"/>
      <c r="Q1480" s="14">
        <f t="shared" si="1"/>
        <v>0</v>
      </c>
    </row>
    <row r="1481">
      <c r="C1481" s="8"/>
      <c r="Q1481" s="14">
        <f t="shared" si="1"/>
        <v>0</v>
      </c>
    </row>
    <row r="1482">
      <c r="C1482" s="8"/>
      <c r="Q1482" s="14">
        <f t="shared" si="1"/>
        <v>0</v>
      </c>
    </row>
    <row r="1483">
      <c r="C1483" s="8"/>
      <c r="Q1483" s="14">
        <f t="shared" si="1"/>
        <v>0</v>
      </c>
    </row>
    <row r="1484">
      <c r="C1484" s="8"/>
      <c r="Q1484" s="14">
        <f t="shared" si="1"/>
        <v>0</v>
      </c>
    </row>
    <row r="1485">
      <c r="C1485" s="8"/>
      <c r="Q1485" s="14">
        <f t="shared" si="1"/>
        <v>0</v>
      </c>
    </row>
    <row r="1486">
      <c r="C1486" s="8"/>
      <c r="Q1486" s="14">
        <f t="shared" si="1"/>
        <v>0</v>
      </c>
    </row>
    <row r="1487">
      <c r="C1487" s="8"/>
      <c r="Q1487" s="14">
        <f t="shared" si="1"/>
        <v>0</v>
      </c>
    </row>
    <row r="1488">
      <c r="C1488" s="8"/>
      <c r="Q1488" s="14">
        <f t="shared" si="1"/>
        <v>0</v>
      </c>
    </row>
    <row r="1489">
      <c r="C1489" s="8"/>
      <c r="Q1489" s="14">
        <f t="shared" si="1"/>
        <v>0</v>
      </c>
    </row>
    <row r="1490">
      <c r="C1490" s="8"/>
      <c r="Q1490" s="14">
        <f t="shared" si="1"/>
        <v>0</v>
      </c>
    </row>
    <row r="1491">
      <c r="C1491" s="8"/>
      <c r="Q1491" s="14">
        <f t="shared" si="1"/>
        <v>0</v>
      </c>
    </row>
    <row r="1492">
      <c r="C1492" s="8"/>
      <c r="Q1492" s="14">
        <f t="shared" si="1"/>
        <v>0</v>
      </c>
    </row>
    <row r="1493">
      <c r="C1493" s="8"/>
      <c r="Q1493" s="14">
        <f t="shared" si="1"/>
        <v>0</v>
      </c>
    </row>
    <row r="1494">
      <c r="C1494" s="8"/>
      <c r="Q1494" s="14">
        <f t="shared" si="1"/>
        <v>0</v>
      </c>
    </row>
    <row r="1495">
      <c r="C1495" s="8"/>
      <c r="Q1495" s="14">
        <f t="shared" si="1"/>
        <v>0</v>
      </c>
    </row>
    <row r="1496">
      <c r="C1496" s="8"/>
      <c r="Q1496" s="14">
        <f t="shared" si="1"/>
        <v>0</v>
      </c>
    </row>
    <row r="1497">
      <c r="C1497" s="8"/>
      <c r="Q1497" s="14">
        <f t="shared" si="1"/>
        <v>0</v>
      </c>
    </row>
    <row r="1498">
      <c r="C1498" s="8"/>
      <c r="Q1498" s="14">
        <f t="shared" si="1"/>
        <v>0</v>
      </c>
    </row>
    <row r="1499">
      <c r="C1499" s="8"/>
      <c r="Q1499" s="14">
        <f t="shared" si="1"/>
        <v>0</v>
      </c>
    </row>
    <row r="1500">
      <c r="C1500" s="8"/>
      <c r="Q1500" s="14">
        <f t="shared" si="1"/>
        <v>0</v>
      </c>
    </row>
    <row r="1501">
      <c r="C1501" s="8"/>
      <c r="Q1501" s="14"/>
    </row>
    <row r="1502">
      <c r="C1502" s="8"/>
      <c r="Q1502" s="14"/>
    </row>
  </sheetData>
  <autoFilter ref="$A$1:$Z$150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6" max="16" width="15.5"/>
  </cols>
  <sheetData>
    <row r="1">
      <c r="A1" s="17" t="s">
        <v>2992</v>
      </c>
      <c r="B1" s="17" t="s">
        <v>2993</v>
      </c>
      <c r="C1" s="33"/>
      <c r="D1" s="19"/>
    </row>
    <row r="2">
      <c r="A2" s="21" t="str">
        <f>IFERROR(__xludf.DUMMYFUNCTION("filter(CleanedDataset!A:R, CleanedDataset!R:R &gt; 500)"),"Order Date")</f>
        <v>Order Date</v>
      </c>
      <c r="B2" s="22" t="str">
        <f>IFERROR(__xludf.DUMMYFUNCTION("""COMPUTED_VALUE"""),"Order Month")</f>
        <v>Order Month</v>
      </c>
      <c r="C2" s="9" t="str">
        <f>IFERROR(__xludf.DUMMYFUNCTION("""COMPUTED_VALUE"""),"Ship Date")</f>
        <v>Ship Date</v>
      </c>
      <c r="D2" s="22" t="str">
        <f>IFERROR(__xludf.DUMMYFUNCTION("""COMPUTED_VALUE"""),"Month")</f>
        <v>Month</v>
      </c>
      <c r="E2" s="22" t="str">
        <f>IFERROR(__xludf.DUMMYFUNCTION("""COMPUTED_VALUE"""),"Years")</f>
        <v>Years</v>
      </c>
      <c r="F2" s="22" t="str">
        <f>IFERROR(__xludf.DUMMYFUNCTION("""COMPUTED_VALUE"""),"Ship Mode")</f>
        <v>Ship Mode</v>
      </c>
      <c r="G2" s="22" t="str">
        <f>IFERROR(__xludf.DUMMYFUNCTION("""COMPUTED_VALUE"""),"First Name")</f>
        <v>First Name</v>
      </c>
      <c r="H2" s="22" t="str">
        <f>IFERROR(__xludf.DUMMYFUNCTION("""COMPUTED_VALUE"""),"Surname")</f>
        <v>Surname</v>
      </c>
      <c r="I2" s="22" t="str">
        <f>IFERROR(__xludf.DUMMYFUNCTION("""COMPUTED_VALUE"""),"Segment")</f>
        <v>Segment</v>
      </c>
      <c r="J2" s="22" t="str">
        <f>IFERROR(__xludf.DUMMYFUNCTION("""COMPUTED_VALUE"""),"City")</f>
        <v>City</v>
      </c>
      <c r="K2" s="22" t="str">
        <f>IFERROR(__xludf.DUMMYFUNCTION("""COMPUTED_VALUE"""),"State")</f>
        <v>State</v>
      </c>
      <c r="L2" s="22" t="str">
        <f>IFERROR(__xludf.DUMMYFUNCTION("""COMPUTED_VALUE"""),"Region")</f>
        <v>Region</v>
      </c>
      <c r="M2" s="22" t="str">
        <f>IFERROR(__xludf.DUMMYFUNCTION("""COMPUTED_VALUE"""),"Category")</f>
        <v>Category</v>
      </c>
      <c r="N2" s="18" t="str">
        <f>IFERROR(__xludf.DUMMYFUNCTION("""COMPUTED_VALUE"""),"Sale")</f>
        <v>Sale</v>
      </c>
      <c r="O2" s="18" t="str">
        <f>IFERROR(__xludf.DUMMYFUNCTION("""COMPUTED_VALUE"""),"Item Cost")</f>
        <v>Item Cost</v>
      </c>
      <c r="P2" s="22" t="str">
        <f>IFERROR(__xludf.DUMMYFUNCTION("""COMPUTED_VALUE"""),"Quantity")</f>
        <v>Quantity</v>
      </c>
      <c r="Q2" s="18" t="str">
        <f>IFERROR(__xludf.DUMMYFUNCTION("""COMPUTED_VALUE"""),"profit(without costs)")</f>
        <v>profit(without costs)</v>
      </c>
      <c r="R2" s="18" t="str">
        <f>IFERROR(__xludf.DUMMYFUNCTION("""COMPUTED_VALUE"""),"Profit")</f>
        <v>Profit</v>
      </c>
    </row>
    <row r="3">
      <c r="A3" s="21">
        <f>IFERROR(__xludf.DUMMYFUNCTION("""COMPUTED_VALUE"""),42958.0)</f>
        <v>42958</v>
      </c>
      <c r="B3" s="21" t="str">
        <f>IFERROR(__xludf.DUMMYFUNCTION("""COMPUTED_VALUE"""),"Aug")</f>
        <v>Aug</v>
      </c>
      <c r="C3" s="9">
        <f>IFERROR(__xludf.DUMMYFUNCTION("""COMPUTED_VALUE"""),43050.0)</f>
        <v>43050</v>
      </c>
      <c r="D3" s="23" t="str">
        <f>IFERROR(__xludf.DUMMYFUNCTION("""COMPUTED_VALUE"""),"Nov")</f>
        <v>Nov</v>
      </c>
      <c r="E3" s="21" t="str">
        <f>IFERROR(__xludf.DUMMYFUNCTION("""COMPUTED_VALUE"""),"2017")</f>
        <v>2017</v>
      </c>
      <c r="F3" s="22" t="str">
        <f>IFERROR(__xludf.DUMMYFUNCTION("""COMPUTED_VALUE"""),"Second Class")</f>
        <v>Second Class</v>
      </c>
      <c r="G3" s="22" t="str">
        <f>IFERROR(__xludf.DUMMYFUNCTION("""COMPUTED_VALUE"""),"Claire")</f>
        <v>Claire</v>
      </c>
      <c r="H3" s="22" t="str">
        <f>IFERROR(__xludf.DUMMYFUNCTION("""COMPUTED_VALUE"""),"Gute")</f>
        <v>Gute</v>
      </c>
      <c r="I3" s="22" t="str">
        <f>IFERROR(__xludf.DUMMYFUNCTION("""COMPUTED_VALUE"""),"Consumer")</f>
        <v>Consumer</v>
      </c>
      <c r="J3" s="22" t="str">
        <f>IFERROR(__xludf.DUMMYFUNCTION("""COMPUTED_VALUE"""),"Henderson")</f>
        <v>Henderson</v>
      </c>
      <c r="K3" s="22" t="str">
        <f>IFERROR(__xludf.DUMMYFUNCTION("""COMPUTED_VALUE"""),"Kentucky")</f>
        <v>Kentucky</v>
      </c>
      <c r="L3" s="22" t="str">
        <f>IFERROR(__xludf.DUMMYFUNCTION("""COMPUTED_VALUE"""),"South")</f>
        <v>South</v>
      </c>
      <c r="M3" s="22" t="str">
        <f>IFERROR(__xludf.DUMMYFUNCTION("""COMPUTED_VALUE"""),"Furniture")</f>
        <v>Furniture</v>
      </c>
      <c r="N3" s="18">
        <f>IFERROR(__xludf.DUMMYFUNCTION("""COMPUTED_VALUE"""),261.96)</f>
        <v>261.96</v>
      </c>
      <c r="O3" s="18">
        <f>IFERROR(__xludf.DUMMYFUNCTION("""COMPUTED_VALUE"""),261.26)</f>
        <v>261.26</v>
      </c>
      <c r="P3" s="22">
        <f>IFERROR(__xludf.DUMMYFUNCTION("""COMPUTED_VALUE"""),4.0)</f>
        <v>4</v>
      </c>
      <c r="Q3" s="18">
        <f>IFERROR(__xludf.DUMMYFUNCTION("""COMPUTED_VALUE"""),1047.84)</f>
        <v>1047.84</v>
      </c>
      <c r="R3" s="18">
        <f>IFERROR(__xludf.DUMMYFUNCTION("""COMPUTED_VALUE"""),786.5799999999999)</f>
        <v>786.58</v>
      </c>
    </row>
    <row r="4">
      <c r="A4" s="21">
        <f>IFERROR(__xludf.DUMMYFUNCTION("""COMPUTED_VALUE"""),42958.0)</f>
        <v>42958</v>
      </c>
      <c r="B4" s="21" t="str">
        <f>IFERROR(__xludf.DUMMYFUNCTION("""COMPUTED_VALUE"""),"Aug")</f>
        <v>Aug</v>
      </c>
      <c r="C4" s="9">
        <f>IFERROR(__xludf.DUMMYFUNCTION("""COMPUTED_VALUE"""),43050.0)</f>
        <v>43050</v>
      </c>
      <c r="D4" s="23" t="str">
        <f>IFERROR(__xludf.DUMMYFUNCTION("""COMPUTED_VALUE"""),"Nov")</f>
        <v>Nov</v>
      </c>
      <c r="E4" s="21" t="str">
        <f>IFERROR(__xludf.DUMMYFUNCTION("""COMPUTED_VALUE"""),"2017")</f>
        <v>2017</v>
      </c>
      <c r="F4" s="22" t="str">
        <f>IFERROR(__xludf.DUMMYFUNCTION("""COMPUTED_VALUE"""),"Second Class")</f>
        <v>Second Class</v>
      </c>
      <c r="G4" s="22" t="str">
        <f>IFERROR(__xludf.DUMMYFUNCTION("""COMPUTED_VALUE"""),"Claire")</f>
        <v>Claire</v>
      </c>
      <c r="H4" s="22" t="str">
        <f>IFERROR(__xludf.DUMMYFUNCTION("""COMPUTED_VALUE"""),"Gute")</f>
        <v>Gute</v>
      </c>
      <c r="I4" s="22" t="str">
        <f>IFERROR(__xludf.DUMMYFUNCTION("""COMPUTED_VALUE"""),"Consumer")</f>
        <v>Consumer</v>
      </c>
      <c r="J4" s="22" t="str">
        <f>IFERROR(__xludf.DUMMYFUNCTION("""COMPUTED_VALUE"""),"Henderson")</f>
        <v>Henderson</v>
      </c>
      <c r="K4" s="22" t="str">
        <f>IFERROR(__xludf.DUMMYFUNCTION("""COMPUTED_VALUE"""),"Kentucky")</f>
        <v>Kentucky</v>
      </c>
      <c r="L4" s="22" t="str">
        <f>IFERROR(__xludf.DUMMYFUNCTION("""COMPUTED_VALUE"""),"South")</f>
        <v>South</v>
      </c>
      <c r="M4" s="22" t="str">
        <f>IFERROR(__xludf.DUMMYFUNCTION("""COMPUTED_VALUE"""),"Furniture")</f>
        <v>Furniture</v>
      </c>
      <c r="N4" s="18">
        <f>IFERROR(__xludf.DUMMYFUNCTION("""COMPUTED_VALUE"""),731.94)</f>
        <v>731.94</v>
      </c>
      <c r="O4" s="18">
        <f>IFERROR(__xludf.DUMMYFUNCTION("""COMPUTED_VALUE"""),731.61)</f>
        <v>731.61</v>
      </c>
      <c r="P4" s="22">
        <f>IFERROR(__xludf.DUMMYFUNCTION("""COMPUTED_VALUE"""),4.0)</f>
        <v>4</v>
      </c>
      <c r="Q4" s="18">
        <f>IFERROR(__xludf.DUMMYFUNCTION("""COMPUTED_VALUE"""),2927.76)</f>
        <v>2927.76</v>
      </c>
      <c r="R4" s="18">
        <f>IFERROR(__xludf.DUMMYFUNCTION("""COMPUTED_VALUE"""),2196.15)</f>
        <v>2196.15</v>
      </c>
    </row>
    <row r="5">
      <c r="A5" s="21">
        <f>IFERROR(__xludf.DUMMYFUNCTION("""COMPUTED_VALUE"""),42684.0)</f>
        <v>42684</v>
      </c>
      <c r="B5" s="21" t="str">
        <f>IFERROR(__xludf.DUMMYFUNCTION("""COMPUTED_VALUE"""),"Nov")</f>
        <v>Nov</v>
      </c>
      <c r="C5" s="9">
        <f>IFERROR(__xludf.DUMMYFUNCTION("""COMPUTED_VALUE"""),42661.0)</f>
        <v>42661</v>
      </c>
      <c r="D5" s="23" t="str">
        <f>IFERROR(__xludf.DUMMYFUNCTION("""COMPUTED_VALUE"""),"Oct")</f>
        <v>Oct</v>
      </c>
      <c r="E5" s="21" t="str">
        <f>IFERROR(__xludf.DUMMYFUNCTION("""COMPUTED_VALUE"""),"2016")</f>
        <v>2016</v>
      </c>
      <c r="F5" s="22" t="str">
        <f>IFERROR(__xludf.DUMMYFUNCTION("""COMPUTED_VALUE"""),"Standard Class")</f>
        <v>Standard Class</v>
      </c>
      <c r="G5" s="22" t="str">
        <f>IFERROR(__xludf.DUMMYFUNCTION("""COMPUTED_VALUE"""),"Sean")</f>
        <v>Sean</v>
      </c>
      <c r="H5" s="22" t="str">
        <f>IFERROR(__xludf.DUMMYFUNCTION("""COMPUTED_VALUE"""),"O'Donnell")</f>
        <v>O'Donnell</v>
      </c>
      <c r="I5" s="22" t="str">
        <f>IFERROR(__xludf.DUMMYFUNCTION("""COMPUTED_VALUE"""),"Consumer")</f>
        <v>Consumer</v>
      </c>
      <c r="J5" s="22" t="str">
        <f>IFERROR(__xludf.DUMMYFUNCTION("""COMPUTED_VALUE"""),"Fort Lauderdale")</f>
        <v>Fort Lauderdale</v>
      </c>
      <c r="K5" s="22" t="str">
        <f>IFERROR(__xludf.DUMMYFUNCTION("""COMPUTED_VALUE"""),"Florida")</f>
        <v>Florida</v>
      </c>
      <c r="L5" s="22" t="str">
        <f>IFERROR(__xludf.DUMMYFUNCTION("""COMPUTED_VALUE"""),"South")</f>
        <v>South</v>
      </c>
      <c r="M5" s="22" t="str">
        <f>IFERROR(__xludf.DUMMYFUNCTION("""COMPUTED_VALUE"""),"Furniture")</f>
        <v>Furniture</v>
      </c>
      <c r="N5" s="18">
        <f>IFERROR(__xludf.DUMMYFUNCTION("""COMPUTED_VALUE"""),957.5775)</f>
        <v>957.5775</v>
      </c>
      <c r="O5" s="18">
        <f>IFERROR(__xludf.DUMMYFUNCTION("""COMPUTED_VALUE"""),956.9)</f>
        <v>956.9</v>
      </c>
      <c r="P5" s="22">
        <f>IFERROR(__xludf.DUMMYFUNCTION("""COMPUTED_VALUE"""),3.0)</f>
        <v>3</v>
      </c>
      <c r="Q5" s="18">
        <f>IFERROR(__xludf.DUMMYFUNCTION("""COMPUTED_VALUE"""),2872.7325)</f>
        <v>2872.7325</v>
      </c>
      <c r="R5" s="18">
        <f>IFERROR(__xludf.DUMMYFUNCTION("""COMPUTED_VALUE"""),1915.8325)</f>
        <v>1915.8325</v>
      </c>
    </row>
    <row r="6">
      <c r="A6" s="21">
        <f>IFERROR(__xludf.DUMMYFUNCTION("""COMPUTED_VALUE"""),42253.0)</f>
        <v>42253</v>
      </c>
      <c r="B6" s="21" t="str">
        <f>IFERROR(__xludf.DUMMYFUNCTION("""COMPUTED_VALUE"""),"Sep")</f>
        <v>Sep</v>
      </c>
      <c r="C6" s="9">
        <f>IFERROR(__xludf.DUMMYFUNCTION("""COMPUTED_VALUE"""),42169.0)</f>
        <v>42169</v>
      </c>
      <c r="D6" s="23" t="str">
        <f>IFERROR(__xludf.DUMMYFUNCTION("""COMPUTED_VALUE"""),"Jun")</f>
        <v>Jun</v>
      </c>
      <c r="E6" s="21" t="str">
        <f>IFERROR(__xludf.DUMMYFUNCTION("""COMPUTED_VALUE"""),"2015")</f>
        <v>2015</v>
      </c>
      <c r="F6" s="22" t="str">
        <f>IFERROR(__xludf.DUMMYFUNCTION("""COMPUTED_VALUE"""),"Standard Class")</f>
        <v>Standard Class</v>
      </c>
      <c r="G6" s="22" t="str">
        <f>IFERROR(__xludf.DUMMYFUNCTION("""COMPUTED_VALUE"""),"Brosina")</f>
        <v>Brosina</v>
      </c>
      <c r="H6" s="22" t="str">
        <f>IFERROR(__xludf.DUMMYFUNCTION("""COMPUTED_VALUE"""),"Hoffman")</f>
        <v>Hoffman</v>
      </c>
      <c r="I6" s="22" t="str">
        <f>IFERROR(__xludf.DUMMYFUNCTION("""COMPUTED_VALUE"""),"Consumer")</f>
        <v>Consumer</v>
      </c>
      <c r="J6" s="22" t="str">
        <f>IFERROR(__xludf.DUMMYFUNCTION("""COMPUTED_VALUE"""),"Los Angeles")</f>
        <v>Los Angeles</v>
      </c>
      <c r="K6" s="22" t="str">
        <f>IFERROR(__xludf.DUMMYFUNCTION("""COMPUTED_VALUE"""),"California")</f>
        <v>California</v>
      </c>
      <c r="L6" s="22" t="str">
        <f>IFERROR(__xludf.DUMMYFUNCTION("""COMPUTED_VALUE"""),"West")</f>
        <v>West</v>
      </c>
      <c r="M6" s="22" t="str">
        <f>IFERROR(__xludf.DUMMYFUNCTION("""COMPUTED_VALUE"""),"Technology")</f>
        <v>Technology</v>
      </c>
      <c r="N6" s="18">
        <f>IFERROR(__xludf.DUMMYFUNCTION("""COMPUTED_VALUE"""),907.152)</f>
        <v>907.152</v>
      </c>
      <c r="O6" s="18">
        <f>IFERROR(__xludf.DUMMYFUNCTION("""COMPUTED_VALUE"""),906.78)</f>
        <v>906.78</v>
      </c>
      <c r="P6" s="22">
        <f>IFERROR(__xludf.DUMMYFUNCTION("""COMPUTED_VALUE"""),9.0)</f>
        <v>9</v>
      </c>
      <c r="Q6" s="18">
        <f>IFERROR(__xludf.DUMMYFUNCTION("""COMPUTED_VALUE"""),8164.368)</f>
        <v>8164.368</v>
      </c>
      <c r="R6" s="18">
        <f>IFERROR(__xludf.DUMMYFUNCTION("""COMPUTED_VALUE"""),7257.588000000001)</f>
        <v>7257.588</v>
      </c>
    </row>
    <row r="7">
      <c r="A7" s="21">
        <f>IFERROR(__xludf.DUMMYFUNCTION("""COMPUTED_VALUE"""),42253.0)</f>
        <v>42253</v>
      </c>
      <c r="B7" s="21" t="str">
        <f>IFERROR(__xludf.DUMMYFUNCTION("""COMPUTED_VALUE"""),"Sep")</f>
        <v>Sep</v>
      </c>
      <c r="C7" s="9">
        <f>IFERROR(__xludf.DUMMYFUNCTION("""COMPUTED_VALUE"""),42169.0)</f>
        <v>42169</v>
      </c>
      <c r="D7" s="23" t="str">
        <f>IFERROR(__xludf.DUMMYFUNCTION("""COMPUTED_VALUE"""),"Jun")</f>
        <v>Jun</v>
      </c>
      <c r="E7" s="21" t="str">
        <f>IFERROR(__xludf.DUMMYFUNCTION("""COMPUTED_VALUE"""),"2015")</f>
        <v>2015</v>
      </c>
      <c r="F7" s="22" t="str">
        <f>IFERROR(__xludf.DUMMYFUNCTION("""COMPUTED_VALUE"""),"Standard Class")</f>
        <v>Standard Class</v>
      </c>
      <c r="G7" s="22" t="str">
        <f>IFERROR(__xludf.DUMMYFUNCTION("""COMPUTED_VALUE"""),"Brosina")</f>
        <v>Brosina</v>
      </c>
      <c r="H7" s="22" t="str">
        <f>IFERROR(__xludf.DUMMYFUNCTION("""COMPUTED_VALUE"""),"Hoffman")</f>
        <v>Hoffman</v>
      </c>
      <c r="I7" s="22" t="str">
        <f>IFERROR(__xludf.DUMMYFUNCTION("""COMPUTED_VALUE"""),"Consumer")</f>
        <v>Consumer</v>
      </c>
      <c r="J7" s="22" t="str">
        <f>IFERROR(__xludf.DUMMYFUNCTION("""COMPUTED_VALUE"""),"Los Angeles")</f>
        <v>Los Angeles</v>
      </c>
      <c r="K7" s="22" t="str">
        <f>IFERROR(__xludf.DUMMYFUNCTION("""COMPUTED_VALUE"""),"California")</f>
        <v>California</v>
      </c>
      <c r="L7" s="22" t="str">
        <f>IFERROR(__xludf.DUMMYFUNCTION("""COMPUTED_VALUE"""),"West")</f>
        <v>West</v>
      </c>
      <c r="M7" s="22" t="str">
        <f>IFERROR(__xludf.DUMMYFUNCTION("""COMPUTED_VALUE"""),"Office Supplies")</f>
        <v>Office Supplies</v>
      </c>
      <c r="N7" s="18">
        <f>IFERROR(__xludf.DUMMYFUNCTION("""COMPUTED_VALUE"""),114.9)</f>
        <v>114.9</v>
      </c>
      <c r="O7" s="18">
        <f>IFERROR(__xludf.DUMMYFUNCTION("""COMPUTED_VALUE"""),114.62)</f>
        <v>114.62</v>
      </c>
      <c r="P7" s="22">
        <f>IFERROR(__xludf.DUMMYFUNCTION("""COMPUTED_VALUE"""),9.0)</f>
        <v>9</v>
      </c>
      <c r="Q7" s="18">
        <f>IFERROR(__xludf.DUMMYFUNCTION("""COMPUTED_VALUE"""),1034.1000000000001)</f>
        <v>1034.1</v>
      </c>
      <c r="R7" s="18">
        <f>IFERROR(__xludf.DUMMYFUNCTION("""COMPUTED_VALUE"""),919.4800000000001)</f>
        <v>919.48</v>
      </c>
    </row>
    <row r="8">
      <c r="A8" s="21">
        <f>IFERROR(__xludf.DUMMYFUNCTION("""COMPUTED_VALUE"""),42253.0)</f>
        <v>42253</v>
      </c>
      <c r="B8" s="21" t="str">
        <f>IFERROR(__xludf.DUMMYFUNCTION("""COMPUTED_VALUE"""),"Sep")</f>
        <v>Sep</v>
      </c>
      <c r="C8" s="9">
        <f>IFERROR(__xludf.DUMMYFUNCTION("""COMPUTED_VALUE"""),42169.0)</f>
        <v>42169</v>
      </c>
      <c r="D8" s="23" t="str">
        <f>IFERROR(__xludf.DUMMYFUNCTION("""COMPUTED_VALUE"""),"Jun")</f>
        <v>Jun</v>
      </c>
      <c r="E8" s="21" t="str">
        <f>IFERROR(__xludf.DUMMYFUNCTION("""COMPUTED_VALUE"""),"2015")</f>
        <v>2015</v>
      </c>
      <c r="F8" s="22" t="str">
        <f>IFERROR(__xludf.DUMMYFUNCTION("""COMPUTED_VALUE"""),"Standard Class")</f>
        <v>Standard Class</v>
      </c>
      <c r="G8" s="22" t="str">
        <f>IFERROR(__xludf.DUMMYFUNCTION("""COMPUTED_VALUE"""),"Brosina")</f>
        <v>Brosina</v>
      </c>
      <c r="H8" s="22" t="str">
        <f>IFERROR(__xludf.DUMMYFUNCTION("""COMPUTED_VALUE"""),"Hoffman")</f>
        <v>Hoffman</v>
      </c>
      <c r="I8" s="22" t="str">
        <f>IFERROR(__xludf.DUMMYFUNCTION("""COMPUTED_VALUE"""),"Consumer")</f>
        <v>Consumer</v>
      </c>
      <c r="J8" s="22" t="str">
        <f>IFERROR(__xludf.DUMMYFUNCTION("""COMPUTED_VALUE"""),"Los Angeles")</f>
        <v>Los Angeles</v>
      </c>
      <c r="K8" s="22" t="str">
        <f>IFERROR(__xludf.DUMMYFUNCTION("""COMPUTED_VALUE"""),"California")</f>
        <v>California</v>
      </c>
      <c r="L8" s="22" t="str">
        <f>IFERROR(__xludf.DUMMYFUNCTION("""COMPUTED_VALUE"""),"West")</f>
        <v>West</v>
      </c>
      <c r="M8" s="22" t="str">
        <f>IFERROR(__xludf.DUMMYFUNCTION("""COMPUTED_VALUE"""),"Furniture")</f>
        <v>Furniture</v>
      </c>
      <c r="N8" s="18">
        <f>IFERROR(__xludf.DUMMYFUNCTION("""COMPUTED_VALUE"""),1706.184)</f>
        <v>1706.184</v>
      </c>
      <c r="O8" s="18">
        <f>IFERROR(__xludf.DUMMYFUNCTION("""COMPUTED_VALUE"""),1705.71)</f>
        <v>1705.71</v>
      </c>
      <c r="P8" s="22">
        <f>IFERROR(__xludf.DUMMYFUNCTION("""COMPUTED_VALUE"""),9.0)</f>
        <v>9</v>
      </c>
      <c r="Q8" s="18">
        <f>IFERROR(__xludf.DUMMYFUNCTION("""COMPUTED_VALUE"""),15355.655999999999)</f>
        <v>15355.656</v>
      </c>
      <c r="R8" s="18">
        <f>IFERROR(__xludf.DUMMYFUNCTION("""COMPUTED_VALUE"""),13649.946)</f>
        <v>13649.946</v>
      </c>
    </row>
    <row r="9">
      <c r="A9" s="21">
        <f>IFERROR(__xludf.DUMMYFUNCTION("""COMPUTED_VALUE"""),42253.0)</f>
        <v>42253</v>
      </c>
      <c r="B9" s="21" t="str">
        <f>IFERROR(__xludf.DUMMYFUNCTION("""COMPUTED_VALUE"""),"Sep")</f>
        <v>Sep</v>
      </c>
      <c r="C9" s="9">
        <f>IFERROR(__xludf.DUMMYFUNCTION("""COMPUTED_VALUE"""),42169.0)</f>
        <v>42169</v>
      </c>
      <c r="D9" s="23" t="str">
        <f>IFERROR(__xludf.DUMMYFUNCTION("""COMPUTED_VALUE"""),"Jun")</f>
        <v>Jun</v>
      </c>
      <c r="E9" s="21" t="str">
        <f>IFERROR(__xludf.DUMMYFUNCTION("""COMPUTED_VALUE"""),"2015")</f>
        <v>2015</v>
      </c>
      <c r="F9" s="22" t="str">
        <f>IFERROR(__xludf.DUMMYFUNCTION("""COMPUTED_VALUE"""),"Standard Class")</f>
        <v>Standard Class</v>
      </c>
      <c r="G9" s="22" t="str">
        <f>IFERROR(__xludf.DUMMYFUNCTION("""COMPUTED_VALUE"""),"Brosina")</f>
        <v>Brosina</v>
      </c>
      <c r="H9" s="22" t="str">
        <f>IFERROR(__xludf.DUMMYFUNCTION("""COMPUTED_VALUE"""),"Hoffman")</f>
        <v>Hoffman</v>
      </c>
      <c r="I9" s="22" t="str">
        <f>IFERROR(__xludf.DUMMYFUNCTION("""COMPUTED_VALUE"""),"Consumer")</f>
        <v>Consumer</v>
      </c>
      <c r="J9" s="22" t="str">
        <f>IFERROR(__xludf.DUMMYFUNCTION("""COMPUTED_VALUE"""),"Los Angeles")</f>
        <v>Los Angeles</v>
      </c>
      <c r="K9" s="22" t="str">
        <f>IFERROR(__xludf.DUMMYFUNCTION("""COMPUTED_VALUE"""),"California")</f>
        <v>California</v>
      </c>
      <c r="L9" s="22" t="str">
        <f>IFERROR(__xludf.DUMMYFUNCTION("""COMPUTED_VALUE"""),"West")</f>
        <v>West</v>
      </c>
      <c r="M9" s="22" t="str">
        <f>IFERROR(__xludf.DUMMYFUNCTION("""COMPUTED_VALUE"""),"Technology")</f>
        <v>Technology</v>
      </c>
      <c r="N9" s="18">
        <f>IFERROR(__xludf.DUMMYFUNCTION("""COMPUTED_VALUE"""),911.424)</f>
        <v>911.424</v>
      </c>
      <c r="O9" s="18">
        <f>IFERROR(__xludf.DUMMYFUNCTION("""COMPUTED_VALUE"""),911.17)</f>
        <v>911.17</v>
      </c>
      <c r="P9" s="22">
        <f>IFERROR(__xludf.DUMMYFUNCTION("""COMPUTED_VALUE"""),9.0)</f>
        <v>9</v>
      </c>
      <c r="Q9" s="18">
        <f>IFERROR(__xludf.DUMMYFUNCTION("""COMPUTED_VALUE"""),8202.815999999999)</f>
        <v>8202.816</v>
      </c>
      <c r="R9" s="18">
        <f>IFERROR(__xludf.DUMMYFUNCTION("""COMPUTED_VALUE"""),7291.645999999999)</f>
        <v>7291.646</v>
      </c>
    </row>
    <row r="10">
      <c r="A10" s="21">
        <f>IFERROR(__xludf.DUMMYFUNCTION("""COMPUTED_VALUE"""),42867.0)</f>
        <v>42867</v>
      </c>
      <c r="B10" s="21" t="str">
        <f>IFERROR(__xludf.DUMMYFUNCTION("""COMPUTED_VALUE"""),"May")</f>
        <v>May</v>
      </c>
      <c r="C10" s="9">
        <f>IFERROR(__xludf.DUMMYFUNCTION("""COMPUTED_VALUE"""),43020.0)</f>
        <v>43020</v>
      </c>
      <c r="D10" s="23" t="str">
        <f>IFERROR(__xludf.DUMMYFUNCTION("""COMPUTED_VALUE"""),"Oct")</f>
        <v>Oct</v>
      </c>
      <c r="E10" s="21" t="str">
        <f>IFERROR(__xludf.DUMMYFUNCTION("""COMPUTED_VALUE"""),"2017")</f>
        <v>2017</v>
      </c>
      <c r="F10" s="22" t="str">
        <f>IFERROR(__xludf.DUMMYFUNCTION("""COMPUTED_VALUE"""),"Standard Class")</f>
        <v>Standard Class</v>
      </c>
      <c r="G10" s="22" t="str">
        <f>IFERROR(__xludf.DUMMYFUNCTION("""COMPUTED_VALUE"""),"Irene")</f>
        <v>Irene</v>
      </c>
      <c r="H10" s="22" t="str">
        <f>IFERROR(__xludf.DUMMYFUNCTION("""COMPUTED_VALUE"""),"Maddox")</f>
        <v>Maddox</v>
      </c>
      <c r="I10" s="22" t="str">
        <f>IFERROR(__xludf.DUMMYFUNCTION("""COMPUTED_VALUE"""),"Consumer")</f>
        <v>Consumer</v>
      </c>
      <c r="J10" s="22" t="str">
        <f>IFERROR(__xludf.DUMMYFUNCTION("""COMPUTED_VALUE"""),"Seattle")</f>
        <v>Seattle</v>
      </c>
      <c r="K10" s="22" t="str">
        <f>IFERROR(__xludf.DUMMYFUNCTION("""COMPUTED_VALUE"""),"Washington")</f>
        <v>Washington</v>
      </c>
      <c r="L10" s="22" t="str">
        <f>IFERROR(__xludf.DUMMYFUNCTION("""COMPUTED_VALUE"""),"West")</f>
        <v>West</v>
      </c>
      <c r="M10" s="22" t="str">
        <f>IFERROR(__xludf.DUMMYFUNCTION("""COMPUTED_VALUE"""),"Office Supplies")</f>
        <v>Office Supplies</v>
      </c>
      <c r="N10" s="18">
        <f>IFERROR(__xludf.DUMMYFUNCTION("""COMPUTED_VALUE"""),407.976)</f>
        <v>407.976</v>
      </c>
      <c r="O10" s="18">
        <f>IFERROR(__xludf.DUMMYFUNCTION("""COMPUTED_VALUE"""),407.54)</f>
        <v>407.54</v>
      </c>
      <c r="P10" s="22">
        <f>IFERROR(__xludf.DUMMYFUNCTION("""COMPUTED_VALUE"""),9.0)</f>
        <v>9</v>
      </c>
      <c r="Q10" s="18">
        <f>IFERROR(__xludf.DUMMYFUNCTION("""COMPUTED_VALUE"""),3671.784)</f>
        <v>3671.784</v>
      </c>
      <c r="R10" s="18">
        <f>IFERROR(__xludf.DUMMYFUNCTION("""COMPUTED_VALUE"""),3264.244)</f>
        <v>3264.244</v>
      </c>
    </row>
    <row r="11">
      <c r="A11" s="21">
        <f>IFERROR(__xludf.DUMMYFUNCTION("""COMPUTED_VALUE"""),42319.0)</f>
        <v>42319</v>
      </c>
      <c r="B11" s="21" t="str">
        <f>IFERROR(__xludf.DUMMYFUNCTION("""COMPUTED_VALUE"""),"Nov")</f>
        <v>Nov</v>
      </c>
      <c r="C11" s="9">
        <f>IFERROR(__xludf.DUMMYFUNCTION("""COMPUTED_VALUE"""),42326.0)</f>
        <v>42326</v>
      </c>
      <c r="D11" s="23" t="str">
        <f>IFERROR(__xludf.DUMMYFUNCTION("""COMPUTED_VALUE"""),"Nov")</f>
        <v>Nov</v>
      </c>
      <c r="E11" s="21" t="str">
        <f>IFERROR(__xludf.DUMMYFUNCTION("""COMPUTED_VALUE"""),"2015")</f>
        <v>2015</v>
      </c>
      <c r="F11" s="22" t="str">
        <f>IFERROR(__xludf.DUMMYFUNCTION("""COMPUTED_VALUE"""),"Standard Class")</f>
        <v>Standard Class</v>
      </c>
      <c r="G11" s="22" t="str">
        <f>IFERROR(__xludf.DUMMYFUNCTION("""COMPUTED_VALUE"""),"Pete")</f>
        <v>Pete</v>
      </c>
      <c r="H11" s="22" t="str">
        <f>IFERROR(__xludf.DUMMYFUNCTION("""COMPUTED_VALUE"""),"Kriz")</f>
        <v>Kriz</v>
      </c>
      <c r="I11" s="22" t="str">
        <f>IFERROR(__xludf.DUMMYFUNCTION("""COMPUTED_VALUE"""),"Consumer")</f>
        <v>Consumer</v>
      </c>
      <c r="J11" s="22" t="str">
        <f>IFERROR(__xludf.DUMMYFUNCTION("""COMPUTED_VALUE"""),"Madison")</f>
        <v>Madison</v>
      </c>
      <c r="K11" s="22" t="str">
        <f>IFERROR(__xludf.DUMMYFUNCTION("""COMPUTED_VALUE"""),"Wisconsin")</f>
        <v>Wisconsin</v>
      </c>
      <c r="L11" s="22" t="str">
        <f>IFERROR(__xludf.DUMMYFUNCTION("""COMPUTED_VALUE"""),"Central")</f>
        <v>Central</v>
      </c>
      <c r="M11" s="22" t="str">
        <f>IFERROR(__xludf.DUMMYFUNCTION("""COMPUTED_VALUE"""),"Office Supplies")</f>
        <v>Office Supplies</v>
      </c>
      <c r="N11" s="18">
        <f>IFERROR(__xludf.DUMMYFUNCTION("""COMPUTED_VALUE"""),665.88)</f>
        <v>665.88</v>
      </c>
      <c r="O11" s="18">
        <f>IFERROR(__xludf.DUMMYFUNCTION("""COMPUTED_VALUE"""),665.32)</f>
        <v>665.32</v>
      </c>
      <c r="P11" s="22">
        <f>IFERROR(__xludf.DUMMYFUNCTION("""COMPUTED_VALUE"""),5.0)</f>
        <v>5</v>
      </c>
      <c r="Q11" s="18">
        <f>IFERROR(__xludf.DUMMYFUNCTION("""COMPUTED_VALUE"""),3329.4)</f>
        <v>3329.4</v>
      </c>
      <c r="R11" s="18">
        <f>IFERROR(__xludf.DUMMYFUNCTION("""COMPUTED_VALUE"""),2664.08)</f>
        <v>2664.08</v>
      </c>
    </row>
    <row r="12">
      <c r="A12" s="21">
        <f>IFERROR(__xludf.DUMMYFUNCTION("""COMPUTED_VALUE"""),42243.0)</f>
        <v>42243</v>
      </c>
      <c r="B12" s="21" t="str">
        <f>IFERROR(__xludf.DUMMYFUNCTION("""COMPUTED_VALUE"""),"Aug")</f>
        <v>Aug</v>
      </c>
      <c r="C12" s="9">
        <f>IFERROR(__xludf.DUMMYFUNCTION("""COMPUTED_VALUE"""),42013.0)</f>
        <v>42013</v>
      </c>
      <c r="D12" s="23" t="str">
        <f>IFERROR(__xludf.DUMMYFUNCTION("""COMPUTED_VALUE"""),"Jan")</f>
        <v>Jan</v>
      </c>
      <c r="E12" s="21" t="str">
        <f>IFERROR(__xludf.DUMMYFUNCTION("""COMPUTED_VALUE"""),"2015")</f>
        <v>2015</v>
      </c>
      <c r="F12" s="22" t="str">
        <f>IFERROR(__xludf.DUMMYFUNCTION("""COMPUTED_VALUE"""),"Second Class")</f>
        <v>Second Class</v>
      </c>
      <c r="G12" s="22" t="str">
        <f>IFERROR(__xludf.DUMMYFUNCTION("""COMPUTED_VALUE"""),"Zuschuss")</f>
        <v>Zuschuss</v>
      </c>
      <c r="H12" s="22" t="str">
        <f>IFERROR(__xludf.DUMMYFUNCTION("""COMPUTED_VALUE"""),"Donatelli")</f>
        <v>Donatelli</v>
      </c>
      <c r="I12" s="22" t="str">
        <f>IFERROR(__xludf.DUMMYFUNCTION("""COMPUTED_VALUE"""),"Consumer")</f>
        <v>Consumer</v>
      </c>
      <c r="J12" s="22" t="str">
        <f>IFERROR(__xludf.DUMMYFUNCTION("""COMPUTED_VALUE"""),"San Francisco")</f>
        <v>San Francisco</v>
      </c>
      <c r="K12" s="22" t="str">
        <f>IFERROR(__xludf.DUMMYFUNCTION("""COMPUTED_VALUE"""),"California")</f>
        <v>California</v>
      </c>
      <c r="L12" s="22" t="str">
        <f>IFERROR(__xludf.DUMMYFUNCTION("""COMPUTED_VALUE"""),"West")</f>
        <v>West</v>
      </c>
      <c r="M12" s="22" t="str">
        <f>IFERROR(__xludf.DUMMYFUNCTION("""COMPUTED_VALUE"""),"Technology")</f>
        <v>Technology</v>
      </c>
      <c r="N12" s="18">
        <f>IFERROR(__xludf.DUMMYFUNCTION("""COMPUTED_VALUE"""),213.48)</f>
        <v>213.48</v>
      </c>
      <c r="O12" s="18">
        <f>IFERROR(__xludf.DUMMYFUNCTION("""COMPUTED_VALUE"""),212.79)</f>
        <v>212.79</v>
      </c>
      <c r="P12" s="22">
        <f>IFERROR(__xludf.DUMMYFUNCTION("""COMPUTED_VALUE"""),9.0)</f>
        <v>9</v>
      </c>
      <c r="Q12" s="18">
        <f>IFERROR(__xludf.DUMMYFUNCTION("""COMPUTED_VALUE"""),1921.32)</f>
        <v>1921.32</v>
      </c>
      <c r="R12" s="18">
        <f>IFERROR(__xludf.DUMMYFUNCTION("""COMPUTED_VALUE"""),1708.53)</f>
        <v>1708.53</v>
      </c>
    </row>
    <row r="13">
      <c r="A13" s="21">
        <f>IFERROR(__xludf.DUMMYFUNCTION("""COMPUTED_VALUE"""),42638.0)</f>
        <v>42638</v>
      </c>
      <c r="B13" s="21" t="str">
        <f>IFERROR(__xludf.DUMMYFUNCTION("""COMPUTED_VALUE"""),"Sep")</f>
        <v>Sep</v>
      </c>
      <c r="C13" s="9">
        <f>IFERROR(__xludf.DUMMYFUNCTION("""COMPUTED_VALUE"""),42643.0)</f>
        <v>42643</v>
      </c>
      <c r="D13" s="23" t="str">
        <f>IFERROR(__xludf.DUMMYFUNCTION("""COMPUTED_VALUE"""),"Sep")</f>
        <v>Sep</v>
      </c>
      <c r="E13" s="21" t="str">
        <f>IFERROR(__xludf.DUMMYFUNCTION("""COMPUTED_VALUE"""),"2016")</f>
        <v>2016</v>
      </c>
      <c r="F13" s="22" t="str">
        <f>IFERROR(__xludf.DUMMYFUNCTION("""COMPUTED_VALUE"""),"Standard Class")</f>
        <v>Standard Class</v>
      </c>
      <c r="G13" s="22" t="str">
        <f>IFERROR(__xludf.DUMMYFUNCTION("""COMPUTED_VALUE"""),"Emily")</f>
        <v>Emily</v>
      </c>
      <c r="H13" s="22" t="str">
        <f>IFERROR(__xludf.DUMMYFUNCTION("""COMPUTED_VALUE"""),"Burns")</f>
        <v>Burns</v>
      </c>
      <c r="I13" s="22" t="str">
        <f>IFERROR(__xludf.DUMMYFUNCTION("""COMPUTED_VALUE"""),"Consumer")</f>
        <v>Consumer</v>
      </c>
      <c r="J13" s="22" t="str">
        <f>IFERROR(__xludf.DUMMYFUNCTION("""COMPUTED_VALUE"""),"Orem")</f>
        <v>Orem</v>
      </c>
      <c r="K13" s="22" t="str">
        <f>IFERROR(__xludf.DUMMYFUNCTION("""COMPUTED_VALUE"""),"Utah")</f>
        <v>Utah</v>
      </c>
      <c r="L13" s="22" t="str">
        <f>IFERROR(__xludf.DUMMYFUNCTION("""COMPUTED_VALUE"""),"West")</f>
        <v>West</v>
      </c>
      <c r="M13" s="22" t="str">
        <f>IFERROR(__xludf.DUMMYFUNCTION("""COMPUTED_VALUE"""),"Furniture")</f>
        <v>Furniture</v>
      </c>
      <c r="N13" s="18">
        <f>IFERROR(__xludf.DUMMYFUNCTION("""COMPUTED_VALUE"""),1044.63)</f>
        <v>1044.63</v>
      </c>
      <c r="O13" s="18">
        <f>IFERROR(__xludf.DUMMYFUNCTION("""COMPUTED_VALUE"""),1044.05)</f>
        <v>1044.05</v>
      </c>
      <c r="P13" s="22">
        <f>IFERROR(__xludf.DUMMYFUNCTION("""COMPUTED_VALUE"""),8.0)</f>
        <v>8</v>
      </c>
      <c r="Q13" s="18">
        <f>IFERROR(__xludf.DUMMYFUNCTION("""COMPUTED_VALUE"""),8357.04)</f>
        <v>8357.04</v>
      </c>
      <c r="R13" s="18">
        <f>IFERROR(__xludf.DUMMYFUNCTION("""COMPUTED_VALUE"""),7312.990000000001)</f>
        <v>7312.99</v>
      </c>
    </row>
    <row r="14">
      <c r="A14" s="21">
        <f>IFERROR(__xludf.DUMMYFUNCTION("""COMPUTED_VALUE"""),42751.0)</f>
        <v>42751</v>
      </c>
      <c r="B14" s="21" t="str">
        <f>IFERROR(__xludf.DUMMYFUNCTION("""COMPUTED_VALUE"""),"Jan")</f>
        <v>Jan</v>
      </c>
      <c r="C14" s="9">
        <f>IFERROR(__xludf.DUMMYFUNCTION("""COMPUTED_VALUE"""),42755.0)</f>
        <v>42755</v>
      </c>
      <c r="D14" s="23" t="str">
        <f>IFERROR(__xludf.DUMMYFUNCTION("""COMPUTED_VALUE"""),"Jan")</f>
        <v>Jan</v>
      </c>
      <c r="E14" s="21" t="str">
        <f>IFERROR(__xludf.DUMMYFUNCTION("""COMPUTED_VALUE"""),"2017")</f>
        <v>2017</v>
      </c>
      <c r="F14" s="22" t="str">
        <f>IFERROR(__xludf.DUMMYFUNCTION("""COMPUTED_VALUE"""),"Second Class")</f>
        <v>Second Class</v>
      </c>
      <c r="G14" s="22" t="str">
        <f>IFERROR(__xludf.DUMMYFUNCTION("""COMPUTED_VALUE"""),"Eric")</f>
        <v>Eric</v>
      </c>
      <c r="H14" s="22" t="str">
        <f>IFERROR(__xludf.DUMMYFUNCTION("""COMPUTED_VALUE"""),"Hoffmann")</f>
        <v>Hoffmann</v>
      </c>
      <c r="I14" s="22" t="str">
        <f>IFERROR(__xludf.DUMMYFUNCTION("""COMPUTED_VALUE"""),"Consumer")</f>
        <v>Consumer</v>
      </c>
      <c r="J14" s="22" t="str">
        <f>IFERROR(__xludf.DUMMYFUNCTION("""COMPUTED_VALUE"""),"Los Angeles")</f>
        <v>Los Angeles</v>
      </c>
      <c r="K14" s="22" t="str">
        <f>IFERROR(__xludf.DUMMYFUNCTION("""COMPUTED_VALUE"""),"California")</f>
        <v>California</v>
      </c>
      <c r="L14" s="22" t="str">
        <f>IFERROR(__xludf.DUMMYFUNCTION("""COMPUTED_VALUE"""),"West")</f>
        <v>West</v>
      </c>
      <c r="M14" s="22" t="str">
        <f>IFERROR(__xludf.DUMMYFUNCTION("""COMPUTED_VALUE"""),"Technology")</f>
        <v>Technology</v>
      </c>
      <c r="N14" s="18">
        <f>IFERROR(__xludf.DUMMYFUNCTION("""COMPUTED_VALUE"""),90.57)</f>
        <v>90.57</v>
      </c>
      <c r="O14" s="18">
        <f>IFERROR(__xludf.DUMMYFUNCTION("""COMPUTED_VALUE"""),89.64)</f>
        <v>89.64</v>
      </c>
      <c r="P14" s="22">
        <f>IFERROR(__xludf.DUMMYFUNCTION("""COMPUTED_VALUE"""),9.0)</f>
        <v>9</v>
      </c>
      <c r="Q14" s="18">
        <f>IFERROR(__xludf.DUMMYFUNCTION("""COMPUTED_VALUE"""),815.1299999999999)</f>
        <v>815.13</v>
      </c>
      <c r="R14" s="18">
        <f>IFERROR(__xludf.DUMMYFUNCTION("""COMPUTED_VALUE"""),725.4899999999999)</f>
        <v>725.49</v>
      </c>
    </row>
    <row r="15">
      <c r="A15" s="21">
        <f>IFERROR(__xludf.DUMMYFUNCTION("""COMPUTED_VALUE"""),42959.0)</f>
        <v>42959</v>
      </c>
      <c r="B15" s="21" t="str">
        <f>IFERROR(__xludf.DUMMYFUNCTION("""COMPUTED_VALUE"""),"Aug")</f>
        <v>Aug</v>
      </c>
      <c r="C15" s="9">
        <f>IFERROR(__xludf.DUMMYFUNCTION("""COMPUTED_VALUE"""),43020.0)</f>
        <v>43020</v>
      </c>
      <c r="D15" s="23" t="str">
        <f>IFERROR(__xludf.DUMMYFUNCTION("""COMPUTED_VALUE"""),"Oct")</f>
        <v>Oct</v>
      </c>
      <c r="E15" s="21" t="str">
        <f>IFERROR(__xludf.DUMMYFUNCTION("""COMPUTED_VALUE"""),"2017")</f>
        <v>2017</v>
      </c>
      <c r="F15" s="22" t="str">
        <f>IFERROR(__xludf.DUMMYFUNCTION("""COMPUTED_VALUE"""),"First Class")</f>
        <v>First Class</v>
      </c>
      <c r="G15" s="22" t="str">
        <f>IFERROR(__xludf.DUMMYFUNCTION("""COMPUTED_VALUE"""),"Gene")</f>
        <v>Gene</v>
      </c>
      <c r="H15" s="22" t="str">
        <f>IFERROR(__xludf.DUMMYFUNCTION("""COMPUTED_VALUE"""),"Hale")</f>
        <v>Hale</v>
      </c>
      <c r="I15" s="22" t="str">
        <f>IFERROR(__xludf.DUMMYFUNCTION("""COMPUTED_VALUE"""),"Corporate")</f>
        <v>Corporate</v>
      </c>
      <c r="J15" s="22" t="str">
        <f>IFERROR(__xludf.DUMMYFUNCTION("""COMPUTED_VALUE"""),"Richardson")</f>
        <v>Richardson</v>
      </c>
      <c r="K15" s="22" t="str">
        <f>IFERROR(__xludf.DUMMYFUNCTION("""COMPUTED_VALUE"""),"Texas")</f>
        <v>Texas</v>
      </c>
      <c r="L15" s="22" t="str">
        <f>IFERROR(__xludf.DUMMYFUNCTION("""COMPUTED_VALUE"""),"Central")</f>
        <v>Central</v>
      </c>
      <c r="M15" s="22" t="str">
        <f>IFERROR(__xludf.DUMMYFUNCTION("""COMPUTED_VALUE"""),"Technology")</f>
        <v>Technology</v>
      </c>
      <c r="N15" s="18">
        <f>IFERROR(__xludf.DUMMYFUNCTION("""COMPUTED_VALUE"""),1097.544)</f>
        <v>1097.544</v>
      </c>
      <c r="O15" s="18">
        <f>IFERROR(__xludf.DUMMYFUNCTION("""COMPUTED_VALUE"""),1096.67)</f>
        <v>1096.67</v>
      </c>
      <c r="P15" s="22">
        <f>IFERROR(__xludf.DUMMYFUNCTION("""COMPUTED_VALUE"""),7.0)</f>
        <v>7</v>
      </c>
      <c r="Q15" s="18">
        <f>IFERROR(__xludf.DUMMYFUNCTION("""COMPUTED_VALUE"""),7682.808000000001)</f>
        <v>7682.808</v>
      </c>
      <c r="R15" s="18">
        <f>IFERROR(__xludf.DUMMYFUNCTION("""COMPUTED_VALUE"""),6586.138000000001)</f>
        <v>6586.138</v>
      </c>
    </row>
    <row r="16">
      <c r="A16" s="21">
        <f>IFERROR(__xludf.DUMMYFUNCTION("""COMPUTED_VALUE"""),42959.0)</f>
        <v>42959</v>
      </c>
      <c r="B16" s="21" t="str">
        <f>IFERROR(__xludf.DUMMYFUNCTION("""COMPUTED_VALUE"""),"Aug")</f>
        <v>Aug</v>
      </c>
      <c r="C16" s="9">
        <f>IFERROR(__xludf.DUMMYFUNCTION("""COMPUTED_VALUE"""),43020.0)</f>
        <v>43020</v>
      </c>
      <c r="D16" s="23" t="str">
        <f>IFERROR(__xludf.DUMMYFUNCTION("""COMPUTED_VALUE"""),"Oct")</f>
        <v>Oct</v>
      </c>
      <c r="E16" s="21" t="str">
        <f>IFERROR(__xludf.DUMMYFUNCTION("""COMPUTED_VALUE"""),"2017")</f>
        <v>2017</v>
      </c>
      <c r="F16" s="22" t="str">
        <f>IFERROR(__xludf.DUMMYFUNCTION("""COMPUTED_VALUE"""),"First Class")</f>
        <v>First Class</v>
      </c>
      <c r="G16" s="22" t="str">
        <f>IFERROR(__xludf.DUMMYFUNCTION("""COMPUTED_VALUE"""),"Gene")</f>
        <v>Gene</v>
      </c>
      <c r="H16" s="22" t="str">
        <f>IFERROR(__xludf.DUMMYFUNCTION("""COMPUTED_VALUE"""),"Hale")</f>
        <v>Hale</v>
      </c>
      <c r="I16" s="22" t="str">
        <f>IFERROR(__xludf.DUMMYFUNCTION("""COMPUTED_VALUE"""),"Corporate")</f>
        <v>Corporate</v>
      </c>
      <c r="J16" s="22" t="str">
        <f>IFERROR(__xludf.DUMMYFUNCTION("""COMPUTED_VALUE"""),"Richardson")</f>
        <v>Richardson</v>
      </c>
      <c r="K16" s="22" t="str">
        <f>IFERROR(__xludf.DUMMYFUNCTION("""COMPUTED_VALUE"""),"Texas")</f>
        <v>Texas</v>
      </c>
      <c r="L16" s="22" t="str">
        <f>IFERROR(__xludf.DUMMYFUNCTION("""COMPUTED_VALUE"""),"Central")</f>
        <v>Central</v>
      </c>
      <c r="M16" s="22" t="str">
        <f>IFERROR(__xludf.DUMMYFUNCTION("""COMPUTED_VALUE"""),"Furniture")</f>
        <v>Furniture</v>
      </c>
      <c r="N16" s="18">
        <f>IFERROR(__xludf.DUMMYFUNCTION("""COMPUTED_VALUE"""),190.92)</f>
        <v>190.92</v>
      </c>
      <c r="O16" s="18">
        <f>IFERROR(__xludf.DUMMYFUNCTION("""COMPUTED_VALUE"""),190.8)</f>
        <v>190.8</v>
      </c>
      <c r="P16" s="22">
        <f>IFERROR(__xludf.DUMMYFUNCTION("""COMPUTED_VALUE"""),7.0)</f>
        <v>7</v>
      </c>
      <c r="Q16" s="18">
        <f>IFERROR(__xludf.DUMMYFUNCTION("""COMPUTED_VALUE"""),1336.4399999999998)</f>
        <v>1336.44</v>
      </c>
      <c r="R16" s="18">
        <f>IFERROR(__xludf.DUMMYFUNCTION("""COMPUTED_VALUE"""),1145.6399999999999)</f>
        <v>1145.64</v>
      </c>
    </row>
    <row r="17">
      <c r="A17" s="21">
        <f>IFERROR(__xludf.DUMMYFUNCTION("""COMPUTED_VALUE"""),42731.0)</f>
        <v>42731</v>
      </c>
      <c r="B17" s="21" t="str">
        <f>IFERROR(__xludf.DUMMYFUNCTION("""COMPUTED_VALUE"""),"Dec")</f>
        <v>Dec</v>
      </c>
      <c r="C17" s="9">
        <f>IFERROR(__xludf.DUMMYFUNCTION("""COMPUTED_VALUE"""),42735.0)</f>
        <v>42735</v>
      </c>
      <c r="D17" s="23" t="str">
        <f>IFERROR(__xludf.DUMMYFUNCTION("""COMPUTED_VALUE"""),"Dec")</f>
        <v>Dec</v>
      </c>
      <c r="E17" s="21" t="str">
        <f>IFERROR(__xludf.DUMMYFUNCTION("""COMPUTED_VALUE"""),"2016")</f>
        <v>2016</v>
      </c>
      <c r="F17" s="22" t="str">
        <f>IFERROR(__xludf.DUMMYFUNCTION("""COMPUTED_VALUE"""),"Standard Class")</f>
        <v>Standard Class</v>
      </c>
      <c r="G17" s="22" t="str">
        <f>IFERROR(__xludf.DUMMYFUNCTION("""COMPUTED_VALUE"""),"Steve")</f>
        <v>Steve</v>
      </c>
      <c r="H17" s="22" t="str">
        <f>IFERROR(__xludf.DUMMYFUNCTION("""COMPUTED_VALUE"""),"Nguyen")</f>
        <v>Nguyen</v>
      </c>
      <c r="I17" s="22" t="str">
        <f>IFERROR(__xludf.DUMMYFUNCTION("""COMPUTED_VALUE"""),"Home Office")</f>
        <v>Home Office</v>
      </c>
      <c r="J17" s="22" t="str">
        <f>IFERROR(__xludf.DUMMYFUNCTION("""COMPUTED_VALUE"""),"Houston")</f>
        <v>Houston</v>
      </c>
      <c r="K17" s="22" t="str">
        <f>IFERROR(__xludf.DUMMYFUNCTION("""COMPUTED_VALUE"""),"Texas")</f>
        <v>Texas</v>
      </c>
      <c r="L17" s="22" t="str">
        <f>IFERROR(__xludf.DUMMYFUNCTION("""COMPUTED_VALUE"""),"Central")</f>
        <v>Central</v>
      </c>
      <c r="M17" s="22" t="str">
        <f>IFERROR(__xludf.DUMMYFUNCTION("""COMPUTED_VALUE"""),"Office Supplies")</f>
        <v>Office Supplies</v>
      </c>
      <c r="N17" s="18">
        <f>IFERROR(__xludf.DUMMYFUNCTION("""COMPUTED_VALUE"""),113.328)</f>
        <v>113.328</v>
      </c>
      <c r="O17" s="18">
        <f>IFERROR(__xludf.DUMMYFUNCTION("""COMPUTED_VALUE"""),112.36)</f>
        <v>112.36</v>
      </c>
      <c r="P17" s="22">
        <f>IFERROR(__xludf.DUMMYFUNCTION("""COMPUTED_VALUE"""),7.0)</f>
        <v>7</v>
      </c>
      <c r="Q17" s="18">
        <f>IFERROR(__xludf.DUMMYFUNCTION("""COMPUTED_VALUE"""),793.296)</f>
        <v>793.296</v>
      </c>
      <c r="R17" s="18">
        <f>IFERROR(__xludf.DUMMYFUNCTION("""COMPUTED_VALUE"""),680.936)</f>
        <v>680.936</v>
      </c>
    </row>
    <row r="18">
      <c r="A18" s="21">
        <f>IFERROR(__xludf.DUMMYFUNCTION("""COMPUTED_VALUE"""),42731.0)</f>
        <v>42731</v>
      </c>
      <c r="B18" s="21" t="str">
        <f>IFERROR(__xludf.DUMMYFUNCTION("""COMPUTED_VALUE"""),"Dec")</f>
        <v>Dec</v>
      </c>
      <c r="C18" s="9">
        <f>IFERROR(__xludf.DUMMYFUNCTION("""COMPUTED_VALUE"""),42735.0)</f>
        <v>42735</v>
      </c>
      <c r="D18" s="23" t="str">
        <f>IFERROR(__xludf.DUMMYFUNCTION("""COMPUTED_VALUE"""),"Dec")</f>
        <v>Dec</v>
      </c>
      <c r="E18" s="21" t="str">
        <f>IFERROR(__xludf.DUMMYFUNCTION("""COMPUTED_VALUE"""),"2016")</f>
        <v>2016</v>
      </c>
      <c r="F18" s="22" t="str">
        <f>IFERROR(__xludf.DUMMYFUNCTION("""COMPUTED_VALUE"""),"Standard Class")</f>
        <v>Standard Class</v>
      </c>
      <c r="G18" s="22" t="str">
        <f>IFERROR(__xludf.DUMMYFUNCTION("""COMPUTED_VALUE"""),"Steve")</f>
        <v>Steve</v>
      </c>
      <c r="H18" s="22" t="str">
        <f>IFERROR(__xludf.DUMMYFUNCTION("""COMPUTED_VALUE"""),"Nguyen")</f>
        <v>Nguyen</v>
      </c>
      <c r="I18" s="22" t="str">
        <f>IFERROR(__xludf.DUMMYFUNCTION("""COMPUTED_VALUE"""),"Home Office")</f>
        <v>Home Office</v>
      </c>
      <c r="J18" s="22" t="str">
        <f>IFERROR(__xludf.DUMMYFUNCTION("""COMPUTED_VALUE"""),"Houston")</f>
        <v>Houston</v>
      </c>
      <c r="K18" s="22" t="str">
        <f>IFERROR(__xludf.DUMMYFUNCTION("""COMPUTED_VALUE"""),"Texas")</f>
        <v>Texas</v>
      </c>
      <c r="L18" s="22" t="str">
        <f>IFERROR(__xludf.DUMMYFUNCTION("""COMPUTED_VALUE"""),"Central")</f>
        <v>Central</v>
      </c>
      <c r="M18" s="22" t="str">
        <f>IFERROR(__xludf.DUMMYFUNCTION("""COMPUTED_VALUE"""),"Furniture")</f>
        <v>Furniture</v>
      </c>
      <c r="N18" s="18">
        <f>IFERROR(__xludf.DUMMYFUNCTION("""COMPUTED_VALUE"""),532.3992)</f>
        <v>532.3992</v>
      </c>
      <c r="O18" s="18">
        <f>IFERROR(__xludf.DUMMYFUNCTION("""COMPUTED_VALUE"""),532.02)</f>
        <v>532.02</v>
      </c>
      <c r="P18" s="22">
        <f>IFERROR(__xludf.DUMMYFUNCTION("""COMPUTED_VALUE"""),7.0)</f>
        <v>7</v>
      </c>
      <c r="Q18" s="18">
        <f>IFERROR(__xludf.DUMMYFUNCTION("""COMPUTED_VALUE"""),3726.7943999999998)</f>
        <v>3726.7944</v>
      </c>
      <c r="R18" s="18">
        <f>IFERROR(__xludf.DUMMYFUNCTION("""COMPUTED_VALUE"""),3194.7744)</f>
        <v>3194.7744</v>
      </c>
    </row>
    <row r="19">
      <c r="A19" s="21">
        <f>IFERROR(__xludf.DUMMYFUNCTION("""COMPUTED_VALUE"""),42731.0)</f>
        <v>42731</v>
      </c>
      <c r="B19" s="21" t="str">
        <f>IFERROR(__xludf.DUMMYFUNCTION("""COMPUTED_VALUE"""),"Dec")</f>
        <v>Dec</v>
      </c>
      <c r="C19" s="9">
        <f>IFERROR(__xludf.DUMMYFUNCTION("""COMPUTED_VALUE"""),42735.0)</f>
        <v>42735</v>
      </c>
      <c r="D19" s="23" t="str">
        <f>IFERROR(__xludf.DUMMYFUNCTION("""COMPUTED_VALUE"""),"Dec")</f>
        <v>Dec</v>
      </c>
      <c r="E19" s="21" t="str">
        <f>IFERROR(__xludf.DUMMYFUNCTION("""COMPUTED_VALUE"""),"2016")</f>
        <v>2016</v>
      </c>
      <c r="F19" s="22" t="str">
        <f>IFERROR(__xludf.DUMMYFUNCTION("""COMPUTED_VALUE"""),"Standard Class")</f>
        <v>Standard Class</v>
      </c>
      <c r="G19" s="22" t="str">
        <f>IFERROR(__xludf.DUMMYFUNCTION("""COMPUTED_VALUE"""),"Steve")</f>
        <v>Steve</v>
      </c>
      <c r="H19" s="22" t="str">
        <f>IFERROR(__xludf.DUMMYFUNCTION("""COMPUTED_VALUE"""),"Nguyen")</f>
        <v>Nguyen</v>
      </c>
      <c r="I19" s="22" t="str">
        <f>IFERROR(__xludf.DUMMYFUNCTION("""COMPUTED_VALUE"""),"Home Office")</f>
        <v>Home Office</v>
      </c>
      <c r="J19" s="22" t="str">
        <f>IFERROR(__xludf.DUMMYFUNCTION("""COMPUTED_VALUE"""),"Houston")</f>
        <v>Houston</v>
      </c>
      <c r="K19" s="22" t="str">
        <f>IFERROR(__xludf.DUMMYFUNCTION("""COMPUTED_VALUE"""),"Texas")</f>
        <v>Texas</v>
      </c>
      <c r="L19" s="22" t="str">
        <f>IFERROR(__xludf.DUMMYFUNCTION("""COMPUTED_VALUE"""),"Central")</f>
        <v>Central</v>
      </c>
      <c r="M19" s="22" t="str">
        <f>IFERROR(__xludf.DUMMYFUNCTION("""COMPUTED_VALUE"""),"Furniture")</f>
        <v>Furniture</v>
      </c>
      <c r="N19" s="18">
        <f>IFERROR(__xludf.DUMMYFUNCTION("""COMPUTED_VALUE"""),212.058)</f>
        <v>212.058</v>
      </c>
      <c r="O19" s="18">
        <f>IFERROR(__xludf.DUMMYFUNCTION("""COMPUTED_VALUE"""),211.08)</f>
        <v>211.08</v>
      </c>
      <c r="P19" s="22">
        <f>IFERROR(__xludf.DUMMYFUNCTION("""COMPUTED_VALUE"""),7.0)</f>
        <v>7</v>
      </c>
      <c r="Q19" s="18">
        <f>IFERROR(__xludf.DUMMYFUNCTION("""COMPUTED_VALUE"""),1484.406)</f>
        <v>1484.406</v>
      </c>
      <c r="R19" s="18">
        <f>IFERROR(__xludf.DUMMYFUNCTION("""COMPUTED_VALUE"""),1273.326)</f>
        <v>1273.326</v>
      </c>
    </row>
    <row r="20">
      <c r="A20" s="21">
        <f>IFERROR(__xludf.DUMMYFUNCTION("""COMPUTED_VALUE"""),42731.0)</f>
        <v>42731</v>
      </c>
      <c r="B20" s="21" t="str">
        <f>IFERROR(__xludf.DUMMYFUNCTION("""COMPUTED_VALUE"""),"Dec")</f>
        <v>Dec</v>
      </c>
      <c r="C20" s="9">
        <f>IFERROR(__xludf.DUMMYFUNCTION("""COMPUTED_VALUE"""),42735.0)</f>
        <v>42735</v>
      </c>
      <c r="D20" s="23" t="str">
        <f>IFERROR(__xludf.DUMMYFUNCTION("""COMPUTED_VALUE"""),"Dec")</f>
        <v>Dec</v>
      </c>
      <c r="E20" s="21" t="str">
        <f>IFERROR(__xludf.DUMMYFUNCTION("""COMPUTED_VALUE"""),"2016")</f>
        <v>2016</v>
      </c>
      <c r="F20" s="22" t="str">
        <f>IFERROR(__xludf.DUMMYFUNCTION("""COMPUTED_VALUE"""),"Standard Class")</f>
        <v>Standard Class</v>
      </c>
      <c r="G20" s="22" t="str">
        <f>IFERROR(__xludf.DUMMYFUNCTION("""COMPUTED_VALUE"""),"Steve")</f>
        <v>Steve</v>
      </c>
      <c r="H20" s="22" t="str">
        <f>IFERROR(__xludf.DUMMYFUNCTION("""COMPUTED_VALUE"""),"Nguyen")</f>
        <v>Nguyen</v>
      </c>
      <c r="I20" s="22" t="str">
        <f>IFERROR(__xludf.DUMMYFUNCTION("""COMPUTED_VALUE"""),"Home Office")</f>
        <v>Home Office</v>
      </c>
      <c r="J20" s="22" t="str">
        <f>IFERROR(__xludf.DUMMYFUNCTION("""COMPUTED_VALUE"""),"Houston")</f>
        <v>Houston</v>
      </c>
      <c r="K20" s="22" t="str">
        <f>IFERROR(__xludf.DUMMYFUNCTION("""COMPUTED_VALUE"""),"Texas")</f>
        <v>Texas</v>
      </c>
      <c r="L20" s="22" t="str">
        <f>IFERROR(__xludf.DUMMYFUNCTION("""COMPUTED_VALUE"""),"Central")</f>
        <v>Central</v>
      </c>
      <c r="M20" s="22" t="str">
        <f>IFERROR(__xludf.DUMMYFUNCTION("""COMPUTED_VALUE"""),"Technology")</f>
        <v>Technology</v>
      </c>
      <c r="N20" s="18">
        <f>IFERROR(__xludf.DUMMYFUNCTION("""COMPUTED_VALUE"""),371.168)</f>
        <v>371.168</v>
      </c>
      <c r="O20" s="18">
        <f>IFERROR(__xludf.DUMMYFUNCTION("""COMPUTED_VALUE"""),370.36)</f>
        <v>370.36</v>
      </c>
      <c r="P20" s="22">
        <f>IFERROR(__xludf.DUMMYFUNCTION("""COMPUTED_VALUE"""),7.0)</f>
        <v>7</v>
      </c>
      <c r="Q20" s="18">
        <f>IFERROR(__xludf.DUMMYFUNCTION("""COMPUTED_VALUE"""),2598.176)</f>
        <v>2598.176</v>
      </c>
      <c r="R20" s="18">
        <f>IFERROR(__xludf.DUMMYFUNCTION("""COMPUTED_VALUE"""),2227.816)</f>
        <v>2227.816</v>
      </c>
    </row>
    <row r="21">
      <c r="A21" s="21">
        <f>IFERROR(__xludf.DUMMYFUNCTION("""COMPUTED_VALUE"""),43382.0)</f>
        <v>43382</v>
      </c>
      <c r="B21" s="21" t="str">
        <f>IFERROR(__xludf.DUMMYFUNCTION("""COMPUTED_VALUE"""),"Oct")</f>
        <v>Oct</v>
      </c>
      <c r="C21" s="9">
        <f>IFERROR(__xludf.DUMMYFUNCTION("""COMPUTED_VALUE"""),43358.0)</f>
        <v>43358</v>
      </c>
      <c r="D21" s="23" t="str">
        <f>IFERROR(__xludf.DUMMYFUNCTION("""COMPUTED_VALUE"""),"Sep")</f>
        <v>Sep</v>
      </c>
      <c r="E21" s="21" t="str">
        <f>IFERROR(__xludf.DUMMYFUNCTION("""COMPUTED_VALUE"""),"2018")</f>
        <v>2018</v>
      </c>
      <c r="F21" s="22" t="str">
        <f>IFERROR(__xludf.DUMMYFUNCTION("""COMPUTED_VALUE"""),"Standard Class")</f>
        <v>Standard Class</v>
      </c>
      <c r="G21" s="22" t="str">
        <f>IFERROR(__xludf.DUMMYFUNCTION("""COMPUTED_VALUE"""),"Linda")</f>
        <v>Linda</v>
      </c>
      <c r="H21" s="22" t="str">
        <f>IFERROR(__xludf.DUMMYFUNCTION("""COMPUTED_VALUE"""),"Cazamias")</f>
        <v>Cazamias</v>
      </c>
      <c r="I21" s="22" t="str">
        <f>IFERROR(__xludf.DUMMYFUNCTION("""COMPUTED_VALUE"""),"Corporate")</f>
        <v>Corporate</v>
      </c>
      <c r="J21" s="22" t="str">
        <f>IFERROR(__xludf.DUMMYFUNCTION("""COMPUTED_VALUE"""),"Naperville")</f>
        <v>Naperville</v>
      </c>
      <c r="K21" s="22" t="str">
        <f>IFERROR(__xludf.DUMMYFUNCTION("""COMPUTED_VALUE"""),"Illinois")</f>
        <v>Illinois</v>
      </c>
      <c r="L21" s="22" t="str">
        <f>IFERROR(__xludf.DUMMYFUNCTION("""COMPUTED_VALUE"""),"Central")</f>
        <v>Central</v>
      </c>
      <c r="M21" s="22" t="str">
        <f>IFERROR(__xludf.DUMMYFUNCTION("""COMPUTED_VALUE"""),"Technology")</f>
        <v>Technology</v>
      </c>
      <c r="N21" s="18">
        <f>IFERROR(__xludf.DUMMYFUNCTION("""COMPUTED_VALUE"""),147.168)</f>
        <v>147.168</v>
      </c>
      <c r="O21" s="18">
        <f>IFERROR(__xludf.DUMMYFUNCTION("""COMPUTED_VALUE"""),146.34)</f>
        <v>146.34</v>
      </c>
      <c r="P21" s="22">
        <f>IFERROR(__xludf.DUMMYFUNCTION("""COMPUTED_VALUE"""),6.0)</f>
        <v>6</v>
      </c>
      <c r="Q21" s="18">
        <f>IFERROR(__xludf.DUMMYFUNCTION("""COMPUTED_VALUE"""),883.008)</f>
        <v>883.008</v>
      </c>
      <c r="R21" s="18">
        <f>IFERROR(__xludf.DUMMYFUNCTION("""COMPUTED_VALUE"""),736.668)</f>
        <v>736.668</v>
      </c>
    </row>
    <row r="22">
      <c r="A22" s="21">
        <f>IFERROR(__xludf.DUMMYFUNCTION("""COMPUTED_VALUE"""),42933.0)</f>
        <v>42933</v>
      </c>
      <c r="B22" s="21" t="str">
        <f>IFERROR(__xludf.DUMMYFUNCTION("""COMPUTED_VALUE"""),"Jul")</f>
        <v>Jul</v>
      </c>
      <c r="C22" s="9">
        <f>IFERROR(__xludf.DUMMYFUNCTION("""COMPUTED_VALUE"""),42938.0)</f>
        <v>42938</v>
      </c>
      <c r="D22" s="23" t="str">
        <f>IFERROR(__xludf.DUMMYFUNCTION("""COMPUTED_VALUE"""),"Jul")</f>
        <v>Jul</v>
      </c>
      <c r="E22" s="21" t="str">
        <f>IFERROR(__xludf.DUMMYFUNCTION("""COMPUTED_VALUE"""),"2017")</f>
        <v>2017</v>
      </c>
      <c r="F22" s="22" t="str">
        <f>IFERROR(__xludf.DUMMYFUNCTION("""COMPUTED_VALUE"""),"Standard Class")</f>
        <v>Standard Class</v>
      </c>
      <c r="G22" s="22" t="str">
        <f>IFERROR(__xludf.DUMMYFUNCTION("""COMPUTED_VALUE"""),"Ruben")</f>
        <v>Ruben</v>
      </c>
      <c r="H22" s="22" t="str">
        <f>IFERROR(__xludf.DUMMYFUNCTION("""COMPUTED_VALUE"""),"Ausman")</f>
        <v>Ausman</v>
      </c>
      <c r="I22" s="22" t="str">
        <f>IFERROR(__xludf.DUMMYFUNCTION("""COMPUTED_VALUE"""),"Corporate")</f>
        <v>Corporate</v>
      </c>
      <c r="J22" s="22" t="str">
        <f>IFERROR(__xludf.DUMMYFUNCTION("""COMPUTED_VALUE"""),"Los Angeles")</f>
        <v>Los Angeles</v>
      </c>
      <c r="K22" s="22" t="str">
        <f>IFERROR(__xludf.DUMMYFUNCTION("""COMPUTED_VALUE"""),"California")</f>
        <v>California</v>
      </c>
      <c r="L22" s="22" t="str">
        <f>IFERROR(__xludf.DUMMYFUNCTION("""COMPUTED_VALUE"""),"West")</f>
        <v>West</v>
      </c>
      <c r="M22" s="22" t="str">
        <f>IFERROR(__xludf.DUMMYFUNCTION("""COMPUTED_VALUE"""),"Office Supplies")</f>
        <v>Office Supplies</v>
      </c>
      <c r="N22" s="18">
        <f>IFERROR(__xludf.DUMMYFUNCTION("""COMPUTED_VALUE"""),77.88)</f>
        <v>77.88</v>
      </c>
      <c r="O22" s="18">
        <f>IFERROR(__xludf.DUMMYFUNCTION("""COMPUTED_VALUE"""),77.43)</f>
        <v>77.43</v>
      </c>
      <c r="P22" s="22">
        <f>IFERROR(__xludf.DUMMYFUNCTION("""COMPUTED_VALUE"""),9.0)</f>
        <v>9</v>
      </c>
      <c r="Q22" s="18">
        <f>IFERROR(__xludf.DUMMYFUNCTION("""COMPUTED_VALUE"""),700.92)</f>
        <v>700.92</v>
      </c>
      <c r="R22" s="18">
        <f>IFERROR(__xludf.DUMMYFUNCTION("""COMPUTED_VALUE"""),623.49)</f>
        <v>623.49</v>
      </c>
    </row>
    <row r="23">
      <c r="A23" s="21">
        <f>IFERROR(__xludf.DUMMYFUNCTION("""COMPUTED_VALUE"""),42297.0)</f>
        <v>42297</v>
      </c>
      <c r="B23" s="21" t="str">
        <f>IFERROR(__xludf.DUMMYFUNCTION("""COMPUTED_VALUE"""),"Oct")</f>
        <v>Oct</v>
      </c>
      <c r="C23" s="9">
        <f>IFERROR(__xludf.DUMMYFUNCTION("""COMPUTED_VALUE"""),42302.0)</f>
        <v>42302</v>
      </c>
      <c r="D23" s="23" t="str">
        <f>IFERROR(__xludf.DUMMYFUNCTION("""COMPUTED_VALUE"""),"Oct")</f>
        <v>Oct</v>
      </c>
      <c r="E23" s="21" t="str">
        <f>IFERROR(__xludf.DUMMYFUNCTION("""COMPUTED_VALUE"""),"2015")</f>
        <v>2015</v>
      </c>
      <c r="F23" s="22" t="str">
        <f>IFERROR(__xludf.DUMMYFUNCTION("""COMPUTED_VALUE"""),"Second Class")</f>
        <v>Second Class</v>
      </c>
      <c r="G23" s="22" t="str">
        <f>IFERROR(__xludf.DUMMYFUNCTION("""COMPUTED_VALUE"""),"Patrick")</f>
        <v>Patrick</v>
      </c>
      <c r="H23" s="22" t="str">
        <f>IFERROR(__xludf.DUMMYFUNCTION("""COMPUTED_VALUE"""),"O'Donnell")</f>
        <v>O'Donnell</v>
      </c>
      <c r="I23" s="22" t="str">
        <f>IFERROR(__xludf.DUMMYFUNCTION("""COMPUTED_VALUE"""),"Consumer")</f>
        <v>Consumer</v>
      </c>
      <c r="J23" s="22" t="str">
        <f>IFERROR(__xludf.DUMMYFUNCTION("""COMPUTED_VALUE"""),"Westland")</f>
        <v>Westland</v>
      </c>
      <c r="K23" s="22" t="str">
        <f>IFERROR(__xludf.DUMMYFUNCTION("""COMPUTED_VALUE"""),"Michigan")</f>
        <v>Michigan</v>
      </c>
      <c r="L23" s="22" t="str">
        <f>IFERROR(__xludf.DUMMYFUNCTION("""COMPUTED_VALUE"""),"Central")</f>
        <v>Central</v>
      </c>
      <c r="M23" s="22" t="str">
        <f>IFERROR(__xludf.DUMMYFUNCTION("""COMPUTED_VALUE"""),"Office Supplies")</f>
        <v>Office Supplies</v>
      </c>
      <c r="N23" s="18">
        <f>IFERROR(__xludf.DUMMYFUNCTION("""COMPUTED_VALUE"""),211.96)</f>
        <v>211.96</v>
      </c>
      <c r="O23" s="18">
        <f>IFERROR(__xludf.DUMMYFUNCTION("""COMPUTED_VALUE"""),211.46)</f>
        <v>211.46</v>
      </c>
      <c r="P23" s="22">
        <f>IFERROR(__xludf.DUMMYFUNCTION("""COMPUTED_VALUE"""),4.0)</f>
        <v>4</v>
      </c>
      <c r="Q23" s="18">
        <f>IFERROR(__xludf.DUMMYFUNCTION("""COMPUTED_VALUE"""),847.84)</f>
        <v>847.84</v>
      </c>
      <c r="R23" s="18">
        <f>IFERROR(__xludf.DUMMYFUNCTION("""COMPUTED_VALUE"""),636.38)</f>
        <v>636.38</v>
      </c>
    </row>
    <row r="24">
      <c r="A24" s="21">
        <f>IFERROR(__xludf.DUMMYFUNCTION("""COMPUTED_VALUE"""),42698.0)</f>
        <v>42698</v>
      </c>
      <c r="B24" s="21" t="str">
        <f>IFERROR(__xludf.DUMMYFUNCTION("""COMPUTED_VALUE"""),"Nov")</f>
        <v>Nov</v>
      </c>
      <c r="C24" s="9">
        <f>IFERROR(__xludf.DUMMYFUNCTION("""COMPUTED_VALUE"""),42704.0)</f>
        <v>42704</v>
      </c>
      <c r="D24" s="23" t="str">
        <f>IFERROR(__xludf.DUMMYFUNCTION("""COMPUTED_VALUE"""),"Nov")</f>
        <v>Nov</v>
      </c>
      <c r="E24" s="21" t="str">
        <f>IFERROR(__xludf.DUMMYFUNCTION("""COMPUTED_VALUE"""),"2016")</f>
        <v>2016</v>
      </c>
      <c r="F24" s="22" t="str">
        <f>IFERROR(__xludf.DUMMYFUNCTION("""COMPUTED_VALUE"""),"Standard Class")</f>
        <v>Standard Class</v>
      </c>
      <c r="G24" s="22" t="str">
        <f>IFERROR(__xludf.DUMMYFUNCTION("""COMPUTED_VALUE"""),"Kunst")</f>
        <v>Kunst</v>
      </c>
      <c r="H24" s="22" t="str">
        <f>IFERROR(__xludf.DUMMYFUNCTION("""COMPUTED_VALUE"""),"Miller")</f>
        <v>Miller</v>
      </c>
      <c r="I24" s="22" t="str">
        <f>IFERROR(__xludf.DUMMYFUNCTION("""COMPUTED_VALUE"""),"Consumer")</f>
        <v>Consumer</v>
      </c>
      <c r="J24" s="22" t="str">
        <f>IFERROR(__xludf.DUMMYFUNCTION("""COMPUTED_VALUE"""),"Los Angeles")</f>
        <v>Los Angeles</v>
      </c>
      <c r="K24" s="22" t="str">
        <f>IFERROR(__xludf.DUMMYFUNCTION("""COMPUTED_VALUE"""),"California")</f>
        <v>California</v>
      </c>
      <c r="L24" s="22" t="str">
        <f>IFERROR(__xludf.DUMMYFUNCTION("""COMPUTED_VALUE"""),"West")</f>
        <v>West</v>
      </c>
      <c r="M24" s="22" t="str">
        <f>IFERROR(__xludf.DUMMYFUNCTION("""COMPUTED_VALUE"""),"Office Supplies")</f>
        <v>Office Supplies</v>
      </c>
      <c r="N24" s="18">
        <f>IFERROR(__xludf.DUMMYFUNCTION("""COMPUTED_VALUE"""),146.73)</f>
        <v>146.73</v>
      </c>
      <c r="O24" s="18">
        <f>IFERROR(__xludf.DUMMYFUNCTION("""COMPUTED_VALUE"""),146.32)</f>
        <v>146.32</v>
      </c>
      <c r="P24" s="22">
        <f>IFERROR(__xludf.DUMMYFUNCTION("""COMPUTED_VALUE"""),9.0)</f>
        <v>9</v>
      </c>
      <c r="Q24" s="18">
        <f>IFERROR(__xludf.DUMMYFUNCTION("""COMPUTED_VALUE"""),1320.57)</f>
        <v>1320.57</v>
      </c>
      <c r="R24" s="18">
        <f>IFERROR(__xludf.DUMMYFUNCTION("""COMPUTED_VALUE"""),1174.25)</f>
        <v>1174.25</v>
      </c>
    </row>
    <row r="25">
      <c r="A25" s="21">
        <f>IFERROR(__xludf.DUMMYFUNCTION("""COMPUTED_VALUE"""),42698.0)</f>
        <v>42698</v>
      </c>
      <c r="B25" s="21" t="str">
        <f>IFERROR(__xludf.DUMMYFUNCTION("""COMPUTED_VALUE"""),"Nov")</f>
        <v>Nov</v>
      </c>
      <c r="C25" s="9">
        <f>IFERROR(__xludf.DUMMYFUNCTION("""COMPUTED_VALUE"""),42704.0)</f>
        <v>42704</v>
      </c>
      <c r="D25" s="23" t="str">
        <f>IFERROR(__xludf.DUMMYFUNCTION("""COMPUTED_VALUE"""),"Nov")</f>
        <v>Nov</v>
      </c>
      <c r="E25" s="21" t="str">
        <f>IFERROR(__xludf.DUMMYFUNCTION("""COMPUTED_VALUE"""),"2016")</f>
        <v>2016</v>
      </c>
      <c r="F25" s="22" t="str">
        <f>IFERROR(__xludf.DUMMYFUNCTION("""COMPUTED_VALUE"""),"Standard Class")</f>
        <v>Standard Class</v>
      </c>
      <c r="G25" s="22" t="str">
        <f>IFERROR(__xludf.DUMMYFUNCTION("""COMPUTED_VALUE"""),"Kunst")</f>
        <v>Kunst</v>
      </c>
      <c r="H25" s="22" t="str">
        <f>IFERROR(__xludf.DUMMYFUNCTION("""COMPUTED_VALUE"""),"Miller")</f>
        <v>Miller</v>
      </c>
      <c r="I25" s="22" t="str">
        <f>IFERROR(__xludf.DUMMYFUNCTION("""COMPUTED_VALUE"""),"Consumer")</f>
        <v>Consumer</v>
      </c>
      <c r="J25" s="22" t="str">
        <f>IFERROR(__xludf.DUMMYFUNCTION("""COMPUTED_VALUE"""),"Los Angeles")</f>
        <v>Los Angeles</v>
      </c>
      <c r="K25" s="22" t="str">
        <f>IFERROR(__xludf.DUMMYFUNCTION("""COMPUTED_VALUE"""),"California")</f>
        <v>California</v>
      </c>
      <c r="L25" s="22" t="str">
        <f>IFERROR(__xludf.DUMMYFUNCTION("""COMPUTED_VALUE"""),"West")</f>
        <v>West</v>
      </c>
      <c r="M25" s="22" t="str">
        <f>IFERROR(__xludf.DUMMYFUNCTION("""COMPUTED_VALUE"""),"Furniture")</f>
        <v>Furniture</v>
      </c>
      <c r="N25" s="18">
        <f>IFERROR(__xludf.DUMMYFUNCTION("""COMPUTED_VALUE"""),79.76)</f>
        <v>79.76</v>
      </c>
      <c r="O25" s="18">
        <f>IFERROR(__xludf.DUMMYFUNCTION("""COMPUTED_VALUE"""),79.56)</f>
        <v>79.56</v>
      </c>
      <c r="P25" s="22">
        <f>IFERROR(__xludf.DUMMYFUNCTION("""COMPUTED_VALUE"""),9.0)</f>
        <v>9</v>
      </c>
      <c r="Q25" s="18">
        <f>IFERROR(__xludf.DUMMYFUNCTION("""COMPUTED_VALUE"""),717.84)</f>
        <v>717.84</v>
      </c>
      <c r="R25" s="18">
        <f>IFERROR(__xludf.DUMMYFUNCTION("""COMPUTED_VALUE"""),638.28)</f>
        <v>638.28</v>
      </c>
    </row>
    <row r="26">
      <c r="A26" s="21">
        <f>IFERROR(__xludf.DUMMYFUNCTION("""COMPUTED_VALUE"""),42490.0)</f>
        <v>42490</v>
      </c>
      <c r="B26" s="21" t="str">
        <f>IFERROR(__xludf.DUMMYFUNCTION("""COMPUTED_VALUE"""),"Apr")</f>
        <v>Apr</v>
      </c>
      <c r="C26" s="9">
        <f>IFERROR(__xludf.DUMMYFUNCTION("""COMPUTED_VALUE"""),42495.0)</f>
        <v>42495</v>
      </c>
      <c r="D26" s="23" t="str">
        <f>IFERROR(__xludf.DUMMYFUNCTION("""COMPUTED_VALUE"""),"May")</f>
        <v>May</v>
      </c>
      <c r="E26" s="21" t="str">
        <f>IFERROR(__xludf.DUMMYFUNCTION("""COMPUTED_VALUE"""),"2016")</f>
        <v>2016</v>
      </c>
      <c r="F26" s="22" t="str">
        <f>IFERROR(__xludf.DUMMYFUNCTION("""COMPUTED_VALUE"""),"Standard Class")</f>
        <v>Standard Class</v>
      </c>
      <c r="G26" s="22" t="str">
        <f>IFERROR(__xludf.DUMMYFUNCTION("""COMPUTED_VALUE"""),"Paul")</f>
        <v>Paul</v>
      </c>
      <c r="H26" s="22" t="str">
        <f>IFERROR(__xludf.DUMMYFUNCTION("""COMPUTED_VALUE"""),"Stevenson")</f>
        <v>Stevenson</v>
      </c>
      <c r="I26" s="22" t="str">
        <f>IFERROR(__xludf.DUMMYFUNCTION("""COMPUTED_VALUE"""),"Home Office")</f>
        <v>Home Office</v>
      </c>
      <c r="J26" s="22" t="str">
        <f>IFERROR(__xludf.DUMMYFUNCTION("""COMPUTED_VALUE"""),"Chicago")</f>
        <v>Chicago</v>
      </c>
      <c r="K26" s="22" t="str">
        <f>IFERROR(__xludf.DUMMYFUNCTION("""COMPUTED_VALUE"""),"Illinois")</f>
        <v>Illinois</v>
      </c>
      <c r="L26" s="22" t="str">
        <f>IFERROR(__xludf.DUMMYFUNCTION("""COMPUTED_VALUE"""),"Central")</f>
        <v>Central</v>
      </c>
      <c r="M26" s="22" t="str">
        <f>IFERROR(__xludf.DUMMYFUNCTION("""COMPUTED_VALUE"""),"Furniture")</f>
        <v>Furniture</v>
      </c>
      <c r="N26" s="18">
        <f>IFERROR(__xludf.DUMMYFUNCTION("""COMPUTED_VALUE"""),213.115)</f>
        <v>213.115</v>
      </c>
      <c r="O26" s="18">
        <f>IFERROR(__xludf.DUMMYFUNCTION("""COMPUTED_VALUE"""),212.69)</f>
        <v>212.69</v>
      </c>
      <c r="P26" s="22">
        <f>IFERROR(__xludf.DUMMYFUNCTION("""COMPUTED_VALUE"""),6.0)</f>
        <v>6</v>
      </c>
      <c r="Q26" s="18">
        <f>IFERROR(__xludf.DUMMYFUNCTION("""COMPUTED_VALUE"""),1278.69)</f>
        <v>1278.69</v>
      </c>
      <c r="R26" s="18">
        <f>IFERROR(__xludf.DUMMYFUNCTION("""COMPUTED_VALUE"""),1066.0)</f>
        <v>1066</v>
      </c>
    </row>
    <row r="27">
      <c r="A27" s="21">
        <f>IFERROR(__xludf.DUMMYFUNCTION("""COMPUTED_VALUE"""),42136.0)</f>
        <v>42136</v>
      </c>
      <c r="B27" s="21" t="str">
        <f>IFERROR(__xludf.DUMMYFUNCTION("""COMPUTED_VALUE"""),"May")</f>
        <v>May</v>
      </c>
      <c r="C27" s="9">
        <f>IFERROR(__xludf.DUMMYFUNCTION("""COMPUTED_VALUE"""),42289.0)</f>
        <v>42289</v>
      </c>
      <c r="D27" s="23" t="str">
        <f>IFERROR(__xludf.DUMMYFUNCTION("""COMPUTED_VALUE"""),"Oct")</f>
        <v>Oct</v>
      </c>
      <c r="E27" s="21" t="str">
        <f>IFERROR(__xludf.DUMMYFUNCTION("""COMPUTED_VALUE"""),"2015")</f>
        <v>2015</v>
      </c>
      <c r="F27" s="22" t="str">
        <f>IFERROR(__xludf.DUMMYFUNCTION("""COMPUTED_VALUE"""),"Standard Class")</f>
        <v>Standard Class</v>
      </c>
      <c r="G27" s="22" t="str">
        <f>IFERROR(__xludf.DUMMYFUNCTION("""COMPUTED_VALUE"""),"Brendan")</f>
        <v>Brendan</v>
      </c>
      <c r="H27" s="22" t="str">
        <f>IFERROR(__xludf.DUMMYFUNCTION("""COMPUTED_VALUE"""),"Sweed")</f>
        <v>Sweed</v>
      </c>
      <c r="I27" s="22" t="str">
        <f>IFERROR(__xludf.DUMMYFUNCTION("""COMPUTED_VALUE"""),"Corporate")</f>
        <v>Corporate</v>
      </c>
      <c r="J27" s="22" t="str">
        <f>IFERROR(__xludf.DUMMYFUNCTION("""COMPUTED_VALUE"""),"Gilbert")</f>
        <v>Gilbert</v>
      </c>
      <c r="K27" s="22" t="str">
        <f>IFERROR(__xludf.DUMMYFUNCTION("""COMPUTED_VALUE"""),"Arizona")</f>
        <v>Arizona</v>
      </c>
      <c r="L27" s="22" t="str">
        <f>IFERROR(__xludf.DUMMYFUNCTION("""COMPUTED_VALUE"""),"West")</f>
        <v>West</v>
      </c>
      <c r="M27" s="22" t="str">
        <f>IFERROR(__xludf.DUMMYFUNCTION("""COMPUTED_VALUE"""),"Office Supplies")</f>
        <v>Office Supplies</v>
      </c>
      <c r="N27" s="18">
        <f>IFERROR(__xludf.DUMMYFUNCTION("""COMPUTED_VALUE"""),1113.024)</f>
        <v>1113.024</v>
      </c>
      <c r="O27" s="18">
        <f>IFERROR(__xludf.DUMMYFUNCTION("""COMPUTED_VALUE"""),1112.23)</f>
        <v>1112.23</v>
      </c>
      <c r="P27" s="22">
        <f>IFERROR(__xludf.DUMMYFUNCTION("""COMPUTED_VALUE"""),8.0)</f>
        <v>8</v>
      </c>
      <c r="Q27" s="18">
        <f>IFERROR(__xludf.DUMMYFUNCTION("""COMPUTED_VALUE"""),8904.192)</f>
        <v>8904.192</v>
      </c>
      <c r="R27" s="18">
        <f>IFERROR(__xludf.DUMMYFUNCTION("""COMPUTED_VALUE"""),7791.9619999999995)</f>
        <v>7791.962</v>
      </c>
    </row>
    <row r="28">
      <c r="A28" s="21">
        <f>IFERROR(__xludf.DUMMYFUNCTION("""COMPUTED_VALUE"""),42136.0)</f>
        <v>42136</v>
      </c>
      <c r="B28" s="21" t="str">
        <f>IFERROR(__xludf.DUMMYFUNCTION("""COMPUTED_VALUE"""),"May")</f>
        <v>May</v>
      </c>
      <c r="C28" s="9">
        <f>IFERROR(__xludf.DUMMYFUNCTION("""COMPUTED_VALUE"""),42289.0)</f>
        <v>42289</v>
      </c>
      <c r="D28" s="23" t="str">
        <f>IFERROR(__xludf.DUMMYFUNCTION("""COMPUTED_VALUE"""),"Oct")</f>
        <v>Oct</v>
      </c>
      <c r="E28" s="21" t="str">
        <f>IFERROR(__xludf.DUMMYFUNCTION("""COMPUTED_VALUE"""),"2015")</f>
        <v>2015</v>
      </c>
      <c r="F28" s="22" t="str">
        <f>IFERROR(__xludf.DUMMYFUNCTION("""COMPUTED_VALUE"""),"Standard Class")</f>
        <v>Standard Class</v>
      </c>
      <c r="G28" s="22" t="str">
        <f>IFERROR(__xludf.DUMMYFUNCTION("""COMPUTED_VALUE"""),"Brendan")</f>
        <v>Brendan</v>
      </c>
      <c r="H28" s="22" t="str">
        <f>IFERROR(__xludf.DUMMYFUNCTION("""COMPUTED_VALUE"""),"Sweed")</f>
        <v>Sweed</v>
      </c>
      <c r="I28" s="22" t="str">
        <f>IFERROR(__xludf.DUMMYFUNCTION("""COMPUTED_VALUE"""),"Corporate")</f>
        <v>Corporate</v>
      </c>
      <c r="J28" s="22" t="str">
        <f>IFERROR(__xludf.DUMMYFUNCTION("""COMPUTED_VALUE"""),"Gilbert")</f>
        <v>Gilbert</v>
      </c>
      <c r="K28" s="22" t="str">
        <f>IFERROR(__xludf.DUMMYFUNCTION("""COMPUTED_VALUE"""),"Arizona")</f>
        <v>Arizona</v>
      </c>
      <c r="L28" s="22" t="str">
        <f>IFERROR(__xludf.DUMMYFUNCTION("""COMPUTED_VALUE"""),"West")</f>
        <v>West</v>
      </c>
      <c r="M28" s="22" t="str">
        <f>IFERROR(__xludf.DUMMYFUNCTION("""COMPUTED_VALUE"""),"Technology")</f>
        <v>Technology</v>
      </c>
      <c r="N28" s="18">
        <f>IFERROR(__xludf.DUMMYFUNCTION("""COMPUTED_VALUE"""),167.968)</f>
        <v>167.968</v>
      </c>
      <c r="O28" s="18">
        <f>IFERROR(__xludf.DUMMYFUNCTION("""COMPUTED_VALUE"""),167.14)</f>
        <v>167.14</v>
      </c>
      <c r="P28" s="22">
        <f>IFERROR(__xludf.DUMMYFUNCTION("""COMPUTED_VALUE"""),8.0)</f>
        <v>8</v>
      </c>
      <c r="Q28" s="18">
        <f>IFERROR(__xludf.DUMMYFUNCTION("""COMPUTED_VALUE"""),1343.744)</f>
        <v>1343.744</v>
      </c>
      <c r="R28" s="18">
        <f>IFERROR(__xludf.DUMMYFUNCTION("""COMPUTED_VALUE"""),1176.6039999999998)</f>
        <v>1176.604</v>
      </c>
    </row>
    <row r="29">
      <c r="A29" s="21">
        <f>IFERROR(__xludf.DUMMYFUNCTION("""COMPUTED_VALUE"""),42486.0)</f>
        <v>42486</v>
      </c>
      <c r="B29" s="21" t="str">
        <f>IFERROR(__xludf.DUMMYFUNCTION("""COMPUTED_VALUE"""),"Apr")</f>
        <v>Apr</v>
      </c>
      <c r="C29" s="9">
        <f>IFERROR(__xludf.DUMMYFUNCTION("""COMPUTED_VALUE"""),42405.0)</f>
        <v>42405</v>
      </c>
      <c r="D29" s="23" t="str">
        <f>IFERROR(__xludf.DUMMYFUNCTION("""COMPUTED_VALUE"""),"Feb")</f>
        <v>Feb</v>
      </c>
      <c r="E29" s="21" t="str">
        <f>IFERROR(__xludf.DUMMYFUNCTION("""COMPUTED_VALUE"""),"2016")</f>
        <v>2016</v>
      </c>
      <c r="F29" s="22" t="str">
        <f>IFERROR(__xludf.DUMMYFUNCTION("""COMPUTED_VALUE"""),"Standard Class")</f>
        <v>Standard Class</v>
      </c>
      <c r="G29" s="22" t="str">
        <f>IFERROR(__xludf.DUMMYFUNCTION("""COMPUTED_VALUE"""),"Joel")</f>
        <v>Joel</v>
      </c>
      <c r="H29" s="22" t="str">
        <f>IFERROR(__xludf.DUMMYFUNCTION("""COMPUTED_VALUE"""),"Eaton")</f>
        <v>Eaton</v>
      </c>
      <c r="I29" s="22" t="str">
        <f>IFERROR(__xludf.DUMMYFUNCTION("""COMPUTED_VALUE"""),"Consumer")</f>
        <v>Consumer</v>
      </c>
      <c r="J29" s="22" t="str">
        <f>IFERROR(__xludf.DUMMYFUNCTION("""COMPUTED_VALUE"""),"Memphis")</f>
        <v>Memphis</v>
      </c>
      <c r="K29" s="22" t="str">
        <f>IFERROR(__xludf.DUMMYFUNCTION("""COMPUTED_VALUE"""),"Tennessee")</f>
        <v>Tennessee</v>
      </c>
      <c r="L29" s="22" t="str">
        <f>IFERROR(__xludf.DUMMYFUNCTION("""COMPUTED_VALUE"""),"South")</f>
        <v>South</v>
      </c>
      <c r="M29" s="22" t="str">
        <f>IFERROR(__xludf.DUMMYFUNCTION("""COMPUTED_VALUE"""),"Furniture")</f>
        <v>Furniture</v>
      </c>
      <c r="N29" s="18">
        <f>IFERROR(__xludf.DUMMYFUNCTION("""COMPUTED_VALUE"""),831.936)</f>
        <v>831.936</v>
      </c>
      <c r="O29" s="18">
        <f>IFERROR(__xludf.DUMMYFUNCTION("""COMPUTED_VALUE"""),831.72)</f>
        <v>831.72</v>
      </c>
      <c r="P29" s="22">
        <f>IFERROR(__xludf.DUMMYFUNCTION("""COMPUTED_VALUE"""),3.0)</f>
        <v>3</v>
      </c>
      <c r="Q29" s="18">
        <f>IFERROR(__xludf.DUMMYFUNCTION("""COMPUTED_VALUE"""),2495.808)</f>
        <v>2495.808</v>
      </c>
      <c r="R29" s="18">
        <f>IFERROR(__xludf.DUMMYFUNCTION("""COMPUTED_VALUE"""),1664.088)</f>
        <v>1664.088</v>
      </c>
    </row>
    <row r="30">
      <c r="A30" s="21">
        <f>IFERROR(__xludf.DUMMYFUNCTION("""COMPUTED_VALUE"""),43417.0)</f>
        <v>43417</v>
      </c>
      <c r="B30" s="21" t="str">
        <f>IFERROR(__xludf.DUMMYFUNCTION("""COMPUTED_VALUE"""),"Nov")</f>
        <v>Nov</v>
      </c>
      <c r="C30" s="9">
        <f>IFERROR(__xludf.DUMMYFUNCTION("""COMPUTED_VALUE"""),43420.0)</f>
        <v>43420</v>
      </c>
      <c r="D30" s="23" t="str">
        <f>IFERROR(__xludf.DUMMYFUNCTION("""COMPUTED_VALUE"""),"Nov")</f>
        <v>Nov</v>
      </c>
      <c r="E30" s="21" t="str">
        <f>IFERROR(__xludf.DUMMYFUNCTION("""COMPUTED_VALUE"""),"2018")</f>
        <v>2018</v>
      </c>
      <c r="F30" s="22" t="str">
        <f>IFERROR(__xludf.DUMMYFUNCTION("""COMPUTED_VALUE"""),"First Class")</f>
        <v>First Class</v>
      </c>
      <c r="G30" s="22" t="str">
        <f>IFERROR(__xludf.DUMMYFUNCTION("""COMPUTED_VALUE"""),"Christopher")</f>
        <v>Christopher</v>
      </c>
      <c r="H30" s="22" t="str">
        <f>IFERROR(__xludf.DUMMYFUNCTION("""COMPUTED_VALUE"""),"Schild")</f>
        <v>Schild</v>
      </c>
      <c r="I30" s="22" t="str">
        <f>IFERROR(__xludf.DUMMYFUNCTION("""COMPUTED_VALUE"""),"Home Office")</f>
        <v>Home Office</v>
      </c>
      <c r="J30" s="22" t="str">
        <f>IFERROR(__xludf.DUMMYFUNCTION("""COMPUTED_VALUE"""),"Chicago")</f>
        <v>Chicago</v>
      </c>
      <c r="K30" s="22" t="str">
        <f>IFERROR(__xludf.DUMMYFUNCTION("""COMPUTED_VALUE"""),"Illinois")</f>
        <v>Illinois</v>
      </c>
      <c r="L30" s="22" t="str">
        <f>IFERROR(__xludf.DUMMYFUNCTION("""COMPUTED_VALUE"""),"Central")</f>
        <v>Central</v>
      </c>
      <c r="M30" s="22" t="str">
        <f>IFERROR(__xludf.DUMMYFUNCTION("""COMPUTED_VALUE"""),"Office Supplies")</f>
        <v>Office Supplies</v>
      </c>
      <c r="N30" s="18">
        <f>IFERROR(__xludf.DUMMYFUNCTION("""COMPUTED_VALUE"""),230.376)</f>
        <v>230.376</v>
      </c>
      <c r="O30" s="18">
        <f>IFERROR(__xludf.DUMMYFUNCTION("""COMPUTED_VALUE"""),229.82)</f>
        <v>229.82</v>
      </c>
      <c r="P30" s="22">
        <f>IFERROR(__xludf.DUMMYFUNCTION("""COMPUTED_VALUE"""),6.0)</f>
        <v>6</v>
      </c>
      <c r="Q30" s="18">
        <f>IFERROR(__xludf.DUMMYFUNCTION("""COMPUTED_VALUE"""),1382.256)</f>
        <v>1382.256</v>
      </c>
      <c r="R30" s="18">
        <f>IFERROR(__xludf.DUMMYFUNCTION("""COMPUTED_VALUE"""),1152.4360000000001)</f>
        <v>1152.436</v>
      </c>
    </row>
    <row r="31">
      <c r="A31" s="21">
        <f>IFERROR(__xludf.DUMMYFUNCTION("""COMPUTED_VALUE"""),42859.0)</f>
        <v>42859</v>
      </c>
      <c r="B31" s="21" t="str">
        <f>IFERROR(__xludf.DUMMYFUNCTION("""COMPUTED_VALUE"""),"May")</f>
        <v>May</v>
      </c>
      <c r="C31" s="9">
        <f>IFERROR(__xludf.DUMMYFUNCTION("""COMPUTED_VALUE"""),43012.0)</f>
        <v>43012</v>
      </c>
      <c r="D31" s="23" t="str">
        <f>IFERROR(__xludf.DUMMYFUNCTION("""COMPUTED_VALUE"""),"Oct")</f>
        <v>Oct</v>
      </c>
      <c r="E31" s="21" t="str">
        <f>IFERROR(__xludf.DUMMYFUNCTION("""COMPUTED_VALUE"""),"2017")</f>
        <v>2017</v>
      </c>
      <c r="F31" s="22" t="str">
        <f>IFERROR(__xludf.DUMMYFUNCTION("""COMPUTED_VALUE"""),"Second Class")</f>
        <v>Second Class</v>
      </c>
      <c r="G31" s="22" t="str">
        <f>IFERROR(__xludf.DUMMYFUNCTION("""COMPUTED_VALUE"""),"Gary")</f>
        <v>Gary</v>
      </c>
      <c r="H31" s="22" t="str">
        <f>IFERROR(__xludf.DUMMYFUNCTION("""COMPUTED_VALUE"""),"Mitchum")</f>
        <v>Mitchum</v>
      </c>
      <c r="I31" s="22" t="str">
        <f>IFERROR(__xludf.DUMMYFUNCTION("""COMPUTED_VALUE"""),"Home Office")</f>
        <v>Home Office</v>
      </c>
      <c r="J31" s="22" t="str">
        <f>IFERROR(__xludf.DUMMYFUNCTION("""COMPUTED_VALUE"""),"Houston")</f>
        <v>Houston</v>
      </c>
      <c r="K31" s="22" t="str">
        <f>IFERROR(__xludf.DUMMYFUNCTION("""COMPUTED_VALUE"""),"Texas")</f>
        <v>Texas</v>
      </c>
      <c r="L31" s="22" t="str">
        <f>IFERROR(__xludf.DUMMYFUNCTION("""COMPUTED_VALUE"""),"Central")</f>
        <v>Central</v>
      </c>
      <c r="M31" s="22" t="str">
        <f>IFERROR(__xludf.DUMMYFUNCTION("""COMPUTED_VALUE"""),"Office Supplies")</f>
        <v>Office Supplies</v>
      </c>
      <c r="N31" s="18">
        <f>IFERROR(__xludf.DUMMYFUNCTION("""COMPUTED_VALUE"""),158.368)</f>
        <v>158.368</v>
      </c>
      <c r="O31" s="18">
        <f>IFERROR(__xludf.DUMMYFUNCTION("""COMPUTED_VALUE"""),158.13)</f>
        <v>158.13</v>
      </c>
      <c r="P31" s="22">
        <f>IFERROR(__xludf.DUMMYFUNCTION("""COMPUTED_VALUE"""),7.0)</f>
        <v>7</v>
      </c>
      <c r="Q31" s="18">
        <f>IFERROR(__xludf.DUMMYFUNCTION("""COMPUTED_VALUE"""),1108.576)</f>
        <v>1108.576</v>
      </c>
      <c r="R31" s="18">
        <f>IFERROR(__xludf.DUMMYFUNCTION("""COMPUTED_VALUE"""),950.446)</f>
        <v>950.446</v>
      </c>
    </row>
    <row r="32">
      <c r="A32" s="21">
        <f>IFERROR(__xludf.DUMMYFUNCTION("""COMPUTED_VALUE"""),42995.0)</f>
        <v>42995</v>
      </c>
      <c r="B32" s="21" t="str">
        <f>IFERROR(__xludf.DUMMYFUNCTION("""COMPUTED_VALUE"""),"Sep")</f>
        <v>Sep</v>
      </c>
      <c r="C32" s="9">
        <f>IFERROR(__xludf.DUMMYFUNCTION("""COMPUTED_VALUE"""),43000.0)</f>
        <v>43000</v>
      </c>
      <c r="D32" s="23" t="str">
        <f>IFERROR(__xludf.DUMMYFUNCTION("""COMPUTED_VALUE"""),"Sep")</f>
        <v>Sep</v>
      </c>
      <c r="E32" s="21" t="str">
        <f>IFERROR(__xludf.DUMMYFUNCTION("""COMPUTED_VALUE"""),"2017")</f>
        <v>2017</v>
      </c>
      <c r="F32" s="22" t="str">
        <f>IFERROR(__xludf.DUMMYFUNCTION("""COMPUTED_VALUE"""),"Standard Class")</f>
        <v>Standard Class</v>
      </c>
      <c r="G32" s="22" t="str">
        <f>IFERROR(__xludf.DUMMYFUNCTION("""COMPUTED_VALUE"""),"Jim")</f>
        <v>Jim</v>
      </c>
      <c r="H32" s="22" t="str">
        <f>IFERROR(__xludf.DUMMYFUNCTION("""COMPUTED_VALUE"""),"Sink")</f>
        <v>Sink</v>
      </c>
      <c r="I32" s="22" t="str">
        <f>IFERROR(__xludf.DUMMYFUNCTION("""COMPUTED_VALUE"""),"Corporate")</f>
        <v>Corporate</v>
      </c>
      <c r="J32" s="22" t="str">
        <f>IFERROR(__xludf.DUMMYFUNCTION("""COMPUTED_VALUE"""),"Los Angeles")</f>
        <v>Los Angeles</v>
      </c>
      <c r="K32" s="22" t="str">
        <f>IFERROR(__xludf.DUMMYFUNCTION("""COMPUTED_VALUE"""),"California")</f>
        <v>California</v>
      </c>
      <c r="L32" s="22" t="str">
        <f>IFERROR(__xludf.DUMMYFUNCTION("""COMPUTED_VALUE"""),"West")</f>
        <v>West</v>
      </c>
      <c r="M32" s="22" t="str">
        <f>IFERROR(__xludf.DUMMYFUNCTION("""COMPUTED_VALUE"""),"Technology")</f>
        <v>Technology</v>
      </c>
      <c r="N32" s="18">
        <f>IFERROR(__xludf.DUMMYFUNCTION("""COMPUTED_VALUE"""),73.584)</f>
        <v>73.584</v>
      </c>
      <c r="O32" s="18">
        <f>IFERROR(__xludf.DUMMYFUNCTION("""COMPUTED_VALUE"""),73.53)</f>
        <v>73.53</v>
      </c>
      <c r="P32" s="22">
        <f>IFERROR(__xludf.DUMMYFUNCTION("""COMPUTED_VALUE"""),9.0)</f>
        <v>9</v>
      </c>
      <c r="Q32" s="18">
        <f>IFERROR(__xludf.DUMMYFUNCTION("""COMPUTED_VALUE"""),662.2560000000001)</f>
        <v>662.256</v>
      </c>
      <c r="R32" s="18">
        <f>IFERROR(__xludf.DUMMYFUNCTION("""COMPUTED_VALUE"""),588.7260000000001)</f>
        <v>588.726</v>
      </c>
    </row>
    <row r="33">
      <c r="A33" s="21">
        <f>IFERROR(__xludf.DUMMYFUNCTION("""COMPUTED_VALUE"""),42687.0)</f>
        <v>42687</v>
      </c>
      <c r="B33" s="21" t="str">
        <f>IFERROR(__xludf.DUMMYFUNCTION("""COMPUTED_VALUE"""),"Nov")</f>
        <v>Nov</v>
      </c>
      <c r="C33" s="9">
        <f>IFERROR(__xludf.DUMMYFUNCTION("""COMPUTED_VALUE"""),42691.0)</f>
        <v>42691</v>
      </c>
      <c r="D33" s="23" t="str">
        <f>IFERROR(__xludf.DUMMYFUNCTION("""COMPUTED_VALUE"""),"Nov")</f>
        <v>Nov</v>
      </c>
      <c r="E33" s="21" t="str">
        <f>IFERROR(__xludf.DUMMYFUNCTION("""COMPUTED_VALUE"""),"2016")</f>
        <v>2016</v>
      </c>
      <c r="F33" s="22" t="str">
        <f>IFERROR(__xludf.DUMMYFUNCTION("""COMPUTED_VALUE"""),"Standard Class")</f>
        <v>Standard Class</v>
      </c>
      <c r="G33" s="22" t="str">
        <f>IFERROR(__xludf.DUMMYFUNCTION("""COMPUTED_VALUE"""),"Lena")</f>
        <v>Lena</v>
      </c>
      <c r="H33" s="22" t="str">
        <f>IFERROR(__xludf.DUMMYFUNCTION("""COMPUTED_VALUE"""),"Cacioppo")</f>
        <v>Cacioppo</v>
      </c>
      <c r="I33" s="22" t="str">
        <f>IFERROR(__xludf.DUMMYFUNCTION("""COMPUTED_VALUE"""),"Consumer")</f>
        <v>Consumer</v>
      </c>
      <c r="J33" s="22" t="str">
        <f>IFERROR(__xludf.DUMMYFUNCTION("""COMPUTED_VALUE"""),"Aurora")</f>
        <v>Aurora</v>
      </c>
      <c r="K33" s="22" t="str">
        <f>IFERROR(__xludf.DUMMYFUNCTION("""COMPUTED_VALUE"""),"Colorado")</f>
        <v>Colorado</v>
      </c>
      <c r="L33" s="22" t="str">
        <f>IFERROR(__xludf.DUMMYFUNCTION("""COMPUTED_VALUE"""),"West")</f>
        <v>West</v>
      </c>
      <c r="M33" s="22" t="str">
        <f>IFERROR(__xludf.DUMMYFUNCTION("""COMPUTED_VALUE"""),"Technology")</f>
        <v>Technology</v>
      </c>
      <c r="N33" s="18">
        <f>IFERROR(__xludf.DUMMYFUNCTION("""COMPUTED_VALUE"""),238.896)</f>
        <v>238.896</v>
      </c>
      <c r="O33" s="18">
        <f>IFERROR(__xludf.DUMMYFUNCTION("""COMPUTED_VALUE"""),238.02)</f>
        <v>238.02</v>
      </c>
      <c r="P33" s="22">
        <f>IFERROR(__xludf.DUMMYFUNCTION("""COMPUTED_VALUE"""),8.0)</f>
        <v>8</v>
      </c>
      <c r="Q33" s="18">
        <f>IFERROR(__xludf.DUMMYFUNCTION("""COMPUTED_VALUE"""),1911.168)</f>
        <v>1911.168</v>
      </c>
      <c r="R33" s="18">
        <f>IFERROR(__xludf.DUMMYFUNCTION("""COMPUTED_VALUE"""),1673.148)</f>
        <v>1673.148</v>
      </c>
    </row>
    <row r="34">
      <c r="A34" s="21">
        <f>IFERROR(__xludf.DUMMYFUNCTION("""COMPUTED_VALUE"""),42687.0)</f>
        <v>42687</v>
      </c>
      <c r="B34" s="21" t="str">
        <f>IFERROR(__xludf.DUMMYFUNCTION("""COMPUTED_VALUE"""),"Nov")</f>
        <v>Nov</v>
      </c>
      <c r="C34" s="9">
        <f>IFERROR(__xludf.DUMMYFUNCTION("""COMPUTED_VALUE"""),42691.0)</f>
        <v>42691</v>
      </c>
      <c r="D34" s="23" t="str">
        <f>IFERROR(__xludf.DUMMYFUNCTION("""COMPUTED_VALUE"""),"Nov")</f>
        <v>Nov</v>
      </c>
      <c r="E34" s="21" t="str">
        <f>IFERROR(__xludf.DUMMYFUNCTION("""COMPUTED_VALUE"""),"2016")</f>
        <v>2016</v>
      </c>
      <c r="F34" s="22" t="str">
        <f>IFERROR(__xludf.DUMMYFUNCTION("""COMPUTED_VALUE"""),"Standard Class")</f>
        <v>Standard Class</v>
      </c>
      <c r="G34" s="22" t="str">
        <f>IFERROR(__xludf.DUMMYFUNCTION("""COMPUTED_VALUE"""),"Lena")</f>
        <v>Lena</v>
      </c>
      <c r="H34" s="22" t="str">
        <f>IFERROR(__xludf.DUMMYFUNCTION("""COMPUTED_VALUE"""),"Cacioppo")</f>
        <v>Cacioppo</v>
      </c>
      <c r="I34" s="22" t="str">
        <f>IFERROR(__xludf.DUMMYFUNCTION("""COMPUTED_VALUE"""),"Consumer")</f>
        <v>Consumer</v>
      </c>
      <c r="J34" s="22" t="str">
        <f>IFERROR(__xludf.DUMMYFUNCTION("""COMPUTED_VALUE"""),"Aurora")</f>
        <v>Aurora</v>
      </c>
      <c r="K34" s="22" t="str">
        <f>IFERROR(__xludf.DUMMYFUNCTION("""COMPUTED_VALUE"""),"Colorado")</f>
        <v>Colorado</v>
      </c>
      <c r="L34" s="22" t="str">
        <f>IFERROR(__xludf.DUMMYFUNCTION("""COMPUTED_VALUE"""),"West")</f>
        <v>West</v>
      </c>
      <c r="M34" s="22" t="str">
        <f>IFERROR(__xludf.DUMMYFUNCTION("""COMPUTED_VALUE"""),"Furniture")</f>
        <v>Furniture</v>
      </c>
      <c r="N34" s="18">
        <f>IFERROR(__xludf.DUMMYFUNCTION("""COMPUTED_VALUE"""),102.36)</f>
        <v>102.36</v>
      </c>
      <c r="O34" s="18">
        <f>IFERROR(__xludf.DUMMYFUNCTION("""COMPUTED_VALUE"""),101.97)</f>
        <v>101.97</v>
      </c>
      <c r="P34" s="22">
        <f>IFERROR(__xludf.DUMMYFUNCTION("""COMPUTED_VALUE"""),8.0)</f>
        <v>8</v>
      </c>
      <c r="Q34" s="18">
        <f>IFERROR(__xludf.DUMMYFUNCTION("""COMPUTED_VALUE"""),818.88)</f>
        <v>818.88</v>
      </c>
      <c r="R34" s="18">
        <f>IFERROR(__xludf.DUMMYFUNCTION("""COMPUTED_VALUE"""),716.91)</f>
        <v>716.91</v>
      </c>
    </row>
    <row r="35">
      <c r="A35" s="21">
        <f>IFERROR(__xludf.DUMMYFUNCTION("""COMPUTED_VALUE"""),42658.0)</f>
        <v>42658</v>
      </c>
      <c r="B35" s="21" t="str">
        <f>IFERROR(__xludf.DUMMYFUNCTION("""COMPUTED_VALUE"""),"Oct")</f>
        <v>Oct</v>
      </c>
      <c r="C35" s="9">
        <f>IFERROR(__xludf.DUMMYFUNCTION("""COMPUTED_VALUE"""),42663.0)</f>
        <v>42663</v>
      </c>
      <c r="D35" s="23" t="str">
        <f>IFERROR(__xludf.DUMMYFUNCTION("""COMPUTED_VALUE"""),"Oct")</f>
        <v>Oct</v>
      </c>
      <c r="E35" s="21" t="str">
        <f>IFERROR(__xludf.DUMMYFUNCTION("""COMPUTED_VALUE"""),"2016")</f>
        <v>2016</v>
      </c>
      <c r="F35" s="22" t="str">
        <f>IFERROR(__xludf.DUMMYFUNCTION("""COMPUTED_VALUE"""),"Standard Class")</f>
        <v>Standard Class</v>
      </c>
      <c r="G35" s="22" t="str">
        <f>IFERROR(__xludf.DUMMYFUNCTION("""COMPUTED_VALUE"""),"Pete")</f>
        <v>Pete</v>
      </c>
      <c r="H35" s="22" t="str">
        <f>IFERROR(__xludf.DUMMYFUNCTION("""COMPUTED_VALUE"""),"Armstrong")</f>
        <v>Armstrong</v>
      </c>
      <c r="I35" s="22" t="str">
        <f>IFERROR(__xludf.DUMMYFUNCTION("""COMPUTED_VALUE"""),"Home Office")</f>
        <v>Home Office</v>
      </c>
      <c r="J35" s="22" t="str">
        <f>IFERROR(__xludf.DUMMYFUNCTION("""COMPUTED_VALUE"""),"Orland Park")</f>
        <v>Orland Park</v>
      </c>
      <c r="K35" s="22" t="str">
        <f>IFERROR(__xludf.DUMMYFUNCTION("""COMPUTED_VALUE"""),"Illinois")</f>
        <v>Illinois</v>
      </c>
      <c r="L35" s="22" t="str">
        <f>IFERROR(__xludf.DUMMYFUNCTION("""COMPUTED_VALUE"""),"Central")</f>
        <v>Central</v>
      </c>
      <c r="M35" s="22" t="str">
        <f>IFERROR(__xludf.DUMMYFUNCTION("""COMPUTED_VALUE"""),"Technology")</f>
        <v>Technology</v>
      </c>
      <c r="N35" s="18">
        <f>IFERROR(__xludf.DUMMYFUNCTION("""COMPUTED_VALUE"""),339.96)</f>
        <v>339.96</v>
      </c>
      <c r="O35" s="18">
        <f>IFERROR(__xludf.DUMMYFUNCTION("""COMPUTED_VALUE"""),339.63)</f>
        <v>339.63</v>
      </c>
      <c r="P35" s="22">
        <f>IFERROR(__xludf.DUMMYFUNCTION("""COMPUTED_VALUE"""),6.0)</f>
        <v>6</v>
      </c>
      <c r="Q35" s="18">
        <f>IFERROR(__xludf.DUMMYFUNCTION("""COMPUTED_VALUE"""),2039.7599999999998)</f>
        <v>2039.76</v>
      </c>
      <c r="R35" s="18">
        <f>IFERROR(__xludf.DUMMYFUNCTION("""COMPUTED_VALUE"""),1700.1299999999997)</f>
        <v>1700.13</v>
      </c>
    </row>
    <row r="36">
      <c r="A36" s="21">
        <f>IFERROR(__xludf.DUMMYFUNCTION("""COMPUTED_VALUE"""),42403.0)</f>
        <v>42403</v>
      </c>
      <c r="B36" s="21" t="str">
        <f>IFERROR(__xludf.DUMMYFUNCTION("""COMPUTED_VALUE"""),"Feb")</f>
        <v>Feb</v>
      </c>
      <c r="C36" s="9">
        <f>IFERROR(__xludf.DUMMYFUNCTION("""COMPUTED_VALUE"""),42524.0)</f>
        <v>42524</v>
      </c>
      <c r="D36" s="23" t="str">
        <f>IFERROR(__xludf.DUMMYFUNCTION("""COMPUTED_VALUE"""),"Jun")</f>
        <v>Jun</v>
      </c>
      <c r="E36" s="21" t="str">
        <f>IFERROR(__xludf.DUMMYFUNCTION("""COMPUTED_VALUE"""),"2016")</f>
        <v>2016</v>
      </c>
      <c r="F36" s="22" t="str">
        <f>IFERROR(__xludf.DUMMYFUNCTION("""COMPUTED_VALUE"""),"Standard Class")</f>
        <v>Standard Class</v>
      </c>
      <c r="G36" s="22" t="str">
        <f>IFERROR(__xludf.DUMMYFUNCTION("""COMPUTED_VALUE"""),"Dave")</f>
        <v>Dave</v>
      </c>
      <c r="H36" s="22" t="str">
        <f>IFERROR(__xludf.DUMMYFUNCTION("""COMPUTED_VALUE"""),"Kipp")</f>
        <v>Kipp</v>
      </c>
      <c r="I36" s="22" t="str">
        <f>IFERROR(__xludf.DUMMYFUNCTION("""COMPUTED_VALUE"""),"Consumer")</f>
        <v>Consumer</v>
      </c>
      <c r="J36" s="22" t="str">
        <f>IFERROR(__xludf.DUMMYFUNCTION("""COMPUTED_VALUE"""),"Seattle")</f>
        <v>Seattle</v>
      </c>
      <c r="K36" s="22" t="str">
        <f>IFERROR(__xludf.DUMMYFUNCTION("""COMPUTED_VALUE"""),"Washington")</f>
        <v>Washington</v>
      </c>
      <c r="L36" s="22" t="str">
        <f>IFERROR(__xludf.DUMMYFUNCTION("""COMPUTED_VALUE"""),"West")</f>
        <v>West</v>
      </c>
      <c r="M36" s="22" t="str">
        <f>IFERROR(__xludf.DUMMYFUNCTION("""COMPUTED_VALUE"""),"Furniture")</f>
        <v>Furniture</v>
      </c>
      <c r="N36" s="18">
        <f>IFERROR(__xludf.DUMMYFUNCTION("""COMPUTED_VALUE"""),787.53)</f>
        <v>787.53</v>
      </c>
      <c r="O36" s="18">
        <f>IFERROR(__xludf.DUMMYFUNCTION("""COMPUTED_VALUE"""),786.93)</f>
        <v>786.93</v>
      </c>
      <c r="P36" s="22">
        <f>IFERROR(__xludf.DUMMYFUNCTION("""COMPUTED_VALUE"""),9.0)</f>
        <v>9</v>
      </c>
      <c r="Q36" s="18">
        <f>IFERROR(__xludf.DUMMYFUNCTION("""COMPUTED_VALUE"""),7087.7699999999995)</f>
        <v>7087.77</v>
      </c>
      <c r="R36" s="18">
        <f>IFERROR(__xludf.DUMMYFUNCTION("""COMPUTED_VALUE"""),6300.839999999999)</f>
        <v>6300.84</v>
      </c>
    </row>
    <row r="37">
      <c r="A37" s="21">
        <f>IFERROR(__xludf.DUMMYFUNCTION("""COMPUTED_VALUE"""),42364.0)</f>
        <v>42364</v>
      </c>
      <c r="B37" s="21" t="str">
        <f>IFERROR(__xludf.DUMMYFUNCTION("""COMPUTED_VALUE"""),"Dec")</f>
        <v>Dec</v>
      </c>
      <c r="C37" s="9">
        <f>IFERROR(__xludf.DUMMYFUNCTION("""COMPUTED_VALUE"""),42366.0)</f>
        <v>42366</v>
      </c>
      <c r="D37" s="23" t="str">
        <f>IFERROR(__xludf.DUMMYFUNCTION("""COMPUTED_VALUE"""),"Dec")</f>
        <v>Dec</v>
      </c>
      <c r="E37" s="21" t="str">
        <f>IFERROR(__xludf.DUMMYFUNCTION("""COMPUTED_VALUE"""),"2015")</f>
        <v>2015</v>
      </c>
      <c r="F37" s="22" t="str">
        <f>IFERROR(__xludf.DUMMYFUNCTION("""COMPUTED_VALUE"""),"Second Class")</f>
        <v>Second Class</v>
      </c>
      <c r="G37" s="22" t="str">
        <f>IFERROR(__xludf.DUMMYFUNCTION("""COMPUTED_VALUE"""),"Alan")</f>
        <v>Alan</v>
      </c>
      <c r="H37" s="22" t="str">
        <f>IFERROR(__xludf.DUMMYFUNCTION("""COMPUTED_VALUE"""),"Dominguez")</f>
        <v>Dominguez</v>
      </c>
      <c r="I37" s="22" t="str">
        <f>IFERROR(__xludf.DUMMYFUNCTION("""COMPUTED_VALUE"""),"Home Office")</f>
        <v>Home Office</v>
      </c>
      <c r="J37" s="22" t="str">
        <f>IFERROR(__xludf.DUMMYFUNCTION("""COMPUTED_VALUE"""),"Houston")</f>
        <v>Houston</v>
      </c>
      <c r="K37" s="22" t="str">
        <f>IFERROR(__xludf.DUMMYFUNCTION("""COMPUTED_VALUE"""),"Texas")</f>
        <v>Texas</v>
      </c>
      <c r="L37" s="22" t="str">
        <f>IFERROR(__xludf.DUMMYFUNCTION("""COMPUTED_VALUE"""),"Central")</f>
        <v>Central</v>
      </c>
      <c r="M37" s="22" t="str">
        <f>IFERROR(__xludf.DUMMYFUNCTION("""COMPUTED_VALUE"""),"Furniture")</f>
        <v>Furniture</v>
      </c>
      <c r="N37" s="18">
        <f>IFERROR(__xludf.DUMMYFUNCTION("""COMPUTED_VALUE"""),600.558)</f>
        <v>600.558</v>
      </c>
      <c r="O37" s="18">
        <f>IFERROR(__xludf.DUMMYFUNCTION("""COMPUTED_VALUE"""),600.44)</f>
        <v>600.44</v>
      </c>
      <c r="P37" s="22">
        <f>IFERROR(__xludf.DUMMYFUNCTION("""COMPUTED_VALUE"""),7.0)</f>
        <v>7</v>
      </c>
      <c r="Q37" s="18">
        <f>IFERROR(__xludf.DUMMYFUNCTION("""COMPUTED_VALUE"""),4203.906)</f>
        <v>4203.906</v>
      </c>
      <c r="R37" s="18">
        <f>IFERROR(__xludf.DUMMYFUNCTION("""COMPUTED_VALUE"""),3603.466)</f>
        <v>3603.466</v>
      </c>
    </row>
    <row r="38">
      <c r="A38" s="21">
        <f>IFERROR(__xludf.DUMMYFUNCTION("""COMPUTED_VALUE"""),42267.0)</f>
        <v>42267</v>
      </c>
      <c r="B38" s="21" t="str">
        <f>IFERROR(__xludf.DUMMYFUNCTION("""COMPUTED_VALUE"""),"Sep")</f>
        <v>Sep</v>
      </c>
      <c r="C38" s="9">
        <f>IFERROR(__xludf.DUMMYFUNCTION("""COMPUTED_VALUE"""),42272.0)</f>
        <v>42272</v>
      </c>
      <c r="D38" s="23" t="str">
        <f>IFERROR(__xludf.DUMMYFUNCTION("""COMPUTED_VALUE"""),"Sep")</f>
        <v>Sep</v>
      </c>
      <c r="E38" s="21" t="str">
        <f>IFERROR(__xludf.DUMMYFUNCTION("""COMPUTED_VALUE"""),"2015")</f>
        <v>2015</v>
      </c>
      <c r="F38" s="22" t="str">
        <f>IFERROR(__xludf.DUMMYFUNCTION("""COMPUTED_VALUE"""),"Standard Class")</f>
        <v>Standard Class</v>
      </c>
      <c r="G38" s="22" t="str">
        <f>IFERROR(__xludf.DUMMYFUNCTION("""COMPUTED_VALUE"""),"Philip")</f>
        <v>Philip</v>
      </c>
      <c r="H38" s="22" t="str">
        <f>IFERROR(__xludf.DUMMYFUNCTION("""COMPUTED_VALUE"""),"Fox")</f>
        <v>Fox</v>
      </c>
      <c r="I38" s="22" t="str">
        <f>IFERROR(__xludf.DUMMYFUNCTION("""COMPUTED_VALUE"""),"Consumer")</f>
        <v>Consumer</v>
      </c>
      <c r="J38" s="22" t="str">
        <f>IFERROR(__xludf.DUMMYFUNCTION("""COMPUTED_VALUE"""),"Bloomington")</f>
        <v>Bloomington</v>
      </c>
      <c r="K38" s="22" t="str">
        <f>IFERROR(__xludf.DUMMYFUNCTION("""COMPUTED_VALUE"""),"Illinois")</f>
        <v>Illinois</v>
      </c>
      <c r="L38" s="22" t="str">
        <f>IFERROR(__xludf.DUMMYFUNCTION("""COMPUTED_VALUE"""),"Central")</f>
        <v>Central</v>
      </c>
      <c r="M38" s="22" t="str">
        <f>IFERROR(__xludf.DUMMYFUNCTION("""COMPUTED_VALUE"""),"Furniture")</f>
        <v>Furniture</v>
      </c>
      <c r="N38" s="18">
        <f>IFERROR(__xludf.DUMMYFUNCTION("""COMPUTED_VALUE"""),617.7)</f>
        <v>617.7</v>
      </c>
      <c r="O38" s="18">
        <f>IFERROR(__xludf.DUMMYFUNCTION("""COMPUTED_VALUE"""),616.9)</f>
        <v>616.9</v>
      </c>
      <c r="P38" s="22">
        <f>IFERROR(__xludf.DUMMYFUNCTION("""COMPUTED_VALUE"""),6.0)</f>
        <v>6</v>
      </c>
      <c r="Q38" s="18">
        <f>IFERROR(__xludf.DUMMYFUNCTION("""COMPUTED_VALUE"""),3706.2000000000003)</f>
        <v>3706.2</v>
      </c>
      <c r="R38" s="18">
        <f>IFERROR(__xludf.DUMMYFUNCTION("""COMPUTED_VALUE"""),3089.3)</f>
        <v>3089.3</v>
      </c>
    </row>
    <row r="39">
      <c r="A39" s="21">
        <f>IFERROR(__xludf.DUMMYFUNCTION("""COMPUTED_VALUE"""),43231.0)</f>
        <v>43231</v>
      </c>
      <c r="B39" s="21" t="str">
        <f>IFERROR(__xludf.DUMMYFUNCTION("""COMPUTED_VALUE"""),"May")</f>
        <v>May</v>
      </c>
      <c r="C39" s="9">
        <f>IFERROR(__xludf.DUMMYFUNCTION("""COMPUTED_VALUE"""),43445.0)</f>
        <v>43445</v>
      </c>
      <c r="D39" s="23" t="str">
        <f>IFERROR(__xludf.DUMMYFUNCTION("""COMPUTED_VALUE"""),"Dec")</f>
        <v>Dec</v>
      </c>
      <c r="E39" s="21" t="str">
        <f>IFERROR(__xludf.DUMMYFUNCTION("""COMPUTED_VALUE"""),"2018")</f>
        <v>2018</v>
      </c>
      <c r="F39" s="22" t="str">
        <f>IFERROR(__xludf.DUMMYFUNCTION("""COMPUTED_VALUE"""),"Standard Class")</f>
        <v>Standard Class</v>
      </c>
      <c r="G39" s="22" t="str">
        <f>IFERROR(__xludf.DUMMYFUNCTION("""COMPUTED_VALUE"""),"Troy")</f>
        <v>Troy</v>
      </c>
      <c r="H39" s="22" t="str">
        <f>IFERROR(__xludf.DUMMYFUNCTION("""COMPUTED_VALUE"""),"Staebel")</f>
        <v>Staebel</v>
      </c>
      <c r="I39" s="22" t="str">
        <f>IFERROR(__xludf.DUMMYFUNCTION("""COMPUTED_VALUE"""),"Consumer")</f>
        <v>Consumer</v>
      </c>
      <c r="J39" s="22" t="str">
        <f>IFERROR(__xludf.DUMMYFUNCTION("""COMPUTED_VALUE"""),"Phoenix")</f>
        <v>Phoenix</v>
      </c>
      <c r="K39" s="22" t="str">
        <f>IFERROR(__xludf.DUMMYFUNCTION("""COMPUTED_VALUE"""),"Arizona")</f>
        <v>Arizona</v>
      </c>
      <c r="L39" s="22" t="str">
        <f>IFERROR(__xludf.DUMMYFUNCTION("""COMPUTED_VALUE"""),"West")</f>
        <v>West</v>
      </c>
      <c r="M39" s="22" t="str">
        <f>IFERROR(__xludf.DUMMYFUNCTION("""COMPUTED_VALUE"""),"Office Supplies")</f>
        <v>Office Supplies</v>
      </c>
      <c r="N39" s="18">
        <f>IFERROR(__xludf.DUMMYFUNCTION("""COMPUTED_VALUE"""),243.992)</f>
        <v>243.992</v>
      </c>
      <c r="O39" s="18">
        <f>IFERROR(__xludf.DUMMYFUNCTION("""COMPUTED_VALUE"""),243.79)</f>
        <v>243.79</v>
      </c>
      <c r="P39" s="22">
        <f>IFERROR(__xludf.DUMMYFUNCTION("""COMPUTED_VALUE"""),8.0)</f>
        <v>8</v>
      </c>
      <c r="Q39" s="18">
        <f>IFERROR(__xludf.DUMMYFUNCTION("""COMPUTED_VALUE"""),1951.936)</f>
        <v>1951.936</v>
      </c>
      <c r="R39" s="18">
        <f>IFERROR(__xludf.DUMMYFUNCTION("""COMPUTED_VALUE"""),1708.146)</f>
        <v>1708.146</v>
      </c>
    </row>
    <row r="40">
      <c r="A40" s="21">
        <f>IFERROR(__xludf.DUMMYFUNCTION("""COMPUTED_VALUE"""),42897.0)</f>
        <v>42897</v>
      </c>
      <c r="B40" s="21" t="str">
        <f>IFERROR(__xludf.DUMMYFUNCTION("""COMPUTED_VALUE"""),"Jun")</f>
        <v>Jun</v>
      </c>
      <c r="C40" s="9">
        <f>IFERROR(__xludf.DUMMYFUNCTION("""COMPUTED_VALUE"""),43019.0)</f>
        <v>43019</v>
      </c>
      <c r="D40" s="23" t="str">
        <f>IFERROR(__xludf.DUMMYFUNCTION("""COMPUTED_VALUE"""),"Oct")</f>
        <v>Oct</v>
      </c>
      <c r="E40" s="21" t="str">
        <f>IFERROR(__xludf.DUMMYFUNCTION("""COMPUTED_VALUE"""),"2017")</f>
        <v>2017</v>
      </c>
      <c r="F40" s="22" t="str">
        <f>IFERROR(__xludf.DUMMYFUNCTION("""COMPUTED_VALUE"""),"Second Class")</f>
        <v>Second Class</v>
      </c>
      <c r="G40" s="22" t="str">
        <f>IFERROR(__xludf.DUMMYFUNCTION("""COMPUTED_VALUE"""),"Lindsay")</f>
        <v>Lindsay</v>
      </c>
      <c r="H40" s="22" t="str">
        <f>IFERROR(__xludf.DUMMYFUNCTION("""COMPUTED_VALUE"""),"Shagiari")</f>
        <v>Shagiari</v>
      </c>
      <c r="I40" s="22" t="str">
        <f>IFERROR(__xludf.DUMMYFUNCTION("""COMPUTED_VALUE"""),"Home Office")</f>
        <v>Home Office</v>
      </c>
      <c r="J40" s="22" t="str">
        <f>IFERROR(__xludf.DUMMYFUNCTION("""COMPUTED_VALUE"""),"Los Angeles")</f>
        <v>Los Angeles</v>
      </c>
      <c r="K40" s="22" t="str">
        <f>IFERROR(__xludf.DUMMYFUNCTION("""COMPUTED_VALUE"""),"California")</f>
        <v>California</v>
      </c>
      <c r="L40" s="22" t="str">
        <f>IFERROR(__xludf.DUMMYFUNCTION("""COMPUTED_VALUE"""),"West")</f>
        <v>West</v>
      </c>
      <c r="M40" s="22" t="str">
        <f>IFERROR(__xludf.DUMMYFUNCTION("""COMPUTED_VALUE"""),"Furniture")</f>
        <v>Furniture</v>
      </c>
      <c r="N40" s="18">
        <f>IFERROR(__xludf.DUMMYFUNCTION("""COMPUTED_VALUE"""),81.424)</f>
        <v>81.424</v>
      </c>
      <c r="O40" s="18">
        <f>IFERROR(__xludf.DUMMYFUNCTION("""COMPUTED_VALUE"""),80.61)</f>
        <v>80.61</v>
      </c>
      <c r="P40" s="22">
        <f>IFERROR(__xludf.DUMMYFUNCTION("""COMPUTED_VALUE"""),9.0)</f>
        <v>9</v>
      </c>
      <c r="Q40" s="18">
        <f>IFERROR(__xludf.DUMMYFUNCTION("""COMPUTED_VALUE"""),732.816)</f>
        <v>732.816</v>
      </c>
      <c r="R40" s="18">
        <f>IFERROR(__xludf.DUMMYFUNCTION("""COMPUTED_VALUE"""),652.206)</f>
        <v>652.206</v>
      </c>
    </row>
    <row r="41">
      <c r="A41" s="21">
        <f>IFERROR(__xludf.DUMMYFUNCTION("""COMPUTED_VALUE"""),42897.0)</f>
        <v>42897</v>
      </c>
      <c r="B41" s="21" t="str">
        <f>IFERROR(__xludf.DUMMYFUNCTION("""COMPUTED_VALUE"""),"Jun")</f>
        <v>Jun</v>
      </c>
      <c r="C41" s="9">
        <f>IFERROR(__xludf.DUMMYFUNCTION("""COMPUTED_VALUE"""),43019.0)</f>
        <v>43019</v>
      </c>
      <c r="D41" s="23" t="str">
        <f>IFERROR(__xludf.DUMMYFUNCTION("""COMPUTED_VALUE"""),"Oct")</f>
        <v>Oct</v>
      </c>
      <c r="E41" s="21" t="str">
        <f>IFERROR(__xludf.DUMMYFUNCTION("""COMPUTED_VALUE"""),"2017")</f>
        <v>2017</v>
      </c>
      <c r="F41" s="22" t="str">
        <f>IFERROR(__xludf.DUMMYFUNCTION("""COMPUTED_VALUE"""),"Second Class")</f>
        <v>Second Class</v>
      </c>
      <c r="G41" s="22" t="str">
        <f>IFERROR(__xludf.DUMMYFUNCTION("""COMPUTED_VALUE"""),"Lindsay")</f>
        <v>Lindsay</v>
      </c>
      <c r="H41" s="22" t="str">
        <f>IFERROR(__xludf.DUMMYFUNCTION("""COMPUTED_VALUE"""),"Shagiari")</f>
        <v>Shagiari</v>
      </c>
      <c r="I41" s="22" t="str">
        <f>IFERROR(__xludf.DUMMYFUNCTION("""COMPUTED_VALUE"""),"Home Office")</f>
        <v>Home Office</v>
      </c>
      <c r="J41" s="22" t="str">
        <f>IFERROR(__xludf.DUMMYFUNCTION("""COMPUTED_VALUE"""),"Los Angeles")</f>
        <v>Los Angeles</v>
      </c>
      <c r="K41" s="22" t="str">
        <f>IFERROR(__xludf.DUMMYFUNCTION("""COMPUTED_VALUE"""),"California")</f>
        <v>California</v>
      </c>
      <c r="L41" s="22" t="str">
        <f>IFERROR(__xludf.DUMMYFUNCTION("""COMPUTED_VALUE"""),"West")</f>
        <v>West</v>
      </c>
      <c r="M41" s="22" t="str">
        <f>IFERROR(__xludf.DUMMYFUNCTION("""COMPUTED_VALUE"""),"Furniture")</f>
        <v>Furniture</v>
      </c>
      <c r="N41" s="18">
        <f>IFERROR(__xludf.DUMMYFUNCTION("""COMPUTED_VALUE"""),238.56)</f>
        <v>238.56</v>
      </c>
      <c r="O41" s="18">
        <f>IFERROR(__xludf.DUMMYFUNCTION("""COMPUTED_VALUE"""),238.11)</f>
        <v>238.11</v>
      </c>
      <c r="P41" s="22">
        <f>IFERROR(__xludf.DUMMYFUNCTION("""COMPUTED_VALUE"""),9.0)</f>
        <v>9</v>
      </c>
      <c r="Q41" s="18">
        <f>IFERROR(__xludf.DUMMYFUNCTION("""COMPUTED_VALUE"""),2147.04)</f>
        <v>2147.04</v>
      </c>
      <c r="R41" s="18">
        <f>IFERROR(__xludf.DUMMYFUNCTION("""COMPUTED_VALUE"""),1908.9299999999998)</f>
        <v>1908.93</v>
      </c>
    </row>
    <row r="42">
      <c r="A42" s="21">
        <f>IFERROR(__xludf.DUMMYFUNCTION("""COMPUTED_VALUE"""),43021.0)</f>
        <v>43021</v>
      </c>
      <c r="B42" s="21" t="str">
        <f>IFERROR(__xludf.DUMMYFUNCTION("""COMPUTED_VALUE"""),"Oct")</f>
        <v>Oct</v>
      </c>
      <c r="C42" s="9">
        <f>IFERROR(__xludf.DUMMYFUNCTION("""COMPUTED_VALUE"""),43027.0)</f>
        <v>43027</v>
      </c>
      <c r="D42" s="23" t="str">
        <f>IFERROR(__xludf.DUMMYFUNCTION("""COMPUTED_VALUE"""),"Oct")</f>
        <v>Oct</v>
      </c>
      <c r="E42" s="21" t="str">
        <f>IFERROR(__xludf.DUMMYFUNCTION("""COMPUTED_VALUE"""),"2017")</f>
        <v>2017</v>
      </c>
      <c r="F42" s="22" t="str">
        <f>IFERROR(__xludf.DUMMYFUNCTION("""COMPUTED_VALUE"""),"Standard Class")</f>
        <v>Standard Class</v>
      </c>
      <c r="G42" s="22" t="str">
        <f>IFERROR(__xludf.DUMMYFUNCTION("""COMPUTED_VALUE"""),"Lena")</f>
        <v>Lena</v>
      </c>
      <c r="H42" s="22" t="str">
        <f>IFERROR(__xludf.DUMMYFUNCTION("""COMPUTED_VALUE"""),"Creighton")</f>
        <v>Creighton</v>
      </c>
      <c r="I42" s="22" t="str">
        <f>IFERROR(__xludf.DUMMYFUNCTION("""COMPUTED_VALUE"""),"Consumer")</f>
        <v>Consumer</v>
      </c>
      <c r="J42" s="22" t="str">
        <f>IFERROR(__xludf.DUMMYFUNCTION("""COMPUTED_VALUE"""),"Roseville")</f>
        <v>Roseville</v>
      </c>
      <c r="K42" s="22" t="str">
        <f>IFERROR(__xludf.DUMMYFUNCTION("""COMPUTED_VALUE"""),"California")</f>
        <v>California</v>
      </c>
      <c r="L42" s="22" t="str">
        <f>IFERROR(__xludf.DUMMYFUNCTION("""COMPUTED_VALUE"""),"West")</f>
        <v>West</v>
      </c>
      <c r="M42" s="22" t="str">
        <f>IFERROR(__xludf.DUMMYFUNCTION("""COMPUTED_VALUE"""),"Office Supplies")</f>
        <v>Office Supplies</v>
      </c>
      <c r="N42" s="18">
        <f>IFERROR(__xludf.DUMMYFUNCTION("""COMPUTED_VALUE"""),76.176)</f>
        <v>76.176</v>
      </c>
      <c r="O42" s="18">
        <f>IFERROR(__xludf.DUMMYFUNCTION("""COMPUTED_VALUE"""),76.02)</f>
        <v>76.02</v>
      </c>
      <c r="P42" s="22">
        <f>IFERROR(__xludf.DUMMYFUNCTION("""COMPUTED_VALUE"""),9.0)</f>
        <v>9</v>
      </c>
      <c r="Q42" s="18">
        <f>IFERROR(__xludf.DUMMYFUNCTION("""COMPUTED_VALUE"""),685.5840000000001)</f>
        <v>685.584</v>
      </c>
      <c r="R42" s="18">
        <f>IFERROR(__xludf.DUMMYFUNCTION("""COMPUTED_VALUE"""),609.5640000000001)</f>
        <v>609.564</v>
      </c>
    </row>
    <row r="43">
      <c r="A43" s="21">
        <f>IFERROR(__xludf.DUMMYFUNCTION("""COMPUTED_VALUE"""),43021.0)</f>
        <v>43021</v>
      </c>
      <c r="B43" s="21" t="str">
        <f>IFERROR(__xludf.DUMMYFUNCTION("""COMPUTED_VALUE"""),"Oct")</f>
        <v>Oct</v>
      </c>
      <c r="C43" s="9">
        <f>IFERROR(__xludf.DUMMYFUNCTION("""COMPUTED_VALUE"""),43027.0)</f>
        <v>43027</v>
      </c>
      <c r="D43" s="23" t="str">
        <f>IFERROR(__xludf.DUMMYFUNCTION("""COMPUTED_VALUE"""),"Oct")</f>
        <v>Oct</v>
      </c>
      <c r="E43" s="21" t="str">
        <f>IFERROR(__xludf.DUMMYFUNCTION("""COMPUTED_VALUE"""),"2017")</f>
        <v>2017</v>
      </c>
      <c r="F43" s="22" t="str">
        <f>IFERROR(__xludf.DUMMYFUNCTION("""COMPUTED_VALUE"""),"Standard Class")</f>
        <v>Standard Class</v>
      </c>
      <c r="G43" s="22" t="str">
        <f>IFERROR(__xludf.DUMMYFUNCTION("""COMPUTED_VALUE"""),"Lena")</f>
        <v>Lena</v>
      </c>
      <c r="H43" s="22" t="str">
        <f>IFERROR(__xludf.DUMMYFUNCTION("""COMPUTED_VALUE"""),"Creighton")</f>
        <v>Creighton</v>
      </c>
      <c r="I43" s="22" t="str">
        <f>IFERROR(__xludf.DUMMYFUNCTION("""COMPUTED_VALUE"""),"Consumer")</f>
        <v>Consumer</v>
      </c>
      <c r="J43" s="22" t="str">
        <f>IFERROR(__xludf.DUMMYFUNCTION("""COMPUTED_VALUE"""),"Roseville")</f>
        <v>Roseville</v>
      </c>
      <c r="K43" s="22" t="str">
        <f>IFERROR(__xludf.DUMMYFUNCTION("""COMPUTED_VALUE"""),"California")</f>
        <v>California</v>
      </c>
      <c r="L43" s="22" t="str">
        <f>IFERROR(__xludf.DUMMYFUNCTION("""COMPUTED_VALUE"""),"West")</f>
        <v>West</v>
      </c>
      <c r="M43" s="22" t="str">
        <f>IFERROR(__xludf.DUMMYFUNCTION("""COMPUTED_VALUE"""),"Office Supplies")</f>
        <v>Office Supplies</v>
      </c>
      <c r="N43" s="18">
        <f>IFERROR(__xludf.DUMMYFUNCTION("""COMPUTED_VALUE"""),65.88)</f>
        <v>65.88</v>
      </c>
      <c r="O43" s="18">
        <f>IFERROR(__xludf.DUMMYFUNCTION("""COMPUTED_VALUE"""),65.27)</f>
        <v>65.27</v>
      </c>
      <c r="P43" s="22">
        <f>IFERROR(__xludf.DUMMYFUNCTION("""COMPUTED_VALUE"""),9.0)</f>
        <v>9</v>
      </c>
      <c r="Q43" s="18">
        <f>IFERROR(__xludf.DUMMYFUNCTION("""COMPUTED_VALUE"""),592.92)</f>
        <v>592.92</v>
      </c>
      <c r="R43" s="18">
        <f>IFERROR(__xludf.DUMMYFUNCTION("""COMPUTED_VALUE"""),527.65)</f>
        <v>527.65</v>
      </c>
    </row>
    <row r="44">
      <c r="A44" s="21">
        <f>IFERROR(__xludf.DUMMYFUNCTION("""COMPUTED_VALUE"""),43361.0)</f>
        <v>43361</v>
      </c>
      <c r="B44" s="21" t="str">
        <f>IFERROR(__xludf.DUMMYFUNCTION("""COMPUTED_VALUE"""),"Sep")</f>
        <v>Sep</v>
      </c>
      <c r="C44" s="9">
        <f>IFERROR(__xludf.DUMMYFUNCTION("""COMPUTED_VALUE"""),43366.0)</f>
        <v>43366</v>
      </c>
      <c r="D44" s="23" t="str">
        <f>IFERROR(__xludf.DUMMYFUNCTION("""COMPUTED_VALUE"""),"Sep")</f>
        <v>Sep</v>
      </c>
      <c r="E44" s="21" t="str">
        <f>IFERROR(__xludf.DUMMYFUNCTION("""COMPUTED_VALUE"""),"2018")</f>
        <v>2018</v>
      </c>
      <c r="F44" s="22" t="str">
        <f>IFERROR(__xludf.DUMMYFUNCTION("""COMPUTED_VALUE"""),"Standard Class")</f>
        <v>Standard Class</v>
      </c>
      <c r="G44" s="22" t="str">
        <f>IFERROR(__xludf.DUMMYFUNCTION("""COMPUTED_VALUE"""),"Sally")</f>
        <v>Sally</v>
      </c>
      <c r="H44" s="22" t="str">
        <f>IFERROR(__xludf.DUMMYFUNCTION("""COMPUTED_VALUE"""),"Hughsby")</f>
        <v>Hughsby</v>
      </c>
      <c r="I44" s="22" t="str">
        <f>IFERROR(__xludf.DUMMYFUNCTION("""COMPUTED_VALUE"""),"Corporate")</f>
        <v>Corporate</v>
      </c>
      <c r="J44" s="22" t="str">
        <f>IFERROR(__xludf.DUMMYFUNCTION("""COMPUTED_VALUE"""),"San Francisco")</f>
        <v>San Francisco</v>
      </c>
      <c r="K44" s="22" t="str">
        <f>IFERROR(__xludf.DUMMYFUNCTION("""COMPUTED_VALUE"""),"California")</f>
        <v>California</v>
      </c>
      <c r="L44" s="22" t="str">
        <f>IFERROR(__xludf.DUMMYFUNCTION("""COMPUTED_VALUE"""),"West")</f>
        <v>West</v>
      </c>
      <c r="M44" s="22" t="str">
        <f>IFERROR(__xludf.DUMMYFUNCTION("""COMPUTED_VALUE"""),"Office Supplies")</f>
        <v>Office Supplies</v>
      </c>
      <c r="N44" s="18">
        <f>IFERROR(__xludf.DUMMYFUNCTION("""COMPUTED_VALUE"""),143.7)</f>
        <v>143.7</v>
      </c>
      <c r="O44" s="18">
        <f>IFERROR(__xludf.DUMMYFUNCTION("""COMPUTED_VALUE"""),143.52)</f>
        <v>143.52</v>
      </c>
      <c r="P44" s="22">
        <f>IFERROR(__xludf.DUMMYFUNCTION("""COMPUTED_VALUE"""),9.0)</f>
        <v>9</v>
      </c>
      <c r="Q44" s="18">
        <f>IFERROR(__xludf.DUMMYFUNCTION("""COMPUTED_VALUE"""),1293.3)</f>
        <v>1293.3</v>
      </c>
      <c r="R44" s="18">
        <f>IFERROR(__xludf.DUMMYFUNCTION("""COMPUTED_VALUE"""),1149.78)</f>
        <v>1149.78</v>
      </c>
    </row>
    <row r="45">
      <c r="A45" s="21">
        <f>IFERROR(__xludf.DUMMYFUNCTION("""COMPUTED_VALUE"""),43456.0)</f>
        <v>43456</v>
      </c>
      <c r="B45" s="21" t="str">
        <f>IFERROR(__xludf.DUMMYFUNCTION("""COMPUTED_VALUE"""),"Dec")</f>
        <v>Dec</v>
      </c>
      <c r="C45" s="9">
        <f>IFERROR(__xludf.DUMMYFUNCTION("""COMPUTED_VALUE"""),43461.0)</f>
        <v>43461</v>
      </c>
      <c r="D45" s="23" t="str">
        <f>IFERROR(__xludf.DUMMYFUNCTION("""COMPUTED_VALUE"""),"Dec")</f>
        <v>Dec</v>
      </c>
      <c r="E45" s="21" t="str">
        <f>IFERROR(__xludf.DUMMYFUNCTION("""COMPUTED_VALUE"""),"2018")</f>
        <v>2018</v>
      </c>
      <c r="F45" s="22" t="str">
        <f>IFERROR(__xludf.DUMMYFUNCTION("""COMPUTED_VALUE"""),"Standard Class")</f>
        <v>Standard Class</v>
      </c>
      <c r="G45" s="22" t="str">
        <f>IFERROR(__xludf.DUMMYFUNCTION("""COMPUTED_VALUE"""),"Sandra")</f>
        <v>Sandra</v>
      </c>
      <c r="H45" s="22" t="str">
        <f>IFERROR(__xludf.DUMMYFUNCTION("""COMPUTED_VALUE"""),"Glassco")</f>
        <v>Glassco</v>
      </c>
      <c r="I45" s="22" t="str">
        <f>IFERROR(__xludf.DUMMYFUNCTION("""COMPUTED_VALUE"""),"Consumer")</f>
        <v>Consumer</v>
      </c>
      <c r="J45" s="22" t="str">
        <f>IFERROR(__xludf.DUMMYFUNCTION("""COMPUTED_VALUE"""),"Independence")</f>
        <v>Independence</v>
      </c>
      <c r="K45" s="22" t="str">
        <f>IFERROR(__xludf.DUMMYFUNCTION("""COMPUTED_VALUE"""),"Missouri")</f>
        <v>Missouri</v>
      </c>
      <c r="L45" s="22" t="str">
        <f>IFERROR(__xludf.DUMMYFUNCTION("""COMPUTED_VALUE"""),"Central")</f>
        <v>Central</v>
      </c>
      <c r="M45" s="22" t="str">
        <f>IFERROR(__xludf.DUMMYFUNCTION("""COMPUTED_VALUE"""),"Office Supplies")</f>
        <v>Office Supplies</v>
      </c>
      <c r="N45" s="18">
        <f>IFERROR(__xludf.DUMMYFUNCTION("""COMPUTED_VALUE"""),839.43)</f>
        <v>839.43</v>
      </c>
      <c r="O45" s="18">
        <f>IFERROR(__xludf.DUMMYFUNCTION("""COMPUTED_VALUE"""),838.57)</f>
        <v>838.57</v>
      </c>
      <c r="P45" s="22">
        <f>IFERROR(__xludf.DUMMYFUNCTION("""COMPUTED_VALUE"""),6.0)</f>
        <v>6</v>
      </c>
      <c r="Q45" s="18">
        <f>IFERROR(__xludf.DUMMYFUNCTION("""COMPUTED_VALUE"""),5036.58)</f>
        <v>5036.58</v>
      </c>
      <c r="R45" s="18">
        <f>IFERROR(__xludf.DUMMYFUNCTION("""COMPUTED_VALUE"""),4198.01)</f>
        <v>4198.01</v>
      </c>
    </row>
    <row r="46">
      <c r="A46" s="21">
        <f>IFERROR(__xludf.DUMMYFUNCTION("""COMPUTED_VALUE"""),42560.0)</f>
        <v>42560</v>
      </c>
      <c r="B46" s="21" t="str">
        <f>IFERROR(__xludf.DUMMYFUNCTION("""COMPUTED_VALUE"""),"Jul")</f>
        <v>Jul</v>
      </c>
      <c r="C46" s="9">
        <f>IFERROR(__xludf.DUMMYFUNCTION("""COMPUTED_VALUE"""),42713.0)</f>
        <v>42713</v>
      </c>
      <c r="D46" s="23" t="str">
        <f>IFERROR(__xludf.DUMMYFUNCTION("""COMPUTED_VALUE"""),"Dec")</f>
        <v>Dec</v>
      </c>
      <c r="E46" s="21" t="str">
        <f>IFERROR(__xludf.DUMMYFUNCTION("""COMPUTED_VALUE"""),"2016")</f>
        <v>2016</v>
      </c>
      <c r="F46" s="22" t="str">
        <f>IFERROR(__xludf.DUMMYFUNCTION("""COMPUTED_VALUE"""),"Standard Class")</f>
        <v>Standard Class</v>
      </c>
      <c r="G46" s="22" t="str">
        <f>IFERROR(__xludf.DUMMYFUNCTION("""COMPUTED_VALUE"""),"Helen")</f>
        <v>Helen</v>
      </c>
      <c r="H46" s="22" t="str">
        <f>IFERROR(__xludf.DUMMYFUNCTION("""COMPUTED_VALUE"""),"Andreada")</f>
        <v>Andreada</v>
      </c>
      <c r="I46" s="22" t="str">
        <f>IFERROR(__xludf.DUMMYFUNCTION("""COMPUTED_VALUE"""),"Consumer")</f>
        <v>Consumer</v>
      </c>
      <c r="J46" s="22" t="str">
        <f>IFERROR(__xludf.DUMMYFUNCTION("""COMPUTED_VALUE"""),"Pasadena")</f>
        <v>Pasadena</v>
      </c>
      <c r="K46" s="22" t="str">
        <f>IFERROR(__xludf.DUMMYFUNCTION("""COMPUTED_VALUE"""),"California")</f>
        <v>California</v>
      </c>
      <c r="L46" s="22" t="str">
        <f>IFERROR(__xludf.DUMMYFUNCTION("""COMPUTED_VALUE"""),"West")</f>
        <v>West</v>
      </c>
      <c r="M46" s="22" t="str">
        <f>IFERROR(__xludf.DUMMYFUNCTION("""COMPUTED_VALUE"""),"Office Supplies")</f>
        <v>Office Supplies</v>
      </c>
      <c r="N46" s="18">
        <f>IFERROR(__xludf.DUMMYFUNCTION("""COMPUTED_VALUE"""),671.93)</f>
        <v>671.93</v>
      </c>
      <c r="O46" s="18">
        <f>IFERROR(__xludf.DUMMYFUNCTION("""COMPUTED_VALUE"""),671.11)</f>
        <v>671.11</v>
      </c>
      <c r="P46" s="22">
        <f>IFERROR(__xludf.DUMMYFUNCTION("""COMPUTED_VALUE"""),9.0)</f>
        <v>9</v>
      </c>
      <c r="Q46" s="18">
        <f>IFERROR(__xludf.DUMMYFUNCTION("""COMPUTED_VALUE"""),6047.37)</f>
        <v>6047.37</v>
      </c>
      <c r="R46" s="18">
        <f>IFERROR(__xludf.DUMMYFUNCTION("""COMPUTED_VALUE"""),5376.26)</f>
        <v>5376.26</v>
      </c>
    </row>
    <row r="47">
      <c r="A47" s="21">
        <f>IFERROR(__xludf.DUMMYFUNCTION("""COMPUTED_VALUE"""),42867.0)</f>
        <v>42867</v>
      </c>
      <c r="B47" s="21" t="str">
        <f>IFERROR(__xludf.DUMMYFUNCTION("""COMPUTED_VALUE"""),"May")</f>
        <v>May</v>
      </c>
      <c r="C47" s="9">
        <f>IFERROR(__xludf.DUMMYFUNCTION("""COMPUTED_VALUE"""),42990.0)</f>
        <v>42990</v>
      </c>
      <c r="D47" s="23" t="str">
        <f>IFERROR(__xludf.DUMMYFUNCTION("""COMPUTED_VALUE"""),"Sep")</f>
        <v>Sep</v>
      </c>
      <c r="E47" s="21" t="str">
        <f>IFERROR(__xludf.DUMMYFUNCTION("""COMPUTED_VALUE"""),"2017")</f>
        <v>2017</v>
      </c>
      <c r="F47" s="22" t="str">
        <f>IFERROR(__xludf.DUMMYFUNCTION("""COMPUTED_VALUE"""),"Standard Class")</f>
        <v>Standard Class</v>
      </c>
      <c r="G47" s="22" t="str">
        <f>IFERROR(__xludf.DUMMYFUNCTION("""COMPUTED_VALUE"""),"Justin")</f>
        <v>Justin</v>
      </c>
      <c r="H47" s="22" t="str">
        <f>IFERROR(__xludf.DUMMYFUNCTION("""COMPUTED_VALUE"""),"Ellison")</f>
        <v>Ellison</v>
      </c>
      <c r="I47" s="22" t="str">
        <f>IFERROR(__xludf.DUMMYFUNCTION("""COMPUTED_VALUE"""),"Corporate")</f>
        <v>Corporate</v>
      </c>
      <c r="J47" s="22" t="str">
        <f>IFERROR(__xludf.DUMMYFUNCTION("""COMPUTED_VALUE"""),"Franklin")</f>
        <v>Franklin</v>
      </c>
      <c r="K47" s="22" t="str">
        <f>IFERROR(__xludf.DUMMYFUNCTION("""COMPUTED_VALUE"""),"Wisconsin")</f>
        <v>Wisconsin</v>
      </c>
      <c r="L47" s="22" t="str">
        <f>IFERROR(__xludf.DUMMYFUNCTION("""COMPUTED_VALUE"""),"Central")</f>
        <v>Central</v>
      </c>
      <c r="M47" s="22" t="str">
        <f>IFERROR(__xludf.DUMMYFUNCTION("""COMPUTED_VALUE"""),"Technology")</f>
        <v>Technology</v>
      </c>
      <c r="N47" s="18">
        <f>IFERROR(__xludf.DUMMYFUNCTION("""COMPUTED_VALUE"""),384.45)</f>
        <v>384.45</v>
      </c>
      <c r="O47" s="18">
        <f>IFERROR(__xludf.DUMMYFUNCTION("""COMPUTED_VALUE"""),383.76)</f>
        <v>383.76</v>
      </c>
      <c r="P47" s="22">
        <f>IFERROR(__xludf.DUMMYFUNCTION("""COMPUTED_VALUE"""),5.0)</f>
        <v>5</v>
      </c>
      <c r="Q47" s="18">
        <f>IFERROR(__xludf.DUMMYFUNCTION("""COMPUTED_VALUE"""),1922.25)</f>
        <v>1922.25</v>
      </c>
      <c r="R47" s="18">
        <f>IFERROR(__xludf.DUMMYFUNCTION("""COMPUTED_VALUE"""),1538.49)</f>
        <v>1538.49</v>
      </c>
    </row>
    <row r="48">
      <c r="A48" s="21">
        <f>IFERROR(__xludf.DUMMYFUNCTION("""COMPUTED_VALUE"""),42867.0)</f>
        <v>42867</v>
      </c>
      <c r="B48" s="21" t="str">
        <f>IFERROR(__xludf.DUMMYFUNCTION("""COMPUTED_VALUE"""),"May")</f>
        <v>May</v>
      </c>
      <c r="C48" s="9">
        <f>IFERROR(__xludf.DUMMYFUNCTION("""COMPUTED_VALUE"""),42990.0)</f>
        <v>42990</v>
      </c>
      <c r="D48" s="23" t="str">
        <f>IFERROR(__xludf.DUMMYFUNCTION("""COMPUTED_VALUE"""),"Sep")</f>
        <v>Sep</v>
      </c>
      <c r="E48" s="21" t="str">
        <f>IFERROR(__xludf.DUMMYFUNCTION("""COMPUTED_VALUE"""),"2017")</f>
        <v>2017</v>
      </c>
      <c r="F48" s="22" t="str">
        <f>IFERROR(__xludf.DUMMYFUNCTION("""COMPUTED_VALUE"""),"Standard Class")</f>
        <v>Standard Class</v>
      </c>
      <c r="G48" s="22" t="str">
        <f>IFERROR(__xludf.DUMMYFUNCTION("""COMPUTED_VALUE"""),"Justin")</f>
        <v>Justin</v>
      </c>
      <c r="H48" s="22" t="str">
        <f>IFERROR(__xludf.DUMMYFUNCTION("""COMPUTED_VALUE"""),"Ellison")</f>
        <v>Ellison</v>
      </c>
      <c r="I48" s="22" t="str">
        <f>IFERROR(__xludf.DUMMYFUNCTION("""COMPUTED_VALUE"""),"Corporate")</f>
        <v>Corporate</v>
      </c>
      <c r="J48" s="22" t="str">
        <f>IFERROR(__xludf.DUMMYFUNCTION("""COMPUTED_VALUE"""),"Franklin")</f>
        <v>Franklin</v>
      </c>
      <c r="K48" s="22" t="str">
        <f>IFERROR(__xludf.DUMMYFUNCTION("""COMPUTED_VALUE"""),"Wisconsin")</f>
        <v>Wisconsin</v>
      </c>
      <c r="L48" s="22" t="str">
        <f>IFERROR(__xludf.DUMMYFUNCTION("""COMPUTED_VALUE"""),"Central")</f>
        <v>Central</v>
      </c>
      <c r="M48" s="22" t="str">
        <f>IFERROR(__xludf.DUMMYFUNCTION("""COMPUTED_VALUE"""),"Technology")</f>
        <v>Technology</v>
      </c>
      <c r="N48" s="18">
        <f>IFERROR(__xludf.DUMMYFUNCTION("""COMPUTED_VALUE"""),149.97)</f>
        <v>149.97</v>
      </c>
      <c r="O48" s="18">
        <f>IFERROR(__xludf.DUMMYFUNCTION("""COMPUTED_VALUE"""),149.92)</f>
        <v>149.92</v>
      </c>
      <c r="P48" s="22">
        <f>IFERROR(__xludf.DUMMYFUNCTION("""COMPUTED_VALUE"""),5.0)</f>
        <v>5</v>
      </c>
      <c r="Q48" s="18">
        <f>IFERROR(__xludf.DUMMYFUNCTION("""COMPUTED_VALUE"""),749.85)</f>
        <v>749.85</v>
      </c>
      <c r="R48" s="18">
        <f>IFERROR(__xludf.DUMMYFUNCTION("""COMPUTED_VALUE"""),599.9300000000001)</f>
        <v>599.93</v>
      </c>
    </row>
    <row r="49">
      <c r="A49" s="21">
        <f>IFERROR(__xludf.DUMMYFUNCTION("""COMPUTED_VALUE"""),42867.0)</f>
        <v>42867</v>
      </c>
      <c r="B49" s="21" t="str">
        <f>IFERROR(__xludf.DUMMYFUNCTION("""COMPUTED_VALUE"""),"May")</f>
        <v>May</v>
      </c>
      <c r="C49" s="9">
        <f>IFERROR(__xludf.DUMMYFUNCTION("""COMPUTED_VALUE"""),42990.0)</f>
        <v>42990</v>
      </c>
      <c r="D49" s="23" t="str">
        <f>IFERROR(__xludf.DUMMYFUNCTION("""COMPUTED_VALUE"""),"Sep")</f>
        <v>Sep</v>
      </c>
      <c r="E49" s="21" t="str">
        <f>IFERROR(__xludf.DUMMYFUNCTION("""COMPUTED_VALUE"""),"2017")</f>
        <v>2017</v>
      </c>
      <c r="F49" s="22" t="str">
        <f>IFERROR(__xludf.DUMMYFUNCTION("""COMPUTED_VALUE"""),"Standard Class")</f>
        <v>Standard Class</v>
      </c>
      <c r="G49" s="22" t="str">
        <f>IFERROR(__xludf.DUMMYFUNCTION("""COMPUTED_VALUE"""),"Justin")</f>
        <v>Justin</v>
      </c>
      <c r="H49" s="22" t="str">
        <f>IFERROR(__xludf.DUMMYFUNCTION("""COMPUTED_VALUE"""),"Ellison")</f>
        <v>Ellison</v>
      </c>
      <c r="I49" s="22" t="str">
        <f>IFERROR(__xludf.DUMMYFUNCTION("""COMPUTED_VALUE"""),"Corporate")</f>
        <v>Corporate</v>
      </c>
      <c r="J49" s="22" t="str">
        <f>IFERROR(__xludf.DUMMYFUNCTION("""COMPUTED_VALUE"""),"Franklin")</f>
        <v>Franklin</v>
      </c>
      <c r="K49" s="22" t="str">
        <f>IFERROR(__xludf.DUMMYFUNCTION("""COMPUTED_VALUE"""),"Wisconsin")</f>
        <v>Wisconsin</v>
      </c>
      <c r="L49" s="22" t="str">
        <f>IFERROR(__xludf.DUMMYFUNCTION("""COMPUTED_VALUE"""),"Central")</f>
        <v>Central</v>
      </c>
      <c r="M49" s="22" t="str">
        <f>IFERROR(__xludf.DUMMYFUNCTION("""COMPUTED_VALUE"""),"Furniture")</f>
        <v>Furniture</v>
      </c>
      <c r="N49" s="18">
        <f>IFERROR(__xludf.DUMMYFUNCTION("""COMPUTED_VALUE"""),1951.84)</f>
        <v>1951.84</v>
      </c>
      <c r="O49" s="18">
        <f>IFERROR(__xludf.DUMMYFUNCTION("""COMPUTED_VALUE"""),1950.87)</f>
        <v>1950.87</v>
      </c>
      <c r="P49" s="22">
        <f>IFERROR(__xludf.DUMMYFUNCTION("""COMPUTED_VALUE"""),5.0)</f>
        <v>5</v>
      </c>
      <c r="Q49" s="18">
        <f>IFERROR(__xludf.DUMMYFUNCTION("""COMPUTED_VALUE"""),9759.199999999999)</f>
        <v>9759.2</v>
      </c>
      <c r="R49" s="18">
        <f>IFERROR(__xludf.DUMMYFUNCTION("""COMPUTED_VALUE"""),7808.329999999999)</f>
        <v>7808.33</v>
      </c>
    </row>
    <row r="50">
      <c r="A50" s="21">
        <f>IFERROR(__xludf.DUMMYFUNCTION("""COMPUTED_VALUE"""),42867.0)</f>
        <v>42867</v>
      </c>
      <c r="B50" s="21" t="str">
        <f>IFERROR(__xludf.DUMMYFUNCTION("""COMPUTED_VALUE"""),"May")</f>
        <v>May</v>
      </c>
      <c r="C50" s="9">
        <f>IFERROR(__xludf.DUMMYFUNCTION("""COMPUTED_VALUE"""),42990.0)</f>
        <v>42990</v>
      </c>
      <c r="D50" s="23" t="str">
        <f>IFERROR(__xludf.DUMMYFUNCTION("""COMPUTED_VALUE"""),"Sep")</f>
        <v>Sep</v>
      </c>
      <c r="E50" s="21" t="str">
        <f>IFERROR(__xludf.DUMMYFUNCTION("""COMPUTED_VALUE"""),"2017")</f>
        <v>2017</v>
      </c>
      <c r="F50" s="22" t="str">
        <f>IFERROR(__xludf.DUMMYFUNCTION("""COMPUTED_VALUE"""),"Standard Class")</f>
        <v>Standard Class</v>
      </c>
      <c r="G50" s="22" t="str">
        <f>IFERROR(__xludf.DUMMYFUNCTION("""COMPUTED_VALUE"""),"Justin")</f>
        <v>Justin</v>
      </c>
      <c r="H50" s="22" t="str">
        <f>IFERROR(__xludf.DUMMYFUNCTION("""COMPUTED_VALUE"""),"Ellison")</f>
        <v>Ellison</v>
      </c>
      <c r="I50" s="22" t="str">
        <f>IFERROR(__xludf.DUMMYFUNCTION("""COMPUTED_VALUE"""),"Corporate")</f>
        <v>Corporate</v>
      </c>
      <c r="J50" s="22" t="str">
        <f>IFERROR(__xludf.DUMMYFUNCTION("""COMPUTED_VALUE"""),"Franklin")</f>
        <v>Franklin</v>
      </c>
      <c r="K50" s="22" t="str">
        <f>IFERROR(__xludf.DUMMYFUNCTION("""COMPUTED_VALUE"""),"Wisconsin")</f>
        <v>Wisconsin</v>
      </c>
      <c r="L50" s="22" t="str">
        <f>IFERROR(__xludf.DUMMYFUNCTION("""COMPUTED_VALUE"""),"Central")</f>
        <v>Central</v>
      </c>
      <c r="M50" s="22" t="str">
        <f>IFERROR(__xludf.DUMMYFUNCTION("""COMPUTED_VALUE"""),"Office Supplies")</f>
        <v>Office Supplies</v>
      </c>
      <c r="N50" s="18">
        <f>IFERROR(__xludf.DUMMYFUNCTION("""COMPUTED_VALUE"""),171.55)</f>
        <v>171.55</v>
      </c>
      <c r="O50" s="18">
        <f>IFERROR(__xludf.DUMMYFUNCTION("""COMPUTED_VALUE"""),170.65)</f>
        <v>170.65</v>
      </c>
      <c r="P50" s="22">
        <f>IFERROR(__xludf.DUMMYFUNCTION("""COMPUTED_VALUE"""),5.0)</f>
        <v>5</v>
      </c>
      <c r="Q50" s="18">
        <f>IFERROR(__xludf.DUMMYFUNCTION("""COMPUTED_VALUE"""),857.75)</f>
        <v>857.75</v>
      </c>
      <c r="R50" s="18">
        <f>IFERROR(__xludf.DUMMYFUNCTION("""COMPUTED_VALUE"""),687.1)</f>
        <v>687.1</v>
      </c>
    </row>
    <row r="51">
      <c r="A51" s="21">
        <f>IFERROR(__xludf.DUMMYFUNCTION("""COMPUTED_VALUE"""),42807.0)</f>
        <v>42807</v>
      </c>
      <c r="B51" s="21" t="str">
        <f>IFERROR(__xludf.DUMMYFUNCTION("""COMPUTED_VALUE"""),"Mar")</f>
        <v>Mar</v>
      </c>
      <c r="C51" s="9">
        <f>IFERROR(__xludf.DUMMYFUNCTION("""COMPUTED_VALUE"""),42810.0)</f>
        <v>42810</v>
      </c>
      <c r="D51" s="23" t="str">
        <f>IFERROR(__xludf.DUMMYFUNCTION("""COMPUTED_VALUE"""),"Mar")</f>
        <v>Mar</v>
      </c>
      <c r="E51" s="21" t="str">
        <f>IFERROR(__xludf.DUMMYFUNCTION("""COMPUTED_VALUE"""),"2017")</f>
        <v>2017</v>
      </c>
      <c r="F51" s="22" t="str">
        <f>IFERROR(__xludf.DUMMYFUNCTION("""COMPUTED_VALUE"""),"First Class")</f>
        <v>First Class</v>
      </c>
      <c r="G51" s="22" t="str">
        <f>IFERROR(__xludf.DUMMYFUNCTION("""COMPUTED_VALUE"""),"Tamara")</f>
        <v>Tamara</v>
      </c>
      <c r="H51" s="22" t="str">
        <f>IFERROR(__xludf.DUMMYFUNCTION("""COMPUTED_VALUE"""),"Willingham")</f>
        <v>Willingham</v>
      </c>
      <c r="I51" s="22" t="str">
        <f>IFERROR(__xludf.DUMMYFUNCTION("""COMPUTED_VALUE"""),"Home Office")</f>
        <v>Home Office</v>
      </c>
      <c r="J51" s="22" t="str">
        <f>IFERROR(__xludf.DUMMYFUNCTION("""COMPUTED_VALUE"""),"Scottsdale")</f>
        <v>Scottsdale</v>
      </c>
      <c r="K51" s="22" t="str">
        <f>IFERROR(__xludf.DUMMYFUNCTION("""COMPUTED_VALUE"""),"Arizona")</f>
        <v>Arizona</v>
      </c>
      <c r="L51" s="22" t="str">
        <f>IFERROR(__xludf.DUMMYFUNCTION("""COMPUTED_VALUE"""),"West")</f>
        <v>West</v>
      </c>
      <c r="M51" s="22" t="str">
        <f>IFERROR(__xludf.DUMMYFUNCTION("""COMPUTED_VALUE"""),"Office Supplies")</f>
        <v>Office Supplies</v>
      </c>
      <c r="N51" s="18">
        <f>IFERROR(__xludf.DUMMYFUNCTION("""COMPUTED_VALUE"""),157.92)</f>
        <v>157.92</v>
      </c>
      <c r="O51" s="18">
        <f>IFERROR(__xludf.DUMMYFUNCTION("""COMPUTED_VALUE"""),157.4)</f>
        <v>157.4</v>
      </c>
      <c r="P51" s="22">
        <f>IFERROR(__xludf.DUMMYFUNCTION("""COMPUTED_VALUE"""),8.0)</f>
        <v>8</v>
      </c>
      <c r="Q51" s="18">
        <f>IFERROR(__xludf.DUMMYFUNCTION("""COMPUTED_VALUE"""),1263.36)</f>
        <v>1263.36</v>
      </c>
      <c r="R51" s="18">
        <f>IFERROR(__xludf.DUMMYFUNCTION("""COMPUTED_VALUE"""),1105.9599999999998)</f>
        <v>1105.96</v>
      </c>
    </row>
    <row r="52">
      <c r="A52" s="21">
        <f>IFERROR(__xludf.DUMMYFUNCTION("""COMPUTED_VALUE"""),42807.0)</f>
        <v>42807</v>
      </c>
      <c r="B52" s="21" t="str">
        <f>IFERROR(__xludf.DUMMYFUNCTION("""COMPUTED_VALUE"""),"Mar")</f>
        <v>Mar</v>
      </c>
      <c r="C52" s="9">
        <f>IFERROR(__xludf.DUMMYFUNCTION("""COMPUTED_VALUE"""),42810.0)</f>
        <v>42810</v>
      </c>
      <c r="D52" s="23" t="str">
        <f>IFERROR(__xludf.DUMMYFUNCTION("""COMPUTED_VALUE"""),"Mar")</f>
        <v>Mar</v>
      </c>
      <c r="E52" s="21" t="str">
        <f>IFERROR(__xludf.DUMMYFUNCTION("""COMPUTED_VALUE"""),"2017")</f>
        <v>2017</v>
      </c>
      <c r="F52" s="22" t="str">
        <f>IFERROR(__xludf.DUMMYFUNCTION("""COMPUTED_VALUE"""),"First Class")</f>
        <v>First Class</v>
      </c>
      <c r="G52" s="22" t="str">
        <f>IFERROR(__xludf.DUMMYFUNCTION("""COMPUTED_VALUE"""),"Tamara")</f>
        <v>Tamara</v>
      </c>
      <c r="H52" s="22" t="str">
        <f>IFERROR(__xludf.DUMMYFUNCTION("""COMPUTED_VALUE"""),"Willingham")</f>
        <v>Willingham</v>
      </c>
      <c r="I52" s="22" t="str">
        <f>IFERROR(__xludf.DUMMYFUNCTION("""COMPUTED_VALUE"""),"Home Office")</f>
        <v>Home Office</v>
      </c>
      <c r="J52" s="22" t="str">
        <f>IFERROR(__xludf.DUMMYFUNCTION("""COMPUTED_VALUE"""),"Scottsdale")</f>
        <v>Scottsdale</v>
      </c>
      <c r="K52" s="22" t="str">
        <f>IFERROR(__xludf.DUMMYFUNCTION("""COMPUTED_VALUE"""),"Arizona")</f>
        <v>Arizona</v>
      </c>
      <c r="L52" s="22" t="str">
        <f>IFERROR(__xludf.DUMMYFUNCTION("""COMPUTED_VALUE"""),"West")</f>
        <v>West</v>
      </c>
      <c r="M52" s="22" t="str">
        <f>IFERROR(__xludf.DUMMYFUNCTION("""COMPUTED_VALUE"""),"Technology")</f>
        <v>Technology</v>
      </c>
      <c r="N52" s="18">
        <f>IFERROR(__xludf.DUMMYFUNCTION("""COMPUTED_VALUE"""),203.184)</f>
        <v>203.184</v>
      </c>
      <c r="O52" s="18">
        <f>IFERROR(__xludf.DUMMYFUNCTION("""COMPUTED_VALUE"""),202.89)</f>
        <v>202.89</v>
      </c>
      <c r="P52" s="22">
        <f>IFERROR(__xludf.DUMMYFUNCTION("""COMPUTED_VALUE"""),8.0)</f>
        <v>8</v>
      </c>
      <c r="Q52" s="18">
        <f>IFERROR(__xludf.DUMMYFUNCTION("""COMPUTED_VALUE"""),1625.472)</f>
        <v>1625.472</v>
      </c>
      <c r="R52" s="18">
        <f>IFERROR(__xludf.DUMMYFUNCTION("""COMPUTED_VALUE"""),1422.5819999999999)</f>
        <v>1422.582</v>
      </c>
    </row>
    <row r="53">
      <c r="A53" s="21">
        <f>IFERROR(__xludf.DUMMYFUNCTION("""COMPUTED_VALUE"""),42521.0)</f>
        <v>42521</v>
      </c>
      <c r="B53" s="21" t="str">
        <f>IFERROR(__xludf.DUMMYFUNCTION("""COMPUTED_VALUE"""),"May")</f>
        <v>May</v>
      </c>
      <c r="C53" s="9">
        <f>IFERROR(__xludf.DUMMYFUNCTION("""COMPUTED_VALUE"""),42406.0)</f>
        <v>42406</v>
      </c>
      <c r="D53" s="23" t="str">
        <f>IFERROR(__xludf.DUMMYFUNCTION("""COMPUTED_VALUE"""),"Feb")</f>
        <v>Feb</v>
      </c>
      <c r="E53" s="21" t="str">
        <f>IFERROR(__xludf.DUMMYFUNCTION("""COMPUTED_VALUE"""),"2016")</f>
        <v>2016</v>
      </c>
      <c r="F53" s="22" t="str">
        <f>IFERROR(__xludf.DUMMYFUNCTION("""COMPUTED_VALUE"""),"First Class")</f>
        <v>First Class</v>
      </c>
      <c r="G53" s="22" t="str">
        <f>IFERROR(__xludf.DUMMYFUNCTION("""COMPUTED_VALUE"""),"Stephanie")</f>
        <v>Stephanie</v>
      </c>
      <c r="H53" s="22" t="str">
        <f>IFERROR(__xludf.DUMMYFUNCTION("""COMPUTED_VALUE"""),"Phelps")</f>
        <v>Phelps</v>
      </c>
      <c r="I53" s="22" t="str">
        <f>IFERROR(__xludf.DUMMYFUNCTION("""COMPUTED_VALUE"""),"Corporate")</f>
        <v>Corporate</v>
      </c>
      <c r="J53" s="22" t="str">
        <f>IFERROR(__xludf.DUMMYFUNCTION("""COMPUTED_VALUE"""),"San Jose")</f>
        <v>San Jose</v>
      </c>
      <c r="K53" s="22" t="str">
        <f>IFERROR(__xludf.DUMMYFUNCTION("""COMPUTED_VALUE"""),"California")</f>
        <v>California</v>
      </c>
      <c r="L53" s="22" t="str">
        <f>IFERROR(__xludf.DUMMYFUNCTION("""COMPUTED_VALUE"""),"West")</f>
        <v>West</v>
      </c>
      <c r="M53" s="22" t="str">
        <f>IFERROR(__xludf.DUMMYFUNCTION("""COMPUTED_VALUE"""),"Office Supplies")</f>
        <v>Office Supplies</v>
      </c>
      <c r="N53" s="18">
        <f>IFERROR(__xludf.DUMMYFUNCTION("""COMPUTED_VALUE"""),105.52)</f>
        <v>105.52</v>
      </c>
      <c r="O53" s="18">
        <f>IFERROR(__xludf.DUMMYFUNCTION("""COMPUTED_VALUE"""),104.63)</f>
        <v>104.63</v>
      </c>
      <c r="P53" s="22">
        <f>IFERROR(__xludf.DUMMYFUNCTION("""COMPUTED_VALUE"""),9.0)</f>
        <v>9</v>
      </c>
      <c r="Q53" s="18">
        <f>IFERROR(__xludf.DUMMYFUNCTION("""COMPUTED_VALUE"""),949.68)</f>
        <v>949.68</v>
      </c>
      <c r="R53" s="18">
        <f>IFERROR(__xludf.DUMMYFUNCTION("""COMPUTED_VALUE"""),845.05)</f>
        <v>845.05</v>
      </c>
    </row>
    <row r="54">
      <c r="A54" s="21">
        <f>IFERROR(__xludf.DUMMYFUNCTION("""COMPUTED_VALUE"""),42521.0)</f>
        <v>42521</v>
      </c>
      <c r="B54" s="21" t="str">
        <f>IFERROR(__xludf.DUMMYFUNCTION("""COMPUTED_VALUE"""),"May")</f>
        <v>May</v>
      </c>
      <c r="C54" s="9">
        <f>IFERROR(__xludf.DUMMYFUNCTION("""COMPUTED_VALUE"""),42406.0)</f>
        <v>42406</v>
      </c>
      <c r="D54" s="23" t="str">
        <f>IFERROR(__xludf.DUMMYFUNCTION("""COMPUTED_VALUE"""),"Feb")</f>
        <v>Feb</v>
      </c>
      <c r="E54" s="21" t="str">
        <f>IFERROR(__xludf.DUMMYFUNCTION("""COMPUTED_VALUE"""),"2016")</f>
        <v>2016</v>
      </c>
      <c r="F54" s="22" t="str">
        <f>IFERROR(__xludf.DUMMYFUNCTION("""COMPUTED_VALUE"""),"First Class")</f>
        <v>First Class</v>
      </c>
      <c r="G54" s="22" t="str">
        <f>IFERROR(__xludf.DUMMYFUNCTION("""COMPUTED_VALUE"""),"Stephanie")</f>
        <v>Stephanie</v>
      </c>
      <c r="H54" s="22" t="str">
        <f>IFERROR(__xludf.DUMMYFUNCTION("""COMPUTED_VALUE"""),"Phelps")</f>
        <v>Phelps</v>
      </c>
      <c r="I54" s="22" t="str">
        <f>IFERROR(__xludf.DUMMYFUNCTION("""COMPUTED_VALUE"""),"Corporate")</f>
        <v>Corporate</v>
      </c>
      <c r="J54" s="22" t="str">
        <f>IFERROR(__xludf.DUMMYFUNCTION("""COMPUTED_VALUE"""),"San Jose")</f>
        <v>San Jose</v>
      </c>
      <c r="K54" s="22" t="str">
        <f>IFERROR(__xludf.DUMMYFUNCTION("""COMPUTED_VALUE"""),"California")</f>
        <v>California</v>
      </c>
      <c r="L54" s="22" t="str">
        <f>IFERROR(__xludf.DUMMYFUNCTION("""COMPUTED_VALUE"""),"West")</f>
        <v>West</v>
      </c>
      <c r="M54" s="22" t="str">
        <f>IFERROR(__xludf.DUMMYFUNCTION("""COMPUTED_VALUE"""),"Office Supplies")</f>
        <v>Office Supplies</v>
      </c>
      <c r="N54" s="18">
        <f>IFERROR(__xludf.DUMMYFUNCTION("""COMPUTED_VALUE"""),80.88)</f>
        <v>80.88</v>
      </c>
      <c r="O54" s="18">
        <f>IFERROR(__xludf.DUMMYFUNCTION("""COMPUTED_VALUE"""),80.53)</f>
        <v>80.53</v>
      </c>
      <c r="P54" s="22">
        <f>IFERROR(__xludf.DUMMYFUNCTION("""COMPUTED_VALUE"""),9.0)</f>
        <v>9</v>
      </c>
      <c r="Q54" s="18">
        <f>IFERROR(__xludf.DUMMYFUNCTION("""COMPUTED_VALUE"""),727.92)</f>
        <v>727.92</v>
      </c>
      <c r="R54" s="18">
        <f>IFERROR(__xludf.DUMMYFUNCTION("""COMPUTED_VALUE"""),647.39)</f>
        <v>647.39</v>
      </c>
    </row>
    <row r="55">
      <c r="A55" s="21">
        <f>IFERROR(__xludf.DUMMYFUNCTION("""COMPUTED_VALUE"""),42007.0)</f>
        <v>42007</v>
      </c>
      <c r="B55" s="21" t="str">
        <f>IFERROR(__xludf.DUMMYFUNCTION("""COMPUTED_VALUE"""),"Jan")</f>
        <v>Jan</v>
      </c>
      <c r="C55" s="9">
        <f>IFERROR(__xludf.DUMMYFUNCTION("""COMPUTED_VALUE"""),42158.0)</f>
        <v>42158</v>
      </c>
      <c r="D55" s="23" t="str">
        <f>IFERROR(__xludf.DUMMYFUNCTION("""COMPUTED_VALUE"""),"Jun")</f>
        <v>Jun</v>
      </c>
      <c r="E55" s="21" t="str">
        <f>IFERROR(__xludf.DUMMYFUNCTION("""COMPUTED_VALUE"""),"2015")</f>
        <v>2015</v>
      </c>
      <c r="F55" s="22" t="str">
        <f>IFERROR(__xludf.DUMMYFUNCTION("""COMPUTED_VALUE"""),"Second Class")</f>
        <v>Second Class</v>
      </c>
      <c r="G55" s="22" t="str">
        <f>IFERROR(__xludf.DUMMYFUNCTION("""COMPUTED_VALUE"""),"Dave")</f>
        <v>Dave</v>
      </c>
      <c r="H55" s="22" t="str">
        <f>IFERROR(__xludf.DUMMYFUNCTION("""COMPUTED_VALUE"""),"Brooks")</f>
        <v>Brooks</v>
      </c>
      <c r="I55" s="22" t="str">
        <f>IFERROR(__xludf.DUMMYFUNCTION("""COMPUTED_VALUE"""),"Consumer")</f>
        <v>Consumer</v>
      </c>
      <c r="J55" s="22" t="str">
        <f>IFERROR(__xludf.DUMMYFUNCTION("""COMPUTED_VALUE"""),"Seattle")</f>
        <v>Seattle</v>
      </c>
      <c r="K55" s="22" t="str">
        <f>IFERROR(__xludf.DUMMYFUNCTION("""COMPUTED_VALUE"""),"Washington")</f>
        <v>Washington</v>
      </c>
      <c r="L55" s="22" t="str">
        <f>IFERROR(__xludf.DUMMYFUNCTION("""COMPUTED_VALUE"""),"West")</f>
        <v>West</v>
      </c>
      <c r="M55" s="22" t="str">
        <f>IFERROR(__xludf.DUMMYFUNCTION("""COMPUTED_VALUE"""),"Furniture")</f>
        <v>Furniture</v>
      </c>
      <c r="N55" s="18">
        <f>IFERROR(__xludf.DUMMYFUNCTION("""COMPUTED_VALUE"""),457.568)</f>
        <v>457.568</v>
      </c>
      <c r="O55" s="18">
        <f>IFERROR(__xludf.DUMMYFUNCTION("""COMPUTED_VALUE"""),457.38)</f>
        <v>457.38</v>
      </c>
      <c r="P55" s="22">
        <f>IFERROR(__xludf.DUMMYFUNCTION("""COMPUTED_VALUE"""),9.0)</f>
        <v>9</v>
      </c>
      <c r="Q55" s="18">
        <f>IFERROR(__xludf.DUMMYFUNCTION("""COMPUTED_VALUE"""),4118.112)</f>
        <v>4118.112</v>
      </c>
      <c r="R55" s="18">
        <f>IFERROR(__xludf.DUMMYFUNCTION("""COMPUTED_VALUE"""),3660.732)</f>
        <v>3660.732</v>
      </c>
    </row>
    <row r="56">
      <c r="A56" s="21">
        <f>IFERROR(__xludf.DUMMYFUNCTION("""COMPUTED_VALUE"""),43059.0)</f>
        <v>43059</v>
      </c>
      <c r="B56" s="21" t="str">
        <f>IFERROR(__xludf.DUMMYFUNCTION("""COMPUTED_VALUE"""),"Nov")</f>
        <v>Nov</v>
      </c>
      <c r="C56" s="9">
        <f>IFERROR(__xludf.DUMMYFUNCTION("""COMPUTED_VALUE"""),43063.0)</f>
        <v>43063</v>
      </c>
      <c r="D56" s="23" t="str">
        <f>IFERROR(__xludf.DUMMYFUNCTION("""COMPUTED_VALUE"""),"Nov")</f>
        <v>Nov</v>
      </c>
      <c r="E56" s="21" t="str">
        <f>IFERROR(__xludf.DUMMYFUNCTION("""COMPUTED_VALUE"""),"2017")</f>
        <v>2017</v>
      </c>
      <c r="F56" s="22" t="str">
        <f>IFERROR(__xludf.DUMMYFUNCTION("""COMPUTED_VALUE"""),"Standard Class")</f>
        <v>Standard Class</v>
      </c>
      <c r="G56" s="22" t="str">
        <f>IFERROR(__xludf.DUMMYFUNCTION("""COMPUTED_VALUE"""),"Nora")</f>
        <v>Nora</v>
      </c>
      <c r="H56" s="22" t="str">
        <f>IFERROR(__xludf.DUMMYFUNCTION("""COMPUTED_VALUE"""),"Paige")</f>
        <v>Paige</v>
      </c>
      <c r="I56" s="22" t="str">
        <f>IFERROR(__xludf.DUMMYFUNCTION("""COMPUTED_VALUE"""),"Consumer")</f>
        <v>Consumer</v>
      </c>
      <c r="J56" s="22" t="str">
        <f>IFERROR(__xludf.DUMMYFUNCTION("""COMPUTED_VALUE"""),"Edmond")</f>
        <v>Edmond</v>
      </c>
      <c r="K56" s="22" t="str">
        <f>IFERROR(__xludf.DUMMYFUNCTION("""COMPUTED_VALUE"""),"Oklahoma")</f>
        <v>Oklahoma</v>
      </c>
      <c r="L56" s="22" t="str">
        <f>IFERROR(__xludf.DUMMYFUNCTION("""COMPUTED_VALUE"""),"Central")</f>
        <v>Central</v>
      </c>
      <c r="M56" s="22" t="str">
        <f>IFERROR(__xludf.DUMMYFUNCTION("""COMPUTED_VALUE"""),"Technology")</f>
        <v>Technology</v>
      </c>
      <c r="N56" s="18">
        <f>IFERROR(__xludf.DUMMYFUNCTION("""COMPUTED_VALUE"""),944.93)</f>
        <v>944.93</v>
      </c>
      <c r="O56" s="18">
        <f>IFERROR(__xludf.DUMMYFUNCTION("""COMPUTED_VALUE"""),944.09)</f>
        <v>944.09</v>
      </c>
      <c r="P56" s="22">
        <f>IFERROR(__xludf.DUMMYFUNCTION("""COMPUTED_VALUE"""),7.0)</f>
        <v>7</v>
      </c>
      <c r="Q56" s="18">
        <f>IFERROR(__xludf.DUMMYFUNCTION("""COMPUTED_VALUE"""),6614.509999999999)</f>
        <v>6614.51</v>
      </c>
      <c r="R56" s="18">
        <f>IFERROR(__xludf.DUMMYFUNCTION("""COMPUTED_VALUE"""),5670.419999999999)</f>
        <v>5670.42</v>
      </c>
    </row>
    <row r="57">
      <c r="A57" s="21">
        <f>IFERROR(__xludf.DUMMYFUNCTION("""COMPUTED_VALUE"""),42225.0)</f>
        <v>42225</v>
      </c>
      <c r="B57" s="21" t="str">
        <f>IFERROR(__xludf.DUMMYFUNCTION("""COMPUTED_VALUE"""),"Aug")</f>
        <v>Aug</v>
      </c>
      <c r="C57" s="9">
        <f>IFERROR(__xludf.DUMMYFUNCTION("""COMPUTED_VALUE"""),42347.0)</f>
        <v>42347</v>
      </c>
      <c r="D57" s="23" t="str">
        <f>IFERROR(__xludf.DUMMYFUNCTION("""COMPUTED_VALUE"""),"Dec")</f>
        <v>Dec</v>
      </c>
      <c r="E57" s="21" t="str">
        <f>IFERROR(__xludf.DUMMYFUNCTION("""COMPUTED_VALUE"""),"2015")</f>
        <v>2015</v>
      </c>
      <c r="F57" s="22" t="str">
        <f>IFERROR(__xludf.DUMMYFUNCTION("""COMPUTED_VALUE"""),"Standard Class")</f>
        <v>Standard Class</v>
      </c>
      <c r="G57" s="22" t="str">
        <f>IFERROR(__xludf.DUMMYFUNCTION("""COMPUTED_VALUE"""),"Becky")</f>
        <v>Becky</v>
      </c>
      <c r="H57" s="22" t="str">
        <f>IFERROR(__xludf.DUMMYFUNCTION("""COMPUTED_VALUE"""),"Martin")</f>
        <v>Martin</v>
      </c>
      <c r="I57" s="22" t="str">
        <f>IFERROR(__xludf.DUMMYFUNCTION("""COMPUTED_VALUE"""),"Consumer")</f>
        <v>Consumer</v>
      </c>
      <c r="J57" s="22" t="str">
        <f>IFERROR(__xludf.DUMMYFUNCTION("""COMPUTED_VALUE"""),"San Antonio")</f>
        <v>San Antonio</v>
      </c>
      <c r="K57" s="22" t="str">
        <f>IFERROR(__xludf.DUMMYFUNCTION("""COMPUTED_VALUE"""),"Texas")</f>
        <v>Texas</v>
      </c>
      <c r="L57" s="22" t="str">
        <f>IFERROR(__xludf.DUMMYFUNCTION("""COMPUTED_VALUE"""),"Central")</f>
        <v>Central</v>
      </c>
      <c r="M57" s="22" t="str">
        <f>IFERROR(__xludf.DUMMYFUNCTION("""COMPUTED_VALUE"""),"Technology")</f>
        <v>Technology</v>
      </c>
      <c r="N57" s="18">
        <f>IFERROR(__xludf.DUMMYFUNCTION("""COMPUTED_VALUE"""),8159.952)</f>
        <v>8159.952</v>
      </c>
      <c r="O57" s="18">
        <f>IFERROR(__xludf.DUMMYFUNCTION("""COMPUTED_VALUE"""),8159.36)</f>
        <v>8159.36</v>
      </c>
      <c r="P57" s="22">
        <f>IFERROR(__xludf.DUMMYFUNCTION("""COMPUTED_VALUE"""),7.0)</f>
        <v>7</v>
      </c>
      <c r="Q57" s="18">
        <f>IFERROR(__xludf.DUMMYFUNCTION("""COMPUTED_VALUE"""),57119.664000000004)</f>
        <v>57119.664</v>
      </c>
      <c r="R57" s="18">
        <f>IFERROR(__xludf.DUMMYFUNCTION("""COMPUTED_VALUE"""),48960.304000000004)</f>
        <v>48960.304</v>
      </c>
    </row>
    <row r="58">
      <c r="A58" s="21">
        <f>IFERROR(__xludf.DUMMYFUNCTION("""COMPUTED_VALUE"""),42225.0)</f>
        <v>42225</v>
      </c>
      <c r="B58" s="21" t="str">
        <f>IFERROR(__xludf.DUMMYFUNCTION("""COMPUTED_VALUE"""),"Aug")</f>
        <v>Aug</v>
      </c>
      <c r="C58" s="9">
        <f>IFERROR(__xludf.DUMMYFUNCTION("""COMPUTED_VALUE"""),42347.0)</f>
        <v>42347</v>
      </c>
      <c r="D58" s="23" t="str">
        <f>IFERROR(__xludf.DUMMYFUNCTION("""COMPUTED_VALUE"""),"Dec")</f>
        <v>Dec</v>
      </c>
      <c r="E58" s="21" t="str">
        <f>IFERROR(__xludf.DUMMYFUNCTION("""COMPUTED_VALUE"""),"2015")</f>
        <v>2015</v>
      </c>
      <c r="F58" s="22" t="str">
        <f>IFERROR(__xludf.DUMMYFUNCTION("""COMPUTED_VALUE"""),"Standard Class")</f>
        <v>Standard Class</v>
      </c>
      <c r="G58" s="22" t="str">
        <f>IFERROR(__xludf.DUMMYFUNCTION("""COMPUTED_VALUE"""),"Becky")</f>
        <v>Becky</v>
      </c>
      <c r="H58" s="22" t="str">
        <f>IFERROR(__xludf.DUMMYFUNCTION("""COMPUTED_VALUE"""),"Martin")</f>
        <v>Martin</v>
      </c>
      <c r="I58" s="22" t="str">
        <f>IFERROR(__xludf.DUMMYFUNCTION("""COMPUTED_VALUE"""),"Consumer")</f>
        <v>Consumer</v>
      </c>
      <c r="J58" s="22" t="str">
        <f>IFERROR(__xludf.DUMMYFUNCTION("""COMPUTED_VALUE"""),"San Antonio")</f>
        <v>San Antonio</v>
      </c>
      <c r="K58" s="22" t="str">
        <f>IFERROR(__xludf.DUMMYFUNCTION("""COMPUTED_VALUE"""),"Texas")</f>
        <v>Texas</v>
      </c>
      <c r="L58" s="22" t="str">
        <f>IFERROR(__xludf.DUMMYFUNCTION("""COMPUTED_VALUE"""),"Central")</f>
        <v>Central</v>
      </c>
      <c r="M58" s="22" t="str">
        <f>IFERROR(__xludf.DUMMYFUNCTION("""COMPUTED_VALUE"""),"Office Supplies")</f>
        <v>Office Supplies</v>
      </c>
      <c r="N58" s="18">
        <f>IFERROR(__xludf.DUMMYFUNCTION("""COMPUTED_VALUE"""),275.928)</f>
        <v>275.928</v>
      </c>
      <c r="O58" s="18">
        <f>IFERROR(__xludf.DUMMYFUNCTION("""COMPUTED_VALUE"""),275.48)</f>
        <v>275.48</v>
      </c>
      <c r="P58" s="22">
        <f>IFERROR(__xludf.DUMMYFUNCTION("""COMPUTED_VALUE"""),7.0)</f>
        <v>7</v>
      </c>
      <c r="Q58" s="18">
        <f>IFERROR(__xludf.DUMMYFUNCTION("""COMPUTED_VALUE"""),1931.496)</f>
        <v>1931.496</v>
      </c>
      <c r="R58" s="18">
        <f>IFERROR(__xludf.DUMMYFUNCTION("""COMPUTED_VALUE"""),1656.016)</f>
        <v>1656.016</v>
      </c>
    </row>
    <row r="59">
      <c r="A59" s="21">
        <f>IFERROR(__xludf.DUMMYFUNCTION("""COMPUTED_VALUE"""),42225.0)</f>
        <v>42225</v>
      </c>
      <c r="B59" s="21" t="str">
        <f>IFERROR(__xludf.DUMMYFUNCTION("""COMPUTED_VALUE"""),"Aug")</f>
        <v>Aug</v>
      </c>
      <c r="C59" s="9">
        <f>IFERROR(__xludf.DUMMYFUNCTION("""COMPUTED_VALUE"""),42347.0)</f>
        <v>42347</v>
      </c>
      <c r="D59" s="23" t="str">
        <f>IFERROR(__xludf.DUMMYFUNCTION("""COMPUTED_VALUE"""),"Dec")</f>
        <v>Dec</v>
      </c>
      <c r="E59" s="21" t="str">
        <f>IFERROR(__xludf.DUMMYFUNCTION("""COMPUTED_VALUE"""),"2015")</f>
        <v>2015</v>
      </c>
      <c r="F59" s="22" t="str">
        <f>IFERROR(__xludf.DUMMYFUNCTION("""COMPUTED_VALUE"""),"Standard Class")</f>
        <v>Standard Class</v>
      </c>
      <c r="G59" s="22" t="str">
        <f>IFERROR(__xludf.DUMMYFUNCTION("""COMPUTED_VALUE"""),"Becky")</f>
        <v>Becky</v>
      </c>
      <c r="H59" s="22" t="str">
        <f>IFERROR(__xludf.DUMMYFUNCTION("""COMPUTED_VALUE"""),"Martin")</f>
        <v>Martin</v>
      </c>
      <c r="I59" s="22" t="str">
        <f>IFERROR(__xludf.DUMMYFUNCTION("""COMPUTED_VALUE"""),"Consumer")</f>
        <v>Consumer</v>
      </c>
      <c r="J59" s="22" t="str">
        <f>IFERROR(__xludf.DUMMYFUNCTION("""COMPUTED_VALUE"""),"San Antonio")</f>
        <v>San Antonio</v>
      </c>
      <c r="K59" s="22" t="str">
        <f>IFERROR(__xludf.DUMMYFUNCTION("""COMPUTED_VALUE"""),"Texas")</f>
        <v>Texas</v>
      </c>
      <c r="L59" s="22" t="str">
        <f>IFERROR(__xludf.DUMMYFUNCTION("""COMPUTED_VALUE"""),"Central")</f>
        <v>Central</v>
      </c>
      <c r="M59" s="22" t="str">
        <f>IFERROR(__xludf.DUMMYFUNCTION("""COMPUTED_VALUE"""),"Furniture")</f>
        <v>Furniture</v>
      </c>
      <c r="N59" s="18">
        <f>IFERROR(__xludf.DUMMYFUNCTION("""COMPUTED_VALUE"""),1740.06)</f>
        <v>1740.06</v>
      </c>
      <c r="O59" s="18">
        <f>IFERROR(__xludf.DUMMYFUNCTION("""COMPUTED_VALUE"""),1739.72)</f>
        <v>1739.72</v>
      </c>
      <c r="P59" s="22">
        <f>IFERROR(__xludf.DUMMYFUNCTION("""COMPUTED_VALUE"""),7.0)</f>
        <v>7</v>
      </c>
      <c r="Q59" s="18">
        <f>IFERROR(__xludf.DUMMYFUNCTION("""COMPUTED_VALUE"""),12180.42)</f>
        <v>12180.42</v>
      </c>
      <c r="R59" s="18">
        <f>IFERROR(__xludf.DUMMYFUNCTION("""COMPUTED_VALUE"""),10440.7)</f>
        <v>10440.7</v>
      </c>
    </row>
    <row r="60">
      <c r="A60" s="21">
        <f>IFERROR(__xludf.DUMMYFUNCTION("""COMPUTED_VALUE"""),42225.0)</f>
        <v>42225</v>
      </c>
      <c r="B60" s="21" t="str">
        <f>IFERROR(__xludf.DUMMYFUNCTION("""COMPUTED_VALUE"""),"Aug")</f>
        <v>Aug</v>
      </c>
      <c r="C60" s="9">
        <f>IFERROR(__xludf.DUMMYFUNCTION("""COMPUTED_VALUE"""),42347.0)</f>
        <v>42347</v>
      </c>
      <c r="D60" s="23" t="str">
        <f>IFERROR(__xludf.DUMMYFUNCTION("""COMPUTED_VALUE"""),"Dec")</f>
        <v>Dec</v>
      </c>
      <c r="E60" s="21" t="str">
        <f>IFERROR(__xludf.DUMMYFUNCTION("""COMPUTED_VALUE"""),"2015")</f>
        <v>2015</v>
      </c>
      <c r="F60" s="22" t="str">
        <f>IFERROR(__xludf.DUMMYFUNCTION("""COMPUTED_VALUE"""),"Standard Class")</f>
        <v>Standard Class</v>
      </c>
      <c r="G60" s="22" t="str">
        <f>IFERROR(__xludf.DUMMYFUNCTION("""COMPUTED_VALUE"""),"Becky")</f>
        <v>Becky</v>
      </c>
      <c r="H60" s="22" t="str">
        <f>IFERROR(__xludf.DUMMYFUNCTION("""COMPUTED_VALUE"""),"Martin")</f>
        <v>Martin</v>
      </c>
      <c r="I60" s="22" t="str">
        <f>IFERROR(__xludf.DUMMYFUNCTION("""COMPUTED_VALUE"""),"Consumer")</f>
        <v>Consumer</v>
      </c>
      <c r="J60" s="22" t="str">
        <f>IFERROR(__xludf.DUMMYFUNCTION("""COMPUTED_VALUE"""),"San Antonio")</f>
        <v>San Antonio</v>
      </c>
      <c r="K60" s="22" t="str">
        <f>IFERROR(__xludf.DUMMYFUNCTION("""COMPUTED_VALUE"""),"Texas")</f>
        <v>Texas</v>
      </c>
      <c r="L60" s="22" t="str">
        <f>IFERROR(__xludf.DUMMYFUNCTION("""COMPUTED_VALUE"""),"Central")</f>
        <v>Central</v>
      </c>
      <c r="M60" s="22" t="str">
        <f>IFERROR(__xludf.DUMMYFUNCTION("""COMPUTED_VALUE"""),"Office Supplies")</f>
        <v>Office Supplies</v>
      </c>
      <c r="N60" s="18">
        <f>IFERROR(__xludf.DUMMYFUNCTION("""COMPUTED_VALUE"""),177.98)</f>
        <v>177.98</v>
      </c>
      <c r="O60" s="18">
        <f>IFERROR(__xludf.DUMMYFUNCTION("""COMPUTED_VALUE"""),177.53)</f>
        <v>177.53</v>
      </c>
      <c r="P60" s="22">
        <f>IFERROR(__xludf.DUMMYFUNCTION("""COMPUTED_VALUE"""),7.0)</f>
        <v>7</v>
      </c>
      <c r="Q60" s="18">
        <f>IFERROR(__xludf.DUMMYFUNCTION("""COMPUTED_VALUE"""),1245.86)</f>
        <v>1245.86</v>
      </c>
      <c r="R60" s="18">
        <f>IFERROR(__xludf.DUMMYFUNCTION("""COMPUTED_VALUE"""),1068.33)</f>
        <v>1068.33</v>
      </c>
    </row>
    <row r="61">
      <c r="A61" s="21">
        <f>IFERROR(__xludf.DUMMYFUNCTION("""COMPUTED_VALUE"""),42225.0)</f>
        <v>42225</v>
      </c>
      <c r="B61" s="21" t="str">
        <f>IFERROR(__xludf.DUMMYFUNCTION("""COMPUTED_VALUE"""),"Aug")</f>
        <v>Aug</v>
      </c>
      <c r="C61" s="9">
        <f>IFERROR(__xludf.DUMMYFUNCTION("""COMPUTED_VALUE"""),42347.0)</f>
        <v>42347</v>
      </c>
      <c r="D61" s="23" t="str">
        <f>IFERROR(__xludf.DUMMYFUNCTION("""COMPUTED_VALUE"""),"Dec")</f>
        <v>Dec</v>
      </c>
      <c r="E61" s="21" t="str">
        <f>IFERROR(__xludf.DUMMYFUNCTION("""COMPUTED_VALUE"""),"2015")</f>
        <v>2015</v>
      </c>
      <c r="F61" s="22" t="str">
        <f>IFERROR(__xludf.DUMMYFUNCTION("""COMPUTED_VALUE"""),"Standard Class")</f>
        <v>Standard Class</v>
      </c>
      <c r="G61" s="22" t="str">
        <f>IFERROR(__xludf.DUMMYFUNCTION("""COMPUTED_VALUE"""),"Becky")</f>
        <v>Becky</v>
      </c>
      <c r="H61" s="22" t="str">
        <f>IFERROR(__xludf.DUMMYFUNCTION("""COMPUTED_VALUE"""),"Martin")</f>
        <v>Martin</v>
      </c>
      <c r="I61" s="22" t="str">
        <f>IFERROR(__xludf.DUMMYFUNCTION("""COMPUTED_VALUE"""),"Consumer")</f>
        <v>Consumer</v>
      </c>
      <c r="J61" s="22" t="str">
        <f>IFERROR(__xludf.DUMMYFUNCTION("""COMPUTED_VALUE"""),"San Antonio")</f>
        <v>San Antonio</v>
      </c>
      <c r="K61" s="22" t="str">
        <f>IFERROR(__xludf.DUMMYFUNCTION("""COMPUTED_VALUE"""),"Texas")</f>
        <v>Texas</v>
      </c>
      <c r="L61" s="22" t="str">
        <f>IFERROR(__xludf.DUMMYFUNCTION("""COMPUTED_VALUE"""),"Central")</f>
        <v>Central</v>
      </c>
      <c r="M61" s="22" t="str">
        <f>IFERROR(__xludf.DUMMYFUNCTION("""COMPUTED_VALUE"""),"Technology")</f>
        <v>Technology</v>
      </c>
      <c r="N61" s="18">
        <f>IFERROR(__xludf.DUMMYFUNCTION("""COMPUTED_VALUE"""),143.976)</f>
        <v>143.976</v>
      </c>
      <c r="O61" s="18">
        <f>IFERROR(__xludf.DUMMYFUNCTION("""COMPUTED_VALUE"""),143.23)</f>
        <v>143.23</v>
      </c>
      <c r="P61" s="22">
        <f>IFERROR(__xludf.DUMMYFUNCTION("""COMPUTED_VALUE"""),7.0)</f>
        <v>7</v>
      </c>
      <c r="Q61" s="18">
        <f>IFERROR(__xludf.DUMMYFUNCTION("""COMPUTED_VALUE"""),1007.832)</f>
        <v>1007.832</v>
      </c>
      <c r="R61" s="18">
        <f>IFERROR(__xludf.DUMMYFUNCTION("""COMPUTED_VALUE"""),864.602)</f>
        <v>864.602</v>
      </c>
    </row>
    <row r="62">
      <c r="A62" s="21">
        <f>IFERROR(__xludf.DUMMYFUNCTION("""COMPUTED_VALUE"""),42132.0)</f>
        <v>42132</v>
      </c>
      <c r="B62" s="21" t="str">
        <f>IFERROR(__xludf.DUMMYFUNCTION("""COMPUTED_VALUE"""),"May")</f>
        <v>May</v>
      </c>
      <c r="C62" s="9">
        <f>IFERROR(__xludf.DUMMYFUNCTION("""COMPUTED_VALUE"""),42255.0)</f>
        <v>42255</v>
      </c>
      <c r="D62" s="23" t="str">
        <f>IFERROR(__xludf.DUMMYFUNCTION("""COMPUTED_VALUE"""),"Sep")</f>
        <v>Sep</v>
      </c>
      <c r="E62" s="21" t="str">
        <f>IFERROR(__xludf.DUMMYFUNCTION("""COMPUTED_VALUE"""),"2015")</f>
        <v>2015</v>
      </c>
      <c r="F62" s="22" t="str">
        <f>IFERROR(__xludf.DUMMYFUNCTION("""COMPUTED_VALUE"""),"Standard Class")</f>
        <v>Standard Class</v>
      </c>
      <c r="G62" s="22" t="str">
        <f>IFERROR(__xludf.DUMMYFUNCTION("""COMPUTED_VALUE"""),"Chad")</f>
        <v>Chad</v>
      </c>
      <c r="H62" s="22" t="str">
        <f>IFERROR(__xludf.DUMMYFUNCTION("""COMPUTED_VALUE"""),"Sievert")</f>
        <v>Sievert</v>
      </c>
      <c r="I62" s="22" t="str">
        <f>IFERROR(__xludf.DUMMYFUNCTION("""COMPUTED_VALUE"""),"Consumer")</f>
        <v>Consumer</v>
      </c>
      <c r="J62" s="22" t="str">
        <f>IFERROR(__xludf.DUMMYFUNCTION("""COMPUTED_VALUE"""),"Los Angeles")</f>
        <v>Los Angeles</v>
      </c>
      <c r="K62" s="22" t="str">
        <f>IFERROR(__xludf.DUMMYFUNCTION("""COMPUTED_VALUE"""),"California")</f>
        <v>California</v>
      </c>
      <c r="L62" s="22" t="str">
        <f>IFERROR(__xludf.DUMMYFUNCTION("""COMPUTED_VALUE"""),"West")</f>
        <v>West</v>
      </c>
      <c r="M62" s="22" t="str">
        <f>IFERROR(__xludf.DUMMYFUNCTION("""COMPUTED_VALUE"""),"Office Supplies")</f>
        <v>Office Supplies</v>
      </c>
      <c r="N62" s="18">
        <f>IFERROR(__xludf.DUMMYFUNCTION("""COMPUTED_VALUE"""),110.96)</f>
        <v>110.96</v>
      </c>
      <c r="O62" s="18">
        <f>IFERROR(__xludf.DUMMYFUNCTION("""COMPUTED_VALUE"""),110.3)</f>
        <v>110.3</v>
      </c>
      <c r="P62" s="22">
        <f>IFERROR(__xludf.DUMMYFUNCTION("""COMPUTED_VALUE"""),9.0)</f>
        <v>9</v>
      </c>
      <c r="Q62" s="18">
        <f>IFERROR(__xludf.DUMMYFUNCTION("""COMPUTED_VALUE"""),998.64)</f>
        <v>998.64</v>
      </c>
      <c r="R62" s="18">
        <f>IFERROR(__xludf.DUMMYFUNCTION("""COMPUTED_VALUE"""),888.34)</f>
        <v>888.34</v>
      </c>
    </row>
    <row r="63">
      <c r="A63" s="21">
        <f>IFERROR(__xludf.DUMMYFUNCTION("""COMPUTED_VALUE"""),42132.0)</f>
        <v>42132</v>
      </c>
      <c r="B63" s="21" t="str">
        <f>IFERROR(__xludf.DUMMYFUNCTION("""COMPUTED_VALUE"""),"May")</f>
        <v>May</v>
      </c>
      <c r="C63" s="9">
        <f>IFERROR(__xludf.DUMMYFUNCTION("""COMPUTED_VALUE"""),42255.0)</f>
        <v>42255</v>
      </c>
      <c r="D63" s="23" t="str">
        <f>IFERROR(__xludf.DUMMYFUNCTION("""COMPUTED_VALUE"""),"Sep")</f>
        <v>Sep</v>
      </c>
      <c r="E63" s="21" t="str">
        <f>IFERROR(__xludf.DUMMYFUNCTION("""COMPUTED_VALUE"""),"2015")</f>
        <v>2015</v>
      </c>
      <c r="F63" s="22" t="str">
        <f>IFERROR(__xludf.DUMMYFUNCTION("""COMPUTED_VALUE"""),"Standard Class")</f>
        <v>Standard Class</v>
      </c>
      <c r="G63" s="22" t="str">
        <f>IFERROR(__xludf.DUMMYFUNCTION("""COMPUTED_VALUE"""),"Chad")</f>
        <v>Chad</v>
      </c>
      <c r="H63" s="22" t="str">
        <f>IFERROR(__xludf.DUMMYFUNCTION("""COMPUTED_VALUE"""),"Sievert")</f>
        <v>Sievert</v>
      </c>
      <c r="I63" s="22" t="str">
        <f>IFERROR(__xludf.DUMMYFUNCTION("""COMPUTED_VALUE"""),"Consumer")</f>
        <v>Consumer</v>
      </c>
      <c r="J63" s="22" t="str">
        <f>IFERROR(__xludf.DUMMYFUNCTION("""COMPUTED_VALUE"""),"Los Angeles")</f>
        <v>Los Angeles</v>
      </c>
      <c r="K63" s="22" t="str">
        <f>IFERROR(__xludf.DUMMYFUNCTION("""COMPUTED_VALUE"""),"California")</f>
        <v>California</v>
      </c>
      <c r="L63" s="22" t="str">
        <f>IFERROR(__xludf.DUMMYFUNCTION("""COMPUTED_VALUE"""),"West")</f>
        <v>West</v>
      </c>
      <c r="M63" s="22" t="str">
        <f>IFERROR(__xludf.DUMMYFUNCTION("""COMPUTED_VALUE"""),"Furniture")</f>
        <v>Furniture</v>
      </c>
      <c r="N63" s="18">
        <f>IFERROR(__xludf.DUMMYFUNCTION("""COMPUTED_VALUE"""),340.144)</f>
        <v>340.144</v>
      </c>
      <c r="O63" s="18">
        <f>IFERROR(__xludf.DUMMYFUNCTION("""COMPUTED_VALUE"""),339.46)</f>
        <v>339.46</v>
      </c>
      <c r="P63" s="22">
        <f>IFERROR(__xludf.DUMMYFUNCTION("""COMPUTED_VALUE"""),9.0)</f>
        <v>9</v>
      </c>
      <c r="Q63" s="18">
        <f>IFERROR(__xludf.DUMMYFUNCTION("""COMPUTED_VALUE"""),3061.2960000000003)</f>
        <v>3061.296</v>
      </c>
      <c r="R63" s="18">
        <f>IFERROR(__xludf.DUMMYFUNCTION("""COMPUTED_VALUE"""),2721.8360000000002)</f>
        <v>2721.836</v>
      </c>
    </row>
    <row r="64">
      <c r="A64" s="21">
        <f>IFERROR(__xludf.DUMMYFUNCTION("""COMPUTED_VALUE"""),43211.0)</f>
        <v>43211</v>
      </c>
      <c r="B64" s="21" t="str">
        <f>IFERROR(__xludf.DUMMYFUNCTION("""COMPUTED_VALUE"""),"Apr")</f>
        <v>Apr</v>
      </c>
      <c r="C64" s="9">
        <f>IFERROR(__xludf.DUMMYFUNCTION("""COMPUTED_VALUE"""),43215.0)</f>
        <v>43215</v>
      </c>
      <c r="D64" s="23" t="str">
        <f>IFERROR(__xludf.DUMMYFUNCTION("""COMPUTED_VALUE"""),"Apr")</f>
        <v>Apr</v>
      </c>
      <c r="E64" s="21" t="str">
        <f>IFERROR(__xludf.DUMMYFUNCTION("""COMPUTED_VALUE"""),"2018")</f>
        <v>2018</v>
      </c>
      <c r="F64" s="22" t="str">
        <f>IFERROR(__xludf.DUMMYFUNCTION("""COMPUTED_VALUE"""),"Second Class")</f>
        <v>Second Class</v>
      </c>
      <c r="G64" s="22" t="str">
        <f>IFERROR(__xludf.DUMMYFUNCTION("""COMPUTED_VALUE"""),"Shirley")</f>
        <v>Shirley</v>
      </c>
      <c r="H64" s="22" t="str">
        <f>IFERROR(__xludf.DUMMYFUNCTION("""COMPUTED_VALUE"""),"Jackson")</f>
        <v>Jackson</v>
      </c>
      <c r="I64" s="22" t="str">
        <f>IFERROR(__xludf.DUMMYFUNCTION("""COMPUTED_VALUE"""),"Consumer")</f>
        <v>Consumer</v>
      </c>
      <c r="J64" s="22" t="str">
        <f>IFERROR(__xludf.DUMMYFUNCTION("""COMPUTED_VALUE"""),"Houston")</f>
        <v>Houston</v>
      </c>
      <c r="K64" s="22" t="str">
        <f>IFERROR(__xludf.DUMMYFUNCTION("""COMPUTED_VALUE"""),"Texas")</f>
        <v>Texas</v>
      </c>
      <c r="L64" s="22" t="str">
        <f>IFERROR(__xludf.DUMMYFUNCTION("""COMPUTED_VALUE"""),"Central")</f>
        <v>Central</v>
      </c>
      <c r="M64" s="22" t="str">
        <f>IFERROR(__xludf.DUMMYFUNCTION("""COMPUTED_VALUE"""),"Office Supplies")</f>
        <v>Office Supplies</v>
      </c>
      <c r="N64" s="18">
        <f>IFERROR(__xludf.DUMMYFUNCTION("""COMPUTED_VALUE"""),97.264)</f>
        <v>97.264</v>
      </c>
      <c r="O64" s="18">
        <f>IFERROR(__xludf.DUMMYFUNCTION("""COMPUTED_VALUE"""),96.62)</f>
        <v>96.62</v>
      </c>
      <c r="P64" s="22">
        <f>IFERROR(__xludf.DUMMYFUNCTION("""COMPUTED_VALUE"""),7.0)</f>
        <v>7</v>
      </c>
      <c r="Q64" s="18">
        <f>IFERROR(__xludf.DUMMYFUNCTION("""COMPUTED_VALUE"""),680.848)</f>
        <v>680.848</v>
      </c>
      <c r="R64" s="18">
        <f>IFERROR(__xludf.DUMMYFUNCTION("""COMPUTED_VALUE"""),584.228)</f>
        <v>584.228</v>
      </c>
    </row>
    <row r="65">
      <c r="A65" s="21">
        <f>IFERROR(__xludf.DUMMYFUNCTION("""COMPUTED_VALUE"""),42695.0)</f>
        <v>42695</v>
      </c>
      <c r="B65" s="21" t="str">
        <f>IFERROR(__xludf.DUMMYFUNCTION("""COMPUTED_VALUE"""),"Nov")</f>
        <v>Nov</v>
      </c>
      <c r="C65" s="9">
        <f>IFERROR(__xludf.DUMMYFUNCTION("""COMPUTED_VALUE"""),42697.0)</f>
        <v>42697</v>
      </c>
      <c r="D65" s="23" t="str">
        <f>IFERROR(__xludf.DUMMYFUNCTION("""COMPUTED_VALUE"""),"Nov")</f>
        <v>Nov</v>
      </c>
      <c r="E65" s="21" t="str">
        <f>IFERROR(__xludf.DUMMYFUNCTION("""COMPUTED_VALUE"""),"2016")</f>
        <v>2016</v>
      </c>
      <c r="F65" s="22" t="str">
        <f>IFERROR(__xludf.DUMMYFUNCTION("""COMPUTED_VALUE"""),"Second Class")</f>
        <v>Second Class</v>
      </c>
      <c r="G65" s="22" t="str">
        <f>IFERROR(__xludf.DUMMYFUNCTION("""COMPUTED_VALUE"""),"Joel")</f>
        <v>Joel</v>
      </c>
      <c r="H65" s="22" t="str">
        <f>IFERROR(__xludf.DUMMYFUNCTION("""COMPUTED_VALUE"""),"Eaton")</f>
        <v>Eaton</v>
      </c>
      <c r="I65" s="22" t="str">
        <f>IFERROR(__xludf.DUMMYFUNCTION("""COMPUTED_VALUE"""),"Consumer")</f>
        <v>Consumer</v>
      </c>
      <c r="J65" s="22" t="str">
        <f>IFERROR(__xludf.DUMMYFUNCTION("""COMPUTED_VALUE"""),"Newark")</f>
        <v>Newark</v>
      </c>
      <c r="K65" s="22" t="str">
        <f>IFERROR(__xludf.DUMMYFUNCTION("""COMPUTED_VALUE"""),"Ohio")</f>
        <v>Ohio</v>
      </c>
      <c r="L65" s="22" t="str">
        <f>IFERROR(__xludf.DUMMYFUNCTION("""COMPUTED_VALUE"""),"East")</f>
        <v>East</v>
      </c>
      <c r="M65" s="22" t="str">
        <f>IFERROR(__xludf.DUMMYFUNCTION("""COMPUTED_VALUE"""),"Furniture")</f>
        <v>Furniture</v>
      </c>
      <c r="N65" s="18">
        <f>IFERROR(__xludf.DUMMYFUNCTION("""COMPUTED_VALUE"""),396.802)</f>
        <v>396.802</v>
      </c>
      <c r="O65" s="18">
        <f>IFERROR(__xludf.DUMMYFUNCTION("""COMPUTED_VALUE"""),396.53)</f>
        <v>396.53</v>
      </c>
      <c r="P65" s="22">
        <f>IFERROR(__xludf.DUMMYFUNCTION("""COMPUTED_VALUE"""),4.0)</f>
        <v>4</v>
      </c>
      <c r="Q65" s="18">
        <f>IFERROR(__xludf.DUMMYFUNCTION("""COMPUTED_VALUE"""),1587.208)</f>
        <v>1587.208</v>
      </c>
      <c r="R65" s="18">
        <f>IFERROR(__xludf.DUMMYFUNCTION("""COMPUTED_VALUE"""),1190.678)</f>
        <v>1190.678</v>
      </c>
    </row>
    <row r="66">
      <c r="A66" s="21">
        <f>IFERROR(__xludf.DUMMYFUNCTION("""COMPUTED_VALUE"""),42136.0)</f>
        <v>42136</v>
      </c>
      <c r="B66" s="21" t="str">
        <f>IFERROR(__xludf.DUMMYFUNCTION("""COMPUTED_VALUE"""),"May")</f>
        <v>May</v>
      </c>
      <c r="C66" s="9">
        <f>IFERROR(__xludf.DUMMYFUNCTION("""COMPUTED_VALUE"""),42259.0)</f>
        <v>42259</v>
      </c>
      <c r="D66" s="23" t="str">
        <f>IFERROR(__xludf.DUMMYFUNCTION("""COMPUTED_VALUE"""),"Sep")</f>
        <v>Sep</v>
      </c>
      <c r="E66" s="21" t="str">
        <f>IFERROR(__xludf.DUMMYFUNCTION("""COMPUTED_VALUE"""),"2015")</f>
        <v>2015</v>
      </c>
      <c r="F66" s="22" t="str">
        <f>IFERROR(__xludf.DUMMYFUNCTION("""COMPUTED_VALUE"""),"Second Class")</f>
        <v>Second Class</v>
      </c>
      <c r="G66" s="22" t="str">
        <f>IFERROR(__xludf.DUMMYFUNCTION("""COMPUTED_VALUE"""),"David")</f>
        <v>David</v>
      </c>
      <c r="H66" s="22" t="str">
        <f>IFERROR(__xludf.DUMMYFUNCTION("""COMPUTED_VALUE"""),"Kendrick")</f>
        <v>Kendrick</v>
      </c>
      <c r="I66" s="22" t="str">
        <f>IFERROR(__xludf.DUMMYFUNCTION("""COMPUTED_VALUE"""),"Corporate")</f>
        <v>Corporate</v>
      </c>
      <c r="J66" s="22" t="str">
        <f>IFERROR(__xludf.DUMMYFUNCTION("""COMPUTED_VALUE"""),"Decatur")</f>
        <v>Decatur</v>
      </c>
      <c r="K66" s="22" t="str">
        <f>IFERROR(__xludf.DUMMYFUNCTION("""COMPUTED_VALUE"""),"Illinois")</f>
        <v>Illinois</v>
      </c>
      <c r="L66" s="22" t="str">
        <f>IFERROR(__xludf.DUMMYFUNCTION("""COMPUTED_VALUE"""),"Central")</f>
        <v>Central</v>
      </c>
      <c r="M66" s="22" t="str">
        <f>IFERROR(__xludf.DUMMYFUNCTION("""COMPUTED_VALUE"""),"Technology")</f>
        <v>Technology</v>
      </c>
      <c r="N66" s="18">
        <f>IFERROR(__xludf.DUMMYFUNCTION("""COMPUTED_VALUE"""),408.744)</f>
        <v>408.744</v>
      </c>
      <c r="O66" s="18">
        <f>IFERROR(__xludf.DUMMYFUNCTION("""COMPUTED_VALUE"""),408.52)</f>
        <v>408.52</v>
      </c>
      <c r="P66" s="22">
        <f>IFERROR(__xludf.DUMMYFUNCTION("""COMPUTED_VALUE"""),6.0)</f>
        <v>6</v>
      </c>
      <c r="Q66" s="18">
        <f>IFERROR(__xludf.DUMMYFUNCTION("""COMPUTED_VALUE"""),2452.464)</f>
        <v>2452.464</v>
      </c>
      <c r="R66" s="18">
        <f>IFERROR(__xludf.DUMMYFUNCTION("""COMPUTED_VALUE"""),2043.944)</f>
        <v>2043.944</v>
      </c>
    </row>
    <row r="67">
      <c r="A67" s="21">
        <f>IFERROR(__xludf.DUMMYFUNCTION("""COMPUTED_VALUE"""),42327.0)</f>
        <v>42327</v>
      </c>
      <c r="B67" s="21" t="str">
        <f>IFERROR(__xludf.DUMMYFUNCTION("""COMPUTED_VALUE"""),"Nov")</f>
        <v>Nov</v>
      </c>
      <c r="C67" s="9">
        <f>IFERROR(__xludf.DUMMYFUNCTION("""COMPUTED_VALUE"""),42332.0)</f>
        <v>42332</v>
      </c>
      <c r="D67" s="23" t="str">
        <f>IFERROR(__xludf.DUMMYFUNCTION("""COMPUTED_VALUE"""),"Nov")</f>
        <v>Nov</v>
      </c>
      <c r="E67" s="21" t="str">
        <f>IFERROR(__xludf.DUMMYFUNCTION("""COMPUTED_VALUE"""),"2015")</f>
        <v>2015</v>
      </c>
      <c r="F67" s="22" t="str">
        <f>IFERROR(__xludf.DUMMYFUNCTION("""COMPUTED_VALUE"""),"Second Class")</f>
        <v>Second Class</v>
      </c>
      <c r="G67" s="22" t="str">
        <f>IFERROR(__xludf.DUMMYFUNCTION("""COMPUTED_VALUE"""),"Robert")</f>
        <v>Robert</v>
      </c>
      <c r="H67" s="22" t="str">
        <f>IFERROR(__xludf.DUMMYFUNCTION("""COMPUTED_VALUE"""),"Marley")</f>
        <v>Marley</v>
      </c>
      <c r="I67" s="22" t="str">
        <f>IFERROR(__xludf.DUMMYFUNCTION("""COMPUTED_VALUE"""),"Home Office")</f>
        <v>Home Office</v>
      </c>
      <c r="J67" s="22" t="str">
        <f>IFERROR(__xludf.DUMMYFUNCTION("""COMPUTED_VALUE"""),"Monroe")</f>
        <v>Monroe</v>
      </c>
      <c r="K67" s="22" t="str">
        <f>IFERROR(__xludf.DUMMYFUNCTION("""COMPUTED_VALUE"""),"Louisiana")</f>
        <v>Louisiana</v>
      </c>
      <c r="L67" s="22" t="str">
        <f>IFERROR(__xludf.DUMMYFUNCTION("""COMPUTED_VALUE"""),"South")</f>
        <v>South</v>
      </c>
      <c r="M67" s="22" t="str">
        <f>IFERROR(__xludf.DUMMYFUNCTION("""COMPUTED_VALUE"""),"Technology")</f>
        <v>Technology</v>
      </c>
      <c r="N67" s="18">
        <f>IFERROR(__xludf.DUMMYFUNCTION("""COMPUTED_VALUE"""),503.96)</f>
        <v>503.96</v>
      </c>
      <c r="O67" s="18">
        <f>IFERROR(__xludf.DUMMYFUNCTION("""COMPUTED_VALUE"""),503.87)</f>
        <v>503.87</v>
      </c>
      <c r="P67" s="22">
        <f>IFERROR(__xludf.DUMMYFUNCTION("""COMPUTED_VALUE"""),7.0)</f>
        <v>7</v>
      </c>
      <c r="Q67" s="18">
        <f>IFERROR(__xludf.DUMMYFUNCTION("""COMPUTED_VALUE"""),3527.72)</f>
        <v>3527.72</v>
      </c>
      <c r="R67" s="18">
        <f>IFERROR(__xludf.DUMMYFUNCTION("""COMPUTED_VALUE"""),3023.85)</f>
        <v>3023.85</v>
      </c>
    </row>
    <row r="68">
      <c r="A68" s="21">
        <f>IFERROR(__xludf.DUMMYFUNCTION("""COMPUTED_VALUE"""),42327.0)</f>
        <v>42327</v>
      </c>
      <c r="B68" s="21" t="str">
        <f>IFERROR(__xludf.DUMMYFUNCTION("""COMPUTED_VALUE"""),"Nov")</f>
        <v>Nov</v>
      </c>
      <c r="C68" s="9">
        <f>IFERROR(__xludf.DUMMYFUNCTION("""COMPUTED_VALUE"""),42332.0)</f>
        <v>42332</v>
      </c>
      <c r="D68" s="23" t="str">
        <f>IFERROR(__xludf.DUMMYFUNCTION("""COMPUTED_VALUE"""),"Nov")</f>
        <v>Nov</v>
      </c>
      <c r="E68" s="21" t="str">
        <f>IFERROR(__xludf.DUMMYFUNCTION("""COMPUTED_VALUE"""),"2015")</f>
        <v>2015</v>
      </c>
      <c r="F68" s="22" t="str">
        <f>IFERROR(__xludf.DUMMYFUNCTION("""COMPUTED_VALUE"""),"Second Class")</f>
        <v>Second Class</v>
      </c>
      <c r="G68" s="22" t="str">
        <f>IFERROR(__xludf.DUMMYFUNCTION("""COMPUTED_VALUE"""),"Robert")</f>
        <v>Robert</v>
      </c>
      <c r="H68" s="22" t="str">
        <f>IFERROR(__xludf.DUMMYFUNCTION("""COMPUTED_VALUE"""),"Marley")</f>
        <v>Marley</v>
      </c>
      <c r="I68" s="22" t="str">
        <f>IFERROR(__xludf.DUMMYFUNCTION("""COMPUTED_VALUE"""),"Home Office")</f>
        <v>Home Office</v>
      </c>
      <c r="J68" s="22" t="str">
        <f>IFERROR(__xludf.DUMMYFUNCTION("""COMPUTED_VALUE"""),"Monroe")</f>
        <v>Monroe</v>
      </c>
      <c r="K68" s="22" t="str">
        <f>IFERROR(__xludf.DUMMYFUNCTION("""COMPUTED_VALUE"""),"Louisiana")</f>
        <v>Louisiana</v>
      </c>
      <c r="L68" s="22" t="str">
        <f>IFERROR(__xludf.DUMMYFUNCTION("""COMPUTED_VALUE"""),"South")</f>
        <v>South</v>
      </c>
      <c r="M68" s="22" t="str">
        <f>IFERROR(__xludf.DUMMYFUNCTION("""COMPUTED_VALUE"""),"Technology")</f>
        <v>Technology</v>
      </c>
      <c r="N68" s="18">
        <f>IFERROR(__xludf.DUMMYFUNCTION("""COMPUTED_VALUE"""),149.95)</f>
        <v>149.95</v>
      </c>
      <c r="O68" s="18">
        <f>IFERROR(__xludf.DUMMYFUNCTION("""COMPUTED_VALUE"""),149.34)</f>
        <v>149.34</v>
      </c>
      <c r="P68" s="22">
        <f>IFERROR(__xludf.DUMMYFUNCTION("""COMPUTED_VALUE"""),7.0)</f>
        <v>7</v>
      </c>
      <c r="Q68" s="18">
        <f>IFERROR(__xludf.DUMMYFUNCTION("""COMPUTED_VALUE"""),1049.6499999999999)</f>
        <v>1049.65</v>
      </c>
      <c r="R68" s="18">
        <f>IFERROR(__xludf.DUMMYFUNCTION("""COMPUTED_VALUE"""),900.3099999999998)</f>
        <v>900.31</v>
      </c>
    </row>
    <row r="69">
      <c r="A69" s="21">
        <f>IFERROR(__xludf.DUMMYFUNCTION("""COMPUTED_VALUE"""),42242.0)</f>
        <v>42242</v>
      </c>
      <c r="B69" s="21" t="str">
        <f>IFERROR(__xludf.DUMMYFUNCTION("""COMPUTED_VALUE"""),"Aug")</f>
        <v>Aug</v>
      </c>
      <c r="C69" s="9">
        <f>IFERROR(__xludf.DUMMYFUNCTION("""COMPUTED_VALUE"""),42246.0)</f>
        <v>42246</v>
      </c>
      <c r="D69" s="23" t="str">
        <f>IFERROR(__xludf.DUMMYFUNCTION("""COMPUTED_VALUE"""),"Aug")</f>
        <v>Aug</v>
      </c>
      <c r="E69" s="21" t="str">
        <f>IFERROR(__xludf.DUMMYFUNCTION("""COMPUTED_VALUE"""),"2015")</f>
        <v>2015</v>
      </c>
      <c r="F69" s="22" t="str">
        <f>IFERROR(__xludf.DUMMYFUNCTION("""COMPUTED_VALUE"""),"Standard Class")</f>
        <v>Standard Class</v>
      </c>
      <c r="G69" s="22" t="str">
        <f>IFERROR(__xludf.DUMMYFUNCTION("""COMPUTED_VALUE"""),"Frank")</f>
        <v>Frank</v>
      </c>
      <c r="H69" s="22" t="str">
        <f>IFERROR(__xludf.DUMMYFUNCTION("""COMPUTED_VALUE"""),"Merwin")</f>
        <v>Merwin</v>
      </c>
      <c r="I69" s="22" t="str">
        <f>IFERROR(__xludf.DUMMYFUNCTION("""COMPUTED_VALUE"""),"Home Office")</f>
        <v>Home Office</v>
      </c>
      <c r="J69" s="22" t="str">
        <f>IFERROR(__xludf.DUMMYFUNCTION("""COMPUTED_VALUE"""),"Los Angeles")</f>
        <v>Los Angeles</v>
      </c>
      <c r="K69" s="22" t="str">
        <f>IFERROR(__xludf.DUMMYFUNCTION("""COMPUTED_VALUE"""),"California")</f>
        <v>California</v>
      </c>
      <c r="L69" s="22" t="str">
        <f>IFERROR(__xludf.DUMMYFUNCTION("""COMPUTED_VALUE"""),"West")</f>
        <v>West</v>
      </c>
      <c r="M69" s="22" t="str">
        <f>IFERROR(__xludf.DUMMYFUNCTION("""COMPUTED_VALUE"""),"Technology")</f>
        <v>Technology</v>
      </c>
      <c r="N69" s="18">
        <f>IFERROR(__xludf.DUMMYFUNCTION("""COMPUTED_VALUE"""),176.8)</f>
        <v>176.8</v>
      </c>
      <c r="O69" s="18">
        <f>IFERROR(__xludf.DUMMYFUNCTION("""COMPUTED_VALUE"""),176.49)</f>
        <v>176.49</v>
      </c>
      <c r="P69" s="22">
        <f>IFERROR(__xludf.DUMMYFUNCTION("""COMPUTED_VALUE"""),9.0)</f>
        <v>9</v>
      </c>
      <c r="Q69" s="18">
        <f>IFERROR(__xludf.DUMMYFUNCTION("""COMPUTED_VALUE"""),1591.2)</f>
        <v>1591.2</v>
      </c>
      <c r="R69" s="18">
        <f>IFERROR(__xludf.DUMMYFUNCTION("""COMPUTED_VALUE"""),1414.71)</f>
        <v>1414.71</v>
      </c>
    </row>
    <row r="70">
      <c r="A70" s="21">
        <f>IFERROR(__xludf.DUMMYFUNCTION("""COMPUTED_VALUE"""),42071.0)</f>
        <v>42071</v>
      </c>
      <c r="B70" s="21" t="str">
        <f>IFERROR(__xludf.DUMMYFUNCTION("""COMPUTED_VALUE"""),"Mar")</f>
        <v>Mar</v>
      </c>
      <c r="C70" s="9">
        <f>IFERROR(__xludf.DUMMYFUNCTION("""COMPUTED_VALUE"""),42132.0)</f>
        <v>42132</v>
      </c>
      <c r="D70" s="23" t="str">
        <f>IFERROR(__xludf.DUMMYFUNCTION("""COMPUTED_VALUE"""),"May")</f>
        <v>May</v>
      </c>
      <c r="E70" s="21" t="str">
        <f>IFERROR(__xludf.DUMMYFUNCTION("""COMPUTED_VALUE"""),"2015")</f>
        <v>2015</v>
      </c>
      <c r="F70" s="22" t="str">
        <f>IFERROR(__xludf.DUMMYFUNCTION("""COMPUTED_VALUE"""),"First Class")</f>
        <v>First Class</v>
      </c>
      <c r="G70" s="22" t="str">
        <f>IFERROR(__xludf.DUMMYFUNCTION("""COMPUTED_VALUE"""),"Bruce")</f>
        <v>Bruce</v>
      </c>
      <c r="H70" s="22" t="str">
        <f>IFERROR(__xludf.DUMMYFUNCTION("""COMPUTED_VALUE"""),"Stewart")</f>
        <v>Stewart</v>
      </c>
      <c r="I70" s="22" t="str">
        <f>IFERROR(__xludf.DUMMYFUNCTION("""COMPUTED_VALUE"""),"Consumer")</f>
        <v>Consumer</v>
      </c>
      <c r="J70" s="22" t="str">
        <f>IFERROR(__xludf.DUMMYFUNCTION("""COMPUTED_VALUE"""),"Denver")</f>
        <v>Denver</v>
      </c>
      <c r="K70" s="22" t="str">
        <f>IFERROR(__xludf.DUMMYFUNCTION("""COMPUTED_VALUE"""),"Colorado")</f>
        <v>Colorado</v>
      </c>
      <c r="L70" s="22" t="str">
        <f>IFERROR(__xludf.DUMMYFUNCTION("""COMPUTED_VALUE"""),"West")</f>
        <v>West</v>
      </c>
      <c r="M70" s="22" t="str">
        <f>IFERROR(__xludf.DUMMYFUNCTION("""COMPUTED_VALUE"""),"Furniture")</f>
        <v>Furniture</v>
      </c>
      <c r="N70" s="18">
        <f>IFERROR(__xludf.DUMMYFUNCTION("""COMPUTED_VALUE"""),218.75)</f>
        <v>218.75</v>
      </c>
      <c r="O70" s="18">
        <f>IFERROR(__xludf.DUMMYFUNCTION("""COMPUTED_VALUE"""),218.11)</f>
        <v>218.11</v>
      </c>
      <c r="P70" s="22">
        <f>IFERROR(__xludf.DUMMYFUNCTION("""COMPUTED_VALUE"""),8.0)</f>
        <v>8</v>
      </c>
      <c r="Q70" s="18">
        <f>IFERROR(__xludf.DUMMYFUNCTION("""COMPUTED_VALUE"""),1750.0)</f>
        <v>1750</v>
      </c>
      <c r="R70" s="18">
        <f>IFERROR(__xludf.DUMMYFUNCTION("""COMPUTED_VALUE"""),1531.8899999999999)</f>
        <v>1531.89</v>
      </c>
    </row>
    <row r="71">
      <c r="A71" s="21">
        <f>IFERROR(__xludf.DUMMYFUNCTION("""COMPUTED_VALUE"""),43355.0)</f>
        <v>43355</v>
      </c>
      <c r="B71" s="21" t="str">
        <f>IFERROR(__xludf.DUMMYFUNCTION("""COMPUTED_VALUE"""),"Sep")</f>
        <v>Sep</v>
      </c>
      <c r="C71" s="9">
        <f>IFERROR(__xludf.DUMMYFUNCTION("""COMPUTED_VALUE"""),43448.0)</f>
        <v>43448</v>
      </c>
      <c r="D71" s="23" t="str">
        <f>IFERROR(__xludf.DUMMYFUNCTION("""COMPUTED_VALUE"""),"Dec")</f>
        <v>Dec</v>
      </c>
      <c r="E71" s="21" t="str">
        <f>IFERROR(__xludf.DUMMYFUNCTION("""COMPUTED_VALUE"""),"2018")</f>
        <v>2018</v>
      </c>
      <c r="F71" s="22" t="str">
        <f>IFERROR(__xludf.DUMMYFUNCTION("""COMPUTED_VALUE"""),"Standard Class")</f>
        <v>Standard Class</v>
      </c>
      <c r="G71" s="22" t="str">
        <f>IFERROR(__xludf.DUMMYFUNCTION("""COMPUTED_VALUE"""),"Laurel")</f>
        <v>Laurel</v>
      </c>
      <c r="H71" s="22" t="str">
        <f>IFERROR(__xludf.DUMMYFUNCTION("""COMPUTED_VALUE"""),"Elliston")</f>
        <v>Elliston</v>
      </c>
      <c r="I71" s="22" t="str">
        <f>IFERROR(__xludf.DUMMYFUNCTION("""COMPUTED_VALUE"""),"Consumer")</f>
        <v>Consumer</v>
      </c>
      <c r="J71" s="22" t="str">
        <f>IFERROR(__xludf.DUMMYFUNCTION("""COMPUTED_VALUE"""),"Whittier")</f>
        <v>Whittier</v>
      </c>
      <c r="K71" s="22" t="str">
        <f>IFERROR(__xludf.DUMMYFUNCTION("""COMPUTED_VALUE"""),"California")</f>
        <v>California</v>
      </c>
      <c r="L71" s="22" t="str">
        <f>IFERROR(__xludf.DUMMYFUNCTION("""COMPUTED_VALUE"""),"West")</f>
        <v>West</v>
      </c>
      <c r="M71" s="22" t="str">
        <f>IFERROR(__xludf.DUMMYFUNCTION("""COMPUTED_VALUE"""),"Technology")</f>
        <v>Technology</v>
      </c>
      <c r="N71" s="18">
        <f>IFERROR(__xludf.DUMMYFUNCTION("""COMPUTED_VALUE"""),444.768)</f>
        <v>444.768</v>
      </c>
      <c r="O71" s="18">
        <f>IFERROR(__xludf.DUMMYFUNCTION("""COMPUTED_VALUE"""),444.02)</f>
        <v>444.02</v>
      </c>
      <c r="P71" s="22">
        <f>IFERROR(__xludf.DUMMYFUNCTION("""COMPUTED_VALUE"""),9.0)</f>
        <v>9</v>
      </c>
      <c r="Q71" s="18">
        <f>IFERROR(__xludf.DUMMYFUNCTION("""COMPUTED_VALUE"""),4002.912)</f>
        <v>4002.912</v>
      </c>
      <c r="R71" s="18">
        <f>IFERROR(__xludf.DUMMYFUNCTION("""COMPUTED_VALUE"""),3558.892)</f>
        <v>3558.892</v>
      </c>
    </row>
    <row r="72">
      <c r="A72" s="21">
        <f>IFERROR(__xludf.DUMMYFUNCTION("""COMPUTED_VALUE"""),42401.0)</f>
        <v>42401</v>
      </c>
      <c r="B72" s="21" t="str">
        <f>IFERROR(__xludf.DUMMYFUNCTION("""COMPUTED_VALUE"""),"Feb")</f>
        <v>Feb</v>
      </c>
      <c r="C72" s="9">
        <f>IFERROR(__xludf.DUMMYFUNCTION("""COMPUTED_VALUE"""),42614.0)</f>
        <v>42614</v>
      </c>
      <c r="D72" s="23" t="str">
        <f>IFERROR(__xludf.DUMMYFUNCTION("""COMPUTED_VALUE"""),"Sep")</f>
        <v>Sep</v>
      </c>
      <c r="E72" s="21" t="str">
        <f>IFERROR(__xludf.DUMMYFUNCTION("""COMPUTED_VALUE"""),"2016")</f>
        <v>2016</v>
      </c>
      <c r="F72" s="22" t="str">
        <f>IFERROR(__xludf.DUMMYFUNCTION("""COMPUTED_VALUE"""),"Standard Class")</f>
        <v>Standard Class</v>
      </c>
      <c r="G72" s="22" t="str">
        <f>IFERROR(__xludf.DUMMYFUNCTION("""COMPUTED_VALUE"""),"Victoria")</f>
        <v>Victoria</v>
      </c>
      <c r="H72" s="22" t="str">
        <f>IFERROR(__xludf.DUMMYFUNCTION("""COMPUTED_VALUE"""),"Wilson")</f>
        <v>Wilson</v>
      </c>
      <c r="I72" s="22" t="str">
        <f>IFERROR(__xludf.DUMMYFUNCTION("""COMPUTED_VALUE"""),"Corporate")</f>
        <v>Corporate</v>
      </c>
      <c r="J72" s="22" t="str">
        <f>IFERROR(__xludf.DUMMYFUNCTION("""COMPUTED_VALUE"""),"Medina")</f>
        <v>Medina</v>
      </c>
      <c r="K72" s="22" t="str">
        <f>IFERROR(__xludf.DUMMYFUNCTION("""COMPUTED_VALUE"""),"Ohio")</f>
        <v>Ohio</v>
      </c>
      <c r="L72" s="22" t="str">
        <f>IFERROR(__xludf.DUMMYFUNCTION("""COMPUTED_VALUE"""),"East")</f>
        <v>East</v>
      </c>
      <c r="M72" s="22" t="str">
        <f>IFERROR(__xludf.DUMMYFUNCTION("""COMPUTED_VALUE"""),"Furniture")</f>
        <v>Furniture</v>
      </c>
      <c r="N72" s="18">
        <f>IFERROR(__xludf.DUMMYFUNCTION("""COMPUTED_VALUE"""),452.45)</f>
        <v>452.45</v>
      </c>
      <c r="O72" s="18">
        <f>IFERROR(__xludf.DUMMYFUNCTION("""COMPUTED_VALUE"""),451.96)</f>
        <v>451.96</v>
      </c>
      <c r="P72" s="22">
        <f>IFERROR(__xludf.DUMMYFUNCTION("""COMPUTED_VALUE"""),4.0)</f>
        <v>4</v>
      </c>
      <c r="Q72" s="18">
        <f>IFERROR(__xludf.DUMMYFUNCTION("""COMPUTED_VALUE"""),1809.8)</f>
        <v>1809.8</v>
      </c>
      <c r="R72" s="18">
        <f>IFERROR(__xludf.DUMMYFUNCTION("""COMPUTED_VALUE"""),1357.84)</f>
        <v>1357.84</v>
      </c>
    </row>
    <row r="73">
      <c r="A73" s="21">
        <f>IFERROR(__xludf.DUMMYFUNCTION("""COMPUTED_VALUE"""),42401.0)</f>
        <v>42401</v>
      </c>
      <c r="B73" s="21" t="str">
        <f>IFERROR(__xludf.DUMMYFUNCTION("""COMPUTED_VALUE"""),"Feb")</f>
        <v>Feb</v>
      </c>
      <c r="C73" s="9">
        <f>IFERROR(__xludf.DUMMYFUNCTION("""COMPUTED_VALUE"""),42614.0)</f>
        <v>42614</v>
      </c>
      <c r="D73" s="23" t="str">
        <f>IFERROR(__xludf.DUMMYFUNCTION("""COMPUTED_VALUE"""),"Sep")</f>
        <v>Sep</v>
      </c>
      <c r="E73" s="21" t="str">
        <f>IFERROR(__xludf.DUMMYFUNCTION("""COMPUTED_VALUE"""),"2016")</f>
        <v>2016</v>
      </c>
      <c r="F73" s="22" t="str">
        <f>IFERROR(__xludf.DUMMYFUNCTION("""COMPUTED_VALUE"""),"Standard Class")</f>
        <v>Standard Class</v>
      </c>
      <c r="G73" s="22" t="str">
        <f>IFERROR(__xludf.DUMMYFUNCTION("""COMPUTED_VALUE"""),"Victoria")</f>
        <v>Victoria</v>
      </c>
      <c r="H73" s="22" t="str">
        <f>IFERROR(__xludf.DUMMYFUNCTION("""COMPUTED_VALUE"""),"Wilson")</f>
        <v>Wilson</v>
      </c>
      <c r="I73" s="22" t="str">
        <f>IFERROR(__xludf.DUMMYFUNCTION("""COMPUTED_VALUE"""),"Corporate")</f>
        <v>Corporate</v>
      </c>
      <c r="J73" s="22" t="str">
        <f>IFERROR(__xludf.DUMMYFUNCTION("""COMPUTED_VALUE"""),"Medina")</f>
        <v>Medina</v>
      </c>
      <c r="K73" s="22" t="str">
        <f>IFERROR(__xludf.DUMMYFUNCTION("""COMPUTED_VALUE"""),"Ohio")</f>
        <v>Ohio</v>
      </c>
      <c r="L73" s="22" t="str">
        <f>IFERROR(__xludf.DUMMYFUNCTION("""COMPUTED_VALUE"""),"East")</f>
        <v>East</v>
      </c>
      <c r="M73" s="22" t="str">
        <f>IFERROR(__xludf.DUMMYFUNCTION("""COMPUTED_VALUE"""),"Technology")</f>
        <v>Technology</v>
      </c>
      <c r="N73" s="18">
        <f>IFERROR(__xludf.DUMMYFUNCTION("""COMPUTED_VALUE"""),1188.0)</f>
        <v>1188</v>
      </c>
      <c r="O73" s="18">
        <f>IFERROR(__xludf.DUMMYFUNCTION("""COMPUTED_VALUE"""),1187.52)</f>
        <v>1187.52</v>
      </c>
      <c r="P73" s="22">
        <f>IFERROR(__xludf.DUMMYFUNCTION("""COMPUTED_VALUE"""),4.0)</f>
        <v>4</v>
      </c>
      <c r="Q73" s="18">
        <f>IFERROR(__xludf.DUMMYFUNCTION("""COMPUTED_VALUE"""),4752.0)</f>
        <v>4752</v>
      </c>
      <c r="R73" s="18">
        <f>IFERROR(__xludf.DUMMYFUNCTION("""COMPUTED_VALUE"""),3564.48)</f>
        <v>3564.48</v>
      </c>
    </row>
    <row r="74">
      <c r="A74" s="21">
        <f>IFERROR(__xludf.DUMMYFUNCTION("""COMPUTED_VALUE"""),43036.0)</f>
        <v>43036</v>
      </c>
      <c r="B74" s="21" t="str">
        <f>IFERROR(__xludf.DUMMYFUNCTION("""COMPUTED_VALUE"""),"Oct")</f>
        <v>Oct</v>
      </c>
      <c r="C74" s="9">
        <f>IFERROR(__xludf.DUMMYFUNCTION("""COMPUTED_VALUE"""),42746.0)</f>
        <v>42746</v>
      </c>
      <c r="D74" s="23" t="str">
        <f>IFERROR(__xludf.DUMMYFUNCTION("""COMPUTED_VALUE"""),"Jan")</f>
        <v>Jan</v>
      </c>
      <c r="E74" s="21" t="str">
        <f>IFERROR(__xludf.DUMMYFUNCTION("""COMPUTED_VALUE"""),"2017")</f>
        <v>2017</v>
      </c>
      <c r="F74" s="22" t="str">
        <f>IFERROR(__xludf.DUMMYFUNCTION("""COMPUTED_VALUE"""),"Standard Class")</f>
        <v>Standard Class</v>
      </c>
      <c r="G74" s="22" t="str">
        <f>IFERROR(__xludf.DUMMYFUNCTION("""COMPUTED_VALUE"""),"Jonathan")</f>
        <v>Jonathan</v>
      </c>
      <c r="H74" s="22" t="str">
        <f>IFERROR(__xludf.DUMMYFUNCTION("""COMPUTED_VALUE"""),"Howell")</f>
        <v>Howell</v>
      </c>
      <c r="I74" s="22" t="str">
        <f>IFERROR(__xludf.DUMMYFUNCTION("""COMPUTED_VALUE"""),"Consumer")</f>
        <v>Consumer</v>
      </c>
      <c r="J74" s="22" t="str">
        <f>IFERROR(__xludf.DUMMYFUNCTION("""COMPUTED_VALUE"""),"Los Angeles")</f>
        <v>Los Angeles</v>
      </c>
      <c r="K74" s="22" t="str">
        <f>IFERROR(__xludf.DUMMYFUNCTION("""COMPUTED_VALUE"""),"California")</f>
        <v>California</v>
      </c>
      <c r="L74" s="22" t="str">
        <f>IFERROR(__xludf.DUMMYFUNCTION("""COMPUTED_VALUE"""),"West")</f>
        <v>West</v>
      </c>
      <c r="M74" s="22" t="str">
        <f>IFERROR(__xludf.DUMMYFUNCTION("""COMPUTED_VALUE"""),"Office Supplies")</f>
        <v>Office Supplies</v>
      </c>
      <c r="N74" s="18">
        <f>IFERROR(__xludf.DUMMYFUNCTION("""COMPUTED_VALUE"""),93.06)</f>
        <v>93.06</v>
      </c>
      <c r="O74" s="18">
        <f>IFERROR(__xludf.DUMMYFUNCTION("""COMPUTED_VALUE"""),92.37)</f>
        <v>92.37</v>
      </c>
      <c r="P74" s="22">
        <f>IFERROR(__xludf.DUMMYFUNCTION("""COMPUTED_VALUE"""),9.0)</f>
        <v>9</v>
      </c>
      <c r="Q74" s="18">
        <f>IFERROR(__xludf.DUMMYFUNCTION("""COMPUTED_VALUE"""),837.54)</f>
        <v>837.54</v>
      </c>
      <c r="R74" s="18">
        <f>IFERROR(__xludf.DUMMYFUNCTION("""COMPUTED_VALUE"""),745.17)</f>
        <v>745.17</v>
      </c>
    </row>
    <row r="75">
      <c r="A75" s="21">
        <f>IFERROR(__xludf.DUMMYFUNCTION("""COMPUTED_VALUE"""),43036.0)</f>
        <v>43036</v>
      </c>
      <c r="B75" s="21" t="str">
        <f>IFERROR(__xludf.DUMMYFUNCTION("""COMPUTED_VALUE"""),"Oct")</f>
        <v>Oct</v>
      </c>
      <c r="C75" s="9">
        <f>IFERROR(__xludf.DUMMYFUNCTION("""COMPUTED_VALUE"""),42746.0)</f>
        <v>42746</v>
      </c>
      <c r="D75" s="23" t="str">
        <f>IFERROR(__xludf.DUMMYFUNCTION("""COMPUTED_VALUE"""),"Jan")</f>
        <v>Jan</v>
      </c>
      <c r="E75" s="21" t="str">
        <f>IFERROR(__xludf.DUMMYFUNCTION("""COMPUTED_VALUE"""),"2017")</f>
        <v>2017</v>
      </c>
      <c r="F75" s="22" t="str">
        <f>IFERROR(__xludf.DUMMYFUNCTION("""COMPUTED_VALUE"""),"Standard Class")</f>
        <v>Standard Class</v>
      </c>
      <c r="G75" s="22" t="str">
        <f>IFERROR(__xludf.DUMMYFUNCTION("""COMPUTED_VALUE"""),"Jonathan")</f>
        <v>Jonathan</v>
      </c>
      <c r="H75" s="22" t="str">
        <f>IFERROR(__xludf.DUMMYFUNCTION("""COMPUTED_VALUE"""),"Howell")</f>
        <v>Howell</v>
      </c>
      <c r="I75" s="22" t="str">
        <f>IFERROR(__xludf.DUMMYFUNCTION("""COMPUTED_VALUE"""),"Consumer")</f>
        <v>Consumer</v>
      </c>
      <c r="J75" s="22" t="str">
        <f>IFERROR(__xludf.DUMMYFUNCTION("""COMPUTED_VALUE"""),"Los Angeles")</f>
        <v>Los Angeles</v>
      </c>
      <c r="K75" s="22" t="str">
        <f>IFERROR(__xludf.DUMMYFUNCTION("""COMPUTED_VALUE"""),"California")</f>
        <v>California</v>
      </c>
      <c r="L75" s="22" t="str">
        <f>IFERROR(__xludf.DUMMYFUNCTION("""COMPUTED_VALUE"""),"West")</f>
        <v>West</v>
      </c>
      <c r="M75" s="22" t="str">
        <f>IFERROR(__xludf.DUMMYFUNCTION("""COMPUTED_VALUE"""),"Technology")</f>
        <v>Technology</v>
      </c>
      <c r="N75" s="18">
        <f>IFERROR(__xludf.DUMMYFUNCTION("""COMPUTED_VALUE"""),302.376)</f>
        <v>302.376</v>
      </c>
      <c r="O75" s="18">
        <f>IFERROR(__xludf.DUMMYFUNCTION("""COMPUTED_VALUE"""),301.89)</f>
        <v>301.89</v>
      </c>
      <c r="P75" s="22">
        <f>IFERROR(__xludf.DUMMYFUNCTION("""COMPUTED_VALUE"""),9.0)</f>
        <v>9</v>
      </c>
      <c r="Q75" s="18">
        <f>IFERROR(__xludf.DUMMYFUNCTION("""COMPUTED_VALUE"""),2721.384)</f>
        <v>2721.384</v>
      </c>
      <c r="R75" s="18">
        <f>IFERROR(__xludf.DUMMYFUNCTION("""COMPUTED_VALUE"""),2419.494)</f>
        <v>2419.494</v>
      </c>
    </row>
    <row r="76">
      <c r="A76" s="21">
        <f>IFERROR(__xludf.DUMMYFUNCTION("""COMPUTED_VALUE"""),42728.0)</f>
        <v>42728</v>
      </c>
      <c r="B76" s="21" t="str">
        <f>IFERROR(__xludf.DUMMYFUNCTION("""COMPUTED_VALUE"""),"Dec")</f>
        <v>Dec</v>
      </c>
      <c r="C76" s="9">
        <f>IFERROR(__xludf.DUMMYFUNCTION("""COMPUTED_VALUE"""),42731.0)</f>
        <v>42731</v>
      </c>
      <c r="D76" s="23" t="str">
        <f>IFERROR(__xludf.DUMMYFUNCTION("""COMPUTED_VALUE"""),"Dec")</f>
        <v>Dec</v>
      </c>
      <c r="E76" s="21" t="str">
        <f>IFERROR(__xludf.DUMMYFUNCTION("""COMPUTED_VALUE"""),"2016")</f>
        <v>2016</v>
      </c>
      <c r="F76" s="22" t="str">
        <f>IFERROR(__xludf.DUMMYFUNCTION("""COMPUTED_VALUE"""),"First Class")</f>
        <v>First Class</v>
      </c>
      <c r="G76" s="22" t="str">
        <f>IFERROR(__xludf.DUMMYFUNCTION("""COMPUTED_VALUE"""),"Joni")</f>
        <v>Joni</v>
      </c>
      <c r="H76" s="22" t="str">
        <f>IFERROR(__xludf.DUMMYFUNCTION("""COMPUTED_VALUE"""),"Blumstein")</f>
        <v>Blumstein</v>
      </c>
      <c r="I76" s="22" t="str">
        <f>IFERROR(__xludf.DUMMYFUNCTION("""COMPUTED_VALUE"""),"Consumer")</f>
        <v>Consumer</v>
      </c>
      <c r="J76" s="22" t="str">
        <f>IFERROR(__xludf.DUMMYFUNCTION("""COMPUTED_VALUE"""),"Dublin")</f>
        <v>Dublin</v>
      </c>
      <c r="K76" s="22" t="str">
        <f>IFERROR(__xludf.DUMMYFUNCTION("""COMPUTED_VALUE"""),"Ohio")</f>
        <v>Ohio</v>
      </c>
      <c r="L76" s="22" t="str">
        <f>IFERROR(__xludf.DUMMYFUNCTION("""COMPUTED_VALUE"""),"East")</f>
        <v>East</v>
      </c>
      <c r="M76" s="22" t="str">
        <f>IFERROR(__xludf.DUMMYFUNCTION("""COMPUTED_VALUE"""),"Technology")</f>
        <v>Technology</v>
      </c>
      <c r="N76" s="18">
        <f>IFERROR(__xludf.DUMMYFUNCTION("""COMPUTED_VALUE"""),479.988)</f>
        <v>479.988</v>
      </c>
      <c r="O76" s="18">
        <f>IFERROR(__xludf.DUMMYFUNCTION("""COMPUTED_VALUE"""),479.35)</f>
        <v>479.35</v>
      </c>
      <c r="P76" s="22">
        <f>IFERROR(__xludf.DUMMYFUNCTION("""COMPUTED_VALUE"""),4.0)</f>
        <v>4</v>
      </c>
      <c r="Q76" s="18">
        <f>IFERROR(__xludf.DUMMYFUNCTION("""COMPUTED_VALUE"""),1919.952)</f>
        <v>1919.952</v>
      </c>
      <c r="R76" s="18">
        <f>IFERROR(__xludf.DUMMYFUNCTION("""COMPUTED_VALUE"""),1440.6019999999999)</f>
        <v>1440.602</v>
      </c>
    </row>
    <row r="77">
      <c r="A77" s="21">
        <f>IFERROR(__xludf.DUMMYFUNCTION("""COMPUTED_VALUE"""),42621.0)</f>
        <v>42621</v>
      </c>
      <c r="B77" s="21" t="str">
        <f>IFERROR(__xludf.DUMMYFUNCTION("""COMPUTED_VALUE"""),"Sep")</f>
        <v>Sep</v>
      </c>
      <c r="C77" s="9">
        <f>IFERROR(__xludf.DUMMYFUNCTION("""COMPUTED_VALUE"""),42598.0)</f>
        <v>42598</v>
      </c>
      <c r="D77" s="23" t="str">
        <f>IFERROR(__xludf.DUMMYFUNCTION("""COMPUTED_VALUE"""),"Aug")</f>
        <v>Aug</v>
      </c>
      <c r="E77" s="21" t="str">
        <f>IFERROR(__xludf.DUMMYFUNCTION("""COMPUTED_VALUE"""),"2016")</f>
        <v>2016</v>
      </c>
      <c r="F77" s="22" t="str">
        <f>IFERROR(__xludf.DUMMYFUNCTION("""COMPUTED_VALUE"""),"Standard Class")</f>
        <v>Standard Class</v>
      </c>
      <c r="G77" s="22" t="str">
        <f>IFERROR(__xludf.DUMMYFUNCTION("""COMPUTED_VALUE"""),"David")</f>
        <v>David</v>
      </c>
      <c r="H77" s="22" t="str">
        <f>IFERROR(__xludf.DUMMYFUNCTION("""COMPUTED_VALUE"""),"Smith")</f>
        <v>Smith</v>
      </c>
      <c r="I77" s="22" t="str">
        <f>IFERROR(__xludf.DUMMYFUNCTION("""COMPUTED_VALUE"""),"Corporate")</f>
        <v>Corporate</v>
      </c>
      <c r="J77" s="22" t="str">
        <f>IFERROR(__xludf.DUMMYFUNCTION("""COMPUTED_VALUE"""),"Detroit")</f>
        <v>Detroit</v>
      </c>
      <c r="K77" s="22" t="str">
        <f>IFERROR(__xludf.DUMMYFUNCTION("""COMPUTED_VALUE"""),"Michigan")</f>
        <v>Michigan</v>
      </c>
      <c r="L77" s="22" t="str">
        <f>IFERROR(__xludf.DUMMYFUNCTION("""COMPUTED_VALUE"""),"Central")</f>
        <v>Central</v>
      </c>
      <c r="M77" s="22" t="str">
        <f>IFERROR(__xludf.DUMMYFUNCTION("""COMPUTED_VALUE"""),"Furniture")</f>
        <v>Furniture</v>
      </c>
      <c r="N77" s="18">
        <f>IFERROR(__xludf.DUMMYFUNCTION("""COMPUTED_VALUE"""),622.45)</f>
        <v>622.45</v>
      </c>
      <c r="O77" s="18">
        <f>IFERROR(__xludf.DUMMYFUNCTION("""COMPUTED_VALUE"""),622.09)</f>
        <v>622.09</v>
      </c>
      <c r="P77" s="22">
        <f>IFERROR(__xludf.DUMMYFUNCTION("""COMPUTED_VALUE"""),4.0)</f>
        <v>4</v>
      </c>
      <c r="Q77" s="18">
        <f>IFERROR(__xludf.DUMMYFUNCTION("""COMPUTED_VALUE"""),2489.8)</f>
        <v>2489.8</v>
      </c>
      <c r="R77" s="18">
        <f>IFERROR(__xludf.DUMMYFUNCTION("""COMPUTED_VALUE"""),1867.71)</f>
        <v>1867.71</v>
      </c>
    </row>
    <row r="78">
      <c r="A78" s="21">
        <f>IFERROR(__xludf.DUMMYFUNCTION("""COMPUTED_VALUE"""),42428.0)</f>
        <v>42428</v>
      </c>
      <c r="B78" s="21" t="str">
        <f>IFERROR(__xludf.DUMMYFUNCTION("""COMPUTED_VALUE"""),"Feb")</f>
        <v>Feb</v>
      </c>
      <c r="C78" s="9">
        <f>IFERROR(__xludf.DUMMYFUNCTION("""COMPUTED_VALUE"""),42463.0)</f>
        <v>42463</v>
      </c>
      <c r="D78" s="23" t="str">
        <f>IFERROR(__xludf.DUMMYFUNCTION("""COMPUTED_VALUE"""),"Apr")</f>
        <v>Apr</v>
      </c>
      <c r="E78" s="21" t="str">
        <f>IFERROR(__xludf.DUMMYFUNCTION("""COMPUTED_VALUE"""),"2016")</f>
        <v>2016</v>
      </c>
      <c r="F78" s="22" t="str">
        <f>IFERROR(__xludf.DUMMYFUNCTION("""COMPUTED_VALUE"""),"Standard Class")</f>
        <v>Standard Class</v>
      </c>
      <c r="G78" s="22" t="str">
        <f>IFERROR(__xludf.DUMMYFUNCTION("""COMPUTED_VALUE"""),"Valerie")</f>
        <v>Valerie</v>
      </c>
      <c r="H78" s="22" t="str">
        <f>IFERROR(__xludf.DUMMYFUNCTION("""COMPUTED_VALUE"""),"Dominguez")</f>
        <v>Dominguez</v>
      </c>
      <c r="I78" s="22" t="str">
        <f>IFERROR(__xludf.DUMMYFUNCTION("""COMPUTED_VALUE"""),"Consumer")</f>
        <v>Consumer</v>
      </c>
      <c r="J78" s="22" t="str">
        <f>IFERROR(__xludf.DUMMYFUNCTION("""COMPUTED_VALUE"""),"Columbia")</f>
        <v>Columbia</v>
      </c>
      <c r="K78" s="22" t="str">
        <f>IFERROR(__xludf.DUMMYFUNCTION("""COMPUTED_VALUE"""),"Tennessee")</f>
        <v>Tennessee</v>
      </c>
      <c r="L78" s="22" t="str">
        <f>IFERROR(__xludf.DUMMYFUNCTION("""COMPUTED_VALUE"""),"South")</f>
        <v>South</v>
      </c>
      <c r="M78" s="22" t="str">
        <f>IFERROR(__xludf.DUMMYFUNCTION("""COMPUTED_VALUE"""),"Furniture")</f>
        <v>Furniture</v>
      </c>
      <c r="N78" s="18">
        <f>IFERROR(__xludf.DUMMYFUNCTION("""COMPUTED_VALUE"""),389.696)</f>
        <v>389.696</v>
      </c>
      <c r="O78" s="18">
        <f>IFERROR(__xludf.DUMMYFUNCTION("""COMPUTED_VALUE"""),389.21)</f>
        <v>389.21</v>
      </c>
      <c r="P78" s="22">
        <f>IFERROR(__xludf.DUMMYFUNCTION("""COMPUTED_VALUE"""),3.0)</f>
        <v>3</v>
      </c>
      <c r="Q78" s="18">
        <f>IFERROR(__xludf.DUMMYFUNCTION("""COMPUTED_VALUE"""),1169.0880000000002)</f>
        <v>1169.088</v>
      </c>
      <c r="R78" s="18">
        <f>IFERROR(__xludf.DUMMYFUNCTION("""COMPUTED_VALUE"""),779.8780000000002)</f>
        <v>779.878</v>
      </c>
    </row>
    <row r="79">
      <c r="A79" s="21">
        <f>IFERROR(__xludf.DUMMYFUNCTION("""COMPUTED_VALUE"""),43285.0)</f>
        <v>43285</v>
      </c>
      <c r="B79" s="21" t="str">
        <f>IFERROR(__xludf.DUMMYFUNCTION("""COMPUTED_VALUE"""),"Jul")</f>
        <v>Jul</v>
      </c>
      <c r="C79" s="9">
        <f>IFERROR(__xludf.DUMMYFUNCTION("""COMPUTED_VALUE"""),43438.0)</f>
        <v>43438</v>
      </c>
      <c r="D79" s="23" t="str">
        <f>IFERROR(__xludf.DUMMYFUNCTION("""COMPUTED_VALUE"""),"Dec")</f>
        <v>Dec</v>
      </c>
      <c r="E79" s="21" t="str">
        <f>IFERROR(__xludf.DUMMYFUNCTION("""COMPUTED_VALUE"""),"2018")</f>
        <v>2018</v>
      </c>
      <c r="F79" s="22" t="str">
        <f>IFERROR(__xludf.DUMMYFUNCTION("""COMPUTED_VALUE"""),"Standard Class")</f>
        <v>Standard Class</v>
      </c>
      <c r="G79" s="22" t="str">
        <f>IFERROR(__xludf.DUMMYFUNCTION("""COMPUTED_VALUE"""),"Christopher")</f>
        <v>Christopher</v>
      </c>
      <c r="H79" s="22" t="str">
        <f>IFERROR(__xludf.DUMMYFUNCTION("""COMPUTED_VALUE"""),"Schild")</f>
        <v>Schild</v>
      </c>
      <c r="I79" s="22" t="str">
        <f>IFERROR(__xludf.DUMMYFUNCTION("""COMPUTED_VALUE"""),"Home Office")</f>
        <v>Home Office</v>
      </c>
      <c r="J79" s="22" t="str">
        <f>IFERROR(__xludf.DUMMYFUNCTION("""COMPUTED_VALUE"""),"Tampa")</f>
        <v>Tampa</v>
      </c>
      <c r="K79" s="22" t="str">
        <f>IFERROR(__xludf.DUMMYFUNCTION("""COMPUTED_VALUE"""),"Florida")</f>
        <v>Florida</v>
      </c>
      <c r="L79" s="22" t="str">
        <f>IFERROR(__xludf.DUMMYFUNCTION("""COMPUTED_VALUE"""),"South")</f>
        <v>South</v>
      </c>
      <c r="M79" s="22" t="str">
        <f>IFERROR(__xludf.DUMMYFUNCTION("""COMPUTED_VALUE"""),"Furniture")</f>
        <v>Furniture</v>
      </c>
      <c r="N79" s="18">
        <f>IFERROR(__xludf.DUMMYFUNCTION("""COMPUTED_VALUE"""),620.6145)</f>
        <v>620.6145</v>
      </c>
      <c r="O79" s="18">
        <f>IFERROR(__xludf.DUMMYFUNCTION("""COMPUTED_VALUE"""),620.39)</f>
        <v>620.39</v>
      </c>
      <c r="P79" s="22">
        <f>IFERROR(__xludf.DUMMYFUNCTION("""COMPUTED_VALUE"""),3.0)</f>
        <v>3</v>
      </c>
      <c r="Q79" s="18">
        <f>IFERROR(__xludf.DUMMYFUNCTION("""COMPUTED_VALUE"""),1861.8435)</f>
        <v>1861.8435</v>
      </c>
      <c r="R79" s="18">
        <f>IFERROR(__xludf.DUMMYFUNCTION("""COMPUTED_VALUE"""),1241.4535)</f>
        <v>1241.4535</v>
      </c>
    </row>
    <row r="80">
      <c r="A80" s="21">
        <f>IFERROR(__xludf.DUMMYFUNCTION("""COMPUTED_VALUE"""),43285.0)</f>
        <v>43285</v>
      </c>
      <c r="B80" s="21" t="str">
        <f>IFERROR(__xludf.DUMMYFUNCTION("""COMPUTED_VALUE"""),"Jul")</f>
        <v>Jul</v>
      </c>
      <c r="C80" s="9">
        <f>IFERROR(__xludf.DUMMYFUNCTION("""COMPUTED_VALUE"""),43438.0)</f>
        <v>43438</v>
      </c>
      <c r="D80" s="23" t="str">
        <f>IFERROR(__xludf.DUMMYFUNCTION("""COMPUTED_VALUE"""),"Dec")</f>
        <v>Dec</v>
      </c>
      <c r="E80" s="21" t="str">
        <f>IFERROR(__xludf.DUMMYFUNCTION("""COMPUTED_VALUE"""),"2018")</f>
        <v>2018</v>
      </c>
      <c r="F80" s="22" t="str">
        <f>IFERROR(__xludf.DUMMYFUNCTION("""COMPUTED_VALUE"""),"Standard Class")</f>
        <v>Standard Class</v>
      </c>
      <c r="G80" s="22" t="str">
        <f>IFERROR(__xludf.DUMMYFUNCTION("""COMPUTED_VALUE"""),"Christopher")</f>
        <v>Christopher</v>
      </c>
      <c r="H80" s="22" t="str">
        <f>IFERROR(__xludf.DUMMYFUNCTION("""COMPUTED_VALUE"""),"Schild")</f>
        <v>Schild</v>
      </c>
      <c r="I80" s="22" t="str">
        <f>IFERROR(__xludf.DUMMYFUNCTION("""COMPUTED_VALUE"""),"Home Office")</f>
        <v>Home Office</v>
      </c>
      <c r="J80" s="22" t="str">
        <f>IFERROR(__xludf.DUMMYFUNCTION("""COMPUTED_VALUE"""),"Tampa")</f>
        <v>Tampa</v>
      </c>
      <c r="K80" s="22" t="str">
        <f>IFERROR(__xludf.DUMMYFUNCTION("""COMPUTED_VALUE"""),"Florida")</f>
        <v>Florida</v>
      </c>
      <c r="L80" s="22" t="str">
        <f>IFERROR(__xludf.DUMMYFUNCTION("""COMPUTED_VALUE"""),"South")</f>
        <v>South</v>
      </c>
      <c r="M80" s="22" t="str">
        <f>IFERROR(__xludf.DUMMYFUNCTION("""COMPUTED_VALUE"""),"Furniture")</f>
        <v>Furniture</v>
      </c>
      <c r="N80" s="18">
        <f>IFERROR(__xludf.DUMMYFUNCTION("""COMPUTED_VALUE"""),258.072)</f>
        <v>258.072</v>
      </c>
      <c r="O80" s="18">
        <f>IFERROR(__xludf.DUMMYFUNCTION("""COMPUTED_VALUE"""),258.03)</f>
        <v>258.03</v>
      </c>
      <c r="P80" s="22">
        <f>IFERROR(__xludf.DUMMYFUNCTION("""COMPUTED_VALUE"""),3.0)</f>
        <v>3</v>
      </c>
      <c r="Q80" s="18">
        <f>IFERROR(__xludf.DUMMYFUNCTION("""COMPUTED_VALUE"""),774.216)</f>
        <v>774.216</v>
      </c>
      <c r="R80" s="18">
        <f>IFERROR(__xludf.DUMMYFUNCTION("""COMPUTED_VALUE"""),516.186)</f>
        <v>516.186</v>
      </c>
    </row>
    <row r="81">
      <c r="A81" s="21">
        <f>IFERROR(__xludf.DUMMYFUNCTION("""COMPUTED_VALUE"""),43285.0)</f>
        <v>43285</v>
      </c>
      <c r="B81" s="21" t="str">
        <f>IFERROR(__xludf.DUMMYFUNCTION("""COMPUTED_VALUE"""),"Jul")</f>
        <v>Jul</v>
      </c>
      <c r="C81" s="9">
        <f>IFERROR(__xludf.DUMMYFUNCTION("""COMPUTED_VALUE"""),43438.0)</f>
        <v>43438</v>
      </c>
      <c r="D81" s="23" t="str">
        <f>IFERROR(__xludf.DUMMYFUNCTION("""COMPUTED_VALUE"""),"Dec")</f>
        <v>Dec</v>
      </c>
      <c r="E81" s="21" t="str">
        <f>IFERROR(__xludf.DUMMYFUNCTION("""COMPUTED_VALUE"""),"2018")</f>
        <v>2018</v>
      </c>
      <c r="F81" s="22" t="str">
        <f>IFERROR(__xludf.DUMMYFUNCTION("""COMPUTED_VALUE"""),"Standard Class")</f>
        <v>Standard Class</v>
      </c>
      <c r="G81" s="22" t="str">
        <f>IFERROR(__xludf.DUMMYFUNCTION("""COMPUTED_VALUE"""),"Christopher")</f>
        <v>Christopher</v>
      </c>
      <c r="H81" s="22" t="str">
        <f>IFERROR(__xludf.DUMMYFUNCTION("""COMPUTED_VALUE"""),"Schild")</f>
        <v>Schild</v>
      </c>
      <c r="I81" s="22" t="str">
        <f>IFERROR(__xludf.DUMMYFUNCTION("""COMPUTED_VALUE"""),"Home Office")</f>
        <v>Home Office</v>
      </c>
      <c r="J81" s="22" t="str">
        <f>IFERROR(__xludf.DUMMYFUNCTION("""COMPUTED_VALUE"""),"Tampa")</f>
        <v>Tampa</v>
      </c>
      <c r="K81" s="22" t="str">
        <f>IFERROR(__xludf.DUMMYFUNCTION("""COMPUTED_VALUE"""),"Florida")</f>
        <v>Florida</v>
      </c>
      <c r="L81" s="22" t="str">
        <f>IFERROR(__xludf.DUMMYFUNCTION("""COMPUTED_VALUE"""),"South")</f>
        <v>South</v>
      </c>
      <c r="M81" s="22" t="str">
        <f>IFERROR(__xludf.DUMMYFUNCTION("""COMPUTED_VALUE"""),"Technology")</f>
        <v>Technology</v>
      </c>
      <c r="N81" s="18">
        <f>IFERROR(__xludf.DUMMYFUNCTION("""COMPUTED_VALUE"""),617.976)</f>
        <v>617.976</v>
      </c>
      <c r="O81" s="18">
        <f>IFERROR(__xludf.DUMMYFUNCTION("""COMPUTED_VALUE"""),617.0)</f>
        <v>617</v>
      </c>
      <c r="P81" s="22">
        <f>IFERROR(__xludf.DUMMYFUNCTION("""COMPUTED_VALUE"""),3.0)</f>
        <v>3</v>
      </c>
      <c r="Q81" s="18">
        <f>IFERROR(__xludf.DUMMYFUNCTION("""COMPUTED_VALUE"""),1853.9279999999999)</f>
        <v>1853.928</v>
      </c>
      <c r="R81" s="18">
        <f>IFERROR(__xludf.DUMMYFUNCTION("""COMPUTED_VALUE"""),1236.9279999999999)</f>
        <v>1236.928</v>
      </c>
    </row>
    <row r="82">
      <c r="A82" s="21">
        <f>IFERROR(__xludf.DUMMYFUNCTION("""COMPUTED_VALUE"""),42831.0)</f>
        <v>42831</v>
      </c>
      <c r="B82" s="21" t="str">
        <f>IFERROR(__xludf.DUMMYFUNCTION("""COMPUTED_VALUE"""),"Apr")</f>
        <v>Apr</v>
      </c>
      <c r="C82" s="9">
        <f>IFERROR(__xludf.DUMMYFUNCTION("""COMPUTED_VALUE"""),42984.0)</f>
        <v>42984</v>
      </c>
      <c r="D82" s="23" t="str">
        <f>IFERROR(__xludf.DUMMYFUNCTION("""COMPUTED_VALUE"""),"Sep")</f>
        <v>Sep</v>
      </c>
      <c r="E82" s="21" t="str">
        <f>IFERROR(__xludf.DUMMYFUNCTION("""COMPUTED_VALUE"""),"2017")</f>
        <v>2017</v>
      </c>
      <c r="F82" s="22" t="str">
        <f>IFERROR(__xludf.DUMMYFUNCTION("""COMPUTED_VALUE"""),"Second Class")</f>
        <v>Second Class</v>
      </c>
      <c r="G82" s="22" t="str">
        <f>IFERROR(__xludf.DUMMYFUNCTION("""COMPUTED_VALUE"""),"Ken")</f>
        <v>Ken</v>
      </c>
      <c r="H82" s="22" t="str">
        <f>IFERROR(__xludf.DUMMYFUNCTION("""COMPUTED_VALUE"""),"Lonsdale")</f>
        <v>Lonsdale</v>
      </c>
      <c r="I82" s="22" t="str">
        <f>IFERROR(__xludf.DUMMYFUNCTION("""COMPUTED_VALUE"""),"Consumer")</f>
        <v>Consumer</v>
      </c>
      <c r="J82" s="22" t="str">
        <f>IFERROR(__xludf.DUMMYFUNCTION("""COMPUTED_VALUE"""),"Chicago")</f>
        <v>Chicago</v>
      </c>
      <c r="K82" s="22" t="str">
        <f>IFERROR(__xludf.DUMMYFUNCTION("""COMPUTED_VALUE"""),"Illinois")</f>
        <v>Illinois</v>
      </c>
      <c r="L82" s="22" t="str">
        <f>IFERROR(__xludf.DUMMYFUNCTION("""COMPUTED_VALUE"""),"Central")</f>
        <v>Central</v>
      </c>
      <c r="M82" s="22" t="str">
        <f>IFERROR(__xludf.DUMMYFUNCTION("""COMPUTED_VALUE"""),"Furniture")</f>
        <v>Furniture</v>
      </c>
      <c r="N82" s="18">
        <f>IFERROR(__xludf.DUMMYFUNCTION("""COMPUTED_VALUE"""),419.68)</f>
        <v>419.68</v>
      </c>
      <c r="O82" s="18">
        <f>IFERROR(__xludf.DUMMYFUNCTION("""COMPUTED_VALUE"""),418.98)</f>
        <v>418.98</v>
      </c>
      <c r="P82" s="22">
        <f>IFERROR(__xludf.DUMMYFUNCTION("""COMPUTED_VALUE"""),6.0)</f>
        <v>6</v>
      </c>
      <c r="Q82" s="18">
        <f>IFERROR(__xludf.DUMMYFUNCTION("""COMPUTED_VALUE"""),2518.08)</f>
        <v>2518.08</v>
      </c>
      <c r="R82" s="18">
        <f>IFERROR(__xludf.DUMMYFUNCTION("""COMPUTED_VALUE"""),2099.1)</f>
        <v>2099.1</v>
      </c>
    </row>
    <row r="83">
      <c r="A83" s="21">
        <f>IFERROR(__xludf.DUMMYFUNCTION("""COMPUTED_VALUE"""),42831.0)</f>
        <v>42831</v>
      </c>
      <c r="B83" s="21" t="str">
        <f>IFERROR(__xludf.DUMMYFUNCTION("""COMPUTED_VALUE"""),"Apr")</f>
        <v>Apr</v>
      </c>
      <c r="C83" s="9">
        <f>IFERROR(__xludf.DUMMYFUNCTION("""COMPUTED_VALUE"""),42984.0)</f>
        <v>42984</v>
      </c>
      <c r="D83" s="23" t="str">
        <f>IFERROR(__xludf.DUMMYFUNCTION("""COMPUTED_VALUE"""),"Sep")</f>
        <v>Sep</v>
      </c>
      <c r="E83" s="21" t="str">
        <f>IFERROR(__xludf.DUMMYFUNCTION("""COMPUTED_VALUE"""),"2017")</f>
        <v>2017</v>
      </c>
      <c r="F83" s="22" t="str">
        <f>IFERROR(__xludf.DUMMYFUNCTION("""COMPUTED_VALUE"""),"Second Class")</f>
        <v>Second Class</v>
      </c>
      <c r="G83" s="22" t="str">
        <f>IFERROR(__xludf.DUMMYFUNCTION("""COMPUTED_VALUE"""),"Ken")</f>
        <v>Ken</v>
      </c>
      <c r="H83" s="22" t="str">
        <f>IFERROR(__xludf.DUMMYFUNCTION("""COMPUTED_VALUE"""),"Lonsdale")</f>
        <v>Lonsdale</v>
      </c>
      <c r="I83" s="22" t="str">
        <f>IFERROR(__xludf.DUMMYFUNCTION("""COMPUTED_VALUE"""),"Consumer")</f>
        <v>Consumer</v>
      </c>
      <c r="J83" s="22" t="str">
        <f>IFERROR(__xludf.DUMMYFUNCTION("""COMPUTED_VALUE"""),"Chicago")</f>
        <v>Chicago</v>
      </c>
      <c r="K83" s="22" t="str">
        <f>IFERROR(__xludf.DUMMYFUNCTION("""COMPUTED_VALUE"""),"Illinois")</f>
        <v>Illinois</v>
      </c>
      <c r="L83" s="22" t="str">
        <f>IFERROR(__xludf.DUMMYFUNCTION("""COMPUTED_VALUE"""),"Central")</f>
        <v>Central</v>
      </c>
      <c r="M83" s="22" t="str">
        <f>IFERROR(__xludf.DUMMYFUNCTION("""COMPUTED_VALUE"""),"Furniture")</f>
        <v>Furniture</v>
      </c>
      <c r="N83" s="18">
        <f>IFERROR(__xludf.DUMMYFUNCTION("""COMPUTED_VALUE"""),177.225)</f>
        <v>177.225</v>
      </c>
      <c r="O83" s="18">
        <f>IFERROR(__xludf.DUMMYFUNCTION("""COMPUTED_VALUE"""),177.17)</f>
        <v>177.17</v>
      </c>
      <c r="P83" s="22">
        <f>IFERROR(__xludf.DUMMYFUNCTION("""COMPUTED_VALUE"""),6.0)</f>
        <v>6</v>
      </c>
      <c r="Q83" s="18">
        <f>IFERROR(__xludf.DUMMYFUNCTION("""COMPUTED_VALUE"""),1063.35)</f>
        <v>1063.35</v>
      </c>
      <c r="R83" s="18">
        <f>IFERROR(__xludf.DUMMYFUNCTION("""COMPUTED_VALUE"""),886.18)</f>
        <v>886.18</v>
      </c>
    </row>
    <row r="84">
      <c r="A84" s="21">
        <f>IFERROR(__xludf.DUMMYFUNCTION("""COMPUTED_VALUE"""),42010.0)</f>
        <v>42010</v>
      </c>
      <c r="B84" s="21" t="str">
        <f>IFERROR(__xludf.DUMMYFUNCTION("""COMPUTED_VALUE"""),"Jan")</f>
        <v>Jan</v>
      </c>
      <c r="C84" s="9">
        <f>IFERROR(__xludf.DUMMYFUNCTION("""COMPUTED_VALUE"""),42161.0)</f>
        <v>42161</v>
      </c>
      <c r="D84" s="23" t="str">
        <f>IFERROR(__xludf.DUMMYFUNCTION("""COMPUTED_VALUE"""),"Jun")</f>
        <v>Jun</v>
      </c>
      <c r="E84" s="21" t="str">
        <f>IFERROR(__xludf.DUMMYFUNCTION("""COMPUTED_VALUE"""),"2015")</f>
        <v>2015</v>
      </c>
      <c r="F84" s="22" t="str">
        <f>IFERROR(__xludf.DUMMYFUNCTION("""COMPUTED_VALUE"""),"Second Class")</f>
        <v>Second Class</v>
      </c>
      <c r="G84" s="22" t="str">
        <f>IFERROR(__xludf.DUMMYFUNCTION("""COMPUTED_VALUE"""),"Dianna")</f>
        <v>Dianna</v>
      </c>
      <c r="H84" s="22" t="str">
        <f>IFERROR(__xludf.DUMMYFUNCTION("""COMPUTED_VALUE"""),"Wilson")</f>
        <v>Wilson</v>
      </c>
      <c r="I84" s="22" t="str">
        <f>IFERROR(__xludf.DUMMYFUNCTION("""COMPUTED_VALUE"""),"Home Office")</f>
        <v>Home Office</v>
      </c>
      <c r="J84" s="22" t="str">
        <f>IFERROR(__xludf.DUMMYFUNCTION("""COMPUTED_VALUE"""),"Lakeville")</f>
        <v>Lakeville</v>
      </c>
      <c r="K84" s="22" t="str">
        <f>IFERROR(__xludf.DUMMYFUNCTION("""COMPUTED_VALUE"""),"Minnesota")</f>
        <v>Minnesota</v>
      </c>
      <c r="L84" s="22" t="str">
        <f>IFERROR(__xludf.DUMMYFUNCTION("""COMPUTED_VALUE"""),"Central")</f>
        <v>Central</v>
      </c>
      <c r="M84" s="22" t="str">
        <f>IFERROR(__xludf.DUMMYFUNCTION("""COMPUTED_VALUE"""),"Furniture")</f>
        <v>Furniture</v>
      </c>
      <c r="N84" s="18">
        <f>IFERROR(__xludf.DUMMYFUNCTION("""COMPUTED_VALUE"""),2001.86)</f>
        <v>2001.86</v>
      </c>
      <c r="O84" s="18">
        <f>IFERROR(__xludf.DUMMYFUNCTION("""COMPUTED_VALUE"""),2001.35)</f>
        <v>2001.35</v>
      </c>
      <c r="P84" s="22">
        <f>IFERROR(__xludf.DUMMYFUNCTION("""COMPUTED_VALUE"""),5.0)</f>
        <v>5</v>
      </c>
      <c r="Q84" s="18">
        <f>IFERROR(__xludf.DUMMYFUNCTION("""COMPUTED_VALUE"""),10009.3)</f>
        <v>10009.3</v>
      </c>
      <c r="R84" s="18">
        <f>IFERROR(__xludf.DUMMYFUNCTION("""COMPUTED_VALUE"""),8007.949999999999)</f>
        <v>8007.95</v>
      </c>
    </row>
    <row r="85">
      <c r="A85" s="21">
        <f>IFERROR(__xludf.DUMMYFUNCTION("""COMPUTED_VALUE"""),42010.0)</f>
        <v>42010</v>
      </c>
      <c r="B85" s="21" t="str">
        <f>IFERROR(__xludf.DUMMYFUNCTION("""COMPUTED_VALUE"""),"Jan")</f>
        <v>Jan</v>
      </c>
      <c r="C85" s="9">
        <f>IFERROR(__xludf.DUMMYFUNCTION("""COMPUTED_VALUE"""),42161.0)</f>
        <v>42161</v>
      </c>
      <c r="D85" s="23" t="str">
        <f>IFERROR(__xludf.DUMMYFUNCTION("""COMPUTED_VALUE"""),"Jun")</f>
        <v>Jun</v>
      </c>
      <c r="E85" s="21" t="str">
        <f>IFERROR(__xludf.DUMMYFUNCTION("""COMPUTED_VALUE"""),"2015")</f>
        <v>2015</v>
      </c>
      <c r="F85" s="22" t="str">
        <f>IFERROR(__xludf.DUMMYFUNCTION("""COMPUTED_VALUE"""),"Second Class")</f>
        <v>Second Class</v>
      </c>
      <c r="G85" s="22" t="str">
        <f>IFERROR(__xludf.DUMMYFUNCTION("""COMPUTED_VALUE"""),"Dianna")</f>
        <v>Dianna</v>
      </c>
      <c r="H85" s="22" t="str">
        <f>IFERROR(__xludf.DUMMYFUNCTION("""COMPUTED_VALUE"""),"Wilson")</f>
        <v>Wilson</v>
      </c>
      <c r="I85" s="22" t="str">
        <f>IFERROR(__xludf.DUMMYFUNCTION("""COMPUTED_VALUE"""),"Home Office")</f>
        <v>Home Office</v>
      </c>
      <c r="J85" s="22" t="str">
        <f>IFERROR(__xludf.DUMMYFUNCTION("""COMPUTED_VALUE"""),"Lakeville")</f>
        <v>Lakeville</v>
      </c>
      <c r="K85" s="22" t="str">
        <f>IFERROR(__xludf.DUMMYFUNCTION("""COMPUTED_VALUE"""),"Minnesota")</f>
        <v>Minnesota</v>
      </c>
      <c r="L85" s="22" t="str">
        <f>IFERROR(__xludf.DUMMYFUNCTION("""COMPUTED_VALUE"""),"Central")</f>
        <v>Central</v>
      </c>
      <c r="M85" s="22" t="str">
        <f>IFERROR(__xludf.DUMMYFUNCTION("""COMPUTED_VALUE"""),"Office Supplies")</f>
        <v>Office Supplies</v>
      </c>
      <c r="N85" s="18">
        <f>IFERROR(__xludf.DUMMYFUNCTION("""COMPUTED_VALUE"""),166.72)</f>
        <v>166.72</v>
      </c>
      <c r="O85" s="18">
        <f>IFERROR(__xludf.DUMMYFUNCTION("""COMPUTED_VALUE"""),166.12)</f>
        <v>166.12</v>
      </c>
      <c r="P85" s="22">
        <f>IFERROR(__xludf.DUMMYFUNCTION("""COMPUTED_VALUE"""),5.0)</f>
        <v>5</v>
      </c>
      <c r="Q85" s="18">
        <f>IFERROR(__xludf.DUMMYFUNCTION("""COMPUTED_VALUE"""),833.6)</f>
        <v>833.6</v>
      </c>
      <c r="R85" s="18">
        <f>IFERROR(__xludf.DUMMYFUNCTION("""COMPUTED_VALUE"""),667.48)</f>
        <v>667.48</v>
      </c>
    </row>
    <row r="86">
      <c r="A86" s="21">
        <f>IFERROR(__xludf.DUMMYFUNCTION("""COMPUTED_VALUE"""),42010.0)</f>
        <v>42010</v>
      </c>
      <c r="B86" s="21" t="str">
        <f>IFERROR(__xludf.DUMMYFUNCTION("""COMPUTED_VALUE"""),"Jan")</f>
        <v>Jan</v>
      </c>
      <c r="C86" s="9">
        <f>IFERROR(__xludf.DUMMYFUNCTION("""COMPUTED_VALUE"""),42161.0)</f>
        <v>42161</v>
      </c>
      <c r="D86" s="23" t="str">
        <f>IFERROR(__xludf.DUMMYFUNCTION("""COMPUTED_VALUE"""),"Jun")</f>
        <v>Jun</v>
      </c>
      <c r="E86" s="21" t="str">
        <f>IFERROR(__xludf.DUMMYFUNCTION("""COMPUTED_VALUE"""),"2015")</f>
        <v>2015</v>
      </c>
      <c r="F86" s="22" t="str">
        <f>IFERROR(__xludf.DUMMYFUNCTION("""COMPUTED_VALUE"""),"Second Class")</f>
        <v>Second Class</v>
      </c>
      <c r="G86" s="22" t="str">
        <f>IFERROR(__xludf.DUMMYFUNCTION("""COMPUTED_VALUE"""),"Dianna")</f>
        <v>Dianna</v>
      </c>
      <c r="H86" s="22" t="str">
        <f>IFERROR(__xludf.DUMMYFUNCTION("""COMPUTED_VALUE"""),"Wilson")</f>
        <v>Wilson</v>
      </c>
      <c r="I86" s="22" t="str">
        <f>IFERROR(__xludf.DUMMYFUNCTION("""COMPUTED_VALUE"""),"Home Office")</f>
        <v>Home Office</v>
      </c>
      <c r="J86" s="22" t="str">
        <f>IFERROR(__xludf.DUMMYFUNCTION("""COMPUTED_VALUE"""),"Lakeville")</f>
        <v>Lakeville</v>
      </c>
      <c r="K86" s="22" t="str">
        <f>IFERROR(__xludf.DUMMYFUNCTION("""COMPUTED_VALUE"""),"Minnesota")</f>
        <v>Minnesota</v>
      </c>
      <c r="L86" s="22" t="str">
        <f>IFERROR(__xludf.DUMMYFUNCTION("""COMPUTED_VALUE"""),"Central")</f>
        <v>Central</v>
      </c>
      <c r="M86" s="22" t="str">
        <f>IFERROR(__xludf.DUMMYFUNCTION("""COMPUTED_VALUE"""),"Office Supplies")</f>
        <v>Office Supplies</v>
      </c>
      <c r="N86" s="18">
        <f>IFERROR(__xludf.DUMMYFUNCTION("""COMPUTED_VALUE"""),1503.25)</f>
        <v>1503.25</v>
      </c>
      <c r="O86" s="18">
        <f>IFERROR(__xludf.DUMMYFUNCTION("""COMPUTED_VALUE"""),1502.81)</f>
        <v>1502.81</v>
      </c>
      <c r="P86" s="22">
        <f>IFERROR(__xludf.DUMMYFUNCTION("""COMPUTED_VALUE"""),5.0)</f>
        <v>5</v>
      </c>
      <c r="Q86" s="18">
        <f>IFERROR(__xludf.DUMMYFUNCTION("""COMPUTED_VALUE"""),7516.25)</f>
        <v>7516.25</v>
      </c>
      <c r="R86" s="18">
        <f>IFERROR(__xludf.DUMMYFUNCTION("""COMPUTED_VALUE"""),6013.4400000000005)</f>
        <v>6013.44</v>
      </c>
    </row>
    <row r="87">
      <c r="A87" s="21">
        <f>IFERROR(__xludf.DUMMYFUNCTION("""COMPUTED_VALUE"""),43020.0)</f>
        <v>43020</v>
      </c>
      <c r="B87" s="21" t="str">
        <f>IFERROR(__xludf.DUMMYFUNCTION("""COMPUTED_VALUE"""),"Oct")</f>
        <v>Oct</v>
      </c>
      <c r="C87" s="9">
        <f>IFERROR(__xludf.DUMMYFUNCTION("""COMPUTED_VALUE"""),43084.0)</f>
        <v>43084</v>
      </c>
      <c r="D87" s="23" t="str">
        <f>IFERROR(__xludf.DUMMYFUNCTION("""COMPUTED_VALUE"""),"Dec")</f>
        <v>Dec</v>
      </c>
      <c r="E87" s="21" t="str">
        <f>IFERROR(__xludf.DUMMYFUNCTION("""COMPUTED_VALUE"""),"2017")</f>
        <v>2017</v>
      </c>
      <c r="F87" s="22" t="str">
        <f>IFERROR(__xludf.DUMMYFUNCTION("""COMPUTED_VALUE"""),"Second Class")</f>
        <v>Second Class</v>
      </c>
      <c r="G87" s="22" t="str">
        <f>IFERROR(__xludf.DUMMYFUNCTION("""COMPUTED_VALUE"""),"Logan")</f>
        <v>Logan</v>
      </c>
      <c r="H87" s="22" t="str">
        <f>IFERROR(__xludf.DUMMYFUNCTION("""COMPUTED_VALUE"""),"Haushalter")</f>
        <v>Haushalter</v>
      </c>
      <c r="I87" s="22" t="str">
        <f>IFERROR(__xludf.DUMMYFUNCTION("""COMPUTED_VALUE"""),"Consumer")</f>
        <v>Consumer</v>
      </c>
      <c r="J87" s="22" t="str">
        <f>IFERROR(__xludf.DUMMYFUNCTION("""COMPUTED_VALUE"""),"San Francisco")</f>
        <v>San Francisco</v>
      </c>
      <c r="K87" s="22" t="str">
        <f>IFERROR(__xludf.DUMMYFUNCTION("""COMPUTED_VALUE"""),"California")</f>
        <v>California</v>
      </c>
      <c r="L87" s="22" t="str">
        <f>IFERROR(__xludf.DUMMYFUNCTION("""COMPUTED_VALUE"""),"West")</f>
        <v>West</v>
      </c>
      <c r="M87" s="22" t="str">
        <f>IFERROR(__xludf.DUMMYFUNCTION("""COMPUTED_VALUE"""),"Furniture")</f>
        <v>Furniture</v>
      </c>
      <c r="N87" s="18">
        <f>IFERROR(__xludf.DUMMYFUNCTION("""COMPUTED_VALUE"""),321.568)</f>
        <v>321.568</v>
      </c>
      <c r="O87" s="18">
        <f>IFERROR(__xludf.DUMMYFUNCTION("""COMPUTED_VALUE"""),320.85)</f>
        <v>320.85</v>
      </c>
      <c r="P87" s="22">
        <f>IFERROR(__xludf.DUMMYFUNCTION("""COMPUTED_VALUE"""),9.0)</f>
        <v>9</v>
      </c>
      <c r="Q87" s="18">
        <f>IFERROR(__xludf.DUMMYFUNCTION("""COMPUTED_VALUE"""),2894.112)</f>
        <v>2894.112</v>
      </c>
      <c r="R87" s="18">
        <f>IFERROR(__xludf.DUMMYFUNCTION("""COMPUTED_VALUE"""),2573.262)</f>
        <v>2573.262</v>
      </c>
    </row>
    <row r="88">
      <c r="A88" s="21">
        <f>IFERROR(__xludf.DUMMYFUNCTION("""COMPUTED_VALUE"""),43048.0)</f>
        <v>43048</v>
      </c>
      <c r="B88" s="21" t="str">
        <f>IFERROR(__xludf.DUMMYFUNCTION("""COMPUTED_VALUE"""),"Nov")</f>
        <v>Nov</v>
      </c>
      <c r="C88" s="9">
        <f>IFERROR(__xludf.DUMMYFUNCTION("""COMPUTED_VALUE"""),42995.0)</f>
        <v>42995</v>
      </c>
      <c r="D88" s="23" t="str">
        <f>IFERROR(__xludf.DUMMYFUNCTION("""COMPUTED_VALUE"""),"Sep")</f>
        <v>Sep</v>
      </c>
      <c r="E88" s="21" t="str">
        <f>IFERROR(__xludf.DUMMYFUNCTION("""COMPUTED_VALUE"""),"2017")</f>
        <v>2017</v>
      </c>
      <c r="F88" s="22" t="str">
        <f>IFERROR(__xludf.DUMMYFUNCTION("""COMPUTED_VALUE"""),"Standard Class")</f>
        <v>Standard Class</v>
      </c>
      <c r="G88" s="22" t="str">
        <f>IFERROR(__xludf.DUMMYFUNCTION("""COMPUTED_VALUE"""),"Kelly")</f>
        <v>Kelly</v>
      </c>
      <c r="H88" s="22" t="str">
        <f>IFERROR(__xludf.DUMMYFUNCTION("""COMPUTED_VALUE"""),"Collister")</f>
        <v>Collister</v>
      </c>
      <c r="I88" s="22" t="str">
        <f>IFERROR(__xludf.DUMMYFUNCTION("""COMPUTED_VALUE"""),"Consumer")</f>
        <v>Consumer</v>
      </c>
      <c r="J88" s="22" t="str">
        <f>IFERROR(__xludf.DUMMYFUNCTION("""COMPUTED_VALUE"""),"San Diego")</f>
        <v>San Diego</v>
      </c>
      <c r="K88" s="22" t="str">
        <f>IFERROR(__xludf.DUMMYFUNCTION("""COMPUTED_VALUE"""),"California")</f>
        <v>California</v>
      </c>
      <c r="L88" s="22" t="str">
        <f>IFERROR(__xludf.DUMMYFUNCTION("""COMPUTED_VALUE"""),"West")</f>
        <v>West</v>
      </c>
      <c r="M88" s="22" t="str">
        <f>IFERROR(__xludf.DUMMYFUNCTION("""COMPUTED_VALUE"""),"Technology")</f>
        <v>Technology</v>
      </c>
      <c r="N88" s="18">
        <f>IFERROR(__xludf.DUMMYFUNCTION("""COMPUTED_VALUE"""),3347.37)</f>
        <v>3347.37</v>
      </c>
      <c r="O88" s="18">
        <f>IFERROR(__xludf.DUMMYFUNCTION("""COMPUTED_VALUE"""),3347.33)</f>
        <v>3347.33</v>
      </c>
      <c r="P88" s="22">
        <f>IFERROR(__xludf.DUMMYFUNCTION("""COMPUTED_VALUE"""),9.0)</f>
        <v>9</v>
      </c>
      <c r="Q88" s="18">
        <f>IFERROR(__xludf.DUMMYFUNCTION("""COMPUTED_VALUE"""),30126.329999999998)</f>
        <v>30126.33</v>
      </c>
      <c r="R88" s="18">
        <f>IFERROR(__xludf.DUMMYFUNCTION("""COMPUTED_VALUE"""),26779.0)</f>
        <v>26779</v>
      </c>
    </row>
    <row r="89">
      <c r="A89" s="21">
        <f>IFERROR(__xludf.DUMMYFUNCTION("""COMPUTED_VALUE"""),42702.0)</f>
        <v>42702</v>
      </c>
      <c r="B89" s="21" t="str">
        <f>IFERROR(__xludf.DUMMYFUNCTION("""COMPUTED_VALUE"""),"Nov")</f>
        <v>Nov</v>
      </c>
      <c r="C89" s="9">
        <f>IFERROR(__xludf.DUMMYFUNCTION("""COMPUTED_VALUE"""),42472.0)</f>
        <v>42472</v>
      </c>
      <c r="D89" s="23" t="str">
        <f>IFERROR(__xludf.DUMMYFUNCTION("""COMPUTED_VALUE"""),"Apr")</f>
        <v>Apr</v>
      </c>
      <c r="E89" s="21" t="str">
        <f>IFERROR(__xludf.DUMMYFUNCTION("""COMPUTED_VALUE"""),"2016")</f>
        <v>2016</v>
      </c>
      <c r="F89" s="22" t="str">
        <f>IFERROR(__xludf.DUMMYFUNCTION("""COMPUTED_VALUE"""),"Standard Class")</f>
        <v>Standard Class</v>
      </c>
      <c r="G89" s="22" t="str">
        <f>IFERROR(__xludf.DUMMYFUNCTION("""COMPUTED_VALUE"""),"Dan")</f>
        <v>Dan</v>
      </c>
      <c r="H89" s="22" t="str">
        <f>IFERROR(__xludf.DUMMYFUNCTION("""COMPUTED_VALUE"""),"Reichenbach")</f>
        <v>Reichenbach</v>
      </c>
      <c r="I89" s="22" t="str">
        <f>IFERROR(__xludf.DUMMYFUNCTION("""COMPUTED_VALUE"""),"Corporate")</f>
        <v>Corporate</v>
      </c>
      <c r="J89" s="22" t="str">
        <f>IFERROR(__xludf.DUMMYFUNCTION("""COMPUTED_VALUE"""),"Chicago")</f>
        <v>Chicago</v>
      </c>
      <c r="K89" s="22" t="str">
        <f>IFERROR(__xludf.DUMMYFUNCTION("""COMPUTED_VALUE"""),"Illinois")</f>
        <v>Illinois</v>
      </c>
      <c r="L89" s="22" t="str">
        <f>IFERROR(__xludf.DUMMYFUNCTION("""COMPUTED_VALUE"""),"Central")</f>
        <v>Central</v>
      </c>
      <c r="M89" s="22" t="str">
        <f>IFERROR(__xludf.DUMMYFUNCTION("""COMPUTED_VALUE"""),"Technology")</f>
        <v>Technology</v>
      </c>
      <c r="N89" s="18">
        <f>IFERROR(__xludf.DUMMYFUNCTION("""COMPUTED_VALUE"""),647.904)</f>
        <v>647.904</v>
      </c>
      <c r="O89" s="18">
        <f>IFERROR(__xludf.DUMMYFUNCTION("""COMPUTED_VALUE"""),647.48)</f>
        <v>647.48</v>
      </c>
      <c r="P89" s="22">
        <f>IFERROR(__xludf.DUMMYFUNCTION("""COMPUTED_VALUE"""),6.0)</f>
        <v>6</v>
      </c>
      <c r="Q89" s="18">
        <f>IFERROR(__xludf.DUMMYFUNCTION("""COMPUTED_VALUE"""),3887.424)</f>
        <v>3887.424</v>
      </c>
      <c r="R89" s="18">
        <f>IFERROR(__xludf.DUMMYFUNCTION("""COMPUTED_VALUE"""),3239.944)</f>
        <v>3239.944</v>
      </c>
    </row>
    <row r="90">
      <c r="A90" s="21">
        <f>IFERROR(__xludf.DUMMYFUNCTION("""COMPUTED_VALUE"""),42266.0)</f>
        <v>42266</v>
      </c>
      <c r="B90" s="21" t="str">
        <f>IFERROR(__xludf.DUMMYFUNCTION("""COMPUTED_VALUE"""),"Sep")</f>
        <v>Sep</v>
      </c>
      <c r="C90" s="9">
        <f>IFERROR(__xludf.DUMMYFUNCTION("""COMPUTED_VALUE"""),42268.0)</f>
        <v>42268</v>
      </c>
      <c r="D90" s="23" t="str">
        <f>IFERROR(__xludf.DUMMYFUNCTION("""COMPUTED_VALUE"""),"Sep")</f>
        <v>Sep</v>
      </c>
      <c r="E90" s="21" t="str">
        <f>IFERROR(__xludf.DUMMYFUNCTION("""COMPUTED_VALUE"""),"2015")</f>
        <v>2015</v>
      </c>
      <c r="F90" s="22" t="str">
        <f>IFERROR(__xludf.DUMMYFUNCTION("""COMPUTED_VALUE"""),"Second Class")</f>
        <v>Second Class</v>
      </c>
      <c r="G90" s="22" t="str">
        <f>IFERROR(__xludf.DUMMYFUNCTION("""COMPUTED_VALUE"""),"Sean")</f>
        <v>Sean</v>
      </c>
      <c r="H90" s="22" t="str">
        <f>IFERROR(__xludf.DUMMYFUNCTION("""COMPUTED_VALUE"""),"Braxton")</f>
        <v>Braxton</v>
      </c>
      <c r="I90" s="22" t="str">
        <f>IFERROR(__xludf.DUMMYFUNCTION("""COMPUTED_VALUE"""),"Corporate")</f>
        <v>Corporate</v>
      </c>
      <c r="J90" s="22" t="str">
        <f>IFERROR(__xludf.DUMMYFUNCTION("""COMPUTED_VALUE"""),"Houston")</f>
        <v>Houston</v>
      </c>
      <c r="K90" s="22" t="str">
        <f>IFERROR(__xludf.DUMMYFUNCTION("""COMPUTED_VALUE"""),"Texas")</f>
        <v>Texas</v>
      </c>
      <c r="L90" s="22" t="str">
        <f>IFERROR(__xludf.DUMMYFUNCTION("""COMPUTED_VALUE"""),"Central")</f>
        <v>Central</v>
      </c>
      <c r="M90" s="22" t="str">
        <f>IFERROR(__xludf.DUMMYFUNCTION("""COMPUTED_VALUE"""),"Technology")</f>
        <v>Technology</v>
      </c>
      <c r="N90" s="18">
        <f>IFERROR(__xludf.DUMMYFUNCTION("""COMPUTED_VALUE"""),3059.982)</f>
        <v>3059.982</v>
      </c>
      <c r="O90" s="18">
        <f>IFERROR(__xludf.DUMMYFUNCTION("""COMPUTED_VALUE"""),3059.67)</f>
        <v>3059.67</v>
      </c>
      <c r="P90" s="22">
        <f>IFERROR(__xludf.DUMMYFUNCTION("""COMPUTED_VALUE"""),7.0)</f>
        <v>7</v>
      </c>
      <c r="Q90" s="18">
        <f>IFERROR(__xludf.DUMMYFUNCTION("""COMPUTED_VALUE"""),21419.874)</f>
        <v>21419.874</v>
      </c>
      <c r="R90" s="18">
        <f>IFERROR(__xludf.DUMMYFUNCTION("""COMPUTED_VALUE"""),18360.203999999998)</f>
        <v>18360.204</v>
      </c>
    </row>
    <row r="91">
      <c r="A91" s="21">
        <f>IFERROR(__xludf.DUMMYFUNCTION("""COMPUTED_VALUE"""),42266.0)</f>
        <v>42266</v>
      </c>
      <c r="B91" s="21" t="str">
        <f>IFERROR(__xludf.DUMMYFUNCTION("""COMPUTED_VALUE"""),"Sep")</f>
        <v>Sep</v>
      </c>
      <c r="C91" s="9">
        <f>IFERROR(__xludf.DUMMYFUNCTION("""COMPUTED_VALUE"""),42268.0)</f>
        <v>42268</v>
      </c>
      <c r="D91" s="23" t="str">
        <f>IFERROR(__xludf.DUMMYFUNCTION("""COMPUTED_VALUE"""),"Sep")</f>
        <v>Sep</v>
      </c>
      <c r="E91" s="21" t="str">
        <f>IFERROR(__xludf.DUMMYFUNCTION("""COMPUTED_VALUE"""),"2015")</f>
        <v>2015</v>
      </c>
      <c r="F91" s="22" t="str">
        <f>IFERROR(__xludf.DUMMYFUNCTION("""COMPUTED_VALUE"""),"Second Class")</f>
        <v>Second Class</v>
      </c>
      <c r="G91" s="22" t="str">
        <f>IFERROR(__xludf.DUMMYFUNCTION("""COMPUTED_VALUE"""),"Sean")</f>
        <v>Sean</v>
      </c>
      <c r="H91" s="22" t="str">
        <f>IFERROR(__xludf.DUMMYFUNCTION("""COMPUTED_VALUE"""),"Braxton")</f>
        <v>Braxton</v>
      </c>
      <c r="I91" s="22" t="str">
        <f>IFERROR(__xludf.DUMMYFUNCTION("""COMPUTED_VALUE"""),"Corporate")</f>
        <v>Corporate</v>
      </c>
      <c r="J91" s="22" t="str">
        <f>IFERROR(__xludf.DUMMYFUNCTION("""COMPUTED_VALUE"""),"Houston")</f>
        <v>Houston</v>
      </c>
      <c r="K91" s="22" t="str">
        <f>IFERROR(__xludf.DUMMYFUNCTION("""COMPUTED_VALUE"""),"Texas")</f>
        <v>Texas</v>
      </c>
      <c r="L91" s="22" t="str">
        <f>IFERROR(__xludf.DUMMYFUNCTION("""COMPUTED_VALUE"""),"Central")</f>
        <v>Central</v>
      </c>
      <c r="M91" s="22" t="str">
        <f>IFERROR(__xludf.DUMMYFUNCTION("""COMPUTED_VALUE"""),"Technology")</f>
        <v>Technology</v>
      </c>
      <c r="N91" s="18">
        <f>IFERROR(__xludf.DUMMYFUNCTION("""COMPUTED_VALUE"""),2519.958)</f>
        <v>2519.958</v>
      </c>
      <c r="O91" s="18">
        <f>IFERROR(__xludf.DUMMYFUNCTION("""COMPUTED_VALUE"""),2519.78)</f>
        <v>2519.78</v>
      </c>
      <c r="P91" s="22">
        <f>IFERROR(__xludf.DUMMYFUNCTION("""COMPUTED_VALUE"""),7.0)</f>
        <v>7</v>
      </c>
      <c r="Q91" s="18">
        <f>IFERROR(__xludf.DUMMYFUNCTION("""COMPUTED_VALUE"""),17639.706000000002)</f>
        <v>17639.706</v>
      </c>
      <c r="R91" s="18">
        <f>IFERROR(__xludf.DUMMYFUNCTION("""COMPUTED_VALUE"""),15119.926000000001)</f>
        <v>15119.926</v>
      </c>
    </row>
    <row r="92">
      <c r="A92" s="21">
        <f>IFERROR(__xludf.DUMMYFUNCTION("""COMPUTED_VALUE"""),42892.0)</f>
        <v>42892</v>
      </c>
      <c r="B92" s="21" t="str">
        <f>IFERROR(__xludf.DUMMYFUNCTION("""COMPUTED_VALUE"""),"Jun")</f>
        <v>Jun</v>
      </c>
      <c r="C92" s="9">
        <f>IFERROR(__xludf.DUMMYFUNCTION("""COMPUTED_VALUE"""),42899.0)</f>
        <v>42899</v>
      </c>
      <c r="D92" s="23" t="str">
        <f>IFERROR(__xludf.DUMMYFUNCTION("""COMPUTED_VALUE"""),"Jun")</f>
        <v>Jun</v>
      </c>
      <c r="E92" s="21" t="str">
        <f>IFERROR(__xludf.DUMMYFUNCTION("""COMPUTED_VALUE"""),"2017")</f>
        <v>2017</v>
      </c>
      <c r="F92" s="22" t="str">
        <f>IFERROR(__xludf.DUMMYFUNCTION("""COMPUTED_VALUE"""),"Standard Class")</f>
        <v>Standard Class</v>
      </c>
      <c r="G92" s="22" t="str">
        <f>IFERROR(__xludf.DUMMYFUNCTION("""COMPUTED_VALUE"""),"Roy")</f>
        <v>Roy</v>
      </c>
      <c r="H92" s="22" t="str">
        <f>IFERROR(__xludf.DUMMYFUNCTION("""COMPUTED_VALUE"""),"Collins")</f>
        <v>Collins</v>
      </c>
      <c r="I92" s="22" t="str">
        <f>IFERROR(__xludf.DUMMYFUNCTION("""COMPUTED_VALUE"""),"Consumer")</f>
        <v>Consumer</v>
      </c>
      <c r="J92" s="22" t="str">
        <f>IFERROR(__xludf.DUMMYFUNCTION("""COMPUTED_VALUE"""),"Chicago")</f>
        <v>Chicago</v>
      </c>
      <c r="K92" s="22" t="str">
        <f>IFERROR(__xludf.DUMMYFUNCTION("""COMPUTED_VALUE"""),"Illinois")</f>
        <v>Illinois</v>
      </c>
      <c r="L92" s="22" t="str">
        <f>IFERROR(__xludf.DUMMYFUNCTION("""COMPUTED_VALUE"""),"Central")</f>
        <v>Central</v>
      </c>
      <c r="M92" s="22" t="str">
        <f>IFERROR(__xludf.DUMMYFUNCTION("""COMPUTED_VALUE"""),"Technology")</f>
        <v>Technology</v>
      </c>
      <c r="N92" s="18">
        <f>IFERROR(__xludf.DUMMYFUNCTION("""COMPUTED_VALUE"""),328.224)</f>
        <v>328.224</v>
      </c>
      <c r="O92" s="18">
        <f>IFERROR(__xludf.DUMMYFUNCTION("""COMPUTED_VALUE"""),328.16)</f>
        <v>328.16</v>
      </c>
      <c r="P92" s="22">
        <f>IFERROR(__xludf.DUMMYFUNCTION("""COMPUTED_VALUE"""),6.0)</f>
        <v>6</v>
      </c>
      <c r="Q92" s="18">
        <f>IFERROR(__xludf.DUMMYFUNCTION("""COMPUTED_VALUE"""),1969.344)</f>
        <v>1969.344</v>
      </c>
      <c r="R92" s="18">
        <f>IFERROR(__xludf.DUMMYFUNCTION("""COMPUTED_VALUE"""),1641.184)</f>
        <v>1641.184</v>
      </c>
    </row>
    <row r="93">
      <c r="A93" s="21">
        <f>IFERROR(__xludf.DUMMYFUNCTION("""COMPUTED_VALUE"""),42654.0)</f>
        <v>42654</v>
      </c>
      <c r="B93" s="21" t="str">
        <f>IFERROR(__xludf.DUMMYFUNCTION("""COMPUTED_VALUE"""),"Oct")</f>
        <v>Oct</v>
      </c>
      <c r="C93" s="9">
        <f>IFERROR(__xludf.DUMMYFUNCTION("""COMPUTED_VALUE"""),42689.0)</f>
        <v>42689</v>
      </c>
      <c r="D93" s="23" t="str">
        <f>IFERROR(__xludf.DUMMYFUNCTION("""COMPUTED_VALUE"""),"Nov")</f>
        <v>Nov</v>
      </c>
      <c r="E93" s="21" t="str">
        <f>IFERROR(__xludf.DUMMYFUNCTION("""COMPUTED_VALUE"""),"2016")</f>
        <v>2016</v>
      </c>
      <c r="F93" s="22" t="str">
        <f>IFERROR(__xludf.DUMMYFUNCTION("""COMPUTED_VALUE"""),"Standard Class")</f>
        <v>Standard Class</v>
      </c>
      <c r="G93" s="22" t="str">
        <f>IFERROR(__xludf.DUMMYFUNCTION("""COMPUTED_VALUE"""),"Alan")</f>
        <v>Alan</v>
      </c>
      <c r="H93" s="22" t="str">
        <f>IFERROR(__xludf.DUMMYFUNCTION("""COMPUTED_VALUE"""),"Hwang")</f>
        <v>Hwang</v>
      </c>
      <c r="I93" s="22" t="str">
        <f>IFERROR(__xludf.DUMMYFUNCTION("""COMPUTED_VALUE"""),"Consumer")</f>
        <v>Consumer</v>
      </c>
      <c r="J93" s="22" t="str">
        <f>IFERROR(__xludf.DUMMYFUNCTION("""COMPUTED_VALUE"""),"Brentwood")</f>
        <v>Brentwood</v>
      </c>
      <c r="K93" s="22" t="str">
        <f>IFERROR(__xludf.DUMMYFUNCTION("""COMPUTED_VALUE"""),"California")</f>
        <v>California</v>
      </c>
      <c r="L93" s="22" t="str">
        <f>IFERROR(__xludf.DUMMYFUNCTION("""COMPUTED_VALUE"""),"West")</f>
        <v>West</v>
      </c>
      <c r="M93" s="22" t="str">
        <f>IFERROR(__xludf.DUMMYFUNCTION("""COMPUTED_VALUE"""),"Technology")</f>
        <v>Technology</v>
      </c>
      <c r="N93" s="18">
        <f>IFERROR(__xludf.DUMMYFUNCTION("""COMPUTED_VALUE"""),79.9)</f>
        <v>79.9</v>
      </c>
      <c r="O93" s="18">
        <f>IFERROR(__xludf.DUMMYFUNCTION("""COMPUTED_VALUE"""),79.2)</f>
        <v>79.2</v>
      </c>
      <c r="P93" s="22">
        <f>IFERROR(__xludf.DUMMYFUNCTION("""COMPUTED_VALUE"""),9.0)</f>
        <v>9</v>
      </c>
      <c r="Q93" s="18">
        <f>IFERROR(__xludf.DUMMYFUNCTION("""COMPUTED_VALUE"""),719.1)</f>
        <v>719.1</v>
      </c>
      <c r="R93" s="18">
        <f>IFERROR(__xludf.DUMMYFUNCTION("""COMPUTED_VALUE"""),639.9)</f>
        <v>639.9</v>
      </c>
    </row>
    <row r="94">
      <c r="A94" s="21">
        <f>IFERROR(__xludf.DUMMYFUNCTION("""COMPUTED_VALUE"""),43462.0)</f>
        <v>43462</v>
      </c>
      <c r="B94" s="21" t="str">
        <f>IFERROR(__xludf.DUMMYFUNCTION("""COMPUTED_VALUE"""),"Dec")</f>
        <v>Dec</v>
      </c>
      <c r="C94" s="9">
        <f>IFERROR(__xludf.DUMMYFUNCTION("""COMPUTED_VALUE"""),43497.0)</f>
        <v>43497</v>
      </c>
      <c r="D94" s="23" t="str">
        <f>IFERROR(__xludf.DUMMYFUNCTION("""COMPUTED_VALUE"""),"Feb")</f>
        <v>Feb</v>
      </c>
      <c r="E94" s="21" t="str">
        <f>IFERROR(__xludf.DUMMYFUNCTION("""COMPUTED_VALUE"""),"2019")</f>
        <v>2019</v>
      </c>
      <c r="F94" s="22" t="str">
        <f>IFERROR(__xludf.DUMMYFUNCTION("""COMPUTED_VALUE"""),"Second Class")</f>
        <v>Second Class</v>
      </c>
      <c r="G94" s="22" t="str">
        <f>IFERROR(__xludf.DUMMYFUNCTION("""COMPUTED_VALUE"""),"Kristen")</f>
        <v>Kristen</v>
      </c>
      <c r="H94" s="22" t="str">
        <f>IFERROR(__xludf.DUMMYFUNCTION("""COMPUTED_VALUE"""),"Hastings")</f>
        <v>Hastings</v>
      </c>
      <c r="I94" s="22" t="str">
        <f>IFERROR(__xludf.DUMMYFUNCTION("""COMPUTED_VALUE"""),"Corporate")</f>
        <v>Corporate</v>
      </c>
      <c r="J94" s="22" t="str">
        <f>IFERROR(__xludf.DUMMYFUNCTION("""COMPUTED_VALUE"""),"San Francisco")</f>
        <v>San Francisco</v>
      </c>
      <c r="K94" s="22" t="str">
        <f>IFERROR(__xludf.DUMMYFUNCTION("""COMPUTED_VALUE"""),"California")</f>
        <v>California</v>
      </c>
      <c r="L94" s="22" t="str">
        <f>IFERROR(__xludf.DUMMYFUNCTION("""COMPUTED_VALUE"""),"West")</f>
        <v>West</v>
      </c>
      <c r="M94" s="22" t="str">
        <f>IFERROR(__xludf.DUMMYFUNCTION("""COMPUTED_VALUE"""),"Office Supplies")</f>
        <v>Office Supplies</v>
      </c>
      <c r="N94" s="18">
        <f>IFERROR(__xludf.DUMMYFUNCTION("""COMPUTED_VALUE"""),725.84)</f>
        <v>725.84</v>
      </c>
      <c r="O94" s="18">
        <f>IFERROR(__xludf.DUMMYFUNCTION("""COMPUTED_VALUE"""),725.11)</f>
        <v>725.11</v>
      </c>
      <c r="P94" s="22">
        <f>IFERROR(__xludf.DUMMYFUNCTION("""COMPUTED_VALUE"""),9.0)</f>
        <v>9</v>
      </c>
      <c r="Q94" s="18">
        <f>IFERROR(__xludf.DUMMYFUNCTION("""COMPUTED_VALUE"""),6532.56)</f>
        <v>6532.56</v>
      </c>
      <c r="R94" s="18">
        <f>IFERROR(__xludf.DUMMYFUNCTION("""COMPUTED_VALUE"""),5807.450000000001)</f>
        <v>5807.45</v>
      </c>
    </row>
    <row r="95">
      <c r="A95" s="21">
        <f>IFERROR(__xludf.DUMMYFUNCTION("""COMPUTED_VALUE"""),42581.0)</f>
        <v>42581</v>
      </c>
      <c r="B95" s="21" t="str">
        <f>IFERROR(__xludf.DUMMYFUNCTION("""COMPUTED_VALUE"""),"Jul")</f>
        <v>Jul</v>
      </c>
      <c r="C95" s="9">
        <f>IFERROR(__xludf.DUMMYFUNCTION("""COMPUTED_VALUE"""),42582.0)</f>
        <v>42582</v>
      </c>
      <c r="D95" s="23" t="str">
        <f>IFERROR(__xludf.DUMMYFUNCTION("""COMPUTED_VALUE"""),"Jul")</f>
        <v>Jul</v>
      </c>
      <c r="E95" s="21" t="str">
        <f>IFERROR(__xludf.DUMMYFUNCTION("""COMPUTED_VALUE"""),"2016")</f>
        <v>2016</v>
      </c>
      <c r="F95" s="22" t="str">
        <f>IFERROR(__xludf.DUMMYFUNCTION("""COMPUTED_VALUE"""),"First Class")</f>
        <v>First Class</v>
      </c>
      <c r="G95" s="22" t="str">
        <f>IFERROR(__xludf.DUMMYFUNCTION("""COMPUTED_VALUE"""),"Helen")</f>
        <v>Helen</v>
      </c>
      <c r="H95" s="22" t="str">
        <f>IFERROR(__xludf.DUMMYFUNCTION("""COMPUTED_VALUE"""),"Andreada")</f>
        <v>Andreada</v>
      </c>
      <c r="I95" s="22" t="str">
        <f>IFERROR(__xludf.DUMMYFUNCTION("""COMPUTED_VALUE"""),"Consumer")</f>
        <v>Consumer</v>
      </c>
      <c r="J95" s="22" t="str">
        <f>IFERROR(__xludf.DUMMYFUNCTION("""COMPUTED_VALUE"""),"San Francisco")</f>
        <v>San Francisco</v>
      </c>
      <c r="K95" s="22" t="str">
        <f>IFERROR(__xludf.DUMMYFUNCTION("""COMPUTED_VALUE"""),"California")</f>
        <v>California</v>
      </c>
      <c r="L95" s="22" t="str">
        <f>IFERROR(__xludf.DUMMYFUNCTION("""COMPUTED_VALUE"""),"West")</f>
        <v>West</v>
      </c>
      <c r="M95" s="22" t="str">
        <f>IFERROR(__xludf.DUMMYFUNCTION("""COMPUTED_VALUE"""),"Technology")</f>
        <v>Technology</v>
      </c>
      <c r="N95" s="18">
        <f>IFERROR(__xludf.DUMMYFUNCTION("""COMPUTED_VALUE"""),209.93)</f>
        <v>209.93</v>
      </c>
      <c r="O95" s="18">
        <f>IFERROR(__xludf.DUMMYFUNCTION("""COMPUTED_VALUE"""),209.15)</f>
        <v>209.15</v>
      </c>
      <c r="P95" s="22">
        <f>IFERROR(__xludf.DUMMYFUNCTION("""COMPUTED_VALUE"""),9.0)</f>
        <v>9</v>
      </c>
      <c r="Q95" s="18">
        <f>IFERROR(__xludf.DUMMYFUNCTION("""COMPUTED_VALUE"""),1889.3700000000001)</f>
        <v>1889.37</v>
      </c>
      <c r="R95" s="18">
        <f>IFERROR(__xludf.DUMMYFUNCTION("""COMPUTED_VALUE"""),1680.22)</f>
        <v>1680.22</v>
      </c>
    </row>
    <row r="96">
      <c r="A96" s="21">
        <f>IFERROR(__xludf.DUMMYFUNCTION("""COMPUTED_VALUE"""),42639.0)</f>
        <v>42639</v>
      </c>
      <c r="B96" s="21" t="str">
        <f>IFERROR(__xludf.DUMMYFUNCTION("""COMPUTED_VALUE"""),"Sep")</f>
        <v>Sep</v>
      </c>
      <c r="C96" s="9">
        <f>IFERROR(__xludf.DUMMYFUNCTION("""COMPUTED_VALUE"""),42641.0)</f>
        <v>42641</v>
      </c>
      <c r="D96" s="23" t="str">
        <f>IFERROR(__xludf.DUMMYFUNCTION("""COMPUTED_VALUE"""),"Sep")</f>
        <v>Sep</v>
      </c>
      <c r="E96" s="21" t="str">
        <f>IFERROR(__xludf.DUMMYFUNCTION("""COMPUTED_VALUE"""),"2016")</f>
        <v>2016</v>
      </c>
      <c r="F96" s="22" t="str">
        <f>IFERROR(__xludf.DUMMYFUNCTION("""COMPUTED_VALUE"""),"Second Class")</f>
        <v>Second Class</v>
      </c>
      <c r="G96" s="22" t="str">
        <f>IFERROR(__xludf.DUMMYFUNCTION("""COMPUTED_VALUE"""),"Steven")</f>
        <v>Steven</v>
      </c>
      <c r="H96" s="22" t="str">
        <f>IFERROR(__xludf.DUMMYFUNCTION("""COMPUTED_VALUE"""),"Cartwright")</f>
        <v>Cartwright</v>
      </c>
      <c r="I96" s="22" t="str">
        <f>IFERROR(__xludf.DUMMYFUNCTION("""COMPUTED_VALUE"""),"Consumer")</f>
        <v>Consumer</v>
      </c>
      <c r="J96" s="22" t="str">
        <f>IFERROR(__xludf.DUMMYFUNCTION("""COMPUTED_VALUE"""),"Houston")</f>
        <v>Houston</v>
      </c>
      <c r="K96" s="22" t="str">
        <f>IFERROR(__xludf.DUMMYFUNCTION("""COMPUTED_VALUE"""),"Texas")</f>
        <v>Texas</v>
      </c>
      <c r="L96" s="22" t="str">
        <f>IFERROR(__xludf.DUMMYFUNCTION("""COMPUTED_VALUE"""),"Central")</f>
        <v>Central</v>
      </c>
      <c r="M96" s="22" t="str">
        <f>IFERROR(__xludf.DUMMYFUNCTION("""COMPUTED_VALUE"""),"Technology")</f>
        <v>Technology</v>
      </c>
      <c r="N96" s="18">
        <f>IFERROR(__xludf.DUMMYFUNCTION("""COMPUTED_VALUE"""),1114.4)</f>
        <v>1114.4</v>
      </c>
      <c r="O96" s="18">
        <f>IFERROR(__xludf.DUMMYFUNCTION("""COMPUTED_VALUE"""),1113.53)</f>
        <v>1113.53</v>
      </c>
      <c r="P96" s="22">
        <f>IFERROR(__xludf.DUMMYFUNCTION("""COMPUTED_VALUE"""),7.0)</f>
        <v>7</v>
      </c>
      <c r="Q96" s="18">
        <f>IFERROR(__xludf.DUMMYFUNCTION("""COMPUTED_VALUE"""),7800.800000000001)</f>
        <v>7800.8</v>
      </c>
      <c r="R96" s="18">
        <f>IFERROR(__xludf.DUMMYFUNCTION("""COMPUTED_VALUE"""),6687.270000000001)</f>
        <v>6687.27</v>
      </c>
    </row>
    <row r="97">
      <c r="A97" s="21">
        <f>IFERROR(__xludf.DUMMYFUNCTION("""COMPUTED_VALUE"""),42411.0)</f>
        <v>42411</v>
      </c>
      <c r="B97" s="21" t="str">
        <f>IFERROR(__xludf.DUMMYFUNCTION("""COMPUTED_VALUE"""),"Feb")</f>
        <v>Feb</v>
      </c>
      <c r="C97" s="9">
        <f>IFERROR(__xludf.DUMMYFUNCTION("""COMPUTED_VALUE"""),42532.0)</f>
        <v>42532</v>
      </c>
      <c r="D97" s="23" t="str">
        <f>IFERROR(__xludf.DUMMYFUNCTION("""COMPUTED_VALUE"""),"Jun")</f>
        <v>Jun</v>
      </c>
      <c r="E97" s="21" t="str">
        <f>IFERROR(__xludf.DUMMYFUNCTION("""COMPUTED_VALUE"""),"2016")</f>
        <v>2016</v>
      </c>
      <c r="F97" s="22" t="str">
        <f>IFERROR(__xludf.DUMMYFUNCTION("""COMPUTED_VALUE"""),"Standard Class")</f>
        <v>Standard Class</v>
      </c>
      <c r="G97" s="22" t="str">
        <f>IFERROR(__xludf.DUMMYFUNCTION("""COMPUTED_VALUE"""),"Jas")</f>
        <v>Jas</v>
      </c>
      <c r="H97" s="22" t="str">
        <f>IFERROR(__xludf.DUMMYFUNCTION("""COMPUTED_VALUE"""),"O'Carroll")</f>
        <v>O'Carroll</v>
      </c>
      <c r="I97" s="22" t="str">
        <f>IFERROR(__xludf.DUMMYFUNCTION("""COMPUTED_VALUE"""),"Consumer")</f>
        <v>Consumer</v>
      </c>
      <c r="J97" s="22" t="str">
        <f>IFERROR(__xludf.DUMMYFUNCTION("""COMPUTED_VALUE"""),"Los Angeles")</f>
        <v>Los Angeles</v>
      </c>
      <c r="K97" s="22" t="str">
        <f>IFERROR(__xludf.DUMMYFUNCTION("""COMPUTED_VALUE"""),"California")</f>
        <v>California</v>
      </c>
      <c r="L97" s="22" t="str">
        <f>IFERROR(__xludf.DUMMYFUNCTION("""COMPUTED_VALUE"""),"West")</f>
        <v>West</v>
      </c>
      <c r="M97" s="22" t="str">
        <f>IFERROR(__xludf.DUMMYFUNCTION("""COMPUTED_VALUE"""),"Furniture")</f>
        <v>Furniture</v>
      </c>
      <c r="N97" s="18">
        <f>IFERROR(__xludf.DUMMYFUNCTION("""COMPUTED_VALUE"""),1038.84)</f>
        <v>1038.84</v>
      </c>
      <c r="O97" s="18">
        <f>IFERROR(__xludf.DUMMYFUNCTION("""COMPUTED_VALUE"""),1038.1)</f>
        <v>1038.1</v>
      </c>
      <c r="P97" s="22">
        <f>IFERROR(__xludf.DUMMYFUNCTION("""COMPUTED_VALUE"""),9.0)</f>
        <v>9</v>
      </c>
      <c r="Q97" s="18">
        <f>IFERROR(__xludf.DUMMYFUNCTION("""COMPUTED_VALUE"""),9349.56)</f>
        <v>9349.56</v>
      </c>
      <c r="R97" s="18">
        <f>IFERROR(__xludf.DUMMYFUNCTION("""COMPUTED_VALUE"""),8311.46)</f>
        <v>8311.46</v>
      </c>
    </row>
    <row r="98">
      <c r="A98" s="21">
        <f>IFERROR(__xludf.DUMMYFUNCTION("""COMPUTED_VALUE"""),42639.0)</f>
        <v>42639</v>
      </c>
      <c r="B98" s="21" t="str">
        <f>IFERROR(__xludf.DUMMYFUNCTION("""COMPUTED_VALUE"""),"Sep")</f>
        <v>Sep</v>
      </c>
      <c r="C98" s="9">
        <f>IFERROR(__xludf.DUMMYFUNCTION("""COMPUTED_VALUE"""),42410.0)</f>
        <v>42410</v>
      </c>
      <c r="D98" s="23" t="str">
        <f>IFERROR(__xludf.DUMMYFUNCTION("""COMPUTED_VALUE"""),"Feb")</f>
        <v>Feb</v>
      </c>
      <c r="E98" s="21" t="str">
        <f>IFERROR(__xludf.DUMMYFUNCTION("""COMPUTED_VALUE"""),"2016")</f>
        <v>2016</v>
      </c>
      <c r="F98" s="22" t="str">
        <f>IFERROR(__xludf.DUMMYFUNCTION("""COMPUTED_VALUE"""),"Standard Class")</f>
        <v>Standard Class</v>
      </c>
      <c r="G98" s="22" t="str">
        <f>IFERROR(__xludf.DUMMYFUNCTION("""COMPUTED_VALUE"""),"Tracy")</f>
        <v>Tracy</v>
      </c>
      <c r="H98" s="22" t="str">
        <f>IFERROR(__xludf.DUMMYFUNCTION("""COMPUTED_VALUE"""),"Blumstein")</f>
        <v>Blumstein</v>
      </c>
      <c r="I98" s="22" t="str">
        <f>IFERROR(__xludf.DUMMYFUNCTION("""COMPUTED_VALUE"""),"Consumer")</f>
        <v>Consumer</v>
      </c>
      <c r="J98" s="22" t="str">
        <f>IFERROR(__xludf.DUMMYFUNCTION("""COMPUTED_VALUE"""),"Portland")</f>
        <v>Portland</v>
      </c>
      <c r="K98" s="22" t="str">
        <f>IFERROR(__xludf.DUMMYFUNCTION("""COMPUTED_VALUE"""),"Oregon")</f>
        <v>Oregon</v>
      </c>
      <c r="L98" s="22" t="str">
        <f>IFERROR(__xludf.DUMMYFUNCTION("""COMPUTED_VALUE"""),"West")</f>
        <v>West</v>
      </c>
      <c r="M98" s="22" t="str">
        <f>IFERROR(__xludf.DUMMYFUNCTION("""COMPUTED_VALUE"""),"Office Supplies")</f>
        <v>Office Supplies</v>
      </c>
      <c r="N98" s="18">
        <f>IFERROR(__xludf.DUMMYFUNCTION("""COMPUTED_VALUE"""),141.76)</f>
        <v>141.76</v>
      </c>
      <c r="O98" s="18">
        <f>IFERROR(__xludf.DUMMYFUNCTION("""COMPUTED_VALUE"""),141.39)</f>
        <v>141.39</v>
      </c>
      <c r="P98" s="22">
        <f>IFERROR(__xludf.DUMMYFUNCTION("""COMPUTED_VALUE"""),9.0)</f>
        <v>9</v>
      </c>
      <c r="Q98" s="18">
        <f>IFERROR(__xludf.DUMMYFUNCTION("""COMPUTED_VALUE"""),1275.84)</f>
        <v>1275.84</v>
      </c>
      <c r="R98" s="18">
        <f>IFERROR(__xludf.DUMMYFUNCTION("""COMPUTED_VALUE"""),1134.4499999999998)</f>
        <v>1134.45</v>
      </c>
    </row>
    <row r="99">
      <c r="A99" s="21">
        <f>IFERROR(__xludf.DUMMYFUNCTION("""COMPUTED_VALUE"""),42639.0)</f>
        <v>42639</v>
      </c>
      <c r="B99" s="21" t="str">
        <f>IFERROR(__xludf.DUMMYFUNCTION("""COMPUTED_VALUE"""),"Sep")</f>
        <v>Sep</v>
      </c>
      <c r="C99" s="9">
        <f>IFERROR(__xludf.DUMMYFUNCTION("""COMPUTED_VALUE"""),42410.0)</f>
        <v>42410</v>
      </c>
      <c r="D99" s="23" t="str">
        <f>IFERROR(__xludf.DUMMYFUNCTION("""COMPUTED_VALUE"""),"Feb")</f>
        <v>Feb</v>
      </c>
      <c r="E99" s="21" t="str">
        <f>IFERROR(__xludf.DUMMYFUNCTION("""COMPUTED_VALUE"""),"2016")</f>
        <v>2016</v>
      </c>
      <c r="F99" s="22" t="str">
        <f>IFERROR(__xludf.DUMMYFUNCTION("""COMPUTED_VALUE"""),"Standard Class")</f>
        <v>Standard Class</v>
      </c>
      <c r="G99" s="22" t="str">
        <f>IFERROR(__xludf.DUMMYFUNCTION("""COMPUTED_VALUE"""),"Tracy")</f>
        <v>Tracy</v>
      </c>
      <c r="H99" s="22" t="str">
        <f>IFERROR(__xludf.DUMMYFUNCTION("""COMPUTED_VALUE"""),"Blumstein")</f>
        <v>Blumstein</v>
      </c>
      <c r="I99" s="22" t="str">
        <f>IFERROR(__xludf.DUMMYFUNCTION("""COMPUTED_VALUE"""),"Consumer")</f>
        <v>Consumer</v>
      </c>
      <c r="J99" s="22" t="str">
        <f>IFERROR(__xludf.DUMMYFUNCTION("""COMPUTED_VALUE"""),"Portland")</f>
        <v>Portland</v>
      </c>
      <c r="K99" s="22" t="str">
        <f>IFERROR(__xludf.DUMMYFUNCTION("""COMPUTED_VALUE"""),"Oregon")</f>
        <v>Oregon</v>
      </c>
      <c r="L99" s="22" t="str">
        <f>IFERROR(__xludf.DUMMYFUNCTION("""COMPUTED_VALUE"""),"West")</f>
        <v>West</v>
      </c>
      <c r="M99" s="22" t="str">
        <f>IFERROR(__xludf.DUMMYFUNCTION("""COMPUTED_VALUE"""),"Technology")</f>
        <v>Technology</v>
      </c>
      <c r="N99" s="18">
        <f>IFERROR(__xludf.DUMMYFUNCTION("""COMPUTED_VALUE"""),239.8)</f>
        <v>239.8</v>
      </c>
      <c r="O99" s="18">
        <f>IFERROR(__xludf.DUMMYFUNCTION("""COMPUTED_VALUE"""),239.3)</f>
        <v>239.3</v>
      </c>
      <c r="P99" s="22">
        <f>IFERROR(__xludf.DUMMYFUNCTION("""COMPUTED_VALUE"""),9.0)</f>
        <v>9</v>
      </c>
      <c r="Q99" s="18">
        <f>IFERROR(__xludf.DUMMYFUNCTION("""COMPUTED_VALUE"""),2158.2000000000003)</f>
        <v>2158.2</v>
      </c>
      <c r="R99" s="18">
        <f>IFERROR(__xludf.DUMMYFUNCTION("""COMPUTED_VALUE"""),1918.9000000000003)</f>
        <v>1918.9</v>
      </c>
    </row>
    <row r="100">
      <c r="A100" s="21">
        <f>IFERROR(__xludf.DUMMYFUNCTION("""COMPUTED_VALUE"""),43087.0)</f>
        <v>43087</v>
      </c>
      <c r="B100" s="21" t="str">
        <f>IFERROR(__xludf.DUMMYFUNCTION("""COMPUTED_VALUE"""),"Dec")</f>
        <v>Dec</v>
      </c>
      <c r="C100" s="9">
        <f>IFERROR(__xludf.DUMMYFUNCTION("""COMPUTED_VALUE"""),43089.0)</f>
        <v>43089</v>
      </c>
      <c r="D100" s="23" t="str">
        <f>IFERROR(__xludf.DUMMYFUNCTION("""COMPUTED_VALUE"""),"Dec")</f>
        <v>Dec</v>
      </c>
      <c r="E100" s="21" t="str">
        <f>IFERROR(__xludf.DUMMYFUNCTION("""COMPUTED_VALUE"""),"2017")</f>
        <v>2017</v>
      </c>
      <c r="F100" s="22" t="str">
        <f>IFERROR(__xludf.DUMMYFUNCTION("""COMPUTED_VALUE"""),"Second Class")</f>
        <v>Second Class</v>
      </c>
      <c r="G100" s="22" t="str">
        <f>IFERROR(__xludf.DUMMYFUNCTION("""COMPUTED_VALUE"""),"Alan")</f>
        <v>Alan</v>
      </c>
      <c r="H100" s="22" t="str">
        <f>IFERROR(__xludf.DUMMYFUNCTION("""COMPUTED_VALUE"""),"Haines")</f>
        <v>Haines</v>
      </c>
      <c r="I100" s="22" t="str">
        <f>IFERROR(__xludf.DUMMYFUNCTION("""COMPUTED_VALUE"""),"Corporate")</f>
        <v>Corporate</v>
      </c>
      <c r="J100" s="22" t="str">
        <f>IFERROR(__xludf.DUMMYFUNCTION("""COMPUTED_VALUE"""),"Tamarac")</f>
        <v>Tamarac</v>
      </c>
      <c r="K100" s="22" t="str">
        <f>IFERROR(__xludf.DUMMYFUNCTION("""COMPUTED_VALUE"""),"Florida")</f>
        <v>Florida</v>
      </c>
      <c r="L100" s="22" t="str">
        <f>IFERROR(__xludf.DUMMYFUNCTION("""COMPUTED_VALUE"""),"South")</f>
        <v>South</v>
      </c>
      <c r="M100" s="22" t="str">
        <f>IFERROR(__xludf.DUMMYFUNCTION("""COMPUTED_VALUE"""),"Office Supplies")</f>
        <v>Office Supplies</v>
      </c>
      <c r="N100" s="18">
        <f>IFERROR(__xludf.DUMMYFUNCTION("""COMPUTED_VALUE"""),254.058)</f>
        <v>254.058</v>
      </c>
      <c r="O100" s="18">
        <f>IFERROR(__xludf.DUMMYFUNCTION("""COMPUTED_VALUE"""),253.74)</f>
        <v>253.74</v>
      </c>
      <c r="P100" s="22">
        <f>IFERROR(__xludf.DUMMYFUNCTION("""COMPUTED_VALUE"""),3.0)</f>
        <v>3</v>
      </c>
      <c r="Q100" s="18">
        <f>IFERROR(__xludf.DUMMYFUNCTION("""COMPUTED_VALUE"""),762.174)</f>
        <v>762.174</v>
      </c>
      <c r="R100" s="18">
        <f>IFERROR(__xludf.DUMMYFUNCTION("""COMPUTED_VALUE"""),508.43399999999997)</f>
        <v>508.434</v>
      </c>
    </row>
    <row r="101">
      <c r="A101" s="21">
        <f>IFERROR(__xludf.DUMMYFUNCTION("""COMPUTED_VALUE"""),43087.0)</f>
        <v>43087</v>
      </c>
      <c r="B101" s="21" t="str">
        <f>IFERROR(__xludf.DUMMYFUNCTION("""COMPUTED_VALUE"""),"Dec")</f>
        <v>Dec</v>
      </c>
      <c r="C101" s="9">
        <f>IFERROR(__xludf.DUMMYFUNCTION("""COMPUTED_VALUE"""),43089.0)</f>
        <v>43089</v>
      </c>
      <c r="D101" s="23" t="str">
        <f>IFERROR(__xludf.DUMMYFUNCTION("""COMPUTED_VALUE"""),"Dec")</f>
        <v>Dec</v>
      </c>
      <c r="E101" s="21" t="str">
        <f>IFERROR(__xludf.DUMMYFUNCTION("""COMPUTED_VALUE"""),"2017")</f>
        <v>2017</v>
      </c>
      <c r="F101" s="22" t="str">
        <f>IFERROR(__xludf.DUMMYFUNCTION("""COMPUTED_VALUE"""),"Second Class")</f>
        <v>Second Class</v>
      </c>
      <c r="G101" s="22" t="str">
        <f>IFERROR(__xludf.DUMMYFUNCTION("""COMPUTED_VALUE"""),"Alan")</f>
        <v>Alan</v>
      </c>
      <c r="H101" s="22" t="str">
        <f>IFERROR(__xludf.DUMMYFUNCTION("""COMPUTED_VALUE"""),"Haines")</f>
        <v>Haines</v>
      </c>
      <c r="I101" s="22" t="str">
        <f>IFERROR(__xludf.DUMMYFUNCTION("""COMPUTED_VALUE"""),"Corporate")</f>
        <v>Corporate</v>
      </c>
      <c r="J101" s="22" t="str">
        <f>IFERROR(__xludf.DUMMYFUNCTION("""COMPUTED_VALUE"""),"Tamarac")</f>
        <v>Tamarac</v>
      </c>
      <c r="K101" s="22" t="str">
        <f>IFERROR(__xludf.DUMMYFUNCTION("""COMPUTED_VALUE"""),"Florida")</f>
        <v>Florida</v>
      </c>
      <c r="L101" s="22" t="str">
        <f>IFERROR(__xludf.DUMMYFUNCTION("""COMPUTED_VALUE"""),"South")</f>
        <v>South</v>
      </c>
      <c r="M101" s="22" t="str">
        <f>IFERROR(__xludf.DUMMYFUNCTION("""COMPUTED_VALUE"""),"Office Supplies")</f>
        <v>Office Supplies</v>
      </c>
      <c r="N101" s="18">
        <f>IFERROR(__xludf.DUMMYFUNCTION("""COMPUTED_VALUE"""),961.48)</f>
        <v>961.48</v>
      </c>
      <c r="O101" s="18">
        <f>IFERROR(__xludf.DUMMYFUNCTION("""COMPUTED_VALUE"""),961.3)</f>
        <v>961.3</v>
      </c>
      <c r="P101" s="22">
        <f>IFERROR(__xludf.DUMMYFUNCTION("""COMPUTED_VALUE"""),3.0)</f>
        <v>3</v>
      </c>
      <c r="Q101" s="18">
        <f>IFERROR(__xludf.DUMMYFUNCTION("""COMPUTED_VALUE"""),2884.44)</f>
        <v>2884.44</v>
      </c>
      <c r="R101" s="18">
        <f>IFERROR(__xludf.DUMMYFUNCTION("""COMPUTED_VALUE"""),1923.14)</f>
        <v>1923.14</v>
      </c>
    </row>
    <row r="102">
      <c r="A102" s="21">
        <f>IFERROR(__xludf.DUMMYFUNCTION("""COMPUTED_VALUE"""),43059.0)</f>
        <v>43059</v>
      </c>
      <c r="B102" s="21" t="str">
        <f>IFERROR(__xludf.DUMMYFUNCTION("""COMPUTED_VALUE"""),"Nov")</f>
        <v>Nov</v>
      </c>
      <c r="C102" s="9">
        <f>IFERROR(__xludf.DUMMYFUNCTION("""COMPUTED_VALUE"""),43063.0)</f>
        <v>43063</v>
      </c>
      <c r="D102" s="23" t="str">
        <f>IFERROR(__xludf.DUMMYFUNCTION("""COMPUTED_VALUE"""),"Nov")</f>
        <v>Nov</v>
      </c>
      <c r="E102" s="21" t="str">
        <f>IFERROR(__xludf.DUMMYFUNCTION("""COMPUTED_VALUE"""),"2017")</f>
        <v>2017</v>
      </c>
      <c r="F102" s="22" t="str">
        <f>IFERROR(__xludf.DUMMYFUNCTION("""COMPUTED_VALUE"""),"Second Class")</f>
        <v>Second Class</v>
      </c>
      <c r="G102" s="22" t="str">
        <f>IFERROR(__xludf.DUMMYFUNCTION("""COMPUTED_VALUE"""),"Nick")</f>
        <v>Nick</v>
      </c>
      <c r="H102" s="22" t="str">
        <f>IFERROR(__xludf.DUMMYFUNCTION("""COMPUTED_VALUE"""),"Zandusky")</f>
        <v>Zandusky</v>
      </c>
      <c r="I102" s="22" t="str">
        <f>IFERROR(__xludf.DUMMYFUNCTION("""COMPUTED_VALUE"""),"Home Office")</f>
        <v>Home Office</v>
      </c>
      <c r="J102" s="22" t="str">
        <f>IFERROR(__xludf.DUMMYFUNCTION("""COMPUTED_VALUE"""),"Columbus")</f>
        <v>Columbus</v>
      </c>
      <c r="K102" s="22" t="str">
        <f>IFERROR(__xludf.DUMMYFUNCTION("""COMPUTED_VALUE"""),"Ohio")</f>
        <v>Ohio</v>
      </c>
      <c r="L102" s="22" t="str">
        <f>IFERROR(__xludf.DUMMYFUNCTION("""COMPUTED_VALUE"""),"East")</f>
        <v>East</v>
      </c>
      <c r="M102" s="22" t="str">
        <f>IFERROR(__xludf.DUMMYFUNCTION("""COMPUTED_VALUE"""),"Technology")</f>
        <v>Technology</v>
      </c>
      <c r="N102" s="18">
        <f>IFERROR(__xludf.DUMMYFUNCTION("""COMPUTED_VALUE"""),255.984)</f>
        <v>255.984</v>
      </c>
      <c r="O102" s="18">
        <f>IFERROR(__xludf.DUMMYFUNCTION("""COMPUTED_VALUE"""),255.27)</f>
        <v>255.27</v>
      </c>
      <c r="P102" s="22">
        <f>IFERROR(__xludf.DUMMYFUNCTION("""COMPUTED_VALUE"""),4.0)</f>
        <v>4</v>
      </c>
      <c r="Q102" s="18">
        <f>IFERROR(__xludf.DUMMYFUNCTION("""COMPUTED_VALUE"""),1023.936)</f>
        <v>1023.936</v>
      </c>
      <c r="R102" s="18">
        <f>IFERROR(__xludf.DUMMYFUNCTION("""COMPUTED_VALUE"""),768.666)</f>
        <v>768.666</v>
      </c>
    </row>
    <row r="103">
      <c r="A103" s="21">
        <f>IFERROR(__xludf.DUMMYFUNCTION("""COMPUTED_VALUE"""),42364.0)</f>
        <v>42364</v>
      </c>
      <c r="B103" s="21" t="str">
        <f>IFERROR(__xludf.DUMMYFUNCTION("""COMPUTED_VALUE"""),"Dec")</f>
        <v>Dec</v>
      </c>
      <c r="C103" s="9">
        <f>IFERROR(__xludf.DUMMYFUNCTION("""COMPUTED_VALUE"""),42366.0)</f>
        <v>42366</v>
      </c>
      <c r="D103" s="23" t="str">
        <f>IFERROR(__xludf.DUMMYFUNCTION("""COMPUTED_VALUE"""),"Dec")</f>
        <v>Dec</v>
      </c>
      <c r="E103" s="21" t="str">
        <f>IFERROR(__xludf.DUMMYFUNCTION("""COMPUTED_VALUE"""),"2015")</f>
        <v>2015</v>
      </c>
      <c r="F103" s="22" t="str">
        <f>IFERROR(__xludf.DUMMYFUNCTION("""COMPUTED_VALUE"""),"First Class")</f>
        <v>First Class</v>
      </c>
      <c r="G103" s="22" t="str">
        <f>IFERROR(__xludf.DUMMYFUNCTION("""COMPUTED_VALUE"""),"Kelly")</f>
        <v>Kelly</v>
      </c>
      <c r="H103" s="22" t="str">
        <f>IFERROR(__xludf.DUMMYFUNCTION("""COMPUTED_VALUE"""),"Lampkin")</f>
        <v>Lampkin</v>
      </c>
      <c r="I103" s="22" t="str">
        <f>IFERROR(__xludf.DUMMYFUNCTION("""COMPUTED_VALUE"""),"Corporate")</f>
        <v>Corporate</v>
      </c>
      <c r="J103" s="22" t="str">
        <f>IFERROR(__xludf.DUMMYFUNCTION("""COMPUTED_VALUE"""),"Colorado Springs")</f>
        <v>Colorado Springs</v>
      </c>
      <c r="K103" s="22" t="str">
        <f>IFERROR(__xludf.DUMMYFUNCTION("""COMPUTED_VALUE"""),"Colorado")</f>
        <v>Colorado</v>
      </c>
      <c r="L103" s="22" t="str">
        <f>IFERROR(__xludf.DUMMYFUNCTION("""COMPUTED_VALUE"""),"West")</f>
        <v>West</v>
      </c>
      <c r="M103" s="22" t="str">
        <f>IFERROR(__xludf.DUMMYFUNCTION("""COMPUTED_VALUE"""),"Furniture")</f>
        <v>Furniture</v>
      </c>
      <c r="N103" s="18">
        <f>IFERROR(__xludf.DUMMYFUNCTION("""COMPUTED_VALUE"""),300.416)</f>
        <v>300.416</v>
      </c>
      <c r="O103" s="18">
        <f>IFERROR(__xludf.DUMMYFUNCTION("""COMPUTED_VALUE"""),299.42)</f>
        <v>299.42</v>
      </c>
      <c r="P103" s="22">
        <f>IFERROR(__xludf.DUMMYFUNCTION("""COMPUTED_VALUE"""),8.0)</f>
        <v>8</v>
      </c>
      <c r="Q103" s="18">
        <f>IFERROR(__xludf.DUMMYFUNCTION("""COMPUTED_VALUE"""),2403.328)</f>
        <v>2403.328</v>
      </c>
      <c r="R103" s="18">
        <f>IFERROR(__xludf.DUMMYFUNCTION("""COMPUTED_VALUE"""),2103.908)</f>
        <v>2103.908</v>
      </c>
    </row>
    <row r="104">
      <c r="A104" s="21">
        <f>IFERROR(__xludf.DUMMYFUNCTION("""COMPUTED_VALUE"""),42364.0)</f>
        <v>42364</v>
      </c>
      <c r="B104" s="21" t="str">
        <f>IFERROR(__xludf.DUMMYFUNCTION("""COMPUTED_VALUE"""),"Dec")</f>
        <v>Dec</v>
      </c>
      <c r="C104" s="9">
        <f>IFERROR(__xludf.DUMMYFUNCTION("""COMPUTED_VALUE"""),42366.0)</f>
        <v>42366</v>
      </c>
      <c r="D104" s="23" t="str">
        <f>IFERROR(__xludf.DUMMYFUNCTION("""COMPUTED_VALUE"""),"Dec")</f>
        <v>Dec</v>
      </c>
      <c r="E104" s="21" t="str">
        <f>IFERROR(__xludf.DUMMYFUNCTION("""COMPUTED_VALUE"""),"2015")</f>
        <v>2015</v>
      </c>
      <c r="F104" s="22" t="str">
        <f>IFERROR(__xludf.DUMMYFUNCTION("""COMPUTED_VALUE"""),"First Class")</f>
        <v>First Class</v>
      </c>
      <c r="G104" s="22" t="str">
        <f>IFERROR(__xludf.DUMMYFUNCTION("""COMPUTED_VALUE"""),"Kelly")</f>
        <v>Kelly</v>
      </c>
      <c r="H104" s="22" t="str">
        <f>IFERROR(__xludf.DUMMYFUNCTION("""COMPUTED_VALUE"""),"Lampkin")</f>
        <v>Lampkin</v>
      </c>
      <c r="I104" s="22" t="str">
        <f>IFERROR(__xludf.DUMMYFUNCTION("""COMPUTED_VALUE"""),"Corporate")</f>
        <v>Corporate</v>
      </c>
      <c r="J104" s="22" t="str">
        <f>IFERROR(__xludf.DUMMYFUNCTION("""COMPUTED_VALUE"""),"Colorado Springs")</f>
        <v>Colorado Springs</v>
      </c>
      <c r="K104" s="22" t="str">
        <f>IFERROR(__xludf.DUMMYFUNCTION("""COMPUTED_VALUE"""),"Colorado")</f>
        <v>Colorado</v>
      </c>
      <c r="L104" s="22" t="str">
        <f>IFERROR(__xludf.DUMMYFUNCTION("""COMPUTED_VALUE"""),"West")</f>
        <v>West</v>
      </c>
      <c r="M104" s="22" t="str">
        <f>IFERROR(__xludf.DUMMYFUNCTION("""COMPUTED_VALUE"""),"Furniture")</f>
        <v>Furniture</v>
      </c>
      <c r="N104" s="18">
        <f>IFERROR(__xludf.DUMMYFUNCTION("""COMPUTED_VALUE"""),230.352)</f>
        <v>230.352</v>
      </c>
      <c r="O104" s="18">
        <f>IFERROR(__xludf.DUMMYFUNCTION("""COMPUTED_VALUE"""),229.78)</f>
        <v>229.78</v>
      </c>
      <c r="P104" s="22">
        <f>IFERROR(__xludf.DUMMYFUNCTION("""COMPUTED_VALUE"""),8.0)</f>
        <v>8</v>
      </c>
      <c r="Q104" s="18">
        <f>IFERROR(__xludf.DUMMYFUNCTION("""COMPUTED_VALUE"""),1842.816)</f>
        <v>1842.816</v>
      </c>
      <c r="R104" s="18">
        <f>IFERROR(__xludf.DUMMYFUNCTION("""COMPUTED_VALUE"""),1613.036)</f>
        <v>1613.036</v>
      </c>
    </row>
    <row r="105">
      <c r="A105" s="21">
        <f>IFERROR(__xludf.DUMMYFUNCTION("""COMPUTED_VALUE"""),42364.0)</f>
        <v>42364</v>
      </c>
      <c r="B105" s="21" t="str">
        <f>IFERROR(__xludf.DUMMYFUNCTION("""COMPUTED_VALUE"""),"Dec")</f>
        <v>Dec</v>
      </c>
      <c r="C105" s="9">
        <f>IFERROR(__xludf.DUMMYFUNCTION("""COMPUTED_VALUE"""),42366.0)</f>
        <v>42366</v>
      </c>
      <c r="D105" s="23" t="str">
        <f>IFERROR(__xludf.DUMMYFUNCTION("""COMPUTED_VALUE"""),"Dec")</f>
        <v>Dec</v>
      </c>
      <c r="E105" s="21" t="str">
        <f>IFERROR(__xludf.DUMMYFUNCTION("""COMPUTED_VALUE"""),"2015")</f>
        <v>2015</v>
      </c>
      <c r="F105" s="22" t="str">
        <f>IFERROR(__xludf.DUMMYFUNCTION("""COMPUTED_VALUE"""),"First Class")</f>
        <v>First Class</v>
      </c>
      <c r="G105" s="22" t="str">
        <f>IFERROR(__xludf.DUMMYFUNCTION("""COMPUTED_VALUE"""),"Kelly")</f>
        <v>Kelly</v>
      </c>
      <c r="H105" s="22" t="str">
        <f>IFERROR(__xludf.DUMMYFUNCTION("""COMPUTED_VALUE"""),"Lampkin")</f>
        <v>Lampkin</v>
      </c>
      <c r="I105" s="22" t="str">
        <f>IFERROR(__xludf.DUMMYFUNCTION("""COMPUTED_VALUE"""),"Corporate")</f>
        <v>Corporate</v>
      </c>
      <c r="J105" s="22" t="str">
        <f>IFERROR(__xludf.DUMMYFUNCTION("""COMPUTED_VALUE"""),"Colorado Springs")</f>
        <v>Colorado Springs</v>
      </c>
      <c r="K105" s="22" t="str">
        <f>IFERROR(__xludf.DUMMYFUNCTION("""COMPUTED_VALUE"""),"Colorado")</f>
        <v>Colorado</v>
      </c>
      <c r="L105" s="22" t="str">
        <f>IFERROR(__xludf.DUMMYFUNCTION("""COMPUTED_VALUE"""),"West")</f>
        <v>West</v>
      </c>
      <c r="M105" s="22" t="str">
        <f>IFERROR(__xludf.DUMMYFUNCTION("""COMPUTED_VALUE"""),"Furniture")</f>
        <v>Furniture</v>
      </c>
      <c r="N105" s="18">
        <f>IFERROR(__xludf.DUMMYFUNCTION("""COMPUTED_VALUE"""),218.352)</f>
        <v>218.352</v>
      </c>
      <c r="O105" s="18">
        <f>IFERROR(__xludf.DUMMYFUNCTION("""COMPUTED_VALUE"""),218.02)</f>
        <v>218.02</v>
      </c>
      <c r="P105" s="22">
        <f>IFERROR(__xludf.DUMMYFUNCTION("""COMPUTED_VALUE"""),8.0)</f>
        <v>8</v>
      </c>
      <c r="Q105" s="18">
        <f>IFERROR(__xludf.DUMMYFUNCTION("""COMPUTED_VALUE"""),1746.816)</f>
        <v>1746.816</v>
      </c>
      <c r="R105" s="18">
        <f>IFERROR(__xludf.DUMMYFUNCTION("""COMPUTED_VALUE"""),1528.796)</f>
        <v>1528.796</v>
      </c>
    </row>
    <row r="106">
      <c r="A106" s="21">
        <f>IFERROR(__xludf.DUMMYFUNCTION("""COMPUTED_VALUE"""),42364.0)</f>
        <v>42364</v>
      </c>
      <c r="B106" s="21" t="str">
        <f>IFERROR(__xludf.DUMMYFUNCTION("""COMPUTED_VALUE"""),"Dec")</f>
        <v>Dec</v>
      </c>
      <c r="C106" s="9">
        <f>IFERROR(__xludf.DUMMYFUNCTION("""COMPUTED_VALUE"""),42366.0)</f>
        <v>42366</v>
      </c>
      <c r="D106" s="23" t="str">
        <f>IFERROR(__xludf.DUMMYFUNCTION("""COMPUTED_VALUE"""),"Dec")</f>
        <v>Dec</v>
      </c>
      <c r="E106" s="21" t="str">
        <f>IFERROR(__xludf.DUMMYFUNCTION("""COMPUTED_VALUE"""),"2015")</f>
        <v>2015</v>
      </c>
      <c r="F106" s="22" t="str">
        <f>IFERROR(__xludf.DUMMYFUNCTION("""COMPUTED_VALUE"""),"First Class")</f>
        <v>First Class</v>
      </c>
      <c r="G106" s="22" t="str">
        <f>IFERROR(__xludf.DUMMYFUNCTION("""COMPUTED_VALUE"""),"Kelly")</f>
        <v>Kelly</v>
      </c>
      <c r="H106" s="22" t="str">
        <f>IFERROR(__xludf.DUMMYFUNCTION("""COMPUTED_VALUE"""),"Lampkin")</f>
        <v>Lampkin</v>
      </c>
      <c r="I106" s="22" t="str">
        <f>IFERROR(__xludf.DUMMYFUNCTION("""COMPUTED_VALUE"""),"Corporate")</f>
        <v>Corporate</v>
      </c>
      <c r="J106" s="22" t="str">
        <f>IFERROR(__xludf.DUMMYFUNCTION("""COMPUTED_VALUE"""),"Colorado Springs")</f>
        <v>Colorado Springs</v>
      </c>
      <c r="K106" s="22" t="str">
        <f>IFERROR(__xludf.DUMMYFUNCTION("""COMPUTED_VALUE"""),"Colorado")</f>
        <v>Colorado</v>
      </c>
      <c r="L106" s="22" t="str">
        <f>IFERROR(__xludf.DUMMYFUNCTION("""COMPUTED_VALUE"""),"West")</f>
        <v>West</v>
      </c>
      <c r="M106" s="22" t="str">
        <f>IFERROR(__xludf.DUMMYFUNCTION("""COMPUTED_VALUE"""),"Office Supplies")</f>
        <v>Office Supplies</v>
      </c>
      <c r="N106" s="18">
        <f>IFERROR(__xludf.DUMMYFUNCTION("""COMPUTED_VALUE"""),78.6)</f>
        <v>78.6</v>
      </c>
      <c r="O106" s="18">
        <f>IFERROR(__xludf.DUMMYFUNCTION("""COMPUTED_VALUE"""),78.29)</f>
        <v>78.29</v>
      </c>
      <c r="P106" s="22">
        <f>IFERROR(__xludf.DUMMYFUNCTION("""COMPUTED_VALUE"""),8.0)</f>
        <v>8</v>
      </c>
      <c r="Q106" s="18">
        <f>IFERROR(__xludf.DUMMYFUNCTION("""COMPUTED_VALUE"""),628.8)</f>
        <v>628.8</v>
      </c>
      <c r="R106" s="18">
        <f>IFERROR(__xludf.DUMMYFUNCTION("""COMPUTED_VALUE"""),550.51)</f>
        <v>550.51</v>
      </c>
    </row>
    <row r="107">
      <c r="A107" s="21">
        <f>IFERROR(__xludf.DUMMYFUNCTION("""COMPUTED_VALUE"""),43036.0)</f>
        <v>43036</v>
      </c>
      <c r="B107" s="21" t="str">
        <f>IFERROR(__xludf.DUMMYFUNCTION("""COMPUTED_VALUE"""),"Oct")</f>
        <v>Oct</v>
      </c>
      <c r="C107" s="9">
        <f>IFERROR(__xludf.DUMMYFUNCTION("""COMPUTED_VALUE"""),42805.0)</f>
        <v>42805</v>
      </c>
      <c r="D107" s="23" t="str">
        <f>IFERROR(__xludf.DUMMYFUNCTION("""COMPUTED_VALUE"""),"Mar")</f>
        <v>Mar</v>
      </c>
      <c r="E107" s="21" t="str">
        <f>IFERROR(__xludf.DUMMYFUNCTION("""COMPUTED_VALUE"""),"2017")</f>
        <v>2017</v>
      </c>
      <c r="F107" s="22" t="str">
        <f>IFERROR(__xludf.DUMMYFUNCTION("""COMPUTED_VALUE"""),"Standard Class")</f>
        <v>Standard Class</v>
      </c>
      <c r="G107" s="22" t="str">
        <f>IFERROR(__xludf.DUMMYFUNCTION("""COMPUTED_VALUE"""),"Jonathan")</f>
        <v>Jonathan</v>
      </c>
      <c r="H107" s="22" t="str">
        <f>IFERROR(__xludf.DUMMYFUNCTION("""COMPUTED_VALUE"""),"Doherty")</f>
        <v>Doherty</v>
      </c>
      <c r="I107" s="22" t="str">
        <f>IFERROR(__xludf.DUMMYFUNCTION("""COMPUTED_VALUE"""),"Corporate")</f>
        <v>Corporate</v>
      </c>
      <c r="J107" s="22" t="str">
        <f>IFERROR(__xludf.DUMMYFUNCTION("""COMPUTED_VALUE"""),"Belleville")</f>
        <v>Belleville</v>
      </c>
      <c r="K107" s="22" t="str">
        <f>IFERROR(__xludf.DUMMYFUNCTION("""COMPUTED_VALUE"""),"New Jersey")</f>
        <v>New Jersey</v>
      </c>
      <c r="L107" s="22" t="str">
        <f>IFERROR(__xludf.DUMMYFUNCTION("""COMPUTED_VALUE"""),"East")</f>
        <v>East</v>
      </c>
      <c r="M107" s="22" t="str">
        <f>IFERROR(__xludf.DUMMYFUNCTION("""COMPUTED_VALUE"""),"Office Supplies")</f>
        <v>Office Supplies</v>
      </c>
      <c r="N107" s="18">
        <f>IFERROR(__xludf.DUMMYFUNCTION("""COMPUTED_VALUE"""),1082.48)</f>
        <v>1082.48</v>
      </c>
      <c r="O107" s="18">
        <f>IFERROR(__xludf.DUMMYFUNCTION("""COMPUTED_VALUE"""),1081.82)</f>
        <v>1081.82</v>
      </c>
      <c r="P107" s="22">
        <f>IFERROR(__xludf.DUMMYFUNCTION("""COMPUTED_VALUE"""),7.0)</f>
        <v>7</v>
      </c>
      <c r="Q107" s="18">
        <f>IFERROR(__xludf.DUMMYFUNCTION("""COMPUTED_VALUE"""),7577.360000000001)</f>
        <v>7577.36</v>
      </c>
      <c r="R107" s="18">
        <f>IFERROR(__xludf.DUMMYFUNCTION("""COMPUTED_VALUE"""),6495.540000000001)</f>
        <v>6495.54</v>
      </c>
    </row>
    <row r="108">
      <c r="A108" s="21">
        <f>IFERROR(__xludf.DUMMYFUNCTION("""COMPUTED_VALUE"""),43423.0)</f>
        <v>43423</v>
      </c>
      <c r="B108" s="21" t="str">
        <f>IFERROR(__xludf.DUMMYFUNCTION("""COMPUTED_VALUE"""),"Nov")</f>
        <v>Nov</v>
      </c>
      <c r="C108" s="9">
        <f>IFERROR(__xludf.DUMMYFUNCTION("""COMPUTED_VALUE"""),43427.0)</f>
        <v>43427</v>
      </c>
      <c r="D108" s="23" t="str">
        <f>IFERROR(__xludf.DUMMYFUNCTION("""COMPUTED_VALUE"""),"Nov")</f>
        <v>Nov</v>
      </c>
      <c r="E108" s="21" t="str">
        <f>IFERROR(__xludf.DUMMYFUNCTION("""COMPUTED_VALUE"""),"2018")</f>
        <v>2018</v>
      </c>
      <c r="F108" s="22" t="str">
        <f>IFERROR(__xludf.DUMMYFUNCTION("""COMPUTED_VALUE"""),"Standard Class")</f>
        <v>Standard Class</v>
      </c>
      <c r="G108" s="22" t="str">
        <f>IFERROR(__xludf.DUMMYFUNCTION("""COMPUTED_VALUE"""),"Jonathan")</f>
        <v>Jonathan</v>
      </c>
      <c r="H108" s="22" t="str">
        <f>IFERROR(__xludf.DUMMYFUNCTION("""COMPUTED_VALUE"""),"Howell")</f>
        <v>Howell</v>
      </c>
      <c r="I108" s="22" t="str">
        <f>IFERROR(__xludf.DUMMYFUNCTION("""COMPUTED_VALUE"""),"Consumer")</f>
        <v>Consumer</v>
      </c>
      <c r="J108" s="22" t="str">
        <f>IFERROR(__xludf.DUMMYFUNCTION("""COMPUTED_VALUE"""),"Chicago")</f>
        <v>Chicago</v>
      </c>
      <c r="K108" s="22" t="str">
        <f>IFERROR(__xludf.DUMMYFUNCTION("""COMPUTED_VALUE"""),"Illinois")</f>
        <v>Illinois</v>
      </c>
      <c r="L108" s="22" t="str">
        <f>IFERROR(__xludf.DUMMYFUNCTION("""COMPUTED_VALUE"""),"Central")</f>
        <v>Central</v>
      </c>
      <c r="M108" s="22" t="str">
        <f>IFERROR(__xludf.DUMMYFUNCTION("""COMPUTED_VALUE"""),"Furniture")</f>
        <v>Furniture</v>
      </c>
      <c r="N108" s="18">
        <f>IFERROR(__xludf.DUMMYFUNCTION("""COMPUTED_VALUE"""),219.075)</f>
        <v>219.075</v>
      </c>
      <c r="O108" s="18">
        <f>IFERROR(__xludf.DUMMYFUNCTION("""COMPUTED_VALUE"""),218.6)</f>
        <v>218.6</v>
      </c>
      <c r="P108" s="22">
        <f>IFERROR(__xludf.DUMMYFUNCTION("""COMPUTED_VALUE"""),6.0)</f>
        <v>6</v>
      </c>
      <c r="Q108" s="18">
        <f>IFERROR(__xludf.DUMMYFUNCTION("""COMPUTED_VALUE"""),1314.4499999999998)</f>
        <v>1314.45</v>
      </c>
      <c r="R108" s="18">
        <f>IFERROR(__xludf.DUMMYFUNCTION("""COMPUTED_VALUE"""),1095.85)</f>
        <v>1095.85</v>
      </c>
    </row>
    <row r="109">
      <c r="A109" s="21">
        <f>IFERROR(__xludf.DUMMYFUNCTION("""COMPUTED_VALUE"""),42010.0)</f>
        <v>42010</v>
      </c>
      <c r="B109" s="21" t="str">
        <f>IFERROR(__xludf.DUMMYFUNCTION("""COMPUTED_VALUE"""),"Jan")</f>
        <v>Jan</v>
      </c>
      <c r="C109" s="9">
        <f>IFERROR(__xludf.DUMMYFUNCTION("""COMPUTED_VALUE"""),42161.0)</f>
        <v>42161</v>
      </c>
      <c r="D109" s="23" t="str">
        <f>IFERROR(__xludf.DUMMYFUNCTION("""COMPUTED_VALUE"""),"Jun")</f>
        <v>Jun</v>
      </c>
      <c r="E109" s="21" t="str">
        <f>IFERROR(__xludf.DUMMYFUNCTION("""COMPUTED_VALUE"""),"2015")</f>
        <v>2015</v>
      </c>
      <c r="F109" s="22" t="str">
        <f>IFERROR(__xludf.DUMMYFUNCTION("""COMPUTED_VALUE"""),"Standard Class")</f>
        <v>Standard Class</v>
      </c>
      <c r="G109" s="22" t="str">
        <f>IFERROR(__xludf.DUMMYFUNCTION("""COMPUTED_VALUE"""),"Corey")</f>
        <v>Corey</v>
      </c>
      <c r="H109" s="22" t="str">
        <f>IFERROR(__xludf.DUMMYFUNCTION("""COMPUTED_VALUE"""),"Roper")</f>
        <v>Roper</v>
      </c>
      <c r="I109" s="22" t="str">
        <f>IFERROR(__xludf.DUMMYFUNCTION("""COMPUTED_VALUE"""),"Home Office")</f>
        <v>Home Office</v>
      </c>
      <c r="J109" s="22" t="str">
        <f>IFERROR(__xludf.DUMMYFUNCTION("""COMPUTED_VALUE"""),"Lakewood")</f>
        <v>Lakewood</v>
      </c>
      <c r="K109" s="22" t="str">
        <f>IFERROR(__xludf.DUMMYFUNCTION("""COMPUTED_VALUE"""),"New Jersey")</f>
        <v>New Jersey</v>
      </c>
      <c r="L109" s="22" t="str">
        <f>IFERROR(__xludf.DUMMYFUNCTION("""COMPUTED_VALUE"""),"East")</f>
        <v>East</v>
      </c>
      <c r="M109" s="22" t="str">
        <f>IFERROR(__xludf.DUMMYFUNCTION("""COMPUTED_VALUE"""),"Office Supplies")</f>
        <v>Office Supplies</v>
      </c>
      <c r="N109" s="18">
        <f>IFERROR(__xludf.DUMMYFUNCTION("""COMPUTED_VALUE"""),289.2)</f>
        <v>289.2</v>
      </c>
      <c r="O109" s="18">
        <f>IFERROR(__xludf.DUMMYFUNCTION("""COMPUTED_VALUE"""),288.87)</f>
        <v>288.87</v>
      </c>
      <c r="P109" s="22">
        <f>IFERROR(__xludf.DUMMYFUNCTION("""COMPUTED_VALUE"""),8.0)</f>
        <v>8</v>
      </c>
      <c r="Q109" s="18">
        <f>IFERROR(__xludf.DUMMYFUNCTION("""COMPUTED_VALUE"""),2313.6)</f>
        <v>2313.6</v>
      </c>
      <c r="R109" s="18">
        <f>IFERROR(__xludf.DUMMYFUNCTION("""COMPUTED_VALUE"""),2024.73)</f>
        <v>2024.73</v>
      </c>
    </row>
    <row r="110">
      <c r="A110" s="21">
        <f>IFERROR(__xludf.DUMMYFUNCTION("""COMPUTED_VALUE"""),43078.0)</f>
        <v>43078</v>
      </c>
      <c r="B110" s="21" t="str">
        <f>IFERROR(__xludf.DUMMYFUNCTION("""COMPUTED_VALUE"""),"Dec")</f>
        <v>Dec</v>
      </c>
      <c r="C110" s="9">
        <f>IFERROR(__xludf.DUMMYFUNCTION("""COMPUTED_VALUE"""),42992.0)</f>
        <v>42992</v>
      </c>
      <c r="D110" s="23" t="str">
        <f>IFERROR(__xludf.DUMMYFUNCTION("""COMPUTED_VALUE"""),"Sep")</f>
        <v>Sep</v>
      </c>
      <c r="E110" s="21" t="str">
        <f>IFERROR(__xludf.DUMMYFUNCTION("""COMPUTED_VALUE"""),"2017")</f>
        <v>2017</v>
      </c>
      <c r="F110" s="22" t="str">
        <f>IFERROR(__xludf.DUMMYFUNCTION("""COMPUTED_VALUE"""),"Second Class")</f>
        <v>Second Class</v>
      </c>
      <c r="G110" s="22" t="str">
        <f>IFERROR(__xludf.DUMMYFUNCTION("""COMPUTED_VALUE"""),"Ben")</f>
        <v>Ben</v>
      </c>
      <c r="H110" s="22" t="str">
        <f>IFERROR(__xludf.DUMMYFUNCTION("""COMPUTED_VALUE"""),"Peterman")</f>
        <v>Peterman</v>
      </c>
      <c r="I110" s="22" t="str">
        <f>IFERROR(__xludf.DUMMYFUNCTION("""COMPUTED_VALUE"""),"Corporate")</f>
        <v>Corporate</v>
      </c>
      <c r="J110" s="22" t="str">
        <f>IFERROR(__xludf.DUMMYFUNCTION("""COMPUTED_VALUE"""),"Arvada")</f>
        <v>Arvada</v>
      </c>
      <c r="K110" s="22" t="str">
        <f>IFERROR(__xludf.DUMMYFUNCTION("""COMPUTED_VALUE"""),"Colorado")</f>
        <v>Colorado</v>
      </c>
      <c r="L110" s="22" t="str">
        <f>IFERROR(__xludf.DUMMYFUNCTION("""COMPUTED_VALUE"""),"West")</f>
        <v>West</v>
      </c>
      <c r="M110" s="22" t="str">
        <f>IFERROR(__xludf.DUMMYFUNCTION("""COMPUTED_VALUE"""),"Furniture")</f>
        <v>Furniture</v>
      </c>
      <c r="N110" s="18">
        <f>IFERROR(__xludf.DUMMYFUNCTION("""COMPUTED_VALUE"""),466.768)</f>
        <v>466.768</v>
      </c>
      <c r="O110" s="18">
        <f>IFERROR(__xludf.DUMMYFUNCTION("""COMPUTED_VALUE"""),465.9)</f>
        <v>465.9</v>
      </c>
      <c r="P110" s="22">
        <f>IFERROR(__xludf.DUMMYFUNCTION("""COMPUTED_VALUE"""),8.0)</f>
        <v>8</v>
      </c>
      <c r="Q110" s="18">
        <f>IFERROR(__xludf.DUMMYFUNCTION("""COMPUTED_VALUE"""),3734.144)</f>
        <v>3734.144</v>
      </c>
      <c r="R110" s="18">
        <f>IFERROR(__xludf.DUMMYFUNCTION("""COMPUTED_VALUE"""),3268.2439999999997)</f>
        <v>3268.244</v>
      </c>
    </row>
    <row r="111">
      <c r="A111" s="21">
        <f>IFERROR(__xludf.DUMMYFUNCTION("""COMPUTED_VALUE"""),42274.0)</f>
        <v>42274</v>
      </c>
      <c r="B111" s="21" t="str">
        <f>IFERROR(__xludf.DUMMYFUNCTION("""COMPUTED_VALUE"""),"Sep")</f>
        <v>Sep</v>
      </c>
      <c r="C111" s="9">
        <f>IFERROR(__xludf.DUMMYFUNCTION("""COMPUTED_VALUE"""),42073.0)</f>
        <v>42073</v>
      </c>
      <c r="D111" s="23" t="str">
        <f>IFERROR(__xludf.DUMMYFUNCTION("""COMPUTED_VALUE"""),"Mar")</f>
        <v>Mar</v>
      </c>
      <c r="E111" s="21" t="str">
        <f>IFERROR(__xludf.DUMMYFUNCTION("""COMPUTED_VALUE"""),"2015")</f>
        <v>2015</v>
      </c>
      <c r="F111" s="22" t="str">
        <f>IFERROR(__xludf.DUMMYFUNCTION("""COMPUTED_VALUE"""),"Standard Class")</f>
        <v>Standard Class</v>
      </c>
      <c r="G111" s="22" t="str">
        <f>IFERROR(__xludf.DUMMYFUNCTION("""COMPUTED_VALUE"""),"Thomas")</f>
        <v>Thomas</v>
      </c>
      <c r="H111" s="22" t="str">
        <f>IFERROR(__xludf.DUMMYFUNCTION("""COMPUTED_VALUE"""),"Seio")</f>
        <v>Seio</v>
      </c>
      <c r="I111" s="22" t="str">
        <f>IFERROR(__xludf.DUMMYFUNCTION("""COMPUTED_VALUE"""),"Corporate")</f>
        <v>Corporate</v>
      </c>
      <c r="J111" s="22" t="str">
        <f>IFERROR(__xludf.DUMMYFUNCTION("""COMPUTED_VALUE"""),"Hackensack")</f>
        <v>Hackensack</v>
      </c>
      <c r="K111" s="22" t="str">
        <f>IFERROR(__xludf.DUMMYFUNCTION("""COMPUTED_VALUE"""),"New Jersey")</f>
        <v>New Jersey</v>
      </c>
      <c r="L111" s="22" t="str">
        <f>IFERROR(__xludf.DUMMYFUNCTION("""COMPUTED_VALUE"""),"East")</f>
        <v>East</v>
      </c>
      <c r="M111" s="22" t="str">
        <f>IFERROR(__xludf.DUMMYFUNCTION("""COMPUTED_VALUE"""),"Furniture")</f>
        <v>Furniture</v>
      </c>
      <c r="N111" s="18">
        <f>IFERROR(__xludf.DUMMYFUNCTION("""COMPUTED_VALUE"""),87.54)</f>
        <v>87.54</v>
      </c>
      <c r="O111" s="18">
        <f>IFERROR(__xludf.DUMMYFUNCTION("""COMPUTED_VALUE"""),87.11)</f>
        <v>87.11</v>
      </c>
      <c r="P111" s="22">
        <f>IFERROR(__xludf.DUMMYFUNCTION("""COMPUTED_VALUE"""),7.0)</f>
        <v>7</v>
      </c>
      <c r="Q111" s="18">
        <f>IFERROR(__xludf.DUMMYFUNCTION("""COMPUTED_VALUE"""),612.7800000000001)</f>
        <v>612.78</v>
      </c>
      <c r="R111" s="18">
        <f>IFERROR(__xludf.DUMMYFUNCTION("""COMPUTED_VALUE"""),525.6700000000001)</f>
        <v>525.67</v>
      </c>
    </row>
    <row r="112">
      <c r="A112" s="21">
        <f>IFERROR(__xludf.DUMMYFUNCTION("""COMPUTED_VALUE"""),42848.0)</f>
        <v>42848</v>
      </c>
      <c r="B112" s="21" t="str">
        <f>IFERROR(__xludf.DUMMYFUNCTION("""COMPUTED_VALUE"""),"Apr")</f>
        <v>Apr</v>
      </c>
      <c r="C112" s="9">
        <f>IFERROR(__xludf.DUMMYFUNCTION("""COMPUTED_VALUE"""),42852.0)</f>
        <v>42852</v>
      </c>
      <c r="D112" s="23" t="str">
        <f>IFERROR(__xludf.DUMMYFUNCTION("""COMPUTED_VALUE"""),"Apr")</f>
        <v>Apr</v>
      </c>
      <c r="E112" s="21" t="str">
        <f>IFERROR(__xludf.DUMMYFUNCTION("""COMPUTED_VALUE"""),"2017")</f>
        <v>2017</v>
      </c>
      <c r="F112" s="22" t="str">
        <f>IFERROR(__xludf.DUMMYFUNCTION("""COMPUTED_VALUE"""),"Standard Class")</f>
        <v>Standard Class</v>
      </c>
      <c r="G112" s="22" t="str">
        <f>IFERROR(__xludf.DUMMYFUNCTION("""COMPUTED_VALUE"""),"Grace")</f>
        <v>Grace</v>
      </c>
      <c r="H112" s="22" t="str">
        <f>IFERROR(__xludf.DUMMYFUNCTION("""COMPUTED_VALUE"""),"Kelly")</f>
        <v>Kelly</v>
      </c>
      <c r="I112" s="22" t="str">
        <f>IFERROR(__xludf.DUMMYFUNCTION("""COMPUTED_VALUE"""),"Corporate")</f>
        <v>Corporate</v>
      </c>
      <c r="J112" s="22" t="str">
        <f>IFERROR(__xludf.DUMMYFUNCTION("""COMPUTED_VALUE"""),"Hesperia")</f>
        <v>Hesperia</v>
      </c>
      <c r="K112" s="22" t="str">
        <f>IFERROR(__xludf.DUMMYFUNCTION("""COMPUTED_VALUE"""),"California")</f>
        <v>California</v>
      </c>
      <c r="L112" s="22" t="str">
        <f>IFERROR(__xludf.DUMMYFUNCTION("""COMPUTED_VALUE"""),"West")</f>
        <v>West</v>
      </c>
      <c r="M112" s="22" t="str">
        <f>IFERROR(__xludf.DUMMYFUNCTION("""COMPUTED_VALUE"""),"Office Supplies")</f>
        <v>Office Supplies</v>
      </c>
      <c r="N112" s="18">
        <f>IFERROR(__xludf.DUMMYFUNCTION("""COMPUTED_VALUE"""),251.52)</f>
        <v>251.52</v>
      </c>
      <c r="O112" s="18">
        <f>IFERROR(__xludf.DUMMYFUNCTION("""COMPUTED_VALUE"""),250.57)</f>
        <v>250.57</v>
      </c>
      <c r="P112" s="22">
        <f>IFERROR(__xludf.DUMMYFUNCTION("""COMPUTED_VALUE"""),9.0)</f>
        <v>9</v>
      </c>
      <c r="Q112" s="18">
        <f>IFERROR(__xludf.DUMMYFUNCTION("""COMPUTED_VALUE"""),2263.6800000000003)</f>
        <v>2263.68</v>
      </c>
      <c r="R112" s="18">
        <f>IFERROR(__xludf.DUMMYFUNCTION("""COMPUTED_VALUE"""),2013.1100000000004)</f>
        <v>2013.11</v>
      </c>
    </row>
    <row r="113">
      <c r="A113" s="21">
        <f>IFERROR(__xludf.DUMMYFUNCTION("""COMPUTED_VALUE"""),42848.0)</f>
        <v>42848</v>
      </c>
      <c r="B113" s="21" t="str">
        <f>IFERROR(__xludf.DUMMYFUNCTION("""COMPUTED_VALUE"""),"Apr")</f>
        <v>Apr</v>
      </c>
      <c r="C113" s="9">
        <f>IFERROR(__xludf.DUMMYFUNCTION("""COMPUTED_VALUE"""),42852.0)</f>
        <v>42852</v>
      </c>
      <c r="D113" s="23" t="str">
        <f>IFERROR(__xludf.DUMMYFUNCTION("""COMPUTED_VALUE"""),"Apr")</f>
        <v>Apr</v>
      </c>
      <c r="E113" s="21" t="str">
        <f>IFERROR(__xludf.DUMMYFUNCTION("""COMPUTED_VALUE"""),"2017")</f>
        <v>2017</v>
      </c>
      <c r="F113" s="22" t="str">
        <f>IFERROR(__xludf.DUMMYFUNCTION("""COMPUTED_VALUE"""),"Standard Class")</f>
        <v>Standard Class</v>
      </c>
      <c r="G113" s="22" t="str">
        <f>IFERROR(__xludf.DUMMYFUNCTION("""COMPUTED_VALUE"""),"Grace")</f>
        <v>Grace</v>
      </c>
      <c r="H113" s="22" t="str">
        <f>IFERROR(__xludf.DUMMYFUNCTION("""COMPUTED_VALUE"""),"Kelly")</f>
        <v>Kelly</v>
      </c>
      <c r="I113" s="22" t="str">
        <f>IFERROR(__xludf.DUMMYFUNCTION("""COMPUTED_VALUE"""),"Corporate")</f>
        <v>Corporate</v>
      </c>
      <c r="J113" s="22" t="str">
        <f>IFERROR(__xludf.DUMMYFUNCTION("""COMPUTED_VALUE"""),"Hesperia")</f>
        <v>Hesperia</v>
      </c>
      <c r="K113" s="22" t="str">
        <f>IFERROR(__xludf.DUMMYFUNCTION("""COMPUTED_VALUE"""),"California")</f>
        <v>California</v>
      </c>
      <c r="L113" s="22" t="str">
        <f>IFERROR(__xludf.DUMMYFUNCTION("""COMPUTED_VALUE"""),"West")</f>
        <v>West</v>
      </c>
      <c r="M113" s="22" t="str">
        <f>IFERROR(__xludf.DUMMYFUNCTION("""COMPUTED_VALUE"""),"Technology")</f>
        <v>Technology</v>
      </c>
      <c r="N113" s="18">
        <f>IFERROR(__xludf.DUMMYFUNCTION("""COMPUTED_VALUE"""),99.99)</f>
        <v>99.99</v>
      </c>
      <c r="O113" s="18">
        <f>IFERROR(__xludf.DUMMYFUNCTION("""COMPUTED_VALUE"""),99.99)</f>
        <v>99.99</v>
      </c>
      <c r="P113" s="22">
        <f>IFERROR(__xludf.DUMMYFUNCTION("""COMPUTED_VALUE"""),9.0)</f>
        <v>9</v>
      </c>
      <c r="Q113" s="18">
        <f>IFERROR(__xludf.DUMMYFUNCTION("""COMPUTED_VALUE"""),899.91)</f>
        <v>899.91</v>
      </c>
      <c r="R113" s="18">
        <f>IFERROR(__xludf.DUMMYFUNCTION("""COMPUTED_VALUE"""),799.92)</f>
        <v>799.92</v>
      </c>
    </row>
    <row r="114">
      <c r="A114" s="21">
        <f>IFERROR(__xludf.DUMMYFUNCTION("""COMPUTED_VALUE"""),42378.0)</f>
        <v>42378</v>
      </c>
      <c r="B114" s="21" t="str">
        <f>IFERROR(__xludf.DUMMYFUNCTION("""COMPUTED_VALUE"""),"Jan")</f>
        <v>Jan</v>
      </c>
      <c r="C114" s="9">
        <f>IFERROR(__xludf.DUMMYFUNCTION("""COMPUTED_VALUE"""),42469.0)</f>
        <v>42469</v>
      </c>
      <c r="D114" s="23" t="str">
        <f>IFERROR(__xludf.DUMMYFUNCTION("""COMPUTED_VALUE"""),"Apr")</f>
        <v>Apr</v>
      </c>
      <c r="E114" s="21" t="str">
        <f>IFERROR(__xludf.DUMMYFUNCTION("""COMPUTED_VALUE"""),"2016")</f>
        <v>2016</v>
      </c>
      <c r="F114" s="22" t="str">
        <f>IFERROR(__xludf.DUMMYFUNCTION("""COMPUTED_VALUE"""),"Second Class")</f>
        <v>Second Class</v>
      </c>
      <c r="G114" s="22" t="str">
        <f>IFERROR(__xludf.DUMMYFUNCTION("""COMPUTED_VALUE"""),"Doug")</f>
        <v>Doug</v>
      </c>
      <c r="H114" s="22" t="str">
        <f>IFERROR(__xludf.DUMMYFUNCTION("""COMPUTED_VALUE"""),"Bickford")</f>
        <v>Bickford</v>
      </c>
      <c r="I114" s="22" t="str">
        <f>IFERROR(__xludf.DUMMYFUNCTION("""COMPUTED_VALUE"""),"Consumer")</f>
        <v>Consumer</v>
      </c>
      <c r="J114" s="22" t="str">
        <f>IFERROR(__xludf.DUMMYFUNCTION("""COMPUTED_VALUE"""),"Los Angeles")</f>
        <v>Los Angeles</v>
      </c>
      <c r="K114" s="22" t="str">
        <f>IFERROR(__xludf.DUMMYFUNCTION("""COMPUTED_VALUE"""),"California")</f>
        <v>California</v>
      </c>
      <c r="L114" s="22" t="str">
        <f>IFERROR(__xludf.DUMMYFUNCTION("""COMPUTED_VALUE"""),"West")</f>
        <v>West</v>
      </c>
      <c r="M114" s="22" t="str">
        <f>IFERROR(__xludf.DUMMYFUNCTION("""COMPUTED_VALUE"""),"Technology")</f>
        <v>Technology</v>
      </c>
      <c r="N114" s="18">
        <f>IFERROR(__xludf.DUMMYFUNCTION("""COMPUTED_VALUE"""),959.984)</f>
        <v>959.984</v>
      </c>
      <c r="O114" s="18">
        <f>IFERROR(__xludf.DUMMYFUNCTION("""COMPUTED_VALUE"""),959.68)</f>
        <v>959.68</v>
      </c>
      <c r="P114" s="22">
        <f>IFERROR(__xludf.DUMMYFUNCTION("""COMPUTED_VALUE"""),9.0)</f>
        <v>9</v>
      </c>
      <c r="Q114" s="18">
        <f>IFERROR(__xludf.DUMMYFUNCTION("""COMPUTED_VALUE"""),8639.856)</f>
        <v>8639.856</v>
      </c>
      <c r="R114" s="18">
        <f>IFERROR(__xludf.DUMMYFUNCTION("""COMPUTED_VALUE"""),7680.1759999999995)</f>
        <v>7680.176</v>
      </c>
    </row>
    <row r="115">
      <c r="A115" s="21">
        <f>IFERROR(__xludf.DUMMYFUNCTION("""COMPUTED_VALUE"""),42345.0)</f>
        <v>42345</v>
      </c>
      <c r="B115" s="21" t="str">
        <f>IFERROR(__xludf.DUMMYFUNCTION("""COMPUTED_VALUE"""),"Dec")</f>
        <v>Dec</v>
      </c>
      <c r="C115" s="9">
        <f>IFERROR(__xludf.DUMMYFUNCTION("""COMPUTED_VALUE"""),42202.0)</f>
        <v>42202</v>
      </c>
      <c r="D115" s="23" t="str">
        <f>IFERROR(__xludf.DUMMYFUNCTION("""COMPUTED_VALUE"""),"Jul")</f>
        <v>Jul</v>
      </c>
      <c r="E115" s="21" t="str">
        <f>IFERROR(__xludf.DUMMYFUNCTION("""COMPUTED_VALUE"""),"2015")</f>
        <v>2015</v>
      </c>
      <c r="F115" s="22" t="str">
        <f>IFERROR(__xludf.DUMMYFUNCTION("""COMPUTED_VALUE"""),"Standard Class")</f>
        <v>Standard Class</v>
      </c>
      <c r="G115" s="22" t="str">
        <f>IFERROR(__xludf.DUMMYFUNCTION("""COMPUTED_VALUE"""),"Alyssa")</f>
        <v>Alyssa</v>
      </c>
      <c r="H115" s="22" t="str">
        <f>IFERROR(__xludf.DUMMYFUNCTION("""COMPUTED_VALUE"""),"Crouse")</f>
        <v>Crouse</v>
      </c>
      <c r="I115" s="22" t="str">
        <f>IFERROR(__xludf.DUMMYFUNCTION("""COMPUTED_VALUE"""),"Corporate")</f>
        <v>Corporate</v>
      </c>
      <c r="J115" s="22" t="str">
        <f>IFERROR(__xludf.DUMMYFUNCTION("""COMPUTED_VALUE"""),"San Francisco")</f>
        <v>San Francisco</v>
      </c>
      <c r="K115" s="22" t="str">
        <f>IFERROR(__xludf.DUMMYFUNCTION("""COMPUTED_VALUE"""),"California")</f>
        <v>California</v>
      </c>
      <c r="L115" s="22" t="str">
        <f>IFERROR(__xludf.DUMMYFUNCTION("""COMPUTED_VALUE"""),"West")</f>
        <v>West</v>
      </c>
      <c r="M115" s="22" t="str">
        <f>IFERROR(__xludf.DUMMYFUNCTION("""COMPUTED_VALUE"""),"Furniture")</f>
        <v>Furniture</v>
      </c>
      <c r="N115" s="18">
        <f>IFERROR(__xludf.DUMMYFUNCTION("""COMPUTED_VALUE"""),698.352)</f>
        <v>698.352</v>
      </c>
      <c r="O115" s="18">
        <f>IFERROR(__xludf.DUMMYFUNCTION("""COMPUTED_VALUE"""),698.24)</f>
        <v>698.24</v>
      </c>
      <c r="P115" s="22">
        <f>IFERROR(__xludf.DUMMYFUNCTION("""COMPUTED_VALUE"""),9.0)</f>
        <v>9</v>
      </c>
      <c r="Q115" s="18">
        <f>IFERROR(__xludf.DUMMYFUNCTION("""COMPUTED_VALUE"""),6285.168)</f>
        <v>6285.168</v>
      </c>
      <c r="R115" s="18">
        <f>IFERROR(__xludf.DUMMYFUNCTION("""COMPUTED_VALUE"""),5586.928)</f>
        <v>5586.928</v>
      </c>
    </row>
    <row r="116">
      <c r="A116" s="21">
        <f>IFERROR(__xludf.DUMMYFUNCTION("""COMPUTED_VALUE"""),42724.0)</f>
        <v>42724</v>
      </c>
      <c r="B116" s="21" t="str">
        <f>IFERROR(__xludf.DUMMYFUNCTION("""COMPUTED_VALUE"""),"Dec")</f>
        <v>Dec</v>
      </c>
      <c r="C116" s="9">
        <f>IFERROR(__xludf.DUMMYFUNCTION("""COMPUTED_VALUE"""),42728.0)</f>
        <v>42728</v>
      </c>
      <c r="D116" s="23" t="str">
        <f>IFERROR(__xludf.DUMMYFUNCTION("""COMPUTED_VALUE"""),"Dec")</f>
        <v>Dec</v>
      </c>
      <c r="E116" s="21" t="str">
        <f>IFERROR(__xludf.DUMMYFUNCTION("""COMPUTED_VALUE"""),"2016")</f>
        <v>2016</v>
      </c>
      <c r="F116" s="22" t="str">
        <f>IFERROR(__xludf.DUMMYFUNCTION("""COMPUTED_VALUE"""),"Standard Class")</f>
        <v>Standard Class</v>
      </c>
      <c r="G116" s="22" t="str">
        <f>IFERROR(__xludf.DUMMYFUNCTION("""COMPUTED_VALUE"""),"Chad")</f>
        <v>Chad</v>
      </c>
      <c r="H116" s="22" t="str">
        <f>IFERROR(__xludf.DUMMYFUNCTION("""COMPUTED_VALUE"""),"Sievert")</f>
        <v>Sievert</v>
      </c>
      <c r="I116" s="22" t="str">
        <f>IFERROR(__xludf.DUMMYFUNCTION("""COMPUTED_VALUE"""),"Consumer")</f>
        <v>Consumer</v>
      </c>
      <c r="J116" s="22" t="str">
        <f>IFERROR(__xludf.DUMMYFUNCTION("""COMPUTED_VALUE"""),"Austin")</f>
        <v>Austin</v>
      </c>
      <c r="K116" s="22" t="str">
        <f>IFERROR(__xludf.DUMMYFUNCTION("""COMPUTED_VALUE"""),"Texas")</f>
        <v>Texas</v>
      </c>
      <c r="L116" s="22" t="str">
        <f>IFERROR(__xludf.DUMMYFUNCTION("""COMPUTED_VALUE"""),"Central")</f>
        <v>Central</v>
      </c>
      <c r="M116" s="22" t="str">
        <f>IFERROR(__xludf.DUMMYFUNCTION("""COMPUTED_VALUE"""),"Office Supplies")</f>
        <v>Office Supplies</v>
      </c>
      <c r="N116" s="18">
        <f>IFERROR(__xludf.DUMMYFUNCTION("""COMPUTED_VALUE"""),88.8)</f>
        <v>88.8</v>
      </c>
      <c r="O116" s="18">
        <f>IFERROR(__xludf.DUMMYFUNCTION("""COMPUTED_VALUE"""),88.41)</f>
        <v>88.41</v>
      </c>
      <c r="P116" s="22">
        <f>IFERROR(__xludf.DUMMYFUNCTION("""COMPUTED_VALUE"""),7.0)</f>
        <v>7</v>
      </c>
      <c r="Q116" s="18">
        <f>IFERROR(__xludf.DUMMYFUNCTION("""COMPUTED_VALUE"""),621.6)</f>
        <v>621.6</v>
      </c>
      <c r="R116" s="18">
        <f>IFERROR(__xludf.DUMMYFUNCTION("""COMPUTED_VALUE"""),533.19)</f>
        <v>533.19</v>
      </c>
    </row>
    <row r="117">
      <c r="A117" s="21">
        <f>IFERROR(__xludf.DUMMYFUNCTION("""COMPUTED_VALUE"""),43315.0)</f>
        <v>43315</v>
      </c>
      <c r="B117" s="21" t="str">
        <f>IFERROR(__xludf.DUMMYFUNCTION("""COMPUTED_VALUE"""),"Aug")</f>
        <v>Aug</v>
      </c>
      <c r="C117" s="9">
        <f>IFERROR(__xludf.DUMMYFUNCTION("""COMPUTED_VALUE"""),43407.0)</f>
        <v>43407</v>
      </c>
      <c r="D117" s="23" t="str">
        <f>IFERROR(__xludf.DUMMYFUNCTION("""COMPUTED_VALUE"""),"Nov")</f>
        <v>Nov</v>
      </c>
      <c r="E117" s="21" t="str">
        <f>IFERROR(__xludf.DUMMYFUNCTION("""COMPUTED_VALUE"""),"2018")</f>
        <v>2018</v>
      </c>
      <c r="F117" s="22" t="str">
        <f>IFERROR(__xludf.DUMMYFUNCTION("""COMPUTED_VALUE"""),"First Class")</f>
        <v>First Class</v>
      </c>
      <c r="G117" s="22" t="str">
        <f>IFERROR(__xludf.DUMMYFUNCTION("""COMPUTED_VALUE"""),"Victoria")</f>
        <v>Victoria</v>
      </c>
      <c r="H117" s="22" t="str">
        <f>IFERROR(__xludf.DUMMYFUNCTION("""COMPUTED_VALUE"""),"Brennan")</f>
        <v>Brennan</v>
      </c>
      <c r="I117" s="22" t="str">
        <f>IFERROR(__xludf.DUMMYFUNCTION("""COMPUTED_VALUE"""),"Corporate")</f>
        <v>Corporate</v>
      </c>
      <c r="J117" s="22" t="str">
        <f>IFERROR(__xludf.DUMMYFUNCTION("""COMPUTED_VALUE"""),"Columbus")</f>
        <v>Columbus</v>
      </c>
      <c r="K117" s="22" t="str">
        <f>IFERROR(__xludf.DUMMYFUNCTION("""COMPUTED_VALUE"""),"Georgia")</f>
        <v>Georgia</v>
      </c>
      <c r="L117" s="22" t="str">
        <f>IFERROR(__xludf.DUMMYFUNCTION("""COMPUTED_VALUE"""),"South")</f>
        <v>South</v>
      </c>
      <c r="M117" s="22" t="str">
        <f>IFERROR(__xludf.DUMMYFUNCTION("""COMPUTED_VALUE"""),"Office Supplies")</f>
        <v>Office Supplies</v>
      </c>
      <c r="N117" s="18">
        <f>IFERROR(__xludf.DUMMYFUNCTION("""COMPUTED_VALUE"""),647.84)</f>
        <v>647.84</v>
      </c>
      <c r="O117" s="18">
        <f>IFERROR(__xludf.DUMMYFUNCTION("""COMPUTED_VALUE"""),647.21)</f>
        <v>647.21</v>
      </c>
      <c r="P117" s="22">
        <f>IFERROR(__xludf.DUMMYFUNCTION("""COMPUTED_VALUE"""),3.0)</f>
        <v>3</v>
      </c>
      <c r="Q117" s="18">
        <f>IFERROR(__xludf.DUMMYFUNCTION("""COMPUTED_VALUE"""),1943.52)</f>
        <v>1943.52</v>
      </c>
      <c r="R117" s="18">
        <f>IFERROR(__xludf.DUMMYFUNCTION("""COMPUTED_VALUE"""),1296.31)</f>
        <v>1296.31</v>
      </c>
    </row>
    <row r="118">
      <c r="A118" s="21">
        <f>IFERROR(__xludf.DUMMYFUNCTION("""COMPUTED_VALUE"""),42271.0)</f>
        <v>42271</v>
      </c>
      <c r="B118" s="21" t="str">
        <f>IFERROR(__xludf.DUMMYFUNCTION("""COMPUTED_VALUE"""),"Sep")</f>
        <v>Sep</v>
      </c>
      <c r="C118" s="9">
        <f>IFERROR(__xludf.DUMMYFUNCTION("""COMPUTED_VALUE"""),42276.0)</f>
        <v>42276</v>
      </c>
      <c r="D118" s="23" t="str">
        <f>IFERROR(__xludf.DUMMYFUNCTION("""COMPUTED_VALUE"""),"Sep")</f>
        <v>Sep</v>
      </c>
      <c r="E118" s="21" t="str">
        <f>IFERROR(__xludf.DUMMYFUNCTION("""COMPUTED_VALUE"""),"2015")</f>
        <v>2015</v>
      </c>
      <c r="F118" s="22" t="str">
        <f>IFERROR(__xludf.DUMMYFUNCTION("""COMPUTED_VALUE"""),"Standard Class")</f>
        <v>Standard Class</v>
      </c>
      <c r="G118" s="22" t="str">
        <f>IFERROR(__xludf.DUMMYFUNCTION("""COMPUTED_VALUE"""),"Julia")</f>
        <v>Julia</v>
      </c>
      <c r="H118" s="22" t="str">
        <f>IFERROR(__xludf.DUMMYFUNCTION("""COMPUTED_VALUE"""),"Dunbar")</f>
        <v>Dunbar</v>
      </c>
      <c r="I118" s="22" t="str">
        <f>IFERROR(__xludf.DUMMYFUNCTION("""COMPUTED_VALUE"""),"Consumer")</f>
        <v>Consumer</v>
      </c>
      <c r="J118" s="22" t="str">
        <f>IFERROR(__xludf.DUMMYFUNCTION("""COMPUTED_VALUE"""),"San Francisco")</f>
        <v>San Francisco</v>
      </c>
      <c r="K118" s="22" t="str">
        <f>IFERROR(__xludf.DUMMYFUNCTION("""COMPUTED_VALUE"""),"California")</f>
        <v>California</v>
      </c>
      <c r="L118" s="22" t="str">
        <f>IFERROR(__xludf.DUMMYFUNCTION("""COMPUTED_VALUE"""),"West")</f>
        <v>West</v>
      </c>
      <c r="M118" s="22" t="str">
        <f>IFERROR(__xludf.DUMMYFUNCTION("""COMPUTED_VALUE"""),"Office Supplies")</f>
        <v>Office Supplies</v>
      </c>
      <c r="N118" s="18">
        <f>IFERROR(__xludf.DUMMYFUNCTION("""COMPUTED_VALUE"""),211.96)</f>
        <v>211.96</v>
      </c>
      <c r="O118" s="18">
        <f>IFERROR(__xludf.DUMMYFUNCTION("""COMPUTED_VALUE"""),211.15)</f>
        <v>211.15</v>
      </c>
      <c r="P118" s="22">
        <f>IFERROR(__xludf.DUMMYFUNCTION("""COMPUTED_VALUE"""),9.0)</f>
        <v>9</v>
      </c>
      <c r="Q118" s="18">
        <f>IFERROR(__xludf.DUMMYFUNCTION("""COMPUTED_VALUE"""),1907.64)</f>
        <v>1907.64</v>
      </c>
      <c r="R118" s="18">
        <f>IFERROR(__xludf.DUMMYFUNCTION("""COMPUTED_VALUE"""),1696.49)</f>
        <v>1696.49</v>
      </c>
    </row>
    <row r="119">
      <c r="A119" s="21">
        <f>IFERROR(__xludf.DUMMYFUNCTION("""COMPUTED_VALUE"""),43029.0)</f>
        <v>43029</v>
      </c>
      <c r="B119" s="21" t="str">
        <f>IFERROR(__xludf.DUMMYFUNCTION("""COMPUTED_VALUE"""),"Oct")</f>
        <v>Oct</v>
      </c>
      <c r="C119" s="9">
        <f>IFERROR(__xludf.DUMMYFUNCTION("""COMPUTED_VALUE"""),43029.0)</f>
        <v>43029</v>
      </c>
      <c r="D119" s="23" t="str">
        <f>IFERROR(__xludf.DUMMYFUNCTION("""COMPUTED_VALUE"""),"Oct")</f>
        <v>Oct</v>
      </c>
      <c r="E119" s="21" t="str">
        <f>IFERROR(__xludf.DUMMYFUNCTION("""COMPUTED_VALUE"""),"2017")</f>
        <v>2017</v>
      </c>
      <c r="F119" s="22" t="str">
        <f>IFERROR(__xludf.DUMMYFUNCTION("""COMPUTED_VALUE"""),"Same Day")</f>
        <v>Same Day</v>
      </c>
      <c r="G119" s="22" t="str">
        <f>IFERROR(__xludf.DUMMYFUNCTION("""COMPUTED_VALUE"""),"Michael")</f>
        <v>Michael</v>
      </c>
      <c r="H119" s="22" t="str">
        <f>IFERROR(__xludf.DUMMYFUNCTION("""COMPUTED_VALUE"""),"Kennedy")</f>
        <v>Kennedy</v>
      </c>
      <c r="I119" s="22" t="str">
        <f>IFERROR(__xludf.DUMMYFUNCTION("""COMPUTED_VALUE"""),"Corporate")</f>
        <v>Corporate</v>
      </c>
      <c r="J119" s="22" t="str">
        <f>IFERROR(__xludf.DUMMYFUNCTION("""COMPUTED_VALUE"""),"Manchester")</f>
        <v>Manchester</v>
      </c>
      <c r="K119" s="22" t="str">
        <f>IFERROR(__xludf.DUMMYFUNCTION("""COMPUTED_VALUE"""),"Connecticut")</f>
        <v>Connecticut</v>
      </c>
      <c r="L119" s="22" t="str">
        <f>IFERROR(__xludf.DUMMYFUNCTION("""COMPUTED_VALUE"""),"East")</f>
        <v>East</v>
      </c>
      <c r="M119" s="22" t="str">
        <f>IFERROR(__xludf.DUMMYFUNCTION("""COMPUTED_VALUE"""),"Office Supplies")</f>
        <v>Office Supplies</v>
      </c>
      <c r="N119" s="18">
        <f>IFERROR(__xludf.DUMMYFUNCTION("""COMPUTED_VALUE"""),104.79)</f>
        <v>104.79</v>
      </c>
      <c r="O119" s="18">
        <f>IFERROR(__xludf.DUMMYFUNCTION("""COMPUTED_VALUE"""),104.42)</f>
        <v>104.42</v>
      </c>
      <c r="P119" s="22">
        <f>IFERROR(__xludf.DUMMYFUNCTION("""COMPUTED_VALUE"""),6.0)</f>
        <v>6</v>
      </c>
      <c r="Q119" s="18">
        <f>IFERROR(__xludf.DUMMYFUNCTION("""COMPUTED_VALUE"""),628.74)</f>
        <v>628.74</v>
      </c>
      <c r="R119" s="18">
        <f>IFERROR(__xludf.DUMMYFUNCTION("""COMPUTED_VALUE"""),524.32)</f>
        <v>524.32</v>
      </c>
    </row>
    <row r="120">
      <c r="A120" s="21">
        <f>IFERROR(__xludf.DUMMYFUNCTION("""COMPUTED_VALUE"""),43029.0)</f>
        <v>43029</v>
      </c>
      <c r="B120" s="21" t="str">
        <f>IFERROR(__xludf.DUMMYFUNCTION("""COMPUTED_VALUE"""),"Oct")</f>
        <v>Oct</v>
      </c>
      <c r="C120" s="9">
        <f>IFERROR(__xludf.DUMMYFUNCTION("""COMPUTED_VALUE"""),43029.0)</f>
        <v>43029</v>
      </c>
      <c r="D120" s="23" t="str">
        <f>IFERROR(__xludf.DUMMYFUNCTION("""COMPUTED_VALUE"""),"Oct")</f>
        <v>Oct</v>
      </c>
      <c r="E120" s="21" t="str">
        <f>IFERROR(__xludf.DUMMYFUNCTION("""COMPUTED_VALUE"""),"2017")</f>
        <v>2017</v>
      </c>
      <c r="F120" s="22" t="str">
        <f>IFERROR(__xludf.DUMMYFUNCTION("""COMPUTED_VALUE"""),"Same Day")</f>
        <v>Same Day</v>
      </c>
      <c r="G120" s="22" t="str">
        <f>IFERROR(__xludf.DUMMYFUNCTION("""COMPUTED_VALUE"""),"Michael")</f>
        <v>Michael</v>
      </c>
      <c r="H120" s="22" t="str">
        <f>IFERROR(__xludf.DUMMYFUNCTION("""COMPUTED_VALUE"""),"Kennedy")</f>
        <v>Kennedy</v>
      </c>
      <c r="I120" s="22" t="str">
        <f>IFERROR(__xludf.DUMMYFUNCTION("""COMPUTED_VALUE"""),"Corporate")</f>
        <v>Corporate</v>
      </c>
      <c r="J120" s="22" t="str">
        <f>IFERROR(__xludf.DUMMYFUNCTION("""COMPUTED_VALUE"""),"Manchester")</f>
        <v>Manchester</v>
      </c>
      <c r="K120" s="22" t="str">
        <f>IFERROR(__xludf.DUMMYFUNCTION("""COMPUTED_VALUE"""),"Connecticut")</f>
        <v>Connecticut</v>
      </c>
      <c r="L120" s="22" t="str">
        <f>IFERROR(__xludf.DUMMYFUNCTION("""COMPUTED_VALUE"""),"East")</f>
        <v>East</v>
      </c>
      <c r="M120" s="22" t="str">
        <f>IFERROR(__xludf.DUMMYFUNCTION("""COMPUTED_VALUE"""),"Furniture")</f>
        <v>Furniture</v>
      </c>
      <c r="N120" s="18">
        <f>IFERROR(__xludf.DUMMYFUNCTION("""COMPUTED_VALUE"""),1043.92)</f>
        <v>1043.92</v>
      </c>
      <c r="O120" s="18">
        <f>IFERROR(__xludf.DUMMYFUNCTION("""COMPUTED_VALUE"""),1042.99)</f>
        <v>1042.99</v>
      </c>
      <c r="P120" s="22">
        <f>IFERROR(__xludf.DUMMYFUNCTION("""COMPUTED_VALUE"""),6.0)</f>
        <v>6</v>
      </c>
      <c r="Q120" s="18">
        <f>IFERROR(__xludf.DUMMYFUNCTION("""COMPUTED_VALUE"""),6263.52)</f>
        <v>6263.52</v>
      </c>
      <c r="R120" s="18">
        <f>IFERROR(__xludf.DUMMYFUNCTION("""COMPUTED_VALUE"""),5220.530000000001)</f>
        <v>5220.53</v>
      </c>
    </row>
    <row r="121">
      <c r="A121" s="21">
        <f>IFERROR(__xludf.DUMMYFUNCTION("""COMPUTED_VALUE"""),42208.0)</f>
        <v>42208</v>
      </c>
      <c r="B121" s="21" t="str">
        <f>IFERROR(__xludf.DUMMYFUNCTION("""COMPUTED_VALUE"""),"Jul")</f>
        <v>Jul</v>
      </c>
      <c r="C121" s="9">
        <f>IFERROR(__xludf.DUMMYFUNCTION("""COMPUTED_VALUE"""),42212.0)</f>
        <v>42212</v>
      </c>
      <c r="D121" s="23" t="str">
        <f>IFERROR(__xludf.DUMMYFUNCTION("""COMPUTED_VALUE"""),"Jul")</f>
        <v>Jul</v>
      </c>
      <c r="E121" s="21" t="str">
        <f>IFERROR(__xludf.DUMMYFUNCTION("""COMPUTED_VALUE"""),"2015")</f>
        <v>2015</v>
      </c>
      <c r="F121" s="22" t="str">
        <f>IFERROR(__xludf.DUMMYFUNCTION("""COMPUTED_VALUE"""),"Standard Class")</f>
        <v>Standard Class</v>
      </c>
      <c r="G121" s="22" t="str">
        <f>IFERROR(__xludf.DUMMYFUNCTION("""COMPUTED_VALUE"""),"Arthur")</f>
        <v>Arthur</v>
      </c>
      <c r="H121" s="22" t="str">
        <f>IFERROR(__xludf.DUMMYFUNCTION("""COMPUTED_VALUE"""),"Gainer")</f>
        <v>Gainer</v>
      </c>
      <c r="I121" s="22" t="str">
        <f>IFERROR(__xludf.DUMMYFUNCTION("""COMPUTED_VALUE"""),"Consumer")</f>
        <v>Consumer</v>
      </c>
      <c r="J121" s="22" t="str">
        <f>IFERROR(__xludf.DUMMYFUNCTION("""COMPUTED_VALUE"""),"Tucson")</f>
        <v>Tucson</v>
      </c>
      <c r="K121" s="22" t="str">
        <f>IFERROR(__xludf.DUMMYFUNCTION("""COMPUTED_VALUE"""),"Arizona")</f>
        <v>Arizona</v>
      </c>
      <c r="L121" s="22" t="str">
        <f>IFERROR(__xludf.DUMMYFUNCTION("""COMPUTED_VALUE"""),"West")</f>
        <v>West</v>
      </c>
      <c r="M121" s="22" t="str">
        <f>IFERROR(__xludf.DUMMYFUNCTION("""COMPUTED_VALUE"""),"Technology")</f>
        <v>Technology</v>
      </c>
      <c r="N121" s="18">
        <f>IFERROR(__xludf.DUMMYFUNCTION("""COMPUTED_VALUE"""),1023.936)</f>
        <v>1023.936</v>
      </c>
      <c r="O121" s="18">
        <f>IFERROR(__xludf.DUMMYFUNCTION("""COMPUTED_VALUE"""),1023.84)</f>
        <v>1023.84</v>
      </c>
      <c r="P121" s="22">
        <f>IFERROR(__xludf.DUMMYFUNCTION("""COMPUTED_VALUE"""),8.0)</f>
        <v>8</v>
      </c>
      <c r="Q121" s="18">
        <f>IFERROR(__xludf.DUMMYFUNCTION("""COMPUTED_VALUE"""),8191.488)</f>
        <v>8191.488</v>
      </c>
      <c r="R121" s="18">
        <f>IFERROR(__xludf.DUMMYFUNCTION("""COMPUTED_VALUE"""),7167.648)</f>
        <v>7167.648</v>
      </c>
    </row>
    <row r="122">
      <c r="A122" s="21">
        <f>IFERROR(__xludf.DUMMYFUNCTION("""COMPUTED_VALUE"""),42208.0)</f>
        <v>42208</v>
      </c>
      <c r="B122" s="21" t="str">
        <f>IFERROR(__xludf.DUMMYFUNCTION("""COMPUTED_VALUE"""),"Jul")</f>
        <v>Jul</v>
      </c>
      <c r="C122" s="9">
        <f>IFERROR(__xludf.DUMMYFUNCTION("""COMPUTED_VALUE"""),42212.0)</f>
        <v>42212</v>
      </c>
      <c r="D122" s="23" t="str">
        <f>IFERROR(__xludf.DUMMYFUNCTION("""COMPUTED_VALUE"""),"Jul")</f>
        <v>Jul</v>
      </c>
      <c r="E122" s="21" t="str">
        <f>IFERROR(__xludf.DUMMYFUNCTION("""COMPUTED_VALUE"""),"2015")</f>
        <v>2015</v>
      </c>
      <c r="F122" s="22" t="str">
        <f>IFERROR(__xludf.DUMMYFUNCTION("""COMPUTED_VALUE"""),"Standard Class")</f>
        <v>Standard Class</v>
      </c>
      <c r="G122" s="22" t="str">
        <f>IFERROR(__xludf.DUMMYFUNCTION("""COMPUTED_VALUE"""),"Arthur")</f>
        <v>Arthur</v>
      </c>
      <c r="H122" s="22" t="str">
        <f>IFERROR(__xludf.DUMMYFUNCTION("""COMPUTED_VALUE"""),"Gainer")</f>
        <v>Gainer</v>
      </c>
      <c r="I122" s="22" t="str">
        <f>IFERROR(__xludf.DUMMYFUNCTION("""COMPUTED_VALUE"""),"Consumer")</f>
        <v>Consumer</v>
      </c>
      <c r="J122" s="22" t="str">
        <f>IFERROR(__xludf.DUMMYFUNCTION("""COMPUTED_VALUE"""),"Tucson")</f>
        <v>Tucson</v>
      </c>
      <c r="K122" s="22" t="str">
        <f>IFERROR(__xludf.DUMMYFUNCTION("""COMPUTED_VALUE"""),"Arizona")</f>
        <v>Arizona</v>
      </c>
      <c r="L122" s="22" t="str">
        <f>IFERROR(__xludf.DUMMYFUNCTION("""COMPUTED_VALUE"""),"West")</f>
        <v>West</v>
      </c>
      <c r="M122" s="22" t="str">
        <f>IFERROR(__xludf.DUMMYFUNCTION("""COMPUTED_VALUE"""),"Technology")</f>
        <v>Technology</v>
      </c>
      <c r="N122" s="18">
        <f>IFERROR(__xludf.DUMMYFUNCTION("""COMPUTED_VALUE"""),479.04)</f>
        <v>479.04</v>
      </c>
      <c r="O122" s="18">
        <f>IFERROR(__xludf.DUMMYFUNCTION("""COMPUTED_VALUE"""),478.19)</f>
        <v>478.19</v>
      </c>
      <c r="P122" s="22">
        <f>IFERROR(__xludf.DUMMYFUNCTION("""COMPUTED_VALUE"""),8.0)</f>
        <v>8</v>
      </c>
      <c r="Q122" s="18">
        <f>IFERROR(__xludf.DUMMYFUNCTION("""COMPUTED_VALUE"""),3832.32)</f>
        <v>3832.32</v>
      </c>
      <c r="R122" s="18">
        <f>IFERROR(__xludf.DUMMYFUNCTION("""COMPUTED_VALUE"""),3354.13)</f>
        <v>3354.13</v>
      </c>
    </row>
    <row r="123">
      <c r="A123" s="21">
        <f>IFERROR(__xludf.DUMMYFUNCTION("""COMPUTED_VALUE"""),43339.0)</f>
        <v>43339</v>
      </c>
      <c r="B123" s="21" t="str">
        <f>IFERROR(__xludf.DUMMYFUNCTION("""COMPUTED_VALUE"""),"Aug")</f>
        <v>Aug</v>
      </c>
      <c r="C123" s="9">
        <f>IFERROR(__xludf.DUMMYFUNCTION("""COMPUTED_VALUE"""),43109.0)</f>
        <v>43109</v>
      </c>
      <c r="D123" s="23" t="str">
        <f>IFERROR(__xludf.DUMMYFUNCTION("""COMPUTED_VALUE"""),"Jan")</f>
        <v>Jan</v>
      </c>
      <c r="E123" s="21" t="str">
        <f>IFERROR(__xludf.DUMMYFUNCTION("""COMPUTED_VALUE"""),"2018")</f>
        <v>2018</v>
      </c>
      <c r="F123" s="22" t="str">
        <f>IFERROR(__xludf.DUMMYFUNCTION("""COMPUTED_VALUE"""),"Standard Class")</f>
        <v>Standard Class</v>
      </c>
      <c r="G123" s="22" t="str">
        <f>IFERROR(__xludf.DUMMYFUNCTION("""COMPUTED_VALUE"""),"Allen")</f>
        <v>Allen</v>
      </c>
      <c r="H123" s="22" t="str">
        <f>IFERROR(__xludf.DUMMYFUNCTION("""COMPUTED_VALUE"""),"Rosenblatt")</f>
        <v>Rosenblatt</v>
      </c>
      <c r="I123" s="22" t="str">
        <f>IFERROR(__xludf.DUMMYFUNCTION("""COMPUTED_VALUE"""),"Corporate")</f>
        <v>Corporate</v>
      </c>
      <c r="J123" s="22" t="str">
        <f>IFERROR(__xludf.DUMMYFUNCTION("""COMPUTED_VALUE"""),"Franklin")</f>
        <v>Franklin</v>
      </c>
      <c r="K123" s="22" t="str">
        <f>IFERROR(__xludf.DUMMYFUNCTION("""COMPUTED_VALUE"""),"Massachusetts")</f>
        <v>Massachusetts</v>
      </c>
      <c r="L123" s="22" t="str">
        <f>IFERROR(__xludf.DUMMYFUNCTION("""COMPUTED_VALUE"""),"East")</f>
        <v>East</v>
      </c>
      <c r="M123" s="22" t="str">
        <f>IFERROR(__xludf.DUMMYFUNCTION("""COMPUTED_VALUE"""),"Furniture")</f>
        <v>Furniture</v>
      </c>
      <c r="N123" s="18">
        <f>IFERROR(__xludf.DUMMYFUNCTION("""COMPUTED_VALUE"""),1488.424)</f>
        <v>1488.424</v>
      </c>
      <c r="O123" s="18">
        <f>IFERROR(__xludf.DUMMYFUNCTION("""COMPUTED_VALUE"""),1488.22)</f>
        <v>1488.22</v>
      </c>
      <c r="P123" s="22">
        <f>IFERROR(__xludf.DUMMYFUNCTION("""COMPUTED_VALUE"""),2.0)</f>
        <v>2</v>
      </c>
      <c r="Q123" s="18">
        <f>IFERROR(__xludf.DUMMYFUNCTION("""COMPUTED_VALUE"""),2976.848)</f>
        <v>2976.848</v>
      </c>
      <c r="R123" s="18">
        <f>IFERROR(__xludf.DUMMYFUNCTION("""COMPUTED_VALUE"""),1488.628)</f>
        <v>1488.628</v>
      </c>
    </row>
    <row r="124">
      <c r="A124" s="21">
        <f>IFERROR(__xludf.DUMMYFUNCTION("""COMPUTED_VALUE"""),42701.0)</f>
        <v>42701</v>
      </c>
      <c r="B124" s="21" t="str">
        <f>IFERROR(__xludf.DUMMYFUNCTION("""COMPUTED_VALUE"""),"Nov")</f>
        <v>Nov</v>
      </c>
      <c r="C124" s="9">
        <f>IFERROR(__xludf.DUMMYFUNCTION("""COMPUTED_VALUE"""),42412.0)</f>
        <v>42412</v>
      </c>
      <c r="D124" s="23" t="str">
        <f>IFERROR(__xludf.DUMMYFUNCTION("""COMPUTED_VALUE"""),"Feb")</f>
        <v>Feb</v>
      </c>
      <c r="E124" s="21" t="str">
        <f>IFERROR(__xludf.DUMMYFUNCTION("""COMPUTED_VALUE"""),"2016")</f>
        <v>2016</v>
      </c>
      <c r="F124" s="22" t="str">
        <f>IFERROR(__xludf.DUMMYFUNCTION("""COMPUTED_VALUE"""),"Standard Class")</f>
        <v>Standard Class</v>
      </c>
      <c r="G124" s="22" t="str">
        <f>IFERROR(__xludf.DUMMYFUNCTION("""COMPUTED_VALUE"""),"Denny")</f>
        <v>Denny</v>
      </c>
      <c r="H124" s="22" t="str">
        <f>IFERROR(__xludf.DUMMYFUNCTION("""COMPUTED_VALUE"""),"Ordway")</f>
        <v>Ordway</v>
      </c>
      <c r="I124" s="22" t="str">
        <f>IFERROR(__xludf.DUMMYFUNCTION("""COMPUTED_VALUE"""),"Consumer")</f>
        <v>Consumer</v>
      </c>
      <c r="J124" s="22" t="str">
        <f>IFERROR(__xludf.DUMMYFUNCTION("""COMPUTED_VALUE"""),"Pembroke Pines")</f>
        <v>Pembroke Pines</v>
      </c>
      <c r="K124" s="22" t="str">
        <f>IFERROR(__xludf.DUMMYFUNCTION("""COMPUTED_VALUE"""),"Florida")</f>
        <v>Florida</v>
      </c>
      <c r="L124" s="22" t="str">
        <f>IFERROR(__xludf.DUMMYFUNCTION("""COMPUTED_VALUE"""),"South")</f>
        <v>South</v>
      </c>
      <c r="M124" s="22" t="str">
        <f>IFERROR(__xludf.DUMMYFUNCTION("""COMPUTED_VALUE"""),"Furniture")</f>
        <v>Furniture</v>
      </c>
      <c r="N124" s="18">
        <f>IFERROR(__xludf.DUMMYFUNCTION("""COMPUTED_VALUE"""),375.4575)</f>
        <v>375.4575</v>
      </c>
      <c r="O124" s="18">
        <f>IFERROR(__xludf.DUMMYFUNCTION("""COMPUTED_VALUE"""),374.84)</f>
        <v>374.84</v>
      </c>
      <c r="P124" s="22">
        <f>IFERROR(__xludf.DUMMYFUNCTION("""COMPUTED_VALUE"""),3.0)</f>
        <v>3</v>
      </c>
      <c r="Q124" s="18">
        <f>IFERROR(__xludf.DUMMYFUNCTION("""COMPUTED_VALUE"""),1126.3725)</f>
        <v>1126.3725</v>
      </c>
      <c r="R124" s="18">
        <f>IFERROR(__xludf.DUMMYFUNCTION("""COMPUTED_VALUE"""),751.5325)</f>
        <v>751.5325</v>
      </c>
    </row>
    <row r="125">
      <c r="A125" s="21">
        <f>IFERROR(__xludf.DUMMYFUNCTION("""COMPUTED_VALUE"""),42268.0)</f>
        <v>42268</v>
      </c>
      <c r="B125" s="21" t="str">
        <f>IFERROR(__xludf.DUMMYFUNCTION("""COMPUTED_VALUE"""),"Sep")</f>
        <v>Sep</v>
      </c>
      <c r="C125" s="9">
        <f>IFERROR(__xludf.DUMMYFUNCTION("""COMPUTED_VALUE"""),42270.0)</f>
        <v>42270</v>
      </c>
      <c r="D125" s="23" t="str">
        <f>IFERROR(__xludf.DUMMYFUNCTION("""COMPUTED_VALUE"""),"Sep")</f>
        <v>Sep</v>
      </c>
      <c r="E125" s="21" t="str">
        <f>IFERROR(__xludf.DUMMYFUNCTION("""COMPUTED_VALUE"""),"2015")</f>
        <v>2015</v>
      </c>
      <c r="F125" s="22" t="str">
        <f>IFERROR(__xludf.DUMMYFUNCTION("""COMPUTED_VALUE"""),"Second Class")</f>
        <v>Second Class</v>
      </c>
      <c r="G125" s="22" t="str">
        <f>IFERROR(__xludf.DUMMYFUNCTION("""COMPUTED_VALUE"""),"Jack")</f>
        <v>Jack</v>
      </c>
      <c r="H125" s="22" t="str">
        <f>IFERROR(__xludf.DUMMYFUNCTION("""COMPUTED_VALUE"""),"Garza")</f>
        <v>Garza</v>
      </c>
      <c r="I125" s="22" t="str">
        <f>IFERROR(__xludf.DUMMYFUNCTION("""COMPUTED_VALUE"""),"Consumer")</f>
        <v>Consumer</v>
      </c>
      <c r="J125" s="22" t="str">
        <f>IFERROR(__xludf.DUMMYFUNCTION("""COMPUTED_VALUE"""),"Des Moines")</f>
        <v>Des Moines</v>
      </c>
      <c r="K125" s="22" t="str">
        <f>IFERROR(__xludf.DUMMYFUNCTION("""COMPUTED_VALUE"""),"Washington")</f>
        <v>Washington</v>
      </c>
      <c r="L125" s="22" t="str">
        <f>IFERROR(__xludf.DUMMYFUNCTION("""COMPUTED_VALUE"""),"West")</f>
        <v>West</v>
      </c>
      <c r="M125" s="22" t="str">
        <f>IFERROR(__xludf.DUMMYFUNCTION("""COMPUTED_VALUE"""),"Technology")</f>
        <v>Technology</v>
      </c>
      <c r="N125" s="18">
        <f>IFERROR(__xludf.DUMMYFUNCTION("""COMPUTED_VALUE"""),246.384)</f>
        <v>246.384</v>
      </c>
      <c r="O125" s="18">
        <f>IFERROR(__xludf.DUMMYFUNCTION("""COMPUTED_VALUE"""),245.6)</f>
        <v>245.6</v>
      </c>
      <c r="P125" s="22">
        <f>IFERROR(__xludf.DUMMYFUNCTION("""COMPUTED_VALUE"""),9.0)</f>
        <v>9</v>
      </c>
      <c r="Q125" s="18">
        <f>IFERROR(__xludf.DUMMYFUNCTION("""COMPUTED_VALUE"""),2217.4559999999997)</f>
        <v>2217.456</v>
      </c>
      <c r="R125" s="18">
        <f>IFERROR(__xludf.DUMMYFUNCTION("""COMPUTED_VALUE"""),1971.8559999999998)</f>
        <v>1971.856</v>
      </c>
    </row>
    <row r="126">
      <c r="A126" s="21">
        <f>IFERROR(__xludf.DUMMYFUNCTION("""COMPUTED_VALUE"""),42268.0)</f>
        <v>42268</v>
      </c>
      <c r="B126" s="21" t="str">
        <f>IFERROR(__xludf.DUMMYFUNCTION("""COMPUTED_VALUE"""),"Sep")</f>
        <v>Sep</v>
      </c>
      <c r="C126" s="9">
        <f>IFERROR(__xludf.DUMMYFUNCTION("""COMPUTED_VALUE"""),42270.0)</f>
        <v>42270</v>
      </c>
      <c r="D126" s="23" t="str">
        <f>IFERROR(__xludf.DUMMYFUNCTION("""COMPUTED_VALUE"""),"Sep")</f>
        <v>Sep</v>
      </c>
      <c r="E126" s="21" t="str">
        <f>IFERROR(__xludf.DUMMYFUNCTION("""COMPUTED_VALUE"""),"2015")</f>
        <v>2015</v>
      </c>
      <c r="F126" s="22" t="str">
        <f>IFERROR(__xludf.DUMMYFUNCTION("""COMPUTED_VALUE"""),"Second Class")</f>
        <v>Second Class</v>
      </c>
      <c r="G126" s="22" t="str">
        <f>IFERROR(__xludf.DUMMYFUNCTION("""COMPUTED_VALUE"""),"Jack")</f>
        <v>Jack</v>
      </c>
      <c r="H126" s="22" t="str">
        <f>IFERROR(__xludf.DUMMYFUNCTION("""COMPUTED_VALUE"""),"Garza")</f>
        <v>Garza</v>
      </c>
      <c r="I126" s="22" t="str">
        <f>IFERROR(__xludf.DUMMYFUNCTION("""COMPUTED_VALUE"""),"Consumer")</f>
        <v>Consumer</v>
      </c>
      <c r="J126" s="22" t="str">
        <f>IFERROR(__xludf.DUMMYFUNCTION("""COMPUTED_VALUE"""),"Des Moines")</f>
        <v>Des Moines</v>
      </c>
      <c r="K126" s="22" t="str">
        <f>IFERROR(__xludf.DUMMYFUNCTION("""COMPUTED_VALUE"""),"Washington")</f>
        <v>Washington</v>
      </c>
      <c r="L126" s="22" t="str">
        <f>IFERROR(__xludf.DUMMYFUNCTION("""COMPUTED_VALUE"""),"West")</f>
        <v>West</v>
      </c>
      <c r="M126" s="22" t="str">
        <f>IFERROR(__xludf.DUMMYFUNCTION("""COMPUTED_VALUE"""),"Technology")</f>
        <v>Technology</v>
      </c>
      <c r="N126" s="18">
        <f>IFERROR(__xludf.DUMMYFUNCTION("""COMPUTED_VALUE"""),1799.97)</f>
        <v>1799.97</v>
      </c>
      <c r="O126" s="18">
        <f>IFERROR(__xludf.DUMMYFUNCTION("""COMPUTED_VALUE"""),1799.44)</f>
        <v>1799.44</v>
      </c>
      <c r="P126" s="22">
        <f>IFERROR(__xludf.DUMMYFUNCTION("""COMPUTED_VALUE"""),9.0)</f>
        <v>9</v>
      </c>
      <c r="Q126" s="18">
        <f>IFERROR(__xludf.DUMMYFUNCTION("""COMPUTED_VALUE"""),16199.73)</f>
        <v>16199.73</v>
      </c>
      <c r="R126" s="18">
        <f>IFERROR(__xludf.DUMMYFUNCTION("""COMPUTED_VALUE"""),14400.289999999999)</f>
        <v>14400.29</v>
      </c>
    </row>
    <row r="127">
      <c r="A127" s="21">
        <f>IFERROR(__xludf.DUMMYFUNCTION("""COMPUTED_VALUE"""),43281.0)</f>
        <v>43281</v>
      </c>
      <c r="B127" s="21" t="str">
        <f>IFERROR(__xludf.DUMMYFUNCTION("""COMPUTED_VALUE"""),"Jun")</f>
        <v>Jun</v>
      </c>
      <c r="C127" s="9">
        <f>IFERROR(__xludf.DUMMYFUNCTION("""COMPUTED_VALUE"""),43227.0)</f>
        <v>43227</v>
      </c>
      <c r="D127" s="23" t="str">
        <f>IFERROR(__xludf.DUMMYFUNCTION("""COMPUTED_VALUE"""),"May")</f>
        <v>May</v>
      </c>
      <c r="E127" s="21" t="str">
        <f>IFERROR(__xludf.DUMMYFUNCTION("""COMPUTED_VALUE"""),"2018")</f>
        <v>2018</v>
      </c>
      <c r="F127" s="22" t="str">
        <f>IFERROR(__xludf.DUMMYFUNCTION("""COMPUTED_VALUE"""),"Standard Class")</f>
        <v>Standard Class</v>
      </c>
      <c r="G127" s="22" t="str">
        <f>IFERROR(__xludf.DUMMYFUNCTION("""COMPUTED_VALUE"""),"Victor")</f>
        <v>Victor</v>
      </c>
      <c r="H127" s="22" t="str">
        <f>IFERROR(__xludf.DUMMYFUNCTION("""COMPUTED_VALUE"""),"Preis")</f>
        <v>Preis</v>
      </c>
      <c r="I127" s="22" t="str">
        <f>IFERROR(__xludf.DUMMYFUNCTION("""COMPUTED_VALUE"""),"Home Office")</f>
        <v>Home Office</v>
      </c>
      <c r="J127" s="22" t="str">
        <f>IFERROR(__xludf.DUMMYFUNCTION("""COMPUTED_VALUE"""),"Las Vegas")</f>
        <v>Las Vegas</v>
      </c>
      <c r="K127" s="22" t="str">
        <f>IFERROR(__xludf.DUMMYFUNCTION("""COMPUTED_VALUE"""),"Nevada")</f>
        <v>Nevada</v>
      </c>
      <c r="L127" s="22" t="str">
        <f>IFERROR(__xludf.DUMMYFUNCTION("""COMPUTED_VALUE"""),"West")</f>
        <v>West</v>
      </c>
      <c r="M127" s="22" t="str">
        <f>IFERROR(__xludf.DUMMYFUNCTION("""COMPUTED_VALUE"""),"Office Supplies")</f>
        <v>Office Supplies</v>
      </c>
      <c r="N127" s="18">
        <f>IFERROR(__xludf.DUMMYFUNCTION("""COMPUTED_VALUE"""),75.792)</f>
        <v>75.792</v>
      </c>
      <c r="O127" s="18">
        <f>IFERROR(__xludf.DUMMYFUNCTION("""COMPUTED_VALUE"""),75.2)</f>
        <v>75.2</v>
      </c>
      <c r="P127" s="22">
        <f>IFERROR(__xludf.DUMMYFUNCTION("""COMPUTED_VALUE"""),8.0)</f>
        <v>8</v>
      </c>
      <c r="Q127" s="18">
        <f>IFERROR(__xludf.DUMMYFUNCTION("""COMPUTED_VALUE"""),606.336)</f>
        <v>606.336</v>
      </c>
      <c r="R127" s="18">
        <f>IFERROR(__xludf.DUMMYFUNCTION("""COMPUTED_VALUE"""),531.136)</f>
        <v>531.136</v>
      </c>
    </row>
    <row r="128">
      <c r="A128" s="21">
        <f>IFERROR(__xludf.DUMMYFUNCTION("""COMPUTED_VALUE"""),42956.0)</f>
        <v>42956</v>
      </c>
      <c r="B128" s="21" t="str">
        <f>IFERROR(__xludf.DUMMYFUNCTION("""COMPUTED_VALUE"""),"Aug")</f>
        <v>Aug</v>
      </c>
      <c r="C128" s="9">
        <f>IFERROR(__xludf.DUMMYFUNCTION("""COMPUTED_VALUE"""),43017.0)</f>
        <v>43017</v>
      </c>
      <c r="D128" s="23" t="str">
        <f>IFERROR(__xludf.DUMMYFUNCTION("""COMPUTED_VALUE"""),"Oct")</f>
        <v>Oct</v>
      </c>
      <c r="E128" s="21" t="str">
        <f>IFERROR(__xludf.DUMMYFUNCTION("""COMPUTED_VALUE"""),"2017")</f>
        <v>2017</v>
      </c>
      <c r="F128" s="22" t="str">
        <f>IFERROR(__xludf.DUMMYFUNCTION("""COMPUTED_VALUE"""),"Second Class")</f>
        <v>Second Class</v>
      </c>
      <c r="G128" s="22" t="str">
        <f>IFERROR(__xludf.DUMMYFUNCTION("""COMPUTED_VALUE"""),"Anna")</f>
        <v>Anna</v>
      </c>
      <c r="H128" s="22" t="str">
        <f>IFERROR(__xludf.DUMMYFUNCTION("""COMPUTED_VALUE"""),"Gayman")</f>
        <v>Gayman</v>
      </c>
      <c r="I128" s="22" t="str">
        <f>IFERROR(__xludf.DUMMYFUNCTION("""COMPUTED_VALUE"""),"Consumer")</f>
        <v>Consumer</v>
      </c>
      <c r="J128" s="22" t="str">
        <f>IFERROR(__xludf.DUMMYFUNCTION("""COMPUTED_VALUE"""),"Houston")</f>
        <v>Houston</v>
      </c>
      <c r="K128" s="22" t="str">
        <f>IFERROR(__xludf.DUMMYFUNCTION("""COMPUTED_VALUE"""),"Texas")</f>
        <v>Texas</v>
      </c>
      <c r="L128" s="22" t="str">
        <f>IFERROR(__xludf.DUMMYFUNCTION("""COMPUTED_VALUE"""),"Central")</f>
        <v>Central</v>
      </c>
      <c r="M128" s="22" t="str">
        <f>IFERROR(__xludf.DUMMYFUNCTION("""COMPUTED_VALUE"""),"Furniture")</f>
        <v>Furniture</v>
      </c>
      <c r="N128" s="18">
        <f>IFERROR(__xludf.DUMMYFUNCTION("""COMPUTED_VALUE"""),2396.2656)</f>
        <v>2396.2656</v>
      </c>
      <c r="O128" s="18">
        <f>IFERROR(__xludf.DUMMYFUNCTION("""COMPUTED_VALUE"""),2395.78)</f>
        <v>2395.78</v>
      </c>
      <c r="P128" s="22">
        <f>IFERROR(__xludf.DUMMYFUNCTION("""COMPUTED_VALUE"""),7.0)</f>
        <v>7</v>
      </c>
      <c r="Q128" s="18">
        <f>IFERROR(__xludf.DUMMYFUNCTION("""COMPUTED_VALUE"""),16773.859200000003)</f>
        <v>16773.8592</v>
      </c>
      <c r="R128" s="18">
        <f>IFERROR(__xludf.DUMMYFUNCTION("""COMPUTED_VALUE"""),14378.079200000002)</f>
        <v>14378.0792</v>
      </c>
    </row>
    <row r="129">
      <c r="A129" s="21">
        <f>IFERROR(__xludf.DUMMYFUNCTION("""COMPUTED_VALUE"""),42956.0)</f>
        <v>42956</v>
      </c>
      <c r="B129" s="21" t="str">
        <f>IFERROR(__xludf.DUMMYFUNCTION("""COMPUTED_VALUE"""),"Aug")</f>
        <v>Aug</v>
      </c>
      <c r="C129" s="9">
        <f>IFERROR(__xludf.DUMMYFUNCTION("""COMPUTED_VALUE"""),43017.0)</f>
        <v>43017</v>
      </c>
      <c r="D129" s="23" t="str">
        <f>IFERROR(__xludf.DUMMYFUNCTION("""COMPUTED_VALUE"""),"Oct")</f>
        <v>Oct</v>
      </c>
      <c r="E129" s="21" t="str">
        <f>IFERROR(__xludf.DUMMYFUNCTION("""COMPUTED_VALUE"""),"2017")</f>
        <v>2017</v>
      </c>
      <c r="F129" s="22" t="str">
        <f>IFERROR(__xludf.DUMMYFUNCTION("""COMPUTED_VALUE"""),"Second Class")</f>
        <v>Second Class</v>
      </c>
      <c r="G129" s="22" t="str">
        <f>IFERROR(__xludf.DUMMYFUNCTION("""COMPUTED_VALUE"""),"Anna")</f>
        <v>Anna</v>
      </c>
      <c r="H129" s="22" t="str">
        <f>IFERROR(__xludf.DUMMYFUNCTION("""COMPUTED_VALUE"""),"Gayman")</f>
        <v>Gayman</v>
      </c>
      <c r="I129" s="22" t="str">
        <f>IFERROR(__xludf.DUMMYFUNCTION("""COMPUTED_VALUE"""),"Consumer")</f>
        <v>Consumer</v>
      </c>
      <c r="J129" s="22" t="str">
        <f>IFERROR(__xludf.DUMMYFUNCTION("""COMPUTED_VALUE"""),"Houston")</f>
        <v>Houston</v>
      </c>
      <c r="K129" s="22" t="str">
        <f>IFERROR(__xludf.DUMMYFUNCTION("""COMPUTED_VALUE"""),"Texas")</f>
        <v>Texas</v>
      </c>
      <c r="L129" s="22" t="str">
        <f>IFERROR(__xludf.DUMMYFUNCTION("""COMPUTED_VALUE"""),"Central")</f>
        <v>Central</v>
      </c>
      <c r="M129" s="22" t="str">
        <f>IFERROR(__xludf.DUMMYFUNCTION("""COMPUTED_VALUE"""),"Office Supplies")</f>
        <v>Office Supplies</v>
      </c>
      <c r="N129" s="18">
        <f>IFERROR(__xludf.DUMMYFUNCTION("""COMPUTED_VALUE"""),131.136)</f>
        <v>131.136</v>
      </c>
      <c r="O129" s="18">
        <f>IFERROR(__xludf.DUMMYFUNCTION("""COMPUTED_VALUE"""),130.97)</f>
        <v>130.97</v>
      </c>
      <c r="P129" s="22">
        <f>IFERROR(__xludf.DUMMYFUNCTION("""COMPUTED_VALUE"""),7.0)</f>
        <v>7</v>
      </c>
      <c r="Q129" s="18">
        <f>IFERROR(__xludf.DUMMYFUNCTION("""COMPUTED_VALUE"""),917.952)</f>
        <v>917.952</v>
      </c>
      <c r="R129" s="18">
        <f>IFERROR(__xludf.DUMMYFUNCTION("""COMPUTED_VALUE"""),786.982)</f>
        <v>786.982</v>
      </c>
    </row>
    <row r="130">
      <c r="A130" s="21">
        <f>IFERROR(__xludf.DUMMYFUNCTION("""COMPUTED_VALUE"""),43324.0)</f>
        <v>43324</v>
      </c>
      <c r="B130" s="21" t="str">
        <f>IFERROR(__xludf.DUMMYFUNCTION("""COMPUTED_VALUE"""),"Aug")</f>
        <v>Aug</v>
      </c>
      <c r="C130" s="9">
        <f>IFERROR(__xludf.DUMMYFUNCTION("""COMPUTED_VALUE"""),43446.0)</f>
        <v>43446</v>
      </c>
      <c r="D130" s="23" t="str">
        <f>IFERROR(__xludf.DUMMYFUNCTION("""COMPUTED_VALUE"""),"Dec")</f>
        <v>Dec</v>
      </c>
      <c r="E130" s="21" t="str">
        <f>IFERROR(__xludf.DUMMYFUNCTION("""COMPUTED_VALUE"""),"2018")</f>
        <v>2018</v>
      </c>
      <c r="F130" s="22" t="str">
        <f>IFERROR(__xludf.DUMMYFUNCTION("""COMPUTED_VALUE"""),"Standard Class")</f>
        <v>Standard Class</v>
      </c>
      <c r="G130" s="22" t="str">
        <f>IFERROR(__xludf.DUMMYFUNCTION("""COMPUTED_VALUE"""),"Keith")</f>
        <v>Keith</v>
      </c>
      <c r="H130" s="22" t="str">
        <f>IFERROR(__xludf.DUMMYFUNCTION("""COMPUTED_VALUE"""),"Herrera")</f>
        <v>Herrera</v>
      </c>
      <c r="I130" s="22" t="str">
        <f>IFERROR(__xludf.DUMMYFUNCTION("""COMPUTED_VALUE"""),"Consumer")</f>
        <v>Consumer</v>
      </c>
      <c r="J130" s="22" t="str">
        <f>IFERROR(__xludf.DUMMYFUNCTION("""COMPUTED_VALUE"""),"San Francisco")</f>
        <v>San Francisco</v>
      </c>
      <c r="K130" s="22" t="str">
        <f>IFERROR(__xludf.DUMMYFUNCTION("""COMPUTED_VALUE"""),"California")</f>
        <v>California</v>
      </c>
      <c r="L130" s="22" t="str">
        <f>IFERROR(__xludf.DUMMYFUNCTION("""COMPUTED_VALUE"""),"West")</f>
        <v>West</v>
      </c>
      <c r="M130" s="22" t="str">
        <f>IFERROR(__xludf.DUMMYFUNCTION("""COMPUTED_VALUE"""),"Technology")</f>
        <v>Technology</v>
      </c>
      <c r="N130" s="18">
        <f>IFERROR(__xludf.DUMMYFUNCTION("""COMPUTED_VALUE"""),179.95)</f>
        <v>179.95</v>
      </c>
      <c r="O130" s="18">
        <f>IFERROR(__xludf.DUMMYFUNCTION("""COMPUTED_VALUE"""),179.62)</f>
        <v>179.62</v>
      </c>
      <c r="P130" s="22">
        <f>IFERROR(__xludf.DUMMYFUNCTION("""COMPUTED_VALUE"""),9.0)</f>
        <v>9</v>
      </c>
      <c r="Q130" s="18">
        <f>IFERROR(__xludf.DUMMYFUNCTION("""COMPUTED_VALUE"""),1619.55)</f>
        <v>1619.55</v>
      </c>
      <c r="R130" s="18">
        <f>IFERROR(__xludf.DUMMYFUNCTION("""COMPUTED_VALUE"""),1439.9299999999998)</f>
        <v>1439.93</v>
      </c>
    </row>
    <row r="131">
      <c r="A131" s="21">
        <f>IFERROR(__xludf.DUMMYFUNCTION("""COMPUTED_VALUE"""),43324.0)</f>
        <v>43324</v>
      </c>
      <c r="B131" s="21" t="str">
        <f>IFERROR(__xludf.DUMMYFUNCTION("""COMPUTED_VALUE"""),"Aug")</f>
        <v>Aug</v>
      </c>
      <c r="C131" s="9">
        <f>IFERROR(__xludf.DUMMYFUNCTION("""COMPUTED_VALUE"""),43446.0)</f>
        <v>43446</v>
      </c>
      <c r="D131" s="23" t="str">
        <f>IFERROR(__xludf.DUMMYFUNCTION("""COMPUTED_VALUE"""),"Dec")</f>
        <v>Dec</v>
      </c>
      <c r="E131" s="21" t="str">
        <f>IFERROR(__xludf.DUMMYFUNCTION("""COMPUTED_VALUE"""),"2018")</f>
        <v>2018</v>
      </c>
      <c r="F131" s="22" t="str">
        <f>IFERROR(__xludf.DUMMYFUNCTION("""COMPUTED_VALUE"""),"Standard Class")</f>
        <v>Standard Class</v>
      </c>
      <c r="G131" s="22" t="str">
        <f>IFERROR(__xludf.DUMMYFUNCTION("""COMPUTED_VALUE"""),"Keith")</f>
        <v>Keith</v>
      </c>
      <c r="H131" s="22" t="str">
        <f>IFERROR(__xludf.DUMMYFUNCTION("""COMPUTED_VALUE"""),"Herrera")</f>
        <v>Herrera</v>
      </c>
      <c r="I131" s="22" t="str">
        <f>IFERROR(__xludf.DUMMYFUNCTION("""COMPUTED_VALUE"""),"Consumer")</f>
        <v>Consumer</v>
      </c>
      <c r="J131" s="22" t="str">
        <f>IFERROR(__xludf.DUMMYFUNCTION("""COMPUTED_VALUE"""),"San Francisco")</f>
        <v>San Francisco</v>
      </c>
      <c r="K131" s="22" t="str">
        <f>IFERROR(__xludf.DUMMYFUNCTION("""COMPUTED_VALUE"""),"California")</f>
        <v>California</v>
      </c>
      <c r="L131" s="22" t="str">
        <f>IFERROR(__xludf.DUMMYFUNCTION("""COMPUTED_VALUE"""),"West")</f>
        <v>West</v>
      </c>
      <c r="M131" s="22" t="str">
        <f>IFERROR(__xludf.DUMMYFUNCTION("""COMPUTED_VALUE"""),"Technology")</f>
        <v>Technology</v>
      </c>
      <c r="N131" s="18">
        <f>IFERROR(__xludf.DUMMYFUNCTION("""COMPUTED_VALUE"""),1199.976)</f>
        <v>1199.976</v>
      </c>
      <c r="O131" s="18">
        <f>IFERROR(__xludf.DUMMYFUNCTION("""COMPUTED_VALUE"""),1199.86)</f>
        <v>1199.86</v>
      </c>
      <c r="P131" s="22">
        <f>IFERROR(__xludf.DUMMYFUNCTION("""COMPUTED_VALUE"""),9.0)</f>
        <v>9</v>
      </c>
      <c r="Q131" s="18">
        <f>IFERROR(__xludf.DUMMYFUNCTION("""COMPUTED_VALUE"""),10799.784000000001)</f>
        <v>10799.784</v>
      </c>
      <c r="R131" s="18">
        <f>IFERROR(__xludf.DUMMYFUNCTION("""COMPUTED_VALUE"""),9599.924)</f>
        <v>9599.924</v>
      </c>
    </row>
    <row r="132">
      <c r="A132" s="21">
        <f>IFERROR(__xludf.DUMMYFUNCTION("""COMPUTED_VALUE"""),43324.0)</f>
        <v>43324</v>
      </c>
      <c r="B132" s="21" t="str">
        <f>IFERROR(__xludf.DUMMYFUNCTION("""COMPUTED_VALUE"""),"Aug")</f>
        <v>Aug</v>
      </c>
      <c r="C132" s="9">
        <f>IFERROR(__xludf.DUMMYFUNCTION("""COMPUTED_VALUE"""),43446.0)</f>
        <v>43446</v>
      </c>
      <c r="D132" s="23" t="str">
        <f>IFERROR(__xludf.DUMMYFUNCTION("""COMPUTED_VALUE"""),"Dec")</f>
        <v>Dec</v>
      </c>
      <c r="E132" s="21" t="str">
        <f>IFERROR(__xludf.DUMMYFUNCTION("""COMPUTED_VALUE"""),"2018")</f>
        <v>2018</v>
      </c>
      <c r="F132" s="22" t="str">
        <f>IFERROR(__xludf.DUMMYFUNCTION("""COMPUTED_VALUE"""),"Standard Class")</f>
        <v>Standard Class</v>
      </c>
      <c r="G132" s="22" t="str">
        <f>IFERROR(__xludf.DUMMYFUNCTION("""COMPUTED_VALUE"""),"Keith")</f>
        <v>Keith</v>
      </c>
      <c r="H132" s="22" t="str">
        <f>IFERROR(__xludf.DUMMYFUNCTION("""COMPUTED_VALUE"""),"Herrera")</f>
        <v>Herrera</v>
      </c>
      <c r="I132" s="22" t="str">
        <f>IFERROR(__xludf.DUMMYFUNCTION("""COMPUTED_VALUE"""),"Consumer")</f>
        <v>Consumer</v>
      </c>
      <c r="J132" s="22" t="str">
        <f>IFERROR(__xludf.DUMMYFUNCTION("""COMPUTED_VALUE"""),"San Francisco")</f>
        <v>San Francisco</v>
      </c>
      <c r="K132" s="22" t="str">
        <f>IFERROR(__xludf.DUMMYFUNCTION("""COMPUTED_VALUE"""),"California")</f>
        <v>California</v>
      </c>
      <c r="L132" s="22" t="str">
        <f>IFERROR(__xludf.DUMMYFUNCTION("""COMPUTED_VALUE"""),"West")</f>
        <v>West</v>
      </c>
      <c r="M132" s="22" t="str">
        <f>IFERROR(__xludf.DUMMYFUNCTION("""COMPUTED_VALUE"""),"Furniture")</f>
        <v>Furniture</v>
      </c>
      <c r="N132" s="18">
        <f>IFERROR(__xludf.DUMMYFUNCTION("""COMPUTED_VALUE"""),1004.024)</f>
        <v>1004.024</v>
      </c>
      <c r="O132" s="18">
        <f>IFERROR(__xludf.DUMMYFUNCTION("""COMPUTED_VALUE"""),1003.74)</f>
        <v>1003.74</v>
      </c>
      <c r="P132" s="22">
        <f>IFERROR(__xludf.DUMMYFUNCTION("""COMPUTED_VALUE"""),9.0)</f>
        <v>9</v>
      </c>
      <c r="Q132" s="18">
        <f>IFERROR(__xludf.DUMMYFUNCTION("""COMPUTED_VALUE"""),9036.216)</f>
        <v>9036.216</v>
      </c>
      <c r="R132" s="18">
        <f>IFERROR(__xludf.DUMMYFUNCTION("""COMPUTED_VALUE"""),8032.476000000001)</f>
        <v>8032.476</v>
      </c>
    </row>
    <row r="133">
      <c r="A133" s="21">
        <f>IFERROR(__xludf.DUMMYFUNCTION("""COMPUTED_VALUE"""),43324.0)</f>
        <v>43324</v>
      </c>
      <c r="B133" s="21" t="str">
        <f>IFERROR(__xludf.DUMMYFUNCTION("""COMPUTED_VALUE"""),"Aug")</f>
        <v>Aug</v>
      </c>
      <c r="C133" s="9">
        <f>IFERROR(__xludf.DUMMYFUNCTION("""COMPUTED_VALUE"""),43446.0)</f>
        <v>43446</v>
      </c>
      <c r="D133" s="23" t="str">
        <f>IFERROR(__xludf.DUMMYFUNCTION("""COMPUTED_VALUE"""),"Dec")</f>
        <v>Dec</v>
      </c>
      <c r="E133" s="21" t="str">
        <f>IFERROR(__xludf.DUMMYFUNCTION("""COMPUTED_VALUE"""),"2018")</f>
        <v>2018</v>
      </c>
      <c r="F133" s="22" t="str">
        <f>IFERROR(__xludf.DUMMYFUNCTION("""COMPUTED_VALUE"""),"Standard Class")</f>
        <v>Standard Class</v>
      </c>
      <c r="G133" s="22" t="str">
        <f>IFERROR(__xludf.DUMMYFUNCTION("""COMPUTED_VALUE"""),"Keith")</f>
        <v>Keith</v>
      </c>
      <c r="H133" s="22" t="str">
        <f>IFERROR(__xludf.DUMMYFUNCTION("""COMPUTED_VALUE"""),"Herrera")</f>
        <v>Herrera</v>
      </c>
      <c r="I133" s="22" t="str">
        <f>IFERROR(__xludf.DUMMYFUNCTION("""COMPUTED_VALUE"""),"Consumer")</f>
        <v>Consumer</v>
      </c>
      <c r="J133" s="22" t="str">
        <f>IFERROR(__xludf.DUMMYFUNCTION("""COMPUTED_VALUE"""),"San Francisco")</f>
        <v>San Francisco</v>
      </c>
      <c r="K133" s="22" t="str">
        <f>IFERROR(__xludf.DUMMYFUNCTION("""COMPUTED_VALUE"""),"California")</f>
        <v>California</v>
      </c>
      <c r="L133" s="22" t="str">
        <f>IFERROR(__xludf.DUMMYFUNCTION("""COMPUTED_VALUE"""),"West")</f>
        <v>West</v>
      </c>
      <c r="M133" s="22" t="str">
        <f>IFERROR(__xludf.DUMMYFUNCTION("""COMPUTED_VALUE"""),"Furniture")</f>
        <v>Furniture</v>
      </c>
      <c r="N133" s="18">
        <f>IFERROR(__xludf.DUMMYFUNCTION("""COMPUTED_VALUE"""),1336.829)</f>
        <v>1336.829</v>
      </c>
      <c r="O133" s="18">
        <f>IFERROR(__xludf.DUMMYFUNCTION("""COMPUTED_VALUE"""),1336.39)</f>
        <v>1336.39</v>
      </c>
      <c r="P133" s="22">
        <f>IFERROR(__xludf.DUMMYFUNCTION("""COMPUTED_VALUE"""),9.0)</f>
        <v>9</v>
      </c>
      <c r="Q133" s="18">
        <f>IFERROR(__xludf.DUMMYFUNCTION("""COMPUTED_VALUE"""),12031.461)</f>
        <v>12031.461</v>
      </c>
      <c r="R133" s="18">
        <f>IFERROR(__xludf.DUMMYFUNCTION("""COMPUTED_VALUE"""),10695.071)</f>
        <v>10695.071</v>
      </c>
    </row>
    <row r="134">
      <c r="A134" s="21">
        <f>IFERROR(__xludf.DUMMYFUNCTION("""COMPUTED_VALUE"""),43324.0)</f>
        <v>43324</v>
      </c>
      <c r="B134" s="21" t="str">
        <f>IFERROR(__xludf.DUMMYFUNCTION("""COMPUTED_VALUE"""),"Aug")</f>
        <v>Aug</v>
      </c>
      <c r="C134" s="9">
        <f>IFERROR(__xludf.DUMMYFUNCTION("""COMPUTED_VALUE"""),43446.0)</f>
        <v>43446</v>
      </c>
      <c r="D134" s="23" t="str">
        <f>IFERROR(__xludf.DUMMYFUNCTION("""COMPUTED_VALUE"""),"Dec")</f>
        <v>Dec</v>
      </c>
      <c r="E134" s="21" t="str">
        <f>IFERROR(__xludf.DUMMYFUNCTION("""COMPUTED_VALUE"""),"2018")</f>
        <v>2018</v>
      </c>
      <c r="F134" s="22" t="str">
        <f>IFERROR(__xludf.DUMMYFUNCTION("""COMPUTED_VALUE"""),"Standard Class")</f>
        <v>Standard Class</v>
      </c>
      <c r="G134" s="22" t="str">
        <f>IFERROR(__xludf.DUMMYFUNCTION("""COMPUTED_VALUE"""),"Keith")</f>
        <v>Keith</v>
      </c>
      <c r="H134" s="22" t="str">
        <f>IFERROR(__xludf.DUMMYFUNCTION("""COMPUTED_VALUE"""),"Herrera")</f>
        <v>Herrera</v>
      </c>
      <c r="I134" s="22" t="str">
        <f>IFERROR(__xludf.DUMMYFUNCTION("""COMPUTED_VALUE"""),"Consumer")</f>
        <v>Consumer</v>
      </c>
      <c r="J134" s="22" t="str">
        <f>IFERROR(__xludf.DUMMYFUNCTION("""COMPUTED_VALUE"""),"San Francisco")</f>
        <v>San Francisco</v>
      </c>
      <c r="K134" s="22" t="str">
        <f>IFERROR(__xludf.DUMMYFUNCTION("""COMPUTED_VALUE"""),"California")</f>
        <v>California</v>
      </c>
      <c r="L134" s="22" t="str">
        <f>IFERROR(__xludf.DUMMYFUNCTION("""COMPUTED_VALUE"""),"West")</f>
        <v>West</v>
      </c>
      <c r="M134" s="22" t="str">
        <f>IFERROR(__xludf.DUMMYFUNCTION("""COMPUTED_VALUE"""),"Furniture")</f>
        <v>Furniture</v>
      </c>
      <c r="N134" s="18">
        <f>IFERROR(__xludf.DUMMYFUNCTION("""COMPUTED_VALUE"""),113.568)</f>
        <v>113.568</v>
      </c>
      <c r="O134" s="18">
        <f>IFERROR(__xludf.DUMMYFUNCTION("""COMPUTED_VALUE"""),113.48)</f>
        <v>113.48</v>
      </c>
      <c r="P134" s="22">
        <f>IFERROR(__xludf.DUMMYFUNCTION("""COMPUTED_VALUE"""),9.0)</f>
        <v>9</v>
      </c>
      <c r="Q134" s="18">
        <f>IFERROR(__xludf.DUMMYFUNCTION("""COMPUTED_VALUE"""),1022.112)</f>
        <v>1022.112</v>
      </c>
      <c r="R134" s="18">
        <f>IFERROR(__xludf.DUMMYFUNCTION("""COMPUTED_VALUE"""),908.632)</f>
        <v>908.632</v>
      </c>
    </row>
    <row r="135">
      <c r="A135" s="21">
        <f>IFERROR(__xludf.DUMMYFUNCTION("""COMPUTED_VALUE"""),43170.0)</f>
        <v>43170</v>
      </c>
      <c r="B135" s="21" t="str">
        <f>IFERROR(__xludf.DUMMYFUNCTION("""COMPUTED_VALUE"""),"Mar")</f>
        <v>Mar</v>
      </c>
      <c r="C135" s="9">
        <f>IFERROR(__xludf.DUMMYFUNCTION("""COMPUTED_VALUE"""),43292.0)</f>
        <v>43292</v>
      </c>
      <c r="D135" s="23" t="str">
        <f>IFERROR(__xludf.DUMMYFUNCTION("""COMPUTED_VALUE"""),"Jul")</f>
        <v>Jul</v>
      </c>
      <c r="E135" s="21" t="str">
        <f>IFERROR(__xludf.DUMMYFUNCTION("""COMPUTED_VALUE"""),"2018")</f>
        <v>2018</v>
      </c>
      <c r="F135" s="22" t="str">
        <f>IFERROR(__xludf.DUMMYFUNCTION("""COMPUTED_VALUE"""),"Standard Class")</f>
        <v>Standard Class</v>
      </c>
      <c r="G135" s="22" t="str">
        <f>IFERROR(__xludf.DUMMYFUNCTION("""COMPUTED_VALUE"""),"Kimberly")</f>
        <v>Kimberly</v>
      </c>
      <c r="H135" s="22" t="str">
        <f>IFERROR(__xludf.DUMMYFUNCTION("""COMPUTED_VALUE"""),"Carter")</f>
        <v>Carter</v>
      </c>
      <c r="I135" s="22" t="str">
        <f>IFERROR(__xludf.DUMMYFUNCTION("""COMPUTED_VALUE"""),"Corporate")</f>
        <v>Corporate</v>
      </c>
      <c r="J135" s="22" t="str">
        <f>IFERROR(__xludf.DUMMYFUNCTION("""COMPUTED_VALUE"""),"Seattle")</f>
        <v>Seattle</v>
      </c>
      <c r="K135" s="22" t="str">
        <f>IFERROR(__xludf.DUMMYFUNCTION("""COMPUTED_VALUE"""),"Washington")</f>
        <v>Washington</v>
      </c>
      <c r="L135" s="22" t="str">
        <f>IFERROR(__xludf.DUMMYFUNCTION("""COMPUTED_VALUE"""),"West")</f>
        <v>West</v>
      </c>
      <c r="M135" s="22" t="str">
        <f>IFERROR(__xludf.DUMMYFUNCTION("""COMPUTED_VALUE"""),"Office Supplies")</f>
        <v>Office Supplies</v>
      </c>
      <c r="N135" s="18">
        <f>IFERROR(__xludf.DUMMYFUNCTION("""COMPUTED_VALUE"""),139.86)</f>
        <v>139.86</v>
      </c>
      <c r="O135" s="18">
        <f>IFERROR(__xludf.DUMMYFUNCTION("""COMPUTED_VALUE"""),138.94)</f>
        <v>138.94</v>
      </c>
      <c r="P135" s="22">
        <f>IFERROR(__xludf.DUMMYFUNCTION("""COMPUTED_VALUE"""),9.0)</f>
        <v>9</v>
      </c>
      <c r="Q135" s="18">
        <f>IFERROR(__xludf.DUMMYFUNCTION("""COMPUTED_VALUE"""),1258.7400000000002)</f>
        <v>1258.74</v>
      </c>
      <c r="R135" s="18">
        <f>IFERROR(__xludf.DUMMYFUNCTION("""COMPUTED_VALUE"""),1119.8000000000002)</f>
        <v>1119.8</v>
      </c>
    </row>
    <row r="136">
      <c r="A136" s="21">
        <f>IFERROR(__xludf.DUMMYFUNCTION("""COMPUTED_VALUE"""),43170.0)</f>
        <v>43170</v>
      </c>
      <c r="B136" s="21" t="str">
        <f>IFERROR(__xludf.DUMMYFUNCTION("""COMPUTED_VALUE"""),"Mar")</f>
        <v>Mar</v>
      </c>
      <c r="C136" s="9">
        <f>IFERROR(__xludf.DUMMYFUNCTION("""COMPUTED_VALUE"""),43292.0)</f>
        <v>43292</v>
      </c>
      <c r="D136" s="23" t="str">
        <f>IFERROR(__xludf.DUMMYFUNCTION("""COMPUTED_VALUE"""),"Jul")</f>
        <v>Jul</v>
      </c>
      <c r="E136" s="21" t="str">
        <f>IFERROR(__xludf.DUMMYFUNCTION("""COMPUTED_VALUE"""),"2018")</f>
        <v>2018</v>
      </c>
      <c r="F136" s="22" t="str">
        <f>IFERROR(__xludf.DUMMYFUNCTION("""COMPUTED_VALUE"""),"Standard Class")</f>
        <v>Standard Class</v>
      </c>
      <c r="G136" s="22" t="str">
        <f>IFERROR(__xludf.DUMMYFUNCTION("""COMPUTED_VALUE"""),"Kimberly")</f>
        <v>Kimberly</v>
      </c>
      <c r="H136" s="22" t="str">
        <f>IFERROR(__xludf.DUMMYFUNCTION("""COMPUTED_VALUE"""),"Carter")</f>
        <v>Carter</v>
      </c>
      <c r="I136" s="22" t="str">
        <f>IFERROR(__xludf.DUMMYFUNCTION("""COMPUTED_VALUE"""),"Corporate")</f>
        <v>Corporate</v>
      </c>
      <c r="J136" s="22" t="str">
        <f>IFERROR(__xludf.DUMMYFUNCTION("""COMPUTED_VALUE"""),"Seattle")</f>
        <v>Seattle</v>
      </c>
      <c r="K136" s="22" t="str">
        <f>IFERROR(__xludf.DUMMYFUNCTION("""COMPUTED_VALUE"""),"Washington")</f>
        <v>Washington</v>
      </c>
      <c r="L136" s="22" t="str">
        <f>IFERROR(__xludf.DUMMYFUNCTION("""COMPUTED_VALUE"""),"West")</f>
        <v>West</v>
      </c>
      <c r="M136" s="22" t="str">
        <f>IFERROR(__xludf.DUMMYFUNCTION("""COMPUTED_VALUE"""),"Furniture")</f>
        <v>Furniture</v>
      </c>
      <c r="N136" s="18">
        <f>IFERROR(__xludf.DUMMYFUNCTION("""COMPUTED_VALUE"""),307.136)</f>
        <v>307.136</v>
      </c>
      <c r="O136" s="18">
        <f>IFERROR(__xludf.DUMMYFUNCTION("""COMPUTED_VALUE"""),306.85)</f>
        <v>306.85</v>
      </c>
      <c r="P136" s="22">
        <f>IFERROR(__xludf.DUMMYFUNCTION("""COMPUTED_VALUE"""),9.0)</f>
        <v>9</v>
      </c>
      <c r="Q136" s="18">
        <f>IFERROR(__xludf.DUMMYFUNCTION("""COMPUTED_VALUE"""),2764.224)</f>
        <v>2764.224</v>
      </c>
      <c r="R136" s="18">
        <f>IFERROR(__xludf.DUMMYFUNCTION("""COMPUTED_VALUE"""),2457.3740000000003)</f>
        <v>2457.374</v>
      </c>
    </row>
    <row r="137">
      <c r="A137" s="21">
        <f>IFERROR(__xludf.DUMMYFUNCTION("""COMPUTED_VALUE"""),43275.0)</f>
        <v>43275</v>
      </c>
      <c r="B137" s="21" t="str">
        <f>IFERROR(__xludf.DUMMYFUNCTION("""COMPUTED_VALUE"""),"Jun")</f>
        <v>Jun</v>
      </c>
      <c r="C137" s="9">
        <f>IFERROR(__xludf.DUMMYFUNCTION("""COMPUTED_VALUE"""),43279.0)</f>
        <v>43279</v>
      </c>
      <c r="D137" s="23" t="str">
        <f>IFERROR(__xludf.DUMMYFUNCTION("""COMPUTED_VALUE"""),"Jun")</f>
        <v>Jun</v>
      </c>
      <c r="E137" s="21" t="str">
        <f>IFERROR(__xludf.DUMMYFUNCTION("""COMPUTED_VALUE"""),"2018")</f>
        <v>2018</v>
      </c>
      <c r="F137" s="22" t="str">
        <f>IFERROR(__xludf.DUMMYFUNCTION("""COMPUTED_VALUE"""),"Standard Class")</f>
        <v>Standard Class</v>
      </c>
      <c r="G137" s="22" t="str">
        <f>IFERROR(__xludf.DUMMYFUNCTION("""COMPUTED_VALUE"""),"Caroline")</f>
        <v>Caroline</v>
      </c>
      <c r="H137" s="22" t="str">
        <f>IFERROR(__xludf.DUMMYFUNCTION("""COMPUTED_VALUE"""),"Jumper")</f>
        <v>Jumper</v>
      </c>
      <c r="I137" s="22" t="str">
        <f>IFERROR(__xludf.DUMMYFUNCTION("""COMPUTED_VALUE"""),"Consumer")</f>
        <v>Consumer</v>
      </c>
      <c r="J137" s="22" t="str">
        <f>IFERROR(__xludf.DUMMYFUNCTION("""COMPUTED_VALUE"""),"Huntington Beach")</f>
        <v>Huntington Beach</v>
      </c>
      <c r="K137" s="22" t="str">
        <f>IFERROR(__xludf.DUMMYFUNCTION("""COMPUTED_VALUE"""),"California")</f>
        <v>California</v>
      </c>
      <c r="L137" s="22" t="str">
        <f>IFERROR(__xludf.DUMMYFUNCTION("""COMPUTED_VALUE"""),"West")</f>
        <v>West</v>
      </c>
      <c r="M137" s="22" t="str">
        <f>IFERROR(__xludf.DUMMYFUNCTION("""COMPUTED_VALUE"""),"Office Supplies")</f>
        <v>Office Supplies</v>
      </c>
      <c r="N137" s="18">
        <f>IFERROR(__xludf.DUMMYFUNCTION("""COMPUTED_VALUE"""),95.92)</f>
        <v>95.92</v>
      </c>
      <c r="O137" s="18">
        <f>IFERROR(__xludf.DUMMYFUNCTION("""COMPUTED_VALUE"""),95.2)</f>
        <v>95.2</v>
      </c>
      <c r="P137" s="22">
        <f>IFERROR(__xludf.DUMMYFUNCTION("""COMPUTED_VALUE"""),9.0)</f>
        <v>9</v>
      </c>
      <c r="Q137" s="18">
        <f>IFERROR(__xludf.DUMMYFUNCTION("""COMPUTED_VALUE"""),863.28)</f>
        <v>863.28</v>
      </c>
      <c r="R137" s="18">
        <f>IFERROR(__xludf.DUMMYFUNCTION("""COMPUTED_VALUE"""),768.0799999999999)</f>
        <v>768.08</v>
      </c>
    </row>
    <row r="138">
      <c r="A138" s="21">
        <f>IFERROR(__xludf.DUMMYFUNCTION("""COMPUTED_VALUE"""),42839.0)</f>
        <v>42839</v>
      </c>
      <c r="B138" s="21" t="str">
        <f>IFERROR(__xludf.DUMMYFUNCTION("""COMPUTED_VALUE"""),"Apr")</f>
        <v>Apr</v>
      </c>
      <c r="C138" s="9">
        <f>IFERROR(__xludf.DUMMYFUNCTION("""COMPUTED_VALUE"""),42843.0)</f>
        <v>42843</v>
      </c>
      <c r="D138" s="23" t="str">
        <f>IFERROR(__xludf.DUMMYFUNCTION("""COMPUTED_VALUE"""),"Apr")</f>
        <v>Apr</v>
      </c>
      <c r="E138" s="21" t="str">
        <f>IFERROR(__xludf.DUMMYFUNCTION("""COMPUTED_VALUE"""),"2017")</f>
        <v>2017</v>
      </c>
      <c r="F138" s="22" t="str">
        <f>IFERROR(__xludf.DUMMYFUNCTION("""COMPUTED_VALUE"""),"Standard Class")</f>
        <v>Standard Class</v>
      </c>
      <c r="G138" s="22" t="str">
        <f>IFERROR(__xludf.DUMMYFUNCTION("""COMPUTED_VALUE"""),"Philip")</f>
        <v>Philip</v>
      </c>
      <c r="H138" s="22" t="str">
        <f>IFERROR(__xludf.DUMMYFUNCTION("""COMPUTED_VALUE"""),"Brown")</f>
        <v>Brown</v>
      </c>
      <c r="I138" s="22" t="str">
        <f>IFERROR(__xludf.DUMMYFUNCTION("""COMPUTED_VALUE"""),"Consumer")</f>
        <v>Consumer</v>
      </c>
      <c r="J138" s="22" t="str">
        <f>IFERROR(__xludf.DUMMYFUNCTION("""COMPUTED_VALUE"""),"Los Angeles")</f>
        <v>Los Angeles</v>
      </c>
      <c r="K138" s="22" t="str">
        <f>IFERROR(__xludf.DUMMYFUNCTION("""COMPUTED_VALUE"""),"California")</f>
        <v>California</v>
      </c>
      <c r="L138" s="22" t="str">
        <f>IFERROR(__xludf.DUMMYFUNCTION("""COMPUTED_VALUE"""),"West")</f>
        <v>West</v>
      </c>
      <c r="M138" s="22" t="str">
        <f>IFERROR(__xludf.DUMMYFUNCTION("""COMPUTED_VALUE"""),"Furniture")</f>
        <v>Furniture</v>
      </c>
      <c r="N138" s="18">
        <f>IFERROR(__xludf.DUMMYFUNCTION("""COMPUTED_VALUE"""),383.8)</f>
        <v>383.8</v>
      </c>
      <c r="O138" s="18">
        <f>IFERROR(__xludf.DUMMYFUNCTION("""COMPUTED_VALUE"""),383.39)</f>
        <v>383.39</v>
      </c>
      <c r="P138" s="22">
        <f>IFERROR(__xludf.DUMMYFUNCTION("""COMPUTED_VALUE"""),9.0)</f>
        <v>9</v>
      </c>
      <c r="Q138" s="18">
        <f>IFERROR(__xludf.DUMMYFUNCTION("""COMPUTED_VALUE"""),3454.2000000000003)</f>
        <v>3454.2</v>
      </c>
      <c r="R138" s="18">
        <f>IFERROR(__xludf.DUMMYFUNCTION("""COMPUTED_VALUE"""),3070.8100000000004)</f>
        <v>3070.81</v>
      </c>
    </row>
    <row r="139">
      <c r="A139" s="21">
        <f>IFERROR(__xludf.DUMMYFUNCTION("""COMPUTED_VALUE"""),42177.0)</f>
        <v>42177</v>
      </c>
      <c r="B139" s="21" t="str">
        <f>IFERROR(__xludf.DUMMYFUNCTION("""COMPUTED_VALUE"""),"Jun")</f>
        <v>Jun</v>
      </c>
      <c r="C139" s="9">
        <f>IFERROR(__xludf.DUMMYFUNCTION("""COMPUTED_VALUE"""),42180.0)</f>
        <v>42180</v>
      </c>
      <c r="D139" s="23" t="str">
        <f>IFERROR(__xludf.DUMMYFUNCTION("""COMPUTED_VALUE"""),"Jun")</f>
        <v>Jun</v>
      </c>
      <c r="E139" s="21" t="str">
        <f>IFERROR(__xludf.DUMMYFUNCTION("""COMPUTED_VALUE"""),"2015")</f>
        <v>2015</v>
      </c>
      <c r="F139" s="22" t="str">
        <f>IFERROR(__xludf.DUMMYFUNCTION("""COMPUTED_VALUE"""),"First Class")</f>
        <v>First Class</v>
      </c>
      <c r="G139" s="22" t="str">
        <f>IFERROR(__xludf.DUMMYFUNCTION("""COMPUTED_VALUE"""),"Joel")</f>
        <v>Joel</v>
      </c>
      <c r="H139" s="22" t="str">
        <f>IFERROR(__xludf.DUMMYFUNCTION("""COMPUTED_VALUE"""),"Eaton")</f>
        <v>Eaton</v>
      </c>
      <c r="I139" s="22" t="str">
        <f>IFERROR(__xludf.DUMMYFUNCTION("""COMPUTED_VALUE"""),"Consumer")</f>
        <v>Consumer</v>
      </c>
      <c r="J139" s="22" t="str">
        <f>IFERROR(__xludf.DUMMYFUNCTION("""COMPUTED_VALUE"""),"Louisville")</f>
        <v>Louisville</v>
      </c>
      <c r="K139" s="22" t="str">
        <f>IFERROR(__xludf.DUMMYFUNCTION("""COMPUTED_VALUE"""),"Colorado")</f>
        <v>Colorado</v>
      </c>
      <c r="L139" s="22" t="str">
        <f>IFERROR(__xludf.DUMMYFUNCTION("""COMPUTED_VALUE"""),"West")</f>
        <v>West</v>
      </c>
      <c r="M139" s="22" t="str">
        <f>IFERROR(__xludf.DUMMYFUNCTION("""COMPUTED_VALUE"""),"Technology")</f>
        <v>Technology</v>
      </c>
      <c r="N139" s="18">
        <f>IFERROR(__xludf.DUMMYFUNCTION("""COMPUTED_VALUE"""),196.752)</f>
        <v>196.752</v>
      </c>
      <c r="O139" s="18">
        <f>IFERROR(__xludf.DUMMYFUNCTION("""COMPUTED_VALUE"""),196.71)</f>
        <v>196.71</v>
      </c>
      <c r="P139" s="22">
        <f>IFERROR(__xludf.DUMMYFUNCTION("""COMPUTED_VALUE"""),8.0)</f>
        <v>8</v>
      </c>
      <c r="Q139" s="18">
        <f>IFERROR(__xludf.DUMMYFUNCTION("""COMPUTED_VALUE"""),1574.016)</f>
        <v>1574.016</v>
      </c>
      <c r="R139" s="18">
        <f>IFERROR(__xludf.DUMMYFUNCTION("""COMPUTED_VALUE"""),1377.306)</f>
        <v>1377.306</v>
      </c>
    </row>
    <row r="140">
      <c r="A140" s="21">
        <f>IFERROR(__xludf.DUMMYFUNCTION("""COMPUTED_VALUE"""),43333.0)</f>
        <v>43333</v>
      </c>
      <c r="B140" s="21" t="str">
        <f>IFERROR(__xludf.DUMMYFUNCTION("""COMPUTED_VALUE"""),"Aug")</f>
        <v>Aug</v>
      </c>
      <c r="C140" s="9">
        <f>IFERROR(__xludf.DUMMYFUNCTION("""COMPUTED_VALUE"""),43335.0)</f>
        <v>43335</v>
      </c>
      <c r="D140" s="23" t="str">
        <f>IFERROR(__xludf.DUMMYFUNCTION("""COMPUTED_VALUE"""),"Aug")</f>
        <v>Aug</v>
      </c>
      <c r="E140" s="21" t="str">
        <f>IFERROR(__xludf.DUMMYFUNCTION("""COMPUTED_VALUE"""),"2018")</f>
        <v>2018</v>
      </c>
      <c r="F140" s="22" t="str">
        <f>IFERROR(__xludf.DUMMYFUNCTION("""COMPUTED_VALUE"""),"Second Class")</f>
        <v>Second Class</v>
      </c>
      <c r="G140" s="22" t="str">
        <f>IFERROR(__xludf.DUMMYFUNCTION("""COMPUTED_VALUE"""),"Natalie")</f>
        <v>Natalie</v>
      </c>
      <c r="H140" s="22" t="str">
        <f>IFERROR(__xludf.DUMMYFUNCTION("""COMPUTED_VALUE"""),"Fritzler")</f>
        <v>Fritzler</v>
      </c>
      <c r="I140" s="22" t="str">
        <f>IFERROR(__xludf.DUMMYFUNCTION("""COMPUTED_VALUE"""),"Consumer")</f>
        <v>Consumer</v>
      </c>
      <c r="J140" s="22" t="str">
        <f>IFERROR(__xludf.DUMMYFUNCTION("""COMPUTED_VALUE"""),"Jackson")</f>
        <v>Jackson</v>
      </c>
      <c r="K140" s="22" t="str">
        <f>IFERROR(__xludf.DUMMYFUNCTION("""COMPUTED_VALUE"""),"Mississippi")</f>
        <v>Mississippi</v>
      </c>
      <c r="L140" s="22" t="str">
        <f>IFERROR(__xludf.DUMMYFUNCTION("""COMPUTED_VALUE"""),"South")</f>
        <v>South</v>
      </c>
      <c r="M140" s="22" t="str">
        <f>IFERROR(__xludf.DUMMYFUNCTION("""COMPUTED_VALUE"""),"Furniture")</f>
        <v>Furniture</v>
      </c>
      <c r="N140" s="18">
        <f>IFERROR(__xludf.DUMMYFUNCTION("""COMPUTED_VALUE"""),866.4)</f>
        <v>866.4</v>
      </c>
      <c r="O140" s="18">
        <f>IFERROR(__xludf.DUMMYFUNCTION("""COMPUTED_VALUE"""),865.96)</f>
        <v>865.96</v>
      </c>
      <c r="P140" s="22">
        <f>IFERROR(__xludf.DUMMYFUNCTION("""COMPUTED_VALUE"""),3.0)</f>
        <v>3</v>
      </c>
      <c r="Q140" s="18">
        <f>IFERROR(__xludf.DUMMYFUNCTION("""COMPUTED_VALUE"""),2599.2)</f>
        <v>2599.2</v>
      </c>
      <c r="R140" s="18">
        <f>IFERROR(__xludf.DUMMYFUNCTION("""COMPUTED_VALUE"""),1733.2399999999998)</f>
        <v>1733.24</v>
      </c>
    </row>
    <row r="141">
      <c r="A141" s="21">
        <f>IFERROR(__xludf.DUMMYFUNCTION("""COMPUTED_VALUE"""),43427.0)</f>
        <v>43427</v>
      </c>
      <c r="B141" s="21" t="str">
        <f>IFERROR(__xludf.DUMMYFUNCTION("""COMPUTED_VALUE"""),"Nov")</f>
        <v>Nov</v>
      </c>
      <c r="C141" s="9">
        <f>IFERROR(__xludf.DUMMYFUNCTION("""COMPUTED_VALUE"""),43430.0)</f>
        <v>43430</v>
      </c>
      <c r="D141" s="23" t="str">
        <f>IFERROR(__xludf.DUMMYFUNCTION("""COMPUTED_VALUE"""),"Nov")</f>
        <v>Nov</v>
      </c>
      <c r="E141" s="21" t="str">
        <f>IFERROR(__xludf.DUMMYFUNCTION("""COMPUTED_VALUE"""),"2018")</f>
        <v>2018</v>
      </c>
      <c r="F141" s="22" t="str">
        <f>IFERROR(__xludf.DUMMYFUNCTION("""COMPUTED_VALUE"""),"Second Class")</f>
        <v>Second Class</v>
      </c>
      <c r="G141" s="22" t="str">
        <f>IFERROR(__xludf.DUMMYFUNCTION("""COMPUTED_VALUE"""),"Janet")</f>
        <v>Janet</v>
      </c>
      <c r="H141" s="22" t="str">
        <f>IFERROR(__xludf.DUMMYFUNCTION("""COMPUTED_VALUE"""),"Molinari")</f>
        <v>Molinari</v>
      </c>
      <c r="I141" s="22" t="str">
        <f>IFERROR(__xludf.DUMMYFUNCTION("""COMPUTED_VALUE"""),"Corporate")</f>
        <v>Corporate</v>
      </c>
      <c r="J141" s="22" t="str">
        <f>IFERROR(__xludf.DUMMYFUNCTION("""COMPUTED_VALUE"""),"Canton")</f>
        <v>Canton</v>
      </c>
      <c r="K141" s="22" t="str">
        <f>IFERROR(__xludf.DUMMYFUNCTION("""COMPUTED_VALUE"""),"Michigan")</f>
        <v>Michigan</v>
      </c>
      <c r="L141" s="22" t="str">
        <f>IFERROR(__xludf.DUMMYFUNCTION("""COMPUTED_VALUE"""),"Central")</f>
        <v>Central</v>
      </c>
      <c r="M141" s="22" t="str">
        <f>IFERROR(__xludf.DUMMYFUNCTION("""COMPUTED_VALUE"""),"Office Supplies")</f>
        <v>Office Supplies</v>
      </c>
      <c r="N141" s="18">
        <f>IFERROR(__xludf.DUMMYFUNCTION("""COMPUTED_VALUE"""),287.92)</f>
        <v>287.92</v>
      </c>
      <c r="O141" s="18">
        <f>IFERROR(__xludf.DUMMYFUNCTION("""COMPUTED_VALUE"""),287.29)</f>
        <v>287.29</v>
      </c>
      <c r="P141" s="22">
        <f>IFERROR(__xludf.DUMMYFUNCTION("""COMPUTED_VALUE"""),4.0)</f>
        <v>4</v>
      </c>
      <c r="Q141" s="18">
        <f>IFERROR(__xludf.DUMMYFUNCTION("""COMPUTED_VALUE"""),1151.68)</f>
        <v>1151.68</v>
      </c>
      <c r="R141" s="18">
        <f>IFERROR(__xludf.DUMMYFUNCTION("""COMPUTED_VALUE"""),864.3900000000001)</f>
        <v>864.39</v>
      </c>
    </row>
    <row r="142">
      <c r="A142" s="21">
        <f>IFERROR(__xludf.DUMMYFUNCTION("""COMPUTED_VALUE"""),43075.0)</f>
        <v>43075</v>
      </c>
      <c r="B142" s="21" t="str">
        <f>IFERROR(__xludf.DUMMYFUNCTION("""COMPUTED_VALUE"""),"Dec")</f>
        <v>Dec</v>
      </c>
      <c r="C142" s="9">
        <f>IFERROR(__xludf.DUMMYFUNCTION("""COMPUTED_VALUE"""),42900.0)</f>
        <v>42900</v>
      </c>
      <c r="D142" s="23" t="str">
        <f>IFERROR(__xludf.DUMMYFUNCTION("""COMPUTED_VALUE"""),"Jun")</f>
        <v>Jun</v>
      </c>
      <c r="E142" s="21" t="str">
        <f>IFERROR(__xludf.DUMMYFUNCTION("""COMPUTED_VALUE"""),"2017")</f>
        <v>2017</v>
      </c>
      <c r="F142" s="22" t="str">
        <f>IFERROR(__xludf.DUMMYFUNCTION("""COMPUTED_VALUE"""),"Second Class")</f>
        <v>Second Class</v>
      </c>
      <c r="G142" s="22" t="str">
        <f>IFERROR(__xludf.DUMMYFUNCTION("""COMPUTED_VALUE"""),"Philisse")</f>
        <v>Philisse</v>
      </c>
      <c r="H142" s="22" t="str">
        <f>IFERROR(__xludf.DUMMYFUNCTION("""COMPUTED_VALUE"""),"Overcash")</f>
        <v>Overcash</v>
      </c>
      <c r="I142" s="22" t="str">
        <f>IFERROR(__xludf.DUMMYFUNCTION("""COMPUTED_VALUE"""),"Home Office")</f>
        <v>Home Office</v>
      </c>
      <c r="J142" s="22" t="str">
        <f>IFERROR(__xludf.DUMMYFUNCTION("""COMPUTED_VALUE"""),"Chicago")</f>
        <v>Chicago</v>
      </c>
      <c r="K142" s="22" t="str">
        <f>IFERROR(__xludf.DUMMYFUNCTION("""COMPUTED_VALUE"""),"Illinois")</f>
        <v>Illinois</v>
      </c>
      <c r="L142" s="22" t="str">
        <f>IFERROR(__xludf.DUMMYFUNCTION("""COMPUTED_VALUE"""),"Central")</f>
        <v>Central</v>
      </c>
      <c r="M142" s="22" t="str">
        <f>IFERROR(__xludf.DUMMYFUNCTION("""COMPUTED_VALUE"""),"Technology")</f>
        <v>Technology</v>
      </c>
      <c r="N142" s="18">
        <f>IFERROR(__xludf.DUMMYFUNCTION("""COMPUTED_VALUE"""),1007.979)</f>
        <v>1007.979</v>
      </c>
      <c r="O142" s="18">
        <f>IFERROR(__xludf.DUMMYFUNCTION("""COMPUTED_VALUE"""),1007.35)</f>
        <v>1007.35</v>
      </c>
      <c r="P142" s="22">
        <f>IFERROR(__xludf.DUMMYFUNCTION("""COMPUTED_VALUE"""),6.0)</f>
        <v>6</v>
      </c>
      <c r="Q142" s="18">
        <f>IFERROR(__xludf.DUMMYFUNCTION("""COMPUTED_VALUE"""),6047.874)</f>
        <v>6047.874</v>
      </c>
      <c r="R142" s="18">
        <f>IFERROR(__xludf.DUMMYFUNCTION("""COMPUTED_VALUE"""),5040.523999999999)</f>
        <v>5040.524</v>
      </c>
    </row>
    <row r="143">
      <c r="A143" s="21">
        <f>IFERROR(__xludf.DUMMYFUNCTION("""COMPUTED_VALUE"""),43075.0)</f>
        <v>43075</v>
      </c>
      <c r="B143" s="21" t="str">
        <f>IFERROR(__xludf.DUMMYFUNCTION("""COMPUTED_VALUE"""),"Dec")</f>
        <v>Dec</v>
      </c>
      <c r="C143" s="9">
        <f>IFERROR(__xludf.DUMMYFUNCTION("""COMPUTED_VALUE"""),42900.0)</f>
        <v>42900</v>
      </c>
      <c r="D143" s="23" t="str">
        <f>IFERROR(__xludf.DUMMYFUNCTION("""COMPUTED_VALUE"""),"Jun")</f>
        <v>Jun</v>
      </c>
      <c r="E143" s="21" t="str">
        <f>IFERROR(__xludf.DUMMYFUNCTION("""COMPUTED_VALUE"""),"2017")</f>
        <v>2017</v>
      </c>
      <c r="F143" s="22" t="str">
        <f>IFERROR(__xludf.DUMMYFUNCTION("""COMPUTED_VALUE"""),"Second Class")</f>
        <v>Second Class</v>
      </c>
      <c r="G143" s="22" t="str">
        <f>IFERROR(__xludf.DUMMYFUNCTION("""COMPUTED_VALUE"""),"Philisse")</f>
        <v>Philisse</v>
      </c>
      <c r="H143" s="22" t="str">
        <f>IFERROR(__xludf.DUMMYFUNCTION("""COMPUTED_VALUE"""),"Overcash")</f>
        <v>Overcash</v>
      </c>
      <c r="I143" s="22" t="str">
        <f>IFERROR(__xludf.DUMMYFUNCTION("""COMPUTED_VALUE"""),"Home Office")</f>
        <v>Home Office</v>
      </c>
      <c r="J143" s="22" t="str">
        <f>IFERROR(__xludf.DUMMYFUNCTION("""COMPUTED_VALUE"""),"Chicago")</f>
        <v>Chicago</v>
      </c>
      <c r="K143" s="22" t="str">
        <f>IFERROR(__xludf.DUMMYFUNCTION("""COMPUTED_VALUE"""),"Illinois")</f>
        <v>Illinois</v>
      </c>
      <c r="L143" s="22" t="str">
        <f>IFERROR(__xludf.DUMMYFUNCTION("""COMPUTED_VALUE"""),"Central")</f>
        <v>Central</v>
      </c>
      <c r="M143" s="22" t="str">
        <f>IFERROR(__xludf.DUMMYFUNCTION("""COMPUTED_VALUE"""),"Office Supplies")</f>
        <v>Office Supplies</v>
      </c>
      <c r="N143" s="18">
        <f>IFERROR(__xludf.DUMMYFUNCTION("""COMPUTED_VALUE"""),313.488)</f>
        <v>313.488</v>
      </c>
      <c r="O143" s="18">
        <f>IFERROR(__xludf.DUMMYFUNCTION("""COMPUTED_VALUE"""),313.04)</f>
        <v>313.04</v>
      </c>
      <c r="P143" s="22">
        <f>IFERROR(__xludf.DUMMYFUNCTION("""COMPUTED_VALUE"""),6.0)</f>
        <v>6</v>
      </c>
      <c r="Q143" s="18">
        <f>IFERROR(__xludf.DUMMYFUNCTION("""COMPUTED_VALUE"""),1880.9279999999999)</f>
        <v>1880.928</v>
      </c>
      <c r="R143" s="18">
        <f>IFERROR(__xludf.DUMMYFUNCTION("""COMPUTED_VALUE"""),1567.888)</f>
        <v>1567.888</v>
      </c>
    </row>
    <row r="144">
      <c r="A144" s="21">
        <f>IFERROR(__xludf.DUMMYFUNCTION("""COMPUTED_VALUE"""),42864.0)</f>
        <v>42864</v>
      </c>
      <c r="B144" s="21" t="str">
        <f>IFERROR(__xludf.DUMMYFUNCTION("""COMPUTED_VALUE"""),"May")</f>
        <v>May</v>
      </c>
      <c r="C144" s="9">
        <f>IFERROR(__xludf.DUMMYFUNCTION("""COMPUTED_VALUE"""),42925.0)</f>
        <v>42925</v>
      </c>
      <c r="D144" s="23" t="str">
        <f>IFERROR(__xludf.DUMMYFUNCTION("""COMPUTED_VALUE"""),"Jul")</f>
        <v>Jul</v>
      </c>
      <c r="E144" s="21" t="str">
        <f>IFERROR(__xludf.DUMMYFUNCTION("""COMPUTED_VALUE"""),"2017")</f>
        <v>2017</v>
      </c>
      <c r="F144" s="22" t="str">
        <f>IFERROR(__xludf.DUMMYFUNCTION("""COMPUTED_VALUE"""),"Second Class")</f>
        <v>Second Class</v>
      </c>
      <c r="G144" s="22" t="str">
        <f>IFERROR(__xludf.DUMMYFUNCTION("""COMPUTED_VALUE"""),"Pete")</f>
        <v>Pete</v>
      </c>
      <c r="H144" s="22" t="str">
        <f>IFERROR(__xludf.DUMMYFUNCTION("""COMPUTED_VALUE"""),"Kriz")</f>
        <v>Kriz</v>
      </c>
      <c r="I144" s="22" t="str">
        <f>IFERROR(__xludf.DUMMYFUNCTION("""COMPUTED_VALUE"""),"Consumer")</f>
        <v>Consumer</v>
      </c>
      <c r="J144" s="22" t="str">
        <f>IFERROR(__xludf.DUMMYFUNCTION("""COMPUTED_VALUE"""),"Detroit")</f>
        <v>Detroit</v>
      </c>
      <c r="K144" s="22" t="str">
        <f>IFERROR(__xludf.DUMMYFUNCTION("""COMPUTED_VALUE"""),"Michigan")</f>
        <v>Michigan</v>
      </c>
      <c r="L144" s="22" t="str">
        <f>IFERROR(__xludf.DUMMYFUNCTION("""COMPUTED_VALUE"""),"Central")</f>
        <v>Central</v>
      </c>
      <c r="M144" s="22" t="str">
        <f>IFERROR(__xludf.DUMMYFUNCTION("""COMPUTED_VALUE"""),"Office Supplies")</f>
        <v>Office Supplies</v>
      </c>
      <c r="N144" s="18">
        <f>IFERROR(__xludf.DUMMYFUNCTION("""COMPUTED_VALUE"""),194.94)</f>
        <v>194.94</v>
      </c>
      <c r="O144" s="18">
        <f>IFERROR(__xludf.DUMMYFUNCTION("""COMPUTED_VALUE"""),194.44)</f>
        <v>194.44</v>
      </c>
      <c r="P144" s="22">
        <f>IFERROR(__xludf.DUMMYFUNCTION("""COMPUTED_VALUE"""),4.0)</f>
        <v>4</v>
      </c>
      <c r="Q144" s="18">
        <f>IFERROR(__xludf.DUMMYFUNCTION("""COMPUTED_VALUE"""),779.76)</f>
        <v>779.76</v>
      </c>
      <c r="R144" s="18">
        <f>IFERROR(__xludf.DUMMYFUNCTION("""COMPUTED_VALUE"""),585.3199999999999)</f>
        <v>585.32</v>
      </c>
    </row>
    <row r="145">
      <c r="A145" s="21">
        <f>IFERROR(__xludf.DUMMYFUNCTION("""COMPUTED_VALUE"""),42864.0)</f>
        <v>42864</v>
      </c>
      <c r="B145" s="21" t="str">
        <f>IFERROR(__xludf.DUMMYFUNCTION("""COMPUTED_VALUE"""),"May")</f>
        <v>May</v>
      </c>
      <c r="C145" s="9">
        <f>IFERROR(__xludf.DUMMYFUNCTION("""COMPUTED_VALUE"""),42925.0)</f>
        <v>42925</v>
      </c>
      <c r="D145" s="23" t="str">
        <f>IFERROR(__xludf.DUMMYFUNCTION("""COMPUTED_VALUE"""),"Jul")</f>
        <v>Jul</v>
      </c>
      <c r="E145" s="21" t="str">
        <f>IFERROR(__xludf.DUMMYFUNCTION("""COMPUTED_VALUE"""),"2017")</f>
        <v>2017</v>
      </c>
      <c r="F145" s="22" t="str">
        <f>IFERROR(__xludf.DUMMYFUNCTION("""COMPUTED_VALUE"""),"Second Class")</f>
        <v>Second Class</v>
      </c>
      <c r="G145" s="22" t="str">
        <f>IFERROR(__xludf.DUMMYFUNCTION("""COMPUTED_VALUE"""),"Pete")</f>
        <v>Pete</v>
      </c>
      <c r="H145" s="22" t="str">
        <f>IFERROR(__xludf.DUMMYFUNCTION("""COMPUTED_VALUE"""),"Kriz")</f>
        <v>Kriz</v>
      </c>
      <c r="I145" s="22" t="str">
        <f>IFERROR(__xludf.DUMMYFUNCTION("""COMPUTED_VALUE"""),"Consumer")</f>
        <v>Consumer</v>
      </c>
      <c r="J145" s="22" t="str">
        <f>IFERROR(__xludf.DUMMYFUNCTION("""COMPUTED_VALUE"""),"Detroit")</f>
        <v>Detroit</v>
      </c>
      <c r="K145" s="22" t="str">
        <f>IFERROR(__xludf.DUMMYFUNCTION("""COMPUTED_VALUE"""),"Michigan")</f>
        <v>Michigan</v>
      </c>
      <c r="L145" s="22" t="str">
        <f>IFERROR(__xludf.DUMMYFUNCTION("""COMPUTED_VALUE"""),"Central")</f>
        <v>Central</v>
      </c>
      <c r="M145" s="22" t="str">
        <f>IFERROR(__xludf.DUMMYFUNCTION("""COMPUTED_VALUE"""),"Furniture")</f>
        <v>Furniture</v>
      </c>
      <c r="N145" s="18">
        <f>IFERROR(__xludf.DUMMYFUNCTION("""COMPUTED_VALUE"""),242.94)</f>
        <v>242.94</v>
      </c>
      <c r="O145" s="18">
        <f>IFERROR(__xludf.DUMMYFUNCTION("""COMPUTED_VALUE"""),242.17)</f>
        <v>242.17</v>
      </c>
      <c r="P145" s="22">
        <f>IFERROR(__xludf.DUMMYFUNCTION("""COMPUTED_VALUE"""),4.0)</f>
        <v>4</v>
      </c>
      <c r="Q145" s="18">
        <f>IFERROR(__xludf.DUMMYFUNCTION("""COMPUTED_VALUE"""),971.76)</f>
        <v>971.76</v>
      </c>
      <c r="R145" s="18">
        <f>IFERROR(__xludf.DUMMYFUNCTION("""COMPUTED_VALUE"""),729.59)</f>
        <v>729.59</v>
      </c>
    </row>
    <row r="146">
      <c r="A146" s="21">
        <f>IFERROR(__xludf.DUMMYFUNCTION("""COMPUTED_VALUE"""),43393.0)</f>
        <v>43393</v>
      </c>
      <c r="B146" s="21" t="str">
        <f>IFERROR(__xludf.DUMMYFUNCTION("""COMPUTED_VALUE"""),"Oct")</f>
        <v>Oct</v>
      </c>
      <c r="C146" s="9">
        <f>IFERROR(__xludf.DUMMYFUNCTION("""COMPUTED_VALUE"""),43397.0)</f>
        <v>43397</v>
      </c>
      <c r="D146" s="23" t="str">
        <f>IFERROR(__xludf.DUMMYFUNCTION("""COMPUTED_VALUE"""),"Oct")</f>
        <v>Oct</v>
      </c>
      <c r="E146" s="21" t="str">
        <f>IFERROR(__xludf.DUMMYFUNCTION("""COMPUTED_VALUE"""),"2018")</f>
        <v>2018</v>
      </c>
      <c r="F146" s="22" t="str">
        <f>IFERROR(__xludf.DUMMYFUNCTION("""COMPUTED_VALUE"""),"Standard Class")</f>
        <v>Standard Class</v>
      </c>
      <c r="G146" s="22" t="str">
        <f>IFERROR(__xludf.DUMMYFUNCTION("""COMPUTED_VALUE"""),"Ed")</f>
        <v>Ed</v>
      </c>
      <c r="H146" s="22" t="str">
        <f>IFERROR(__xludf.DUMMYFUNCTION("""COMPUTED_VALUE"""),"Braxton")</f>
        <v>Braxton</v>
      </c>
      <c r="I146" s="22" t="str">
        <f>IFERROR(__xludf.DUMMYFUNCTION("""COMPUTED_VALUE"""),"Corporate")</f>
        <v>Corporate</v>
      </c>
      <c r="J146" s="22" t="str">
        <f>IFERROR(__xludf.DUMMYFUNCTION("""COMPUTED_VALUE"""),"Akron")</f>
        <v>Akron</v>
      </c>
      <c r="K146" s="22" t="str">
        <f>IFERROR(__xludf.DUMMYFUNCTION("""COMPUTED_VALUE"""),"Ohio")</f>
        <v>Ohio</v>
      </c>
      <c r="L146" s="22" t="str">
        <f>IFERROR(__xludf.DUMMYFUNCTION("""COMPUTED_VALUE"""),"East")</f>
        <v>East</v>
      </c>
      <c r="M146" s="22" t="str">
        <f>IFERROR(__xludf.DUMMYFUNCTION("""COMPUTED_VALUE"""),"Furniture")</f>
        <v>Furniture</v>
      </c>
      <c r="N146" s="18">
        <f>IFERROR(__xludf.DUMMYFUNCTION("""COMPUTED_VALUE"""),284.364)</f>
        <v>284.364</v>
      </c>
      <c r="O146" s="18">
        <f>IFERROR(__xludf.DUMMYFUNCTION("""COMPUTED_VALUE"""),283.97)</f>
        <v>283.97</v>
      </c>
      <c r="P146" s="22">
        <f>IFERROR(__xludf.DUMMYFUNCTION("""COMPUTED_VALUE"""),4.0)</f>
        <v>4</v>
      </c>
      <c r="Q146" s="18">
        <f>IFERROR(__xludf.DUMMYFUNCTION("""COMPUTED_VALUE"""),1137.456)</f>
        <v>1137.456</v>
      </c>
      <c r="R146" s="18">
        <f>IFERROR(__xludf.DUMMYFUNCTION("""COMPUTED_VALUE"""),853.4859999999999)</f>
        <v>853.486</v>
      </c>
    </row>
    <row r="147">
      <c r="A147" s="21">
        <f>IFERROR(__xludf.DUMMYFUNCTION("""COMPUTED_VALUE"""),43393.0)</f>
        <v>43393</v>
      </c>
      <c r="B147" s="21" t="str">
        <f>IFERROR(__xludf.DUMMYFUNCTION("""COMPUTED_VALUE"""),"Oct")</f>
        <v>Oct</v>
      </c>
      <c r="C147" s="9">
        <f>IFERROR(__xludf.DUMMYFUNCTION("""COMPUTED_VALUE"""),43397.0)</f>
        <v>43397</v>
      </c>
      <c r="D147" s="23" t="str">
        <f>IFERROR(__xludf.DUMMYFUNCTION("""COMPUTED_VALUE"""),"Oct")</f>
        <v>Oct</v>
      </c>
      <c r="E147" s="21" t="str">
        <f>IFERROR(__xludf.DUMMYFUNCTION("""COMPUTED_VALUE"""),"2018")</f>
        <v>2018</v>
      </c>
      <c r="F147" s="22" t="str">
        <f>IFERROR(__xludf.DUMMYFUNCTION("""COMPUTED_VALUE"""),"Standard Class")</f>
        <v>Standard Class</v>
      </c>
      <c r="G147" s="22" t="str">
        <f>IFERROR(__xludf.DUMMYFUNCTION("""COMPUTED_VALUE"""),"Ed")</f>
        <v>Ed</v>
      </c>
      <c r="H147" s="22" t="str">
        <f>IFERROR(__xludf.DUMMYFUNCTION("""COMPUTED_VALUE"""),"Braxton")</f>
        <v>Braxton</v>
      </c>
      <c r="I147" s="22" t="str">
        <f>IFERROR(__xludf.DUMMYFUNCTION("""COMPUTED_VALUE"""),"Corporate")</f>
        <v>Corporate</v>
      </c>
      <c r="J147" s="22" t="str">
        <f>IFERROR(__xludf.DUMMYFUNCTION("""COMPUTED_VALUE"""),"Akron")</f>
        <v>Akron</v>
      </c>
      <c r="K147" s="22" t="str">
        <f>IFERROR(__xludf.DUMMYFUNCTION("""COMPUTED_VALUE"""),"Ohio")</f>
        <v>Ohio</v>
      </c>
      <c r="L147" s="22" t="str">
        <f>IFERROR(__xludf.DUMMYFUNCTION("""COMPUTED_VALUE"""),"East")</f>
        <v>East</v>
      </c>
      <c r="M147" s="22" t="str">
        <f>IFERROR(__xludf.DUMMYFUNCTION("""COMPUTED_VALUE"""),"Office Supplies")</f>
        <v>Office Supplies</v>
      </c>
      <c r="N147" s="18">
        <f>IFERROR(__xludf.DUMMYFUNCTION("""COMPUTED_VALUE"""),665.408)</f>
        <v>665.408</v>
      </c>
      <c r="O147" s="18">
        <f>IFERROR(__xludf.DUMMYFUNCTION("""COMPUTED_VALUE"""),664.6)</f>
        <v>664.6</v>
      </c>
      <c r="P147" s="22">
        <f>IFERROR(__xludf.DUMMYFUNCTION("""COMPUTED_VALUE"""),4.0)</f>
        <v>4</v>
      </c>
      <c r="Q147" s="18">
        <f>IFERROR(__xludf.DUMMYFUNCTION("""COMPUTED_VALUE"""),2661.632)</f>
        <v>2661.632</v>
      </c>
      <c r="R147" s="18">
        <f>IFERROR(__xludf.DUMMYFUNCTION("""COMPUTED_VALUE"""),1997.0320000000002)</f>
        <v>1997.032</v>
      </c>
    </row>
    <row r="148">
      <c r="A148" s="21">
        <f>IFERROR(__xludf.DUMMYFUNCTION("""COMPUTED_VALUE"""),42340.0)</f>
        <v>42340</v>
      </c>
      <c r="B148" s="21" t="str">
        <f>IFERROR(__xludf.DUMMYFUNCTION("""COMPUTED_VALUE"""),"Dec")</f>
        <v>Dec</v>
      </c>
      <c r="C148" s="9">
        <f>IFERROR(__xludf.DUMMYFUNCTION("""COMPUTED_VALUE"""),42053.0)</f>
        <v>42053</v>
      </c>
      <c r="D148" s="23" t="str">
        <f>IFERROR(__xludf.DUMMYFUNCTION("""COMPUTED_VALUE"""),"Feb")</f>
        <v>Feb</v>
      </c>
      <c r="E148" s="21" t="str">
        <f>IFERROR(__xludf.DUMMYFUNCTION("""COMPUTED_VALUE"""),"2015")</f>
        <v>2015</v>
      </c>
      <c r="F148" s="22" t="str">
        <f>IFERROR(__xludf.DUMMYFUNCTION("""COMPUTED_VALUE"""),"Standard Class")</f>
        <v>Standard Class</v>
      </c>
      <c r="G148" s="22" t="str">
        <f>IFERROR(__xludf.DUMMYFUNCTION("""COMPUTED_VALUE"""),"Sanjit")</f>
        <v>Sanjit</v>
      </c>
      <c r="H148" s="22" t="str">
        <f>IFERROR(__xludf.DUMMYFUNCTION("""COMPUTED_VALUE"""),"Chand")</f>
        <v>Chand</v>
      </c>
      <c r="I148" s="22" t="str">
        <f>IFERROR(__xludf.DUMMYFUNCTION("""COMPUTED_VALUE"""),"Consumer")</f>
        <v>Consumer</v>
      </c>
      <c r="J148" s="22" t="str">
        <f>IFERROR(__xludf.DUMMYFUNCTION("""COMPUTED_VALUE"""),"Concord")</f>
        <v>Concord</v>
      </c>
      <c r="K148" s="22" t="str">
        <f>IFERROR(__xludf.DUMMYFUNCTION("""COMPUTED_VALUE"""),"California")</f>
        <v>California</v>
      </c>
      <c r="L148" s="22" t="str">
        <f>IFERROR(__xludf.DUMMYFUNCTION("""COMPUTED_VALUE"""),"West")</f>
        <v>West</v>
      </c>
      <c r="M148" s="22" t="str">
        <f>IFERROR(__xludf.DUMMYFUNCTION("""COMPUTED_VALUE"""),"Furniture")</f>
        <v>Furniture</v>
      </c>
      <c r="N148" s="18">
        <f>IFERROR(__xludf.DUMMYFUNCTION("""COMPUTED_VALUE"""),129.568)</f>
        <v>129.568</v>
      </c>
      <c r="O148" s="18">
        <f>IFERROR(__xludf.DUMMYFUNCTION("""COMPUTED_VALUE"""),129.15)</f>
        <v>129.15</v>
      </c>
      <c r="P148" s="22">
        <f>IFERROR(__xludf.DUMMYFUNCTION("""COMPUTED_VALUE"""),9.0)</f>
        <v>9</v>
      </c>
      <c r="Q148" s="18">
        <f>IFERROR(__xludf.DUMMYFUNCTION("""COMPUTED_VALUE"""),1166.112)</f>
        <v>1166.112</v>
      </c>
      <c r="R148" s="18">
        <f>IFERROR(__xludf.DUMMYFUNCTION("""COMPUTED_VALUE"""),1036.962)</f>
        <v>1036.962</v>
      </c>
    </row>
    <row r="149">
      <c r="A149" s="21">
        <f>IFERROR(__xludf.DUMMYFUNCTION("""COMPUTED_VALUE"""),43004.0)</f>
        <v>43004</v>
      </c>
      <c r="B149" s="21" t="str">
        <f>IFERROR(__xludf.DUMMYFUNCTION("""COMPUTED_VALUE"""),"Sep")</f>
        <v>Sep</v>
      </c>
      <c r="C149" s="9">
        <f>IFERROR(__xludf.DUMMYFUNCTION("""COMPUTED_VALUE"""),42745.0)</f>
        <v>42745</v>
      </c>
      <c r="D149" s="23" t="str">
        <f>IFERROR(__xludf.DUMMYFUNCTION("""COMPUTED_VALUE"""),"Jan")</f>
        <v>Jan</v>
      </c>
      <c r="E149" s="21" t="str">
        <f>IFERROR(__xludf.DUMMYFUNCTION("""COMPUTED_VALUE"""),"2017")</f>
        <v>2017</v>
      </c>
      <c r="F149" s="22" t="str">
        <f>IFERROR(__xludf.DUMMYFUNCTION("""COMPUTED_VALUE"""),"Standard Class")</f>
        <v>Standard Class</v>
      </c>
      <c r="G149" s="22" t="str">
        <f>IFERROR(__xludf.DUMMYFUNCTION("""COMPUTED_VALUE"""),"Natalie")</f>
        <v>Natalie</v>
      </c>
      <c r="H149" s="22" t="str">
        <f>IFERROR(__xludf.DUMMYFUNCTION("""COMPUTED_VALUE"""),"Fritzler")</f>
        <v>Fritzler</v>
      </c>
      <c r="I149" s="22" t="str">
        <f>IFERROR(__xludf.DUMMYFUNCTION("""COMPUTED_VALUE"""),"Consumer")</f>
        <v>Consumer</v>
      </c>
      <c r="J149" s="22" t="str">
        <f>IFERROR(__xludf.DUMMYFUNCTION("""COMPUTED_VALUE"""),"Decatur")</f>
        <v>Decatur</v>
      </c>
      <c r="K149" s="22" t="str">
        <f>IFERROR(__xludf.DUMMYFUNCTION("""COMPUTED_VALUE"""),"Illinois")</f>
        <v>Illinois</v>
      </c>
      <c r="L149" s="22" t="str">
        <f>IFERROR(__xludf.DUMMYFUNCTION("""COMPUTED_VALUE"""),"Central")</f>
        <v>Central</v>
      </c>
      <c r="M149" s="22" t="str">
        <f>IFERROR(__xludf.DUMMYFUNCTION("""COMPUTED_VALUE"""),"Furniture")</f>
        <v>Furniture</v>
      </c>
      <c r="N149" s="18">
        <f>IFERROR(__xludf.DUMMYFUNCTION("""COMPUTED_VALUE"""),747.558)</f>
        <v>747.558</v>
      </c>
      <c r="O149" s="18">
        <f>IFERROR(__xludf.DUMMYFUNCTION("""COMPUTED_VALUE"""),746.84)</f>
        <v>746.84</v>
      </c>
      <c r="P149" s="22">
        <f>IFERROR(__xludf.DUMMYFUNCTION("""COMPUTED_VALUE"""),6.0)</f>
        <v>6</v>
      </c>
      <c r="Q149" s="18">
        <f>IFERROR(__xludf.DUMMYFUNCTION("""COMPUTED_VALUE"""),4485.348)</f>
        <v>4485.348</v>
      </c>
      <c r="R149" s="18">
        <f>IFERROR(__xludf.DUMMYFUNCTION("""COMPUTED_VALUE"""),3738.508)</f>
        <v>3738.508</v>
      </c>
    </row>
    <row r="150">
      <c r="A150" s="21">
        <f>IFERROR(__xludf.DUMMYFUNCTION("""COMPUTED_VALUE"""),42719.0)</f>
        <v>42719</v>
      </c>
      <c r="B150" s="21" t="str">
        <f>IFERROR(__xludf.DUMMYFUNCTION("""COMPUTED_VALUE"""),"Dec")</f>
        <v>Dec</v>
      </c>
      <c r="C150" s="9">
        <f>IFERROR(__xludf.DUMMYFUNCTION("""COMPUTED_VALUE"""),42726.0)</f>
        <v>42726</v>
      </c>
      <c r="D150" s="23" t="str">
        <f>IFERROR(__xludf.DUMMYFUNCTION("""COMPUTED_VALUE"""),"Dec")</f>
        <v>Dec</v>
      </c>
      <c r="E150" s="21" t="str">
        <f>IFERROR(__xludf.DUMMYFUNCTION("""COMPUTED_VALUE"""),"2016")</f>
        <v>2016</v>
      </c>
      <c r="F150" s="22" t="str">
        <f>IFERROR(__xludf.DUMMYFUNCTION("""COMPUTED_VALUE"""),"Standard Class")</f>
        <v>Standard Class</v>
      </c>
      <c r="G150" s="22" t="str">
        <f>IFERROR(__xludf.DUMMYFUNCTION("""COMPUTED_VALUE"""),"Joseph")</f>
        <v>Joseph</v>
      </c>
      <c r="H150" s="22" t="str">
        <f>IFERROR(__xludf.DUMMYFUNCTION("""COMPUTED_VALUE"""),"Holt")</f>
        <v>Holt</v>
      </c>
      <c r="I150" s="22" t="str">
        <f>IFERROR(__xludf.DUMMYFUNCTION("""COMPUTED_VALUE"""),"Consumer")</f>
        <v>Consumer</v>
      </c>
      <c r="J150" s="22" t="str">
        <f>IFERROR(__xludf.DUMMYFUNCTION("""COMPUTED_VALUE"""),"Seattle")</f>
        <v>Seattle</v>
      </c>
      <c r="K150" s="22" t="str">
        <f>IFERROR(__xludf.DUMMYFUNCTION("""COMPUTED_VALUE"""),"Washington")</f>
        <v>Washington</v>
      </c>
      <c r="L150" s="22" t="str">
        <f>IFERROR(__xludf.DUMMYFUNCTION("""COMPUTED_VALUE"""),"West")</f>
        <v>West</v>
      </c>
      <c r="M150" s="22" t="str">
        <f>IFERROR(__xludf.DUMMYFUNCTION("""COMPUTED_VALUE"""),"Office Supplies")</f>
        <v>Office Supplies</v>
      </c>
      <c r="N150" s="18">
        <f>IFERROR(__xludf.DUMMYFUNCTION("""COMPUTED_VALUE"""),103.92)</f>
        <v>103.92</v>
      </c>
      <c r="O150" s="18">
        <f>IFERROR(__xludf.DUMMYFUNCTION("""COMPUTED_VALUE"""),103.73)</f>
        <v>103.73</v>
      </c>
      <c r="P150" s="22">
        <f>IFERROR(__xludf.DUMMYFUNCTION("""COMPUTED_VALUE"""),9.0)</f>
        <v>9</v>
      </c>
      <c r="Q150" s="18">
        <f>IFERROR(__xludf.DUMMYFUNCTION("""COMPUTED_VALUE"""),935.28)</f>
        <v>935.28</v>
      </c>
      <c r="R150" s="18">
        <f>IFERROR(__xludf.DUMMYFUNCTION("""COMPUTED_VALUE"""),831.55)</f>
        <v>831.55</v>
      </c>
    </row>
    <row r="151">
      <c r="A151" s="21">
        <f>IFERROR(__xludf.DUMMYFUNCTION("""COMPUTED_VALUE"""),42719.0)</f>
        <v>42719</v>
      </c>
      <c r="B151" s="21" t="str">
        <f>IFERROR(__xludf.DUMMYFUNCTION("""COMPUTED_VALUE"""),"Dec")</f>
        <v>Dec</v>
      </c>
      <c r="C151" s="9">
        <f>IFERROR(__xludf.DUMMYFUNCTION("""COMPUTED_VALUE"""),42726.0)</f>
        <v>42726</v>
      </c>
      <c r="D151" s="23" t="str">
        <f>IFERROR(__xludf.DUMMYFUNCTION("""COMPUTED_VALUE"""),"Dec")</f>
        <v>Dec</v>
      </c>
      <c r="E151" s="21" t="str">
        <f>IFERROR(__xludf.DUMMYFUNCTION("""COMPUTED_VALUE"""),"2016")</f>
        <v>2016</v>
      </c>
      <c r="F151" s="22" t="str">
        <f>IFERROR(__xludf.DUMMYFUNCTION("""COMPUTED_VALUE"""),"Standard Class")</f>
        <v>Standard Class</v>
      </c>
      <c r="G151" s="22" t="str">
        <f>IFERROR(__xludf.DUMMYFUNCTION("""COMPUTED_VALUE"""),"Joseph")</f>
        <v>Joseph</v>
      </c>
      <c r="H151" s="22" t="str">
        <f>IFERROR(__xludf.DUMMYFUNCTION("""COMPUTED_VALUE"""),"Holt")</f>
        <v>Holt</v>
      </c>
      <c r="I151" s="22" t="str">
        <f>IFERROR(__xludf.DUMMYFUNCTION("""COMPUTED_VALUE"""),"Consumer")</f>
        <v>Consumer</v>
      </c>
      <c r="J151" s="22" t="str">
        <f>IFERROR(__xludf.DUMMYFUNCTION("""COMPUTED_VALUE"""),"Seattle")</f>
        <v>Seattle</v>
      </c>
      <c r="K151" s="22" t="str">
        <f>IFERROR(__xludf.DUMMYFUNCTION("""COMPUTED_VALUE"""),"Washington")</f>
        <v>Washington</v>
      </c>
      <c r="L151" s="22" t="str">
        <f>IFERROR(__xludf.DUMMYFUNCTION("""COMPUTED_VALUE"""),"West")</f>
        <v>West</v>
      </c>
      <c r="M151" s="22" t="str">
        <f>IFERROR(__xludf.DUMMYFUNCTION("""COMPUTED_VALUE"""),"Technology")</f>
        <v>Technology</v>
      </c>
      <c r="N151" s="18">
        <f>IFERROR(__xludf.DUMMYFUNCTION("""COMPUTED_VALUE"""),899.91)</f>
        <v>899.91</v>
      </c>
      <c r="O151" s="18">
        <f>IFERROR(__xludf.DUMMYFUNCTION("""COMPUTED_VALUE"""),899.67)</f>
        <v>899.67</v>
      </c>
      <c r="P151" s="22">
        <f>IFERROR(__xludf.DUMMYFUNCTION("""COMPUTED_VALUE"""),9.0)</f>
        <v>9</v>
      </c>
      <c r="Q151" s="18">
        <f>IFERROR(__xludf.DUMMYFUNCTION("""COMPUTED_VALUE"""),8099.19)</f>
        <v>8099.19</v>
      </c>
      <c r="R151" s="18">
        <f>IFERROR(__xludf.DUMMYFUNCTION("""COMPUTED_VALUE"""),7199.5199999999995)</f>
        <v>7199.52</v>
      </c>
    </row>
    <row r="152">
      <c r="A152" s="21">
        <f>IFERROR(__xludf.DUMMYFUNCTION("""COMPUTED_VALUE"""),42847.0)</f>
        <v>42847</v>
      </c>
      <c r="B152" s="21" t="str">
        <f>IFERROR(__xludf.DUMMYFUNCTION("""COMPUTED_VALUE"""),"Apr")</f>
        <v>Apr</v>
      </c>
      <c r="C152" s="9">
        <f>IFERROR(__xludf.DUMMYFUNCTION("""COMPUTED_VALUE"""),42854.0)</f>
        <v>42854</v>
      </c>
      <c r="D152" s="23" t="str">
        <f>IFERROR(__xludf.DUMMYFUNCTION("""COMPUTED_VALUE"""),"Apr")</f>
        <v>Apr</v>
      </c>
      <c r="E152" s="21" t="str">
        <f>IFERROR(__xludf.DUMMYFUNCTION("""COMPUTED_VALUE"""),"2017")</f>
        <v>2017</v>
      </c>
      <c r="F152" s="22" t="str">
        <f>IFERROR(__xludf.DUMMYFUNCTION("""COMPUTED_VALUE"""),"Standard Class")</f>
        <v>Standard Class</v>
      </c>
      <c r="G152" s="22" t="str">
        <f>IFERROR(__xludf.DUMMYFUNCTION("""COMPUTED_VALUE"""),"Tanja")</f>
        <v>Tanja</v>
      </c>
      <c r="H152" s="22" t="str">
        <f>IFERROR(__xludf.DUMMYFUNCTION("""COMPUTED_VALUE"""),"Norvell")</f>
        <v>Norvell</v>
      </c>
      <c r="I152" s="22" t="str">
        <f>IFERROR(__xludf.DUMMYFUNCTION("""COMPUTED_VALUE"""),"Home Office")</f>
        <v>Home Office</v>
      </c>
      <c r="J152" s="22" t="str">
        <f>IFERROR(__xludf.DUMMYFUNCTION("""COMPUTED_VALUE"""),"Phoenix")</f>
        <v>Phoenix</v>
      </c>
      <c r="K152" s="22" t="str">
        <f>IFERROR(__xludf.DUMMYFUNCTION("""COMPUTED_VALUE"""),"Arizona")</f>
        <v>Arizona</v>
      </c>
      <c r="L152" s="22" t="str">
        <f>IFERROR(__xludf.DUMMYFUNCTION("""COMPUTED_VALUE"""),"West")</f>
        <v>West</v>
      </c>
      <c r="M152" s="22" t="str">
        <f>IFERROR(__xludf.DUMMYFUNCTION("""COMPUTED_VALUE"""),"Furniture")</f>
        <v>Furniture</v>
      </c>
      <c r="N152" s="18">
        <f>IFERROR(__xludf.DUMMYFUNCTION("""COMPUTED_VALUE"""),1272.63)</f>
        <v>1272.63</v>
      </c>
      <c r="O152" s="18">
        <f>IFERROR(__xludf.DUMMYFUNCTION("""COMPUTED_VALUE"""),1272.51)</f>
        <v>1272.51</v>
      </c>
      <c r="P152" s="22">
        <f>IFERROR(__xludf.DUMMYFUNCTION("""COMPUTED_VALUE"""),8.0)</f>
        <v>8</v>
      </c>
      <c r="Q152" s="18">
        <f>IFERROR(__xludf.DUMMYFUNCTION("""COMPUTED_VALUE"""),10181.04)</f>
        <v>10181.04</v>
      </c>
      <c r="R152" s="18">
        <f>IFERROR(__xludf.DUMMYFUNCTION("""COMPUTED_VALUE"""),8908.53)</f>
        <v>8908.53</v>
      </c>
    </row>
    <row r="153">
      <c r="A153" s="21">
        <f>IFERROR(__xludf.DUMMYFUNCTION("""COMPUTED_VALUE"""),42847.0)</f>
        <v>42847</v>
      </c>
      <c r="B153" s="21" t="str">
        <f>IFERROR(__xludf.DUMMYFUNCTION("""COMPUTED_VALUE"""),"Apr")</f>
        <v>Apr</v>
      </c>
      <c r="C153" s="9">
        <f>IFERROR(__xludf.DUMMYFUNCTION("""COMPUTED_VALUE"""),42854.0)</f>
        <v>42854</v>
      </c>
      <c r="D153" s="23" t="str">
        <f>IFERROR(__xludf.DUMMYFUNCTION("""COMPUTED_VALUE"""),"Apr")</f>
        <v>Apr</v>
      </c>
      <c r="E153" s="21" t="str">
        <f>IFERROR(__xludf.DUMMYFUNCTION("""COMPUTED_VALUE"""),"2017")</f>
        <v>2017</v>
      </c>
      <c r="F153" s="22" t="str">
        <f>IFERROR(__xludf.DUMMYFUNCTION("""COMPUTED_VALUE"""),"Standard Class")</f>
        <v>Standard Class</v>
      </c>
      <c r="G153" s="22" t="str">
        <f>IFERROR(__xludf.DUMMYFUNCTION("""COMPUTED_VALUE"""),"Tanja")</f>
        <v>Tanja</v>
      </c>
      <c r="H153" s="22" t="str">
        <f>IFERROR(__xludf.DUMMYFUNCTION("""COMPUTED_VALUE"""),"Norvell")</f>
        <v>Norvell</v>
      </c>
      <c r="I153" s="22" t="str">
        <f>IFERROR(__xludf.DUMMYFUNCTION("""COMPUTED_VALUE"""),"Home Office")</f>
        <v>Home Office</v>
      </c>
      <c r="J153" s="22" t="str">
        <f>IFERROR(__xludf.DUMMYFUNCTION("""COMPUTED_VALUE"""),"Phoenix")</f>
        <v>Phoenix</v>
      </c>
      <c r="K153" s="22" t="str">
        <f>IFERROR(__xludf.DUMMYFUNCTION("""COMPUTED_VALUE"""),"Arizona")</f>
        <v>Arizona</v>
      </c>
      <c r="L153" s="22" t="str">
        <f>IFERROR(__xludf.DUMMYFUNCTION("""COMPUTED_VALUE"""),"West")</f>
        <v>West</v>
      </c>
      <c r="M153" s="22" t="str">
        <f>IFERROR(__xludf.DUMMYFUNCTION("""COMPUTED_VALUE"""),"Office Supplies")</f>
        <v>Office Supplies</v>
      </c>
      <c r="N153" s="18">
        <f>IFERROR(__xludf.DUMMYFUNCTION("""COMPUTED_VALUE"""),185.376)</f>
        <v>185.376</v>
      </c>
      <c r="O153" s="18">
        <f>IFERROR(__xludf.DUMMYFUNCTION("""COMPUTED_VALUE"""),184.43)</f>
        <v>184.43</v>
      </c>
      <c r="P153" s="22">
        <f>IFERROR(__xludf.DUMMYFUNCTION("""COMPUTED_VALUE"""),8.0)</f>
        <v>8</v>
      </c>
      <c r="Q153" s="18">
        <f>IFERROR(__xludf.DUMMYFUNCTION("""COMPUTED_VALUE"""),1483.008)</f>
        <v>1483.008</v>
      </c>
      <c r="R153" s="18">
        <f>IFERROR(__xludf.DUMMYFUNCTION("""COMPUTED_VALUE"""),1298.578)</f>
        <v>1298.578</v>
      </c>
    </row>
    <row r="154">
      <c r="A154" s="21">
        <f>IFERROR(__xludf.DUMMYFUNCTION("""COMPUTED_VALUE"""),42847.0)</f>
        <v>42847</v>
      </c>
      <c r="B154" s="21" t="str">
        <f>IFERROR(__xludf.DUMMYFUNCTION("""COMPUTED_VALUE"""),"Apr")</f>
        <v>Apr</v>
      </c>
      <c r="C154" s="9">
        <f>IFERROR(__xludf.DUMMYFUNCTION("""COMPUTED_VALUE"""),42854.0)</f>
        <v>42854</v>
      </c>
      <c r="D154" s="23" t="str">
        <f>IFERROR(__xludf.DUMMYFUNCTION("""COMPUTED_VALUE"""),"Apr")</f>
        <v>Apr</v>
      </c>
      <c r="E154" s="21" t="str">
        <f>IFERROR(__xludf.DUMMYFUNCTION("""COMPUTED_VALUE"""),"2017")</f>
        <v>2017</v>
      </c>
      <c r="F154" s="22" t="str">
        <f>IFERROR(__xludf.DUMMYFUNCTION("""COMPUTED_VALUE"""),"Standard Class")</f>
        <v>Standard Class</v>
      </c>
      <c r="G154" s="22" t="str">
        <f>IFERROR(__xludf.DUMMYFUNCTION("""COMPUTED_VALUE"""),"Tanja")</f>
        <v>Tanja</v>
      </c>
      <c r="H154" s="22" t="str">
        <f>IFERROR(__xludf.DUMMYFUNCTION("""COMPUTED_VALUE"""),"Norvell")</f>
        <v>Norvell</v>
      </c>
      <c r="I154" s="22" t="str">
        <f>IFERROR(__xludf.DUMMYFUNCTION("""COMPUTED_VALUE"""),"Home Office")</f>
        <v>Home Office</v>
      </c>
      <c r="J154" s="22" t="str">
        <f>IFERROR(__xludf.DUMMYFUNCTION("""COMPUTED_VALUE"""),"Phoenix")</f>
        <v>Phoenix</v>
      </c>
      <c r="K154" s="22" t="str">
        <f>IFERROR(__xludf.DUMMYFUNCTION("""COMPUTED_VALUE"""),"Arizona")</f>
        <v>Arizona</v>
      </c>
      <c r="L154" s="22" t="str">
        <f>IFERROR(__xludf.DUMMYFUNCTION("""COMPUTED_VALUE"""),"West")</f>
        <v>West</v>
      </c>
      <c r="M154" s="22" t="str">
        <f>IFERROR(__xludf.DUMMYFUNCTION("""COMPUTED_VALUE"""),"Office Supplies")</f>
        <v>Office Supplies</v>
      </c>
      <c r="N154" s="18">
        <f>IFERROR(__xludf.DUMMYFUNCTION("""COMPUTED_VALUE"""),78.272)</f>
        <v>78.272</v>
      </c>
      <c r="O154" s="18">
        <f>IFERROR(__xludf.DUMMYFUNCTION("""COMPUTED_VALUE"""),77.64)</f>
        <v>77.64</v>
      </c>
      <c r="P154" s="22">
        <f>IFERROR(__xludf.DUMMYFUNCTION("""COMPUTED_VALUE"""),8.0)</f>
        <v>8</v>
      </c>
      <c r="Q154" s="18">
        <f>IFERROR(__xludf.DUMMYFUNCTION("""COMPUTED_VALUE"""),626.176)</f>
        <v>626.176</v>
      </c>
      <c r="R154" s="18">
        <f>IFERROR(__xludf.DUMMYFUNCTION("""COMPUTED_VALUE"""),548.5360000000001)</f>
        <v>548.536</v>
      </c>
    </row>
    <row r="155">
      <c r="A155" s="21">
        <f>IFERROR(__xludf.DUMMYFUNCTION("""COMPUTED_VALUE"""),42386.0)</f>
        <v>42386</v>
      </c>
      <c r="B155" s="21" t="str">
        <f>IFERROR(__xludf.DUMMYFUNCTION("""COMPUTED_VALUE"""),"Jan")</f>
        <v>Jan</v>
      </c>
      <c r="C155" s="9">
        <f>IFERROR(__xludf.DUMMYFUNCTION("""COMPUTED_VALUE"""),42393.0)</f>
        <v>42393</v>
      </c>
      <c r="D155" s="23" t="str">
        <f>IFERROR(__xludf.DUMMYFUNCTION("""COMPUTED_VALUE"""),"Jan")</f>
        <v>Jan</v>
      </c>
      <c r="E155" s="21" t="str">
        <f>IFERROR(__xludf.DUMMYFUNCTION("""COMPUTED_VALUE"""),"2016")</f>
        <v>2016</v>
      </c>
      <c r="F155" s="22" t="str">
        <f>IFERROR(__xludf.DUMMYFUNCTION("""COMPUTED_VALUE"""),"Standard Class")</f>
        <v>Standard Class</v>
      </c>
      <c r="G155" s="22" t="str">
        <f>IFERROR(__xludf.DUMMYFUNCTION("""COMPUTED_VALUE"""),"Joni")</f>
        <v>Joni</v>
      </c>
      <c r="H155" s="22" t="str">
        <f>IFERROR(__xludf.DUMMYFUNCTION("""COMPUTED_VALUE"""),"Sundaresam")</f>
        <v>Sundaresam</v>
      </c>
      <c r="I155" s="22" t="str">
        <f>IFERROR(__xludf.DUMMYFUNCTION("""COMPUTED_VALUE"""),"Home Office")</f>
        <v>Home Office</v>
      </c>
      <c r="J155" s="22" t="str">
        <f>IFERROR(__xludf.DUMMYFUNCTION("""COMPUTED_VALUE"""),"Park Ridge")</f>
        <v>Park Ridge</v>
      </c>
      <c r="K155" s="22" t="str">
        <f>IFERROR(__xludf.DUMMYFUNCTION("""COMPUTED_VALUE"""),"Illinois")</f>
        <v>Illinois</v>
      </c>
      <c r="L155" s="22" t="str">
        <f>IFERROR(__xludf.DUMMYFUNCTION("""COMPUTED_VALUE"""),"Central")</f>
        <v>Central</v>
      </c>
      <c r="M155" s="22" t="str">
        <f>IFERROR(__xludf.DUMMYFUNCTION("""COMPUTED_VALUE"""),"Furniture")</f>
        <v>Furniture</v>
      </c>
      <c r="N155" s="18">
        <f>IFERROR(__xludf.DUMMYFUNCTION("""COMPUTED_VALUE"""),254.744)</f>
        <v>254.744</v>
      </c>
      <c r="O155" s="18">
        <f>IFERROR(__xludf.DUMMYFUNCTION("""COMPUTED_VALUE"""),254.06)</f>
        <v>254.06</v>
      </c>
      <c r="P155" s="22">
        <f>IFERROR(__xludf.DUMMYFUNCTION("""COMPUTED_VALUE"""),6.0)</f>
        <v>6</v>
      </c>
      <c r="Q155" s="18">
        <f>IFERROR(__xludf.DUMMYFUNCTION("""COMPUTED_VALUE"""),1528.464)</f>
        <v>1528.464</v>
      </c>
      <c r="R155" s="18">
        <f>IFERROR(__xludf.DUMMYFUNCTION("""COMPUTED_VALUE"""),1274.404)</f>
        <v>1274.404</v>
      </c>
    </row>
    <row r="156">
      <c r="A156" s="21">
        <f>IFERROR(__xludf.DUMMYFUNCTION("""COMPUTED_VALUE"""),43190.0)</f>
        <v>43190</v>
      </c>
      <c r="B156" s="21" t="str">
        <f>IFERROR(__xludf.DUMMYFUNCTION("""COMPUTED_VALUE"""),"Mar")</f>
        <v>Mar</v>
      </c>
      <c r="C156" s="9">
        <f>IFERROR(__xludf.DUMMYFUNCTION("""COMPUTED_VALUE"""),43194.0)</f>
        <v>43194</v>
      </c>
      <c r="D156" s="23" t="str">
        <f>IFERROR(__xludf.DUMMYFUNCTION("""COMPUTED_VALUE"""),"Apr")</f>
        <v>Apr</v>
      </c>
      <c r="E156" s="21" t="str">
        <f>IFERROR(__xludf.DUMMYFUNCTION("""COMPUTED_VALUE"""),"2018")</f>
        <v>2018</v>
      </c>
      <c r="F156" s="22" t="str">
        <f>IFERROR(__xludf.DUMMYFUNCTION("""COMPUTED_VALUE"""),"Standard Class")</f>
        <v>Standard Class</v>
      </c>
      <c r="G156" s="22" t="str">
        <f>IFERROR(__xludf.DUMMYFUNCTION("""COMPUTED_VALUE"""),"David")</f>
        <v>David</v>
      </c>
      <c r="H156" s="22" t="str">
        <f>IFERROR(__xludf.DUMMYFUNCTION("""COMPUTED_VALUE"""),"Smith")</f>
        <v>Smith</v>
      </c>
      <c r="I156" s="22" t="str">
        <f>IFERROR(__xludf.DUMMYFUNCTION("""COMPUTED_VALUE"""),"Corporate")</f>
        <v>Corporate</v>
      </c>
      <c r="J156" s="22" t="str">
        <f>IFERROR(__xludf.DUMMYFUNCTION("""COMPUTED_VALUE"""),"Amarillo")</f>
        <v>Amarillo</v>
      </c>
      <c r="K156" s="22" t="str">
        <f>IFERROR(__xludf.DUMMYFUNCTION("""COMPUTED_VALUE"""),"Texas")</f>
        <v>Texas</v>
      </c>
      <c r="L156" s="22" t="str">
        <f>IFERROR(__xludf.DUMMYFUNCTION("""COMPUTED_VALUE"""),"Central")</f>
        <v>Central</v>
      </c>
      <c r="M156" s="22" t="str">
        <f>IFERROR(__xludf.DUMMYFUNCTION("""COMPUTED_VALUE"""),"Furniture")</f>
        <v>Furniture</v>
      </c>
      <c r="N156" s="18">
        <f>IFERROR(__xludf.DUMMYFUNCTION("""COMPUTED_VALUE"""),205.3328)</f>
        <v>205.3328</v>
      </c>
      <c r="O156" s="18">
        <f>IFERROR(__xludf.DUMMYFUNCTION("""COMPUTED_VALUE"""),205.18)</f>
        <v>205.18</v>
      </c>
      <c r="P156" s="22">
        <f>IFERROR(__xludf.DUMMYFUNCTION("""COMPUTED_VALUE"""),7.0)</f>
        <v>7</v>
      </c>
      <c r="Q156" s="18">
        <f>IFERROR(__xludf.DUMMYFUNCTION("""COMPUTED_VALUE"""),1437.3296)</f>
        <v>1437.3296</v>
      </c>
      <c r="R156" s="18">
        <f>IFERROR(__xludf.DUMMYFUNCTION("""COMPUTED_VALUE"""),1232.1496)</f>
        <v>1232.1496</v>
      </c>
    </row>
    <row r="157">
      <c r="A157" s="21">
        <f>IFERROR(__xludf.DUMMYFUNCTION("""COMPUTED_VALUE"""),42258.0)</f>
        <v>42258</v>
      </c>
      <c r="B157" s="21" t="str">
        <f>IFERROR(__xludf.DUMMYFUNCTION("""COMPUTED_VALUE"""),"Sep")</f>
        <v>Sep</v>
      </c>
      <c r="C157" s="9">
        <f>IFERROR(__xludf.DUMMYFUNCTION("""COMPUTED_VALUE"""),42319.0)</f>
        <v>42319</v>
      </c>
      <c r="D157" s="23" t="str">
        <f>IFERROR(__xludf.DUMMYFUNCTION("""COMPUTED_VALUE"""),"Nov")</f>
        <v>Nov</v>
      </c>
      <c r="E157" s="21" t="str">
        <f>IFERROR(__xludf.DUMMYFUNCTION("""COMPUTED_VALUE"""),"2015")</f>
        <v>2015</v>
      </c>
      <c r="F157" s="22" t="str">
        <f>IFERROR(__xludf.DUMMYFUNCTION("""COMPUTED_VALUE"""),"Second Class")</f>
        <v>Second Class</v>
      </c>
      <c r="G157" s="22" t="str">
        <f>IFERROR(__xludf.DUMMYFUNCTION("""COMPUTED_VALUE"""),"Jeremy")</f>
        <v>Jeremy</v>
      </c>
      <c r="H157" s="22" t="str">
        <f>IFERROR(__xludf.DUMMYFUNCTION("""COMPUTED_VALUE"""),"Pistek")</f>
        <v>Pistek</v>
      </c>
      <c r="I157" s="22" t="str">
        <f>IFERROR(__xludf.DUMMYFUNCTION("""COMPUTED_VALUE"""),"Consumer")</f>
        <v>Consumer</v>
      </c>
      <c r="J157" s="22" t="str">
        <f>IFERROR(__xludf.DUMMYFUNCTION("""COMPUTED_VALUE"""),"San Francisco")</f>
        <v>San Francisco</v>
      </c>
      <c r="K157" s="22" t="str">
        <f>IFERROR(__xludf.DUMMYFUNCTION("""COMPUTED_VALUE"""),"California")</f>
        <v>California</v>
      </c>
      <c r="L157" s="22" t="str">
        <f>IFERROR(__xludf.DUMMYFUNCTION("""COMPUTED_VALUE"""),"West")</f>
        <v>West</v>
      </c>
      <c r="M157" s="22" t="str">
        <f>IFERROR(__xludf.DUMMYFUNCTION("""COMPUTED_VALUE"""),"Office Supplies")</f>
        <v>Office Supplies</v>
      </c>
      <c r="N157" s="18">
        <f>IFERROR(__xludf.DUMMYFUNCTION("""COMPUTED_VALUE"""),340.92)</f>
        <v>340.92</v>
      </c>
      <c r="O157" s="18">
        <f>IFERROR(__xludf.DUMMYFUNCTION("""COMPUTED_VALUE"""),340.43)</f>
        <v>340.43</v>
      </c>
      <c r="P157" s="22">
        <f>IFERROR(__xludf.DUMMYFUNCTION("""COMPUTED_VALUE"""),9.0)</f>
        <v>9</v>
      </c>
      <c r="Q157" s="18">
        <f>IFERROR(__xludf.DUMMYFUNCTION("""COMPUTED_VALUE"""),3068.28)</f>
        <v>3068.28</v>
      </c>
      <c r="R157" s="18">
        <f>IFERROR(__xludf.DUMMYFUNCTION("""COMPUTED_VALUE"""),2727.8500000000004)</f>
        <v>2727.85</v>
      </c>
    </row>
    <row r="158">
      <c r="A158" s="21">
        <f>IFERROR(__xludf.DUMMYFUNCTION("""COMPUTED_VALUE"""),42258.0)</f>
        <v>42258</v>
      </c>
      <c r="B158" s="21" t="str">
        <f>IFERROR(__xludf.DUMMYFUNCTION("""COMPUTED_VALUE"""),"Sep")</f>
        <v>Sep</v>
      </c>
      <c r="C158" s="9">
        <f>IFERROR(__xludf.DUMMYFUNCTION("""COMPUTED_VALUE"""),42319.0)</f>
        <v>42319</v>
      </c>
      <c r="D158" s="23" t="str">
        <f>IFERROR(__xludf.DUMMYFUNCTION("""COMPUTED_VALUE"""),"Nov")</f>
        <v>Nov</v>
      </c>
      <c r="E158" s="21" t="str">
        <f>IFERROR(__xludf.DUMMYFUNCTION("""COMPUTED_VALUE"""),"2015")</f>
        <v>2015</v>
      </c>
      <c r="F158" s="22" t="str">
        <f>IFERROR(__xludf.DUMMYFUNCTION("""COMPUTED_VALUE"""),"Second Class")</f>
        <v>Second Class</v>
      </c>
      <c r="G158" s="22" t="str">
        <f>IFERROR(__xludf.DUMMYFUNCTION("""COMPUTED_VALUE"""),"Jeremy")</f>
        <v>Jeremy</v>
      </c>
      <c r="H158" s="22" t="str">
        <f>IFERROR(__xludf.DUMMYFUNCTION("""COMPUTED_VALUE"""),"Pistek")</f>
        <v>Pistek</v>
      </c>
      <c r="I158" s="22" t="str">
        <f>IFERROR(__xludf.DUMMYFUNCTION("""COMPUTED_VALUE"""),"Consumer")</f>
        <v>Consumer</v>
      </c>
      <c r="J158" s="22" t="str">
        <f>IFERROR(__xludf.DUMMYFUNCTION("""COMPUTED_VALUE"""),"San Francisco")</f>
        <v>San Francisco</v>
      </c>
      <c r="K158" s="22" t="str">
        <f>IFERROR(__xludf.DUMMYFUNCTION("""COMPUTED_VALUE"""),"California")</f>
        <v>California</v>
      </c>
      <c r="L158" s="22" t="str">
        <f>IFERROR(__xludf.DUMMYFUNCTION("""COMPUTED_VALUE"""),"West")</f>
        <v>West</v>
      </c>
      <c r="M158" s="22" t="str">
        <f>IFERROR(__xludf.DUMMYFUNCTION("""COMPUTED_VALUE"""),"Furniture")</f>
        <v>Furniture</v>
      </c>
      <c r="N158" s="18">
        <f>IFERROR(__xludf.DUMMYFUNCTION("""COMPUTED_VALUE"""),222.666)</f>
        <v>222.666</v>
      </c>
      <c r="O158" s="18">
        <f>IFERROR(__xludf.DUMMYFUNCTION("""COMPUTED_VALUE"""),221.73)</f>
        <v>221.73</v>
      </c>
      <c r="P158" s="22">
        <f>IFERROR(__xludf.DUMMYFUNCTION("""COMPUTED_VALUE"""),9.0)</f>
        <v>9</v>
      </c>
      <c r="Q158" s="18">
        <f>IFERROR(__xludf.DUMMYFUNCTION("""COMPUTED_VALUE"""),2003.994)</f>
        <v>2003.994</v>
      </c>
      <c r="R158" s="18">
        <f>IFERROR(__xludf.DUMMYFUNCTION("""COMPUTED_VALUE"""),1782.264)</f>
        <v>1782.264</v>
      </c>
    </row>
    <row r="159">
      <c r="A159" s="21">
        <f>IFERROR(__xludf.DUMMYFUNCTION("""COMPUTED_VALUE"""),42258.0)</f>
        <v>42258</v>
      </c>
      <c r="B159" s="21" t="str">
        <f>IFERROR(__xludf.DUMMYFUNCTION("""COMPUTED_VALUE"""),"Sep")</f>
        <v>Sep</v>
      </c>
      <c r="C159" s="9">
        <f>IFERROR(__xludf.DUMMYFUNCTION("""COMPUTED_VALUE"""),42319.0)</f>
        <v>42319</v>
      </c>
      <c r="D159" s="23" t="str">
        <f>IFERROR(__xludf.DUMMYFUNCTION("""COMPUTED_VALUE"""),"Nov")</f>
        <v>Nov</v>
      </c>
      <c r="E159" s="21" t="str">
        <f>IFERROR(__xludf.DUMMYFUNCTION("""COMPUTED_VALUE"""),"2015")</f>
        <v>2015</v>
      </c>
      <c r="F159" s="22" t="str">
        <f>IFERROR(__xludf.DUMMYFUNCTION("""COMPUTED_VALUE"""),"Second Class")</f>
        <v>Second Class</v>
      </c>
      <c r="G159" s="22" t="str">
        <f>IFERROR(__xludf.DUMMYFUNCTION("""COMPUTED_VALUE"""),"Jeremy")</f>
        <v>Jeremy</v>
      </c>
      <c r="H159" s="22" t="str">
        <f>IFERROR(__xludf.DUMMYFUNCTION("""COMPUTED_VALUE"""),"Pistek")</f>
        <v>Pistek</v>
      </c>
      <c r="I159" s="22" t="str">
        <f>IFERROR(__xludf.DUMMYFUNCTION("""COMPUTED_VALUE"""),"Consumer")</f>
        <v>Consumer</v>
      </c>
      <c r="J159" s="22" t="str">
        <f>IFERROR(__xludf.DUMMYFUNCTION("""COMPUTED_VALUE"""),"San Francisco")</f>
        <v>San Francisco</v>
      </c>
      <c r="K159" s="22" t="str">
        <f>IFERROR(__xludf.DUMMYFUNCTION("""COMPUTED_VALUE"""),"California")</f>
        <v>California</v>
      </c>
      <c r="L159" s="22" t="str">
        <f>IFERROR(__xludf.DUMMYFUNCTION("""COMPUTED_VALUE"""),"West")</f>
        <v>West</v>
      </c>
      <c r="M159" s="22" t="str">
        <f>IFERROR(__xludf.DUMMYFUNCTION("""COMPUTED_VALUE"""),"Technology")</f>
        <v>Technology</v>
      </c>
      <c r="N159" s="18">
        <f>IFERROR(__xludf.DUMMYFUNCTION("""COMPUTED_VALUE"""),703.968)</f>
        <v>703.968</v>
      </c>
      <c r="O159" s="18">
        <f>IFERROR(__xludf.DUMMYFUNCTION("""COMPUTED_VALUE"""),703.77)</f>
        <v>703.77</v>
      </c>
      <c r="P159" s="22">
        <f>IFERROR(__xludf.DUMMYFUNCTION("""COMPUTED_VALUE"""),9.0)</f>
        <v>9</v>
      </c>
      <c r="Q159" s="18">
        <f>IFERROR(__xludf.DUMMYFUNCTION("""COMPUTED_VALUE"""),6335.7119999999995)</f>
        <v>6335.712</v>
      </c>
      <c r="R159" s="18">
        <f>IFERROR(__xludf.DUMMYFUNCTION("""COMPUTED_VALUE"""),5631.941999999999)</f>
        <v>5631.942</v>
      </c>
    </row>
    <row r="160">
      <c r="A160" s="21">
        <f>IFERROR(__xludf.DUMMYFUNCTION("""COMPUTED_VALUE"""),42258.0)</f>
        <v>42258</v>
      </c>
      <c r="B160" s="21" t="str">
        <f>IFERROR(__xludf.DUMMYFUNCTION("""COMPUTED_VALUE"""),"Sep")</f>
        <v>Sep</v>
      </c>
      <c r="C160" s="9">
        <f>IFERROR(__xludf.DUMMYFUNCTION("""COMPUTED_VALUE"""),42319.0)</f>
        <v>42319</v>
      </c>
      <c r="D160" s="23" t="str">
        <f>IFERROR(__xludf.DUMMYFUNCTION("""COMPUTED_VALUE"""),"Nov")</f>
        <v>Nov</v>
      </c>
      <c r="E160" s="21" t="str">
        <f>IFERROR(__xludf.DUMMYFUNCTION("""COMPUTED_VALUE"""),"2015")</f>
        <v>2015</v>
      </c>
      <c r="F160" s="22" t="str">
        <f>IFERROR(__xludf.DUMMYFUNCTION("""COMPUTED_VALUE"""),"Second Class")</f>
        <v>Second Class</v>
      </c>
      <c r="G160" s="22" t="str">
        <f>IFERROR(__xludf.DUMMYFUNCTION("""COMPUTED_VALUE"""),"Jeremy")</f>
        <v>Jeremy</v>
      </c>
      <c r="H160" s="22" t="str">
        <f>IFERROR(__xludf.DUMMYFUNCTION("""COMPUTED_VALUE"""),"Pistek")</f>
        <v>Pistek</v>
      </c>
      <c r="I160" s="22" t="str">
        <f>IFERROR(__xludf.DUMMYFUNCTION("""COMPUTED_VALUE"""),"Consumer")</f>
        <v>Consumer</v>
      </c>
      <c r="J160" s="22" t="str">
        <f>IFERROR(__xludf.DUMMYFUNCTION("""COMPUTED_VALUE"""),"San Francisco")</f>
        <v>San Francisco</v>
      </c>
      <c r="K160" s="22" t="str">
        <f>IFERROR(__xludf.DUMMYFUNCTION("""COMPUTED_VALUE"""),"California")</f>
        <v>California</v>
      </c>
      <c r="L160" s="22" t="str">
        <f>IFERROR(__xludf.DUMMYFUNCTION("""COMPUTED_VALUE"""),"West")</f>
        <v>West</v>
      </c>
      <c r="M160" s="22" t="str">
        <f>IFERROR(__xludf.DUMMYFUNCTION("""COMPUTED_VALUE"""),"Office Supplies")</f>
        <v>Office Supplies</v>
      </c>
      <c r="N160" s="18">
        <f>IFERROR(__xludf.DUMMYFUNCTION("""COMPUTED_VALUE"""),92.52)</f>
        <v>92.52</v>
      </c>
      <c r="O160" s="18">
        <f>IFERROR(__xludf.DUMMYFUNCTION("""COMPUTED_VALUE"""),91.76)</f>
        <v>91.76</v>
      </c>
      <c r="P160" s="22">
        <f>IFERROR(__xludf.DUMMYFUNCTION("""COMPUTED_VALUE"""),9.0)</f>
        <v>9</v>
      </c>
      <c r="Q160" s="18">
        <f>IFERROR(__xludf.DUMMYFUNCTION("""COMPUTED_VALUE"""),832.68)</f>
        <v>832.68</v>
      </c>
      <c r="R160" s="18">
        <f>IFERROR(__xludf.DUMMYFUNCTION("""COMPUTED_VALUE"""),740.92)</f>
        <v>740.92</v>
      </c>
    </row>
    <row r="161">
      <c r="A161" s="21">
        <f>IFERROR(__xludf.DUMMYFUNCTION("""COMPUTED_VALUE"""),42258.0)</f>
        <v>42258</v>
      </c>
      <c r="B161" s="21" t="str">
        <f>IFERROR(__xludf.DUMMYFUNCTION("""COMPUTED_VALUE"""),"Sep")</f>
        <v>Sep</v>
      </c>
      <c r="C161" s="9">
        <f>IFERROR(__xludf.DUMMYFUNCTION("""COMPUTED_VALUE"""),42319.0)</f>
        <v>42319</v>
      </c>
      <c r="D161" s="23" t="str">
        <f>IFERROR(__xludf.DUMMYFUNCTION("""COMPUTED_VALUE"""),"Nov")</f>
        <v>Nov</v>
      </c>
      <c r="E161" s="21" t="str">
        <f>IFERROR(__xludf.DUMMYFUNCTION("""COMPUTED_VALUE"""),"2015")</f>
        <v>2015</v>
      </c>
      <c r="F161" s="22" t="str">
        <f>IFERROR(__xludf.DUMMYFUNCTION("""COMPUTED_VALUE"""),"Second Class")</f>
        <v>Second Class</v>
      </c>
      <c r="G161" s="22" t="str">
        <f>IFERROR(__xludf.DUMMYFUNCTION("""COMPUTED_VALUE"""),"Jeremy")</f>
        <v>Jeremy</v>
      </c>
      <c r="H161" s="22" t="str">
        <f>IFERROR(__xludf.DUMMYFUNCTION("""COMPUTED_VALUE"""),"Pistek")</f>
        <v>Pistek</v>
      </c>
      <c r="I161" s="22" t="str">
        <f>IFERROR(__xludf.DUMMYFUNCTION("""COMPUTED_VALUE"""),"Consumer")</f>
        <v>Consumer</v>
      </c>
      <c r="J161" s="22" t="str">
        <f>IFERROR(__xludf.DUMMYFUNCTION("""COMPUTED_VALUE"""),"San Francisco")</f>
        <v>San Francisco</v>
      </c>
      <c r="K161" s="22" t="str">
        <f>IFERROR(__xludf.DUMMYFUNCTION("""COMPUTED_VALUE"""),"California")</f>
        <v>California</v>
      </c>
      <c r="L161" s="22" t="str">
        <f>IFERROR(__xludf.DUMMYFUNCTION("""COMPUTED_VALUE"""),"West")</f>
        <v>West</v>
      </c>
      <c r="M161" s="22" t="str">
        <f>IFERROR(__xludf.DUMMYFUNCTION("""COMPUTED_VALUE"""),"Office Supplies")</f>
        <v>Office Supplies</v>
      </c>
      <c r="N161" s="18">
        <f>IFERROR(__xludf.DUMMYFUNCTION("""COMPUTED_VALUE"""),62.65)</f>
        <v>62.65</v>
      </c>
      <c r="O161" s="18">
        <f>IFERROR(__xludf.DUMMYFUNCTION("""COMPUTED_VALUE"""),61.71)</f>
        <v>61.71</v>
      </c>
      <c r="P161" s="22">
        <f>IFERROR(__xludf.DUMMYFUNCTION("""COMPUTED_VALUE"""),9.0)</f>
        <v>9</v>
      </c>
      <c r="Q161" s="18">
        <f>IFERROR(__xludf.DUMMYFUNCTION("""COMPUTED_VALUE"""),563.85)</f>
        <v>563.85</v>
      </c>
      <c r="R161" s="18">
        <f>IFERROR(__xludf.DUMMYFUNCTION("""COMPUTED_VALUE"""),502.14000000000004)</f>
        <v>502.14</v>
      </c>
    </row>
    <row r="162">
      <c r="A162" s="21">
        <f>IFERROR(__xludf.DUMMYFUNCTION("""COMPUTED_VALUE"""),42258.0)</f>
        <v>42258</v>
      </c>
      <c r="B162" s="21" t="str">
        <f>IFERROR(__xludf.DUMMYFUNCTION("""COMPUTED_VALUE"""),"Sep")</f>
        <v>Sep</v>
      </c>
      <c r="C162" s="9">
        <f>IFERROR(__xludf.DUMMYFUNCTION("""COMPUTED_VALUE"""),42319.0)</f>
        <v>42319</v>
      </c>
      <c r="D162" s="23" t="str">
        <f>IFERROR(__xludf.DUMMYFUNCTION("""COMPUTED_VALUE"""),"Nov")</f>
        <v>Nov</v>
      </c>
      <c r="E162" s="21" t="str">
        <f>IFERROR(__xludf.DUMMYFUNCTION("""COMPUTED_VALUE"""),"2015")</f>
        <v>2015</v>
      </c>
      <c r="F162" s="22" t="str">
        <f>IFERROR(__xludf.DUMMYFUNCTION("""COMPUTED_VALUE"""),"Second Class")</f>
        <v>Second Class</v>
      </c>
      <c r="G162" s="22" t="str">
        <f>IFERROR(__xludf.DUMMYFUNCTION("""COMPUTED_VALUE"""),"Jeremy")</f>
        <v>Jeremy</v>
      </c>
      <c r="H162" s="22" t="str">
        <f>IFERROR(__xludf.DUMMYFUNCTION("""COMPUTED_VALUE"""),"Pistek")</f>
        <v>Pistek</v>
      </c>
      <c r="I162" s="22" t="str">
        <f>IFERROR(__xludf.DUMMYFUNCTION("""COMPUTED_VALUE"""),"Consumer")</f>
        <v>Consumer</v>
      </c>
      <c r="J162" s="22" t="str">
        <f>IFERROR(__xludf.DUMMYFUNCTION("""COMPUTED_VALUE"""),"San Francisco")</f>
        <v>San Francisco</v>
      </c>
      <c r="K162" s="22" t="str">
        <f>IFERROR(__xludf.DUMMYFUNCTION("""COMPUTED_VALUE"""),"California")</f>
        <v>California</v>
      </c>
      <c r="L162" s="22" t="str">
        <f>IFERROR(__xludf.DUMMYFUNCTION("""COMPUTED_VALUE"""),"West")</f>
        <v>West</v>
      </c>
      <c r="M162" s="22" t="str">
        <f>IFERROR(__xludf.DUMMYFUNCTION("""COMPUTED_VALUE"""),"Office Supplies")</f>
        <v>Office Supplies</v>
      </c>
      <c r="N162" s="18">
        <f>IFERROR(__xludf.DUMMYFUNCTION("""COMPUTED_VALUE"""),94.85)</f>
        <v>94.85</v>
      </c>
      <c r="O162" s="18">
        <f>IFERROR(__xludf.DUMMYFUNCTION("""COMPUTED_VALUE"""),94.19)</f>
        <v>94.19</v>
      </c>
      <c r="P162" s="22">
        <f>IFERROR(__xludf.DUMMYFUNCTION("""COMPUTED_VALUE"""),9.0)</f>
        <v>9</v>
      </c>
      <c r="Q162" s="18">
        <f>IFERROR(__xludf.DUMMYFUNCTION("""COMPUTED_VALUE"""),853.65)</f>
        <v>853.65</v>
      </c>
      <c r="R162" s="18">
        <f>IFERROR(__xludf.DUMMYFUNCTION("""COMPUTED_VALUE"""),759.46)</f>
        <v>759.46</v>
      </c>
    </row>
    <row r="163">
      <c r="A163" s="21">
        <f>IFERROR(__xludf.DUMMYFUNCTION("""COMPUTED_VALUE"""),43076.0)</f>
        <v>43076</v>
      </c>
      <c r="B163" s="21" t="str">
        <f>IFERROR(__xludf.DUMMYFUNCTION("""COMPUTED_VALUE"""),"Dec")</f>
        <v>Dec</v>
      </c>
      <c r="C163" s="9">
        <f>IFERROR(__xludf.DUMMYFUNCTION("""COMPUTED_VALUE"""),42935.0)</f>
        <v>42935</v>
      </c>
      <c r="D163" s="23" t="str">
        <f>IFERROR(__xludf.DUMMYFUNCTION("""COMPUTED_VALUE"""),"Jul")</f>
        <v>Jul</v>
      </c>
      <c r="E163" s="21" t="str">
        <f>IFERROR(__xludf.DUMMYFUNCTION("""COMPUTED_VALUE"""),"2017")</f>
        <v>2017</v>
      </c>
      <c r="F163" s="22" t="str">
        <f>IFERROR(__xludf.DUMMYFUNCTION("""COMPUTED_VALUE"""),"Standard Class")</f>
        <v>Standard Class</v>
      </c>
      <c r="G163" s="22" t="str">
        <f>IFERROR(__xludf.DUMMYFUNCTION("""COMPUTED_VALUE"""),"Kristen")</f>
        <v>Kristen</v>
      </c>
      <c r="H163" s="22" t="str">
        <f>IFERROR(__xludf.DUMMYFUNCTION("""COMPUTED_VALUE"""),"Hastings")</f>
        <v>Hastings</v>
      </c>
      <c r="I163" s="22" t="str">
        <f>IFERROR(__xludf.DUMMYFUNCTION("""COMPUTED_VALUE"""),"Corporate")</f>
        <v>Corporate</v>
      </c>
      <c r="J163" s="22" t="str">
        <f>IFERROR(__xludf.DUMMYFUNCTION("""COMPUTED_VALUE"""),"Los Angeles")</f>
        <v>Los Angeles</v>
      </c>
      <c r="K163" s="22" t="str">
        <f>IFERROR(__xludf.DUMMYFUNCTION("""COMPUTED_VALUE"""),"California")</f>
        <v>California</v>
      </c>
      <c r="L163" s="22" t="str">
        <f>IFERROR(__xludf.DUMMYFUNCTION("""COMPUTED_VALUE"""),"West")</f>
        <v>West</v>
      </c>
      <c r="M163" s="22" t="str">
        <f>IFERROR(__xludf.DUMMYFUNCTION("""COMPUTED_VALUE"""),"Technology")</f>
        <v>Technology</v>
      </c>
      <c r="N163" s="18">
        <f>IFERROR(__xludf.DUMMYFUNCTION("""COMPUTED_VALUE"""),95.76)</f>
        <v>95.76</v>
      </c>
      <c r="O163" s="18">
        <f>IFERROR(__xludf.DUMMYFUNCTION("""COMPUTED_VALUE"""),95.18)</f>
        <v>95.18</v>
      </c>
      <c r="P163" s="22">
        <f>IFERROR(__xludf.DUMMYFUNCTION("""COMPUTED_VALUE"""),9.0)</f>
        <v>9</v>
      </c>
      <c r="Q163" s="18">
        <f>IFERROR(__xludf.DUMMYFUNCTION("""COMPUTED_VALUE"""),861.84)</f>
        <v>861.84</v>
      </c>
      <c r="R163" s="18">
        <f>IFERROR(__xludf.DUMMYFUNCTION("""COMPUTED_VALUE"""),766.6600000000001)</f>
        <v>766.66</v>
      </c>
    </row>
    <row r="164">
      <c r="A164" s="21">
        <f>IFERROR(__xludf.DUMMYFUNCTION("""COMPUTED_VALUE"""),43379.0)</f>
        <v>43379</v>
      </c>
      <c r="B164" s="21" t="str">
        <f>IFERROR(__xludf.DUMMYFUNCTION("""COMPUTED_VALUE"""),"Oct")</f>
        <v>Oct</v>
      </c>
      <c r="C164" s="9">
        <f>IFERROR(__xludf.DUMMYFUNCTION("""COMPUTED_VALUE"""),43264.0)</f>
        <v>43264</v>
      </c>
      <c r="D164" s="23" t="str">
        <f>IFERROR(__xludf.DUMMYFUNCTION("""COMPUTED_VALUE"""),"Jun")</f>
        <v>Jun</v>
      </c>
      <c r="E164" s="21" t="str">
        <f>IFERROR(__xludf.DUMMYFUNCTION("""COMPUTED_VALUE"""),"2018")</f>
        <v>2018</v>
      </c>
      <c r="F164" s="22" t="str">
        <f>IFERROR(__xludf.DUMMYFUNCTION("""COMPUTED_VALUE"""),"First Class")</f>
        <v>First Class</v>
      </c>
      <c r="G164" s="22" t="str">
        <f>IFERROR(__xludf.DUMMYFUNCTION("""COMPUTED_VALUE"""),"Michelle")</f>
        <v>Michelle</v>
      </c>
      <c r="H164" s="22" t="str">
        <f>IFERROR(__xludf.DUMMYFUNCTION("""COMPUTED_VALUE"""),"Tran")</f>
        <v>Tran</v>
      </c>
      <c r="I164" s="22" t="str">
        <f>IFERROR(__xludf.DUMMYFUNCTION("""COMPUTED_VALUE"""),"Home Office")</f>
        <v>Home Office</v>
      </c>
      <c r="J164" s="22" t="str">
        <f>IFERROR(__xludf.DUMMYFUNCTION("""COMPUTED_VALUE"""),"Los Angeles")</f>
        <v>Los Angeles</v>
      </c>
      <c r="K164" s="22" t="str">
        <f>IFERROR(__xludf.DUMMYFUNCTION("""COMPUTED_VALUE"""),"California")</f>
        <v>California</v>
      </c>
      <c r="L164" s="22" t="str">
        <f>IFERROR(__xludf.DUMMYFUNCTION("""COMPUTED_VALUE"""),"West")</f>
        <v>West</v>
      </c>
      <c r="M164" s="22" t="str">
        <f>IFERROR(__xludf.DUMMYFUNCTION("""COMPUTED_VALUE"""),"Furniture")</f>
        <v>Furniture</v>
      </c>
      <c r="N164" s="18">
        <f>IFERROR(__xludf.DUMMYFUNCTION("""COMPUTED_VALUE"""),514.165)</f>
        <v>514.165</v>
      </c>
      <c r="O164" s="18">
        <f>IFERROR(__xludf.DUMMYFUNCTION("""COMPUTED_VALUE"""),513.37)</f>
        <v>513.37</v>
      </c>
      <c r="P164" s="22">
        <f>IFERROR(__xludf.DUMMYFUNCTION("""COMPUTED_VALUE"""),9.0)</f>
        <v>9</v>
      </c>
      <c r="Q164" s="18">
        <f>IFERROR(__xludf.DUMMYFUNCTION("""COMPUTED_VALUE"""),4627.485)</f>
        <v>4627.485</v>
      </c>
      <c r="R164" s="18">
        <f>IFERROR(__xludf.DUMMYFUNCTION("""COMPUTED_VALUE"""),4114.115)</f>
        <v>4114.115</v>
      </c>
    </row>
    <row r="165">
      <c r="A165" s="21">
        <f>IFERROR(__xludf.DUMMYFUNCTION("""COMPUTED_VALUE"""),43379.0)</f>
        <v>43379</v>
      </c>
      <c r="B165" s="21" t="str">
        <f>IFERROR(__xludf.DUMMYFUNCTION("""COMPUTED_VALUE"""),"Oct")</f>
        <v>Oct</v>
      </c>
      <c r="C165" s="9">
        <f>IFERROR(__xludf.DUMMYFUNCTION("""COMPUTED_VALUE"""),43264.0)</f>
        <v>43264</v>
      </c>
      <c r="D165" s="23" t="str">
        <f>IFERROR(__xludf.DUMMYFUNCTION("""COMPUTED_VALUE"""),"Jun")</f>
        <v>Jun</v>
      </c>
      <c r="E165" s="21" t="str">
        <f>IFERROR(__xludf.DUMMYFUNCTION("""COMPUTED_VALUE"""),"2018")</f>
        <v>2018</v>
      </c>
      <c r="F165" s="22" t="str">
        <f>IFERROR(__xludf.DUMMYFUNCTION("""COMPUTED_VALUE"""),"First Class")</f>
        <v>First Class</v>
      </c>
      <c r="G165" s="22" t="str">
        <f>IFERROR(__xludf.DUMMYFUNCTION("""COMPUTED_VALUE"""),"Michelle")</f>
        <v>Michelle</v>
      </c>
      <c r="H165" s="22" t="str">
        <f>IFERROR(__xludf.DUMMYFUNCTION("""COMPUTED_VALUE"""),"Tran")</f>
        <v>Tran</v>
      </c>
      <c r="I165" s="22" t="str">
        <f>IFERROR(__xludf.DUMMYFUNCTION("""COMPUTED_VALUE"""),"Home Office")</f>
        <v>Home Office</v>
      </c>
      <c r="J165" s="22" t="str">
        <f>IFERROR(__xludf.DUMMYFUNCTION("""COMPUTED_VALUE"""),"Los Angeles")</f>
        <v>Los Angeles</v>
      </c>
      <c r="K165" s="22" t="str">
        <f>IFERROR(__xludf.DUMMYFUNCTION("""COMPUTED_VALUE"""),"California")</f>
        <v>California</v>
      </c>
      <c r="L165" s="22" t="str">
        <f>IFERROR(__xludf.DUMMYFUNCTION("""COMPUTED_VALUE"""),"West")</f>
        <v>West</v>
      </c>
      <c r="M165" s="22" t="str">
        <f>IFERROR(__xludf.DUMMYFUNCTION("""COMPUTED_VALUE"""),"Technology")</f>
        <v>Technology</v>
      </c>
      <c r="N165" s="18">
        <f>IFERROR(__xludf.DUMMYFUNCTION("""COMPUTED_VALUE"""),279.96)</f>
        <v>279.96</v>
      </c>
      <c r="O165" s="18">
        <f>IFERROR(__xludf.DUMMYFUNCTION("""COMPUTED_VALUE"""),279.24)</f>
        <v>279.24</v>
      </c>
      <c r="P165" s="22">
        <f>IFERROR(__xludf.DUMMYFUNCTION("""COMPUTED_VALUE"""),9.0)</f>
        <v>9</v>
      </c>
      <c r="Q165" s="18">
        <f>IFERROR(__xludf.DUMMYFUNCTION("""COMPUTED_VALUE"""),2519.64)</f>
        <v>2519.64</v>
      </c>
      <c r="R165" s="18">
        <f>IFERROR(__xludf.DUMMYFUNCTION("""COMPUTED_VALUE"""),2240.3999999999996)</f>
        <v>2240.4</v>
      </c>
    </row>
    <row r="166">
      <c r="A166" s="21">
        <f>IFERROR(__xludf.DUMMYFUNCTION("""COMPUTED_VALUE"""),42306.0)</f>
        <v>42306</v>
      </c>
      <c r="B166" s="21" t="str">
        <f>IFERROR(__xludf.DUMMYFUNCTION("""COMPUTED_VALUE"""),"Oct")</f>
        <v>Oct</v>
      </c>
      <c r="C166" s="9">
        <f>IFERROR(__xludf.DUMMYFUNCTION("""COMPUTED_VALUE"""),42308.0)</f>
        <v>42308</v>
      </c>
      <c r="D166" s="23" t="str">
        <f>IFERROR(__xludf.DUMMYFUNCTION("""COMPUTED_VALUE"""),"Oct")</f>
        <v>Oct</v>
      </c>
      <c r="E166" s="21" t="str">
        <f>IFERROR(__xludf.DUMMYFUNCTION("""COMPUTED_VALUE"""),"2015")</f>
        <v>2015</v>
      </c>
      <c r="F166" s="22" t="str">
        <f>IFERROR(__xludf.DUMMYFUNCTION("""COMPUTED_VALUE"""),"First Class")</f>
        <v>First Class</v>
      </c>
      <c r="G166" s="22" t="str">
        <f>IFERROR(__xludf.DUMMYFUNCTION("""COMPUTED_VALUE"""),"Sue")</f>
        <v>Sue</v>
      </c>
      <c r="H166" s="22" t="str">
        <f>IFERROR(__xludf.DUMMYFUNCTION("""COMPUTED_VALUE"""),"Ann Reed")</f>
        <v>Ann Reed</v>
      </c>
      <c r="I166" s="22" t="str">
        <f>IFERROR(__xludf.DUMMYFUNCTION("""COMPUTED_VALUE"""),"Consumer")</f>
        <v>Consumer</v>
      </c>
      <c r="J166" s="22" t="str">
        <f>IFERROR(__xludf.DUMMYFUNCTION("""COMPUTED_VALUE"""),"Chicago")</f>
        <v>Chicago</v>
      </c>
      <c r="K166" s="22" t="str">
        <f>IFERROR(__xludf.DUMMYFUNCTION("""COMPUTED_VALUE"""),"Illinois")</f>
        <v>Illinois</v>
      </c>
      <c r="L166" s="22" t="str">
        <f>IFERROR(__xludf.DUMMYFUNCTION("""COMPUTED_VALUE"""),"Central")</f>
        <v>Central</v>
      </c>
      <c r="M166" s="22" t="str">
        <f>IFERROR(__xludf.DUMMYFUNCTION("""COMPUTED_VALUE"""),"Technology")</f>
        <v>Technology</v>
      </c>
      <c r="N166" s="18">
        <f>IFERROR(__xludf.DUMMYFUNCTION("""COMPUTED_VALUE"""),2735.952)</f>
        <v>2735.952</v>
      </c>
      <c r="O166" s="18">
        <f>IFERROR(__xludf.DUMMYFUNCTION("""COMPUTED_VALUE"""),2735.58)</f>
        <v>2735.58</v>
      </c>
      <c r="P166" s="22">
        <f>IFERROR(__xludf.DUMMYFUNCTION("""COMPUTED_VALUE"""),6.0)</f>
        <v>6</v>
      </c>
      <c r="Q166" s="18">
        <f>IFERROR(__xludf.DUMMYFUNCTION("""COMPUTED_VALUE"""),16415.712)</f>
        <v>16415.712</v>
      </c>
      <c r="R166" s="18">
        <f>IFERROR(__xludf.DUMMYFUNCTION("""COMPUTED_VALUE"""),13680.132)</f>
        <v>13680.132</v>
      </c>
    </row>
    <row r="167">
      <c r="A167" s="21">
        <f>IFERROR(__xludf.DUMMYFUNCTION("""COMPUTED_VALUE"""),42983.0)</f>
        <v>42983</v>
      </c>
      <c r="B167" s="21" t="str">
        <f>IFERROR(__xludf.DUMMYFUNCTION("""COMPUTED_VALUE"""),"Sep")</f>
        <v>Sep</v>
      </c>
      <c r="C167" s="9">
        <f>IFERROR(__xludf.DUMMYFUNCTION("""COMPUTED_VALUE"""),42869.0)</f>
        <v>42869</v>
      </c>
      <c r="D167" s="23" t="str">
        <f>IFERROR(__xludf.DUMMYFUNCTION("""COMPUTED_VALUE"""),"May")</f>
        <v>May</v>
      </c>
      <c r="E167" s="21" t="str">
        <f>IFERROR(__xludf.DUMMYFUNCTION("""COMPUTED_VALUE"""),"2017")</f>
        <v>2017</v>
      </c>
      <c r="F167" s="22" t="str">
        <f>IFERROR(__xludf.DUMMYFUNCTION("""COMPUTED_VALUE"""),"Standard Class")</f>
        <v>Standard Class</v>
      </c>
      <c r="G167" s="22" t="str">
        <f>IFERROR(__xludf.DUMMYFUNCTION("""COMPUTED_VALUE"""),"Sonia")</f>
        <v>Sonia</v>
      </c>
      <c r="H167" s="22" t="str">
        <f>IFERROR(__xludf.DUMMYFUNCTION("""COMPUTED_VALUE"""),"Sunley")</f>
        <v>Sunley</v>
      </c>
      <c r="I167" s="22" t="str">
        <f>IFERROR(__xludf.DUMMYFUNCTION("""COMPUTED_VALUE"""),"Consumer")</f>
        <v>Consumer</v>
      </c>
      <c r="J167" s="22" t="str">
        <f>IFERROR(__xludf.DUMMYFUNCTION("""COMPUTED_VALUE"""),"Seattle")</f>
        <v>Seattle</v>
      </c>
      <c r="K167" s="22" t="str">
        <f>IFERROR(__xludf.DUMMYFUNCTION("""COMPUTED_VALUE"""),"Washington")</f>
        <v>Washington</v>
      </c>
      <c r="L167" s="22" t="str">
        <f>IFERROR(__xludf.DUMMYFUNCTION("""COMPUTED_VALUE"""),"West")</f>
        <v>West</v>
      </c>
      <c r="M167" s="22" t="str">
        <f>IFERROR(__xludf.DUMMYFUNCTION("""COMPUTED_VALUE"""),"Technology")</f>
        <v>Technology</v>
      </c>
      <c r="N167" s="18">
        <f>IFERROR(__xludf.DUMMYFUNCTION("""COMPUTED_VALUE"""),93.98)</f>
        <v>93.98</v>
      </c>
      <c r="O167" s="18">
        <f>IFERROR(__xludf.DUMMYFUNCTION("""COMPUTED_VALUE"""),93.2)</f>
        <v>93.2</v>
      </c>
      <c r="P167" s="22">
        <f>IFERROR(__xludf.DUMMYFUNCTION("""COMPUTED_VALUE"""),9.0)</f>
        <v>9</v>
      </c>
      <c r="Q167" s="18">
        <f>IFERROR(__xludf.DUMMYFUNCTION("""COMPUTED_VALUE"""),845.82)</f>
        <v>845.82</v>
      </c>
      <c r="R167" s="18">
        <f>IFERROR(__xludf.DUMMYFUNCTION("""COMPUTED_VALUE"""),752.62)</f>
        <v>752.62</v>
      </c>
    </row>
    <row r="168">
      <c r="A168" s="21">
        <f>IFERROR(__xludf.DUMMYFUNCTION("""COMPUTED_VALUE"""),42731.0)</f>
        <v>42731</v>
      </c>
      <c r="B168" s="21" t="str">
        <f>IFERROR(__xludf.DUMMYFUNCTION("""COMPUTED_VALUE"""),"Dec")</f>
        <v>Dec</v>
      </c>
      <c r="C168" s="9">
        <f>IFERROR(__xludf.DUMMYFUNCTION("""COMPUTED_VALUE"""),42735.0)</f>
        <v>42735</v>
      </c>
      <c r="D168" s="23" t="str">
        <f>IFERROR(__xludf.DUMMYFUNCTION("""COMPUTED_VALUE"""),"Dec")</f>
        <v>Dec</v>
      </c>
      <c r="E168" s="21" t="str">
        <f>IFERROR(__xludf.DUMMYFUNCTION("""COMPUTED_VALUE"""),"2016")</f>
        <v>2016</v>
      </c>
      <c r="F168" s="22" t="str">
        <f>IFERROR(__xludf.DUMMYFUNCTION("""COMPUTED_VALUE"""),"Standard Class")</f>
        <v>Standard Class</v>
      </c>
      <c r="G168" s="22" t="str">
        <f>IFERROR(__xludf.DUMMYFUNCTION("""COMPUTED_VALUE"""),"Maribeth")</f>
        <v>Maribeth</v>
      </c>
      <c r="H168" s="22" t="str">
        <f>IFERROR(__xludf.DUMMYFUNCTION("""COMPUTED_VALUE"""),"Dona")</f>
        <v>Dona</v>
      </c>
      <c r="I168" s="22" t="str">
        <f>IFERROR(__xludf.DUMMYFUNCTION("""COMPUTED_VALUE"""),"Consumer")</f>
        <v>Consumer</v>
      </c>
      <c r="J168" s="22" t="str">
        <f>IFERROR(__xludf.DUMMYFUNCTION("""COMPUTED_VALUE"""),"Fayetteville")</f>
        <v>Fayetteville</v>
      </c>
      <c r="K168" s="22" t="str">
        <f>IFERROR(__xludf.DUMMYFUNCTION("""COMPUTED_VALUE"""),"Arkansas")</f>
        <v>Arkansas</v>
      </c>
      <c r="L168" s="22" t="str">
        <f>IFERROR(__xludf.DUMMYFUNCTION("""COMPUTED_VALUE"""),"South")</f>
        <v>South</v>
      </c>
      <c r="M168" s="22" t="str">
        <f>IFERROR(__xludf.DUMMYFUNCTION("""COMPUTED_VALUE"""),"Office Supplies")</f>
        <v>Office Supplies</v>
      </c>
      <c r="N168" s="18">
        <f>IFERROR(__xludf.DUMMYFUNCTION("""COMPUTED_VALUE"""),105.42)</f>
        <v>105.42</v>
      </c>
      <c r="O168" s="18">
        <f>IFERROR(__xludf.DUMMYFUNCTION("""COMPUTED_VALUE"""),105.38)</f>
        <v>105.38</v>
      </c>
      <c r="P168" s="22">
        <f>IFERROR(__xludf.DUMMYFUNCTION("""COMPUTED_VALUE"""),7.0)</f>
        <v>7</v>
      </c>
      <c r="Q168" s="18">
        <f>IFERROR(__xludf.DUMMYFUNCTION("""COMPUTED_VALUE"""),737.94)</f>
        <v>737.94</v>
      </c>
      <c r="R168" s="18">
        <f>IFERROR(__xludf.DUMMYFUNCTION("""COMPUTED_VALUE"""),632.5600000000001)</f>
        <v>632.56</v>
      </c>
    </row>
    <row r="169">
      <c r="A169" s="21">
        <f>IFERROR(__xludf.DUMMYFUNCTION("""COMPUTED_VALUE"""),42941.0)</f>
        <v>42941</v>
      </c>
      <c r="B169" s="21" t="str">
        <f>IFERROR(__xludf.DUMMYFUNCTION("""COMPUTED_VALUE"""),"Jul")</f>
        <v>Jul</v>
      </c>
      <c r="C169" s="9">
        <f>IFERROR(__xludf.DUMMYFUNCTION("""COMPUTED_VALUE"""),42947.0)</f>
        <v>42947</v>
      </c>
      <c r="D169" s="23" t="str">
        <f>IFERROR(__xludf.DUMMYFUNCTION("""COMPUTED_VALUE"""),"Jul")</f>
        <v>Jul</v>
      </c>
      <c r="E169" s="21" t="str">
        <f>IFERROR(__xludf.DUMMYFUNCTION("""COMPUTED_VALUE"""),"2017")</f>
        <v>2017</v>
      </c>
      <c r="F169" s="22" t="str">
        <f>IFERROR(__xludf.DUMMYFUNCTION("""COMPUTED_VALUE"""),"Standard Class")</f>
        <v>Standard Class</v>
      </c>
      <c r="G169" s="22" t="str">
        <f>IFERROR(__xludf.DUMMYFUNCTION("""COMPUTED_VALUE"""),"Sanjit")</f>
        <v>Sanjit</v>
      </c>
      <c r="H169" s="22" t="str">
        <f>IFERROR(__xludf.DUMMYFUNCTION("""COMPUTED_VALUE"""),"Chand")</f>
        <v>Chand</v>
      </c>
      <c r="I169" s="22" t="str">
        <f>IFERROR(__xludf.DUMMYFUNCTION("""COMPUTED_VALUE"""),"Consumer")</f>
        <v>Consumer</v>
      </c>
      <c r="J169" s="22" t="str">
        <f>IFERROR(__xludf.DUMMYFUNCTION("""COMPUTED_VALUE"""),"Costa Mesa")</f>
        <v>Costa Mesa</v>
      </c>
      <c r="K169" s="22" t="str">
        <f>IFERROR(__xludf.DUMMYFUNCTION("""COMPUTED_VALUE"""),"California")</f>
        <v>California</v>
      </c>
      <c r="L169" s="22" t="str">
        <f>IFERROR(__xludf.DUMMYFUNCTION("""COMPUTED_VALUE"""),"West")</f>
        <v>West</v>
      </c>
      <c r="M169" s="22" t="str">
        <f>IFERROR(__xludf.DUMMYFUNCTION("""COMPUTED_VALUE"""),"Office Supplies")</f>
        <v>Office Supplies</v>
      </c>
      <c r="N169" s="18">
        <f>IFERROR(__xludf.DUMMYFUNCTION("""COMPUTED_VALUE"""),119.616)</f>
        <v>119.616</v>
      </c>
      <c r="O169" s="18">
        <f>IFERROR(__xludf.DUMMYFUNCTION("""COMPUTED_VALUE"""),119.1)</f>
        <v>119.1</v>
      </c>
      <c r="P169" s="22">
        <f>IFERROR(__xludf.DUMMYFUNCTION("""COMPUTED_VALUE"""),9.0)</f>
        <v>9</v>
      </c>
      <c r="Q169" s="18">
        <f>IFERROR(__xludf.DUMMYFUNCTION("""COMPUTED_VALUE"""),1076.544)</f>
        <v>1076.544</v>
      </c>
      <c r="R169" s="18">
        <f>IFERROR(__xludf.DUMMYFUNCTION("""COMPUTED_VALUE"""),957.4440000000001)</f>
        <v>957.444</v>
      </c>
    </row>
    <row r="170">
      <c r="A170" s="21">
        <f>IFERROR(__xludf.DUMMYFUNCTION("""COMPUTED_VALUE"""),42941.0)</f>
        <v>42941</v>
      </c>
      <c r="B170" s="21" t="str">
        <f>IFERROR(__xludf.DUMMYFUNCTION("""COMPUTED_VALUE"""),"Jul")</f>
        <v>Jul</v>
      </c>
      <c r="C170" s="9">
        <f>IFERROR(__xludf.DUMMYFUNCTION("""COMPUTED_VALUE"""),42947.0)</f>
        <v>42947</v>
      </c>
      <c r="D170" s="23" t="str">
        <f>IFERROR(__xludf.DUMMYFUNCTION("""COMPUTED_VALUE"""),"Jul")</f>
        <v>Jul</v>
      </c>
      <c r="E170" s="21" t="str">
        <f>IFERROR(__xludf.DUMMYFUNCTION("""COMPUTED_VALUE"""),"2017")</f>
        <v>2017</v>
      </c>
      <c r="F170" s="22" t="str">
        <f>IFERROR(__xludf.DUMMYFUNCTION("""COMPUTED_VALUE"""),"Standard Class")</f>
        <v>Standard Class</v>
      </c>
      <c r="G170" s="22" t="str">
        <f>IFERROR(__xludf.DUMMYFUNCTION("""COMPUTED_VALUE"""),"Sanjit")</f>
        <v>Sanjit</v>
      </c>
      <c r="H170" s="22" t="str">
        <f>IFERROR(__xludf.DUMMYFUNCTION("""COMPUTED_VALUE"""),"Chand")</f>
        <v>Chand</v>
      </c>
      <c r="I170" s="22" t="str">
        <f>IFERROR(__xludf.DUMMYFUNCTION("""COMPUTED_VALUE"""),"Consumer")</f>
        <v>Consumer</v>
      </c>
      <c r="J170" s="22" t="str">
        <f>IFERROR(__xludf.DUMMYFUNCTION("""COMPUTED_VALUE"""),"Costa Mesa")</f>
        <v>Costa Mesa</v>
      </c>
      <c r="K170" s="22" t="str">
        <f>IFERROR(__xludf.DUMMYFUNCTION("""COMPUTED_VALUE"""),"California")</f>
        <v>California</v>
      </c>
      <c r="L170" s="22" t="str">
        <f>IFERROR(__xludf.DUMMYFUNCTION("""COMPUTED_VALUE"""),"West")</f>
        <v>West</v>
      </c>
      <c r="M170" s="22" t="str">
        <f>IFERROR(__xludf.DUMMYFUNCTION("""COMPUTED_VALUE"""),"Furniture")</f>
        <v>Furniture</v>
      </c>
      <c r="N170" s="18">
        <f>IFERROR(__xludf.DUMMYFUNCTION("""COMPUTED_VALUE"""),255.76)</f>
        <v>255.76</v>
      </c>
      <c r="O170" s="18">
        <f>IFERROR(__xludf.DUMMYFUNCTION("""COMPUTED_VALUE"""),254.81)</f>
        <v>254.81</v>
      </c>
      <c r="P170" s="22">
        <f>IFERROR(__xludf.DUMMYFUNCTION("""COMPUTED_VALUE"""),9.0)</f>
        <v>9</v>
      </c>
      <c r="Q170" s="18">
        <f>IFERROR(__xludf.DUMMYFUNCTION("""COMPUTED_VALUE"""),2301.84)</f>
        <v>2301.84</v>
      </c>
      <c r="R170" s="18">
        <f>IFERROR(__xludf.DUMMYFUNCTION("""COMPUTED_VALUE"""),2047.0300000000002)</f>
        <v>2047.03</v>
      </c>
    </row>
    <row r="171">
      <c r="A171" s="21">
        <f>IFERROR(__xludf.DUMMYFUNCTION("""COMPUTED_VALUE"""),42941.0)</f>
        <v>42941</v>
      </c>
      <c r="B171" s="21" t="str">
        <f>IFERROR(__xludf.DUMMYFUNCTION("""COMPUTED_VALUE"""),"Jul")</f>
        <v>Jul</v>
      </c>
      <c r="C171" s="9">
        <f>IFERROR(__xludf.DUMMYFUNCTION("""COMPUTED_VALUE"""),42947.0)</f>
        <v>42947</v>
      </c>
      <c r="D171" s="23" t="str">
        <f>IFERROR(__xludf.DUMMYFUNCTION("""COMPUTED_VALUE"""),"Jul")</f>
        <v>Jul</v>
      </c>
      <c r="E171" s="21" t="str">
        <f>IFERROR(__xludf.DUMMYFUNCTION("""COMPUTED_VALUE"""),"2017")</f>
        <v>2017</v>
      </c>
      <c r="F171" s="22" t="str">
        <f>IFERROR(__xludf.DUMMYFUNCTION("""COMPUTED_VALUE"""),"Standard Class")</f>
        <v>Standard Class</v>
      </c>
      <c r="G171" s="22" t="str">
        <f>IFERROR(__xludf.DUMMYFUNCTION("""COMPUTED_VALUE"""),"Sanjit")</f>
        <v>Sanjit</v>
      </c>
      <c r="H171" s="22" t="str">
        <f>IFERROR(__xludf.DUMMYFUNCTION("""COMPUTED_VALUE"""),"Chand")</f>
        <v>Chand</v>
      </c>
      <c r="I171" s="22" t="str">
        <f>IFERROR(__xludf.DUMMYFUNCTION("""COMPUTED_VALUE"""),"Consumer")</f>
        <v>Consumer</v>
      </c>
      <c r="J171" s="22" t="str">
        <f>IFERROR(__xludf.DUMMYFUNCTION("""COMPUTED_VALUE"""),"Costa Mesa")</f>
        <v>Costa Mesa</v>
      </c>
      <c r="K171" s="22" t="str">
        <f>IFERROR(__xludf.DUMMYFUNCTION("""COMPUTED_VALUE"""),"California")</f>
        <v>California</v>
      </c>
      <c r="L171" s="22" t="str">
        <f>IFERROR(__xludf.DUMMYFUNCTION("""COMPUTED_VALUE"""),"West")</f>
        <v>West</v>
      </c>
      <c r="M171" s="22" t="str">
        <f>IFERROR(__xludf.DUMMYFUNCTION("""COMPUTED_VALUE"""),"Furniture")</f>
        <v>Furniture</v>
      </c>
      <c r="N171" s="18">
        <f>IFERROR(__xludf.DUMMYFUNCTION("""COMPUTED_VALUE"""),241.568)</f>
        <v>241.568</v>
      </c>
      <c r="O171" s="18">
        <f>IFERROR(__xludf.DUMMYFUNCTION("""COMPUTED_VALUE"""),240.79)</f>
        <v>240.79</v>
      </c>
      <c r="P171" s="22">
        <f>IFERROR(__xludf.DUMMYFUNCTION("""COMPUTED_VALUE"""),9.0)</f>
        <v>9</v>
      </c>
      <c r="Q171" s="18">
        <f>IFERROR(__xludf.DUMMYFUNCTION("""COMPUTED_VALUE"""),2174.112)</f>
        <v>2174.112</v>
      </c>
      <c r="R171" s="18">
        <f>IFERROR(__xludf.DUMMYFUNCTION("""COMPUTED_VALUE"""),1933.3220000000001)</f>
        <v>1933.322</v>
      </c>
    </row>
    <row r="172">
      <c r="A172" s="21">
        <f>IFERROR(__xludf.DUMMYFUNCTION("""COMPUTED_VALUE"""),42941.0)</f>
        <v>42941</v>
      </c>
      <c r="B172" s="21" t="str">
        <f>IFERROR(__xludf.DUMMYFUNCTION("""COMPUTED_VALUE"""),"Jul")</f>
        <v>Jul</v>
      </c>
      <c r="C172" s="9">
        <f>IFERROR(__xludf.DUMMYFUNCTION("""COMPUTED_VALUE"""),42947.0)</f>
        <v>42947</v>
      </c>
      <c r="D172" s="23" t="str">
        <f>IFERROR(__xludf.DUMMYFUNCTION("""COMPUTED_VALUE"""),"Jul")</f>
        <v>Jul</v>
      </c>
      <c r="E172" s="21" t="str">
        <f>IFERROR(__xludf.DUMMYFUNCTION("""COMPUTED_VALUE"""),"2017")</f>
        <v>2017</v>
      </c>
      <c r="F172" s="22" t="str">
        <f>IFERROR(__xludf.DUMMYFUNCTION("""COMPUTED_VALUE"""),"Standard Class")</f>
        <v>Standard Class</v>
      </c>
      <c r="G172" s="22" t="str">
        <f>IFERROR(__xludf.DUMMYFUNCTION("""COMPUTED_VALUE"""),"Sanjit")</f>
        <v>Sanjit</v>
      </c>
      <c r="H172" s="22" t="str">
        <f>IFERROR(__xludf.DUMMYFUNCTION("""COMPUTED_VALUE"""),"Chand")</f>
        <v>Chand</v>
      </c>
      <c r="I172" s="22" t="str">
        <f>IFERROR(__xludf.DUMMYFUNCTION("""COMPUTED_VALUE"""),"Consumer")</f>
        <v>Consumer</v>
      </c>
      <c r="J172" s="22" t="str">
        <f>IFERROR(__xludf.DUMMYFUNCTION("""COMPUTED_VALUE"""),"Costa Mesa")</f>
        <v>Costa Mesa</v>
      </c>
      <c r="K172" s="22" t="str">
        <f>IFERROR(__xludf.DUMMYFUNCTION("""COMPUTED_VALUE"""),"California")</f>
        <v>California</v>
      </c>
      <c r="L172" s="22" t="str">
        <f>IFERROR(__xludf.DUMMYFUNCTION("""COMPUTED_VALUE"""),"West")</f>
        <v>West</v>
      </c>
      <c r="M172" s="22" t="str">
        <f>IFERROR(__xludf.DUMMYFUNCTION("""COMPUTED_VALUE"""),"Furniture")</f>
        <v>Furniture</v>
      </c>
      <c r="N172" s="18">
        <f>IFERROR(__xludf.DUMMYFUNCTION("""COMPUTED_VALUE"""),69.3)</f>
        <v>69.3</v>
      </c>
      <c r="O172" s="18">
        <f>IFERROR(__xludf.DUMMYFUNCTION("""COMPUTED_VALUE"""),68.37)</f>
        <v>68.37</v>
      </c>
      <c r="P172" s="22">
        <f>IFERROR(__xludf.DUMMYFUNCTION("""COMPUTED_VALUE"""),9.0)</f>
        <v>9</v>
      </c>
      <c r="Q172" s="18">
        <f>IFERROR(__xludf.DUMMYFUNCTION("""COMPUTED_VALUE"""),623.6999999999999)</f>
        <v>623.7</v>
      </c>
      <c r="R172" s="18">
        <f>IFERROR(__xludf.DUMMYFUNCTION("""COMPUTED_VALUE"""),555.3299999999999)</f>
        <v>555.33</v>
      </c>
    </row>
    <row r="173">
      <c r="A173" s="21">
        <f>IFERROR(__xludf.DUMMYFUNCTION("""COMPUTED_VALUE"""),42885.0)</f>
        <v>42885</v>
      </c>
      <c r="B173" s="21" t="str">
        <f>IFERROR(__xludf.DUMMYFUNCTION("""COMPUTED_VALUE"""),"May")</f>
        <v>May</v>
      </c>
      <c r="C173" s="9">
        <f>IFERROR(__xludf.DUMMYFUNCTION("""COMPUTED_VALUE"""),42831.0)</f>
        <v>42831</v>
      </c>
      <c r="D173" s="23" t="str">
        <f>IFERROR(__xludf.DUMMYFUNCTION("""COMPUTED_VALUE"""),"Apr")</f>
        <v>Apr</v>
      </c>
      <c r="E173" s="21" t="str">
        <f>IFERROR(__xludf.DUMMYFUNCTION("""COMPUTED_VALUE"""),"2017")</f>
        <v>2017</v>
      </c>
      <c r="F173" s="22" t="str">
        <f>IFERROR(__xludf.DUMMYFUNCTION("""COMPUTED_VALUE"""),"Standard Class")</f>
        <v>Standard Class</v>
      </c>
      <c r="G173" s="22" t="str">
        <f>IFERROR(__xludf.DUMMYFUNCTION("""COMPUTED_VALUE"""),"Maribeth")</f>
        <v>Maribeth</v>
      </c>
      <c r="H173" s="22" t="str">
        <f>IFERROR(__xludf.DUMMYFUNCTION("""COMPUTED_VALUE"""),"Yedwab")</f>
        <v>Yedwab</v>
      </c>
      <c r="I173" s="22" t="str">
        <f>IFERROR(__xludf.DUMMYFUNCTION("""COMPUTED_VALUE"""),"Corporate")</f>
        <v>Corporate</v>
      </c>
      <c r="J173" s="22" t="str">
        <f>IFERROR(__xludf.DUMMYFUNCTION("""COMPUTED_VALUE"""),"Parker")</f>
        <v>Parker</v>
      </c>
      <c r="K173" s="22" t="str">
        <f>IFERROR(__xludf.DUMMYFUNCTION("""COMPUTED_VALUE"""),"Colorado")</f>
        <v>Colorado</v>
      </c>
      <c r="L173" s="22" t="str">
        <f>IFERROR(__xludf.DUMMYFUNCTION("""COMPUTED_VALUE"""),"West")</f>
        <v>West</v>
      </c>
      <c r="M173" s="22" t="str">
        <f>IFERROR(__xludf.DUMMYFUNCTION("""COMPUTED_VALUE"""),"Furniture")</f>
        <v>Furniture</v>
      </c>
      <c r="N173" s="18">
        <f>IFERROR(__xludf.DUMMYFUNCTION("""COMPUTED_VALUE"""),801.568)</f>
        <v>801.568</v>
      </c>
      <c r="O173" s="18">
        <f>IFERROR(__xludf.DUMMYFUNCTION("""COMPUTED_VALUE"""),801.23)</f>
        <v>801.23</v>
      </c>
      <c r="P173" s="22">
        <f>IFERROR(__xludf.DUMMYFUNCTION("""COMPUTED_VALUE"""),8.0)</f>
        <v>8</v>
      </c>
      <c r="Q173" s="18">
        <f>IFERROR(__xludf.DUMMYFUNCTION("""COMPUTED_VALUE"""),6412.544)</f>
        <v>6412.544</v>
      </c>
      <c r="R173" s="18">
        <f>IFERROR(__xludf.DUMMYFUNCTION("""COMPUTED_VALUE"""),5611.314)</f>
        <v>5611.314</v>
      </c>
    </row>
    <row r="174">
      <c r="A174" s="21">
        <f>IFERROR(__xludf.DUMMYFUNCTION("""COMPUTED_VALUE"""),42445.0)</f>
        <v>42445</v>
      </c>
      <c r="B174" s="21" t="str">
        <f>IFERROR(__xludf.DUMMYFUNCTION("""COMPUTED_VALUE"""),"Mar")</f>
        <v>Mar</v>
      </c>
      <c r="C174" s="9">
        <f>IFERROR(__xludf.DUMMYFUNCTION("""COMPUTED_VALUE"""),42451.0)</f>
        <v>42451</v>
      </c>
      <c r="D174" s="23" t="str">
        <f>IFERROR(__xludf.DUMMYFUNCTION("""COMPUTED_VALUE"""),"Mar")</f>
        <v>Mar</v>
      </c>
      <c r="E174" s="21" t="str">
        <f>IFERROR(__xludf.DUMMYFUNCTION("""COMPUTED_VALUE"""),"2016")</f>
        <v>2016</v>
      </c>
      <c r="F174" s="22" t="str">
        <f>IFERROR(__xludf.DUMMYFUNCTION("""COMPUTED_VALUE"""),"Standard Class")</f>
        <v>Standard Class</v>
      </c>
      <c r="G174" s="22" t="str">
        <f>IFERROR(__xludf.DUMMYFUNCTION("""COMPUTED_VALUE"""),"Christopher")</f>
        <v>Christopher</v>
      </c>
      <c r="H174" s="22" t="str">
        <f>IFERROR(__xludf.DUMMYFUNCTION("""COMPUTED_VALUE"""),"Martinez")</f>
        <v>Martinez</v>
      </c>
      <c r="I174" s="22" t="str">
        <f>IFERROR(__xludf.DUMMYFUNCTION("""COMPUTED_VALUE"""),"Consumer")</f>
        <v>Consumer</v>
      </c>
      <c r="J174" s="22" t="str">
        <f>IFERROR(__xludf.DUMMYFUNCTION("""COMPUTED_VALUE"""),"Atlanta")</f>
        <v>Atlanta</v>
      </c>
      <c r="K174" s="22" t="str">
        <f>IFERROR(__xludf.DUMMYFUNCTION("""COMPUTED_VALUE"""),"Georgia")</f>
        <v>Georgia</v>
      </c>
      <c r="L174" s="22" t="str">
        <f>IFERROR(__xludf.DUMMYFUNCTION("""COMPUTED_VALUE"""),"South")</f>
        <v>South</v>
      </c>
      <c r="M174" s="22" t="str">
        <f>IFERROR(__xludf.DUMMYFUNCTION("""COMPUTED_VALUE"""),"Office Supplies")</f>
        <v>Office Supplies</v>
      </c>
      <c r="N174" s="18">
        <f>IFERROR(__xludf.DUMMYFUNCTION("""COMPUTED_VALUE"""),6354.95)</f>
        <v>6354.95</v>
      </c>
      <c r="O174" s="18">
        <f>IFERROR(__xludf.DUMMYFUNCTION("""COMPUTED_VALUE"""),6353.97)</f>
        <v>6353.97</v>
      </c>
      <c r="P174" s="22">
        <f>IFERROR(__xludf.DUMMYFUNCTION("""COMPUTED_VALUE"""),3.0)</f>
        <v>3</v>
      </c>
      <c r="Q174" s="18">
        <f>IFERROR(__xludf.DUMMYFUNCTION("""COMPUTED_VALUE"""),19064.85)</f>
        <v>19064.85</v>
      </c>
      <c r="R174" s="18">
        <f>IFERROR(__xludf.DUMMYFUNCTION("""COMPUTED_VALUE"""),12710.879999999997)</f>
        <v>12710.88</v>
      </c>
    </row>
    <row r="175">
      <c r="A175" s="21">
        <f>IFERROR(__xludf.DUMMYFUNCTION("""COMPUTED_VALUE"""),43430.0)</f>
        <v>43430</v>
      </c>
      <c r="B175" s="21" t="str">
        <f>IFERROR(__xludf.DUMMYFUNCTION("""COMPUTED_VALUE"""),"Nov")</f>
        <v>Nov</v>
      </c>
      <c r="C175" s="9">
        <f>IFERROR(__xludf.DUMMYFUNCTION("""COMPUTED_VALUE"""),43431.0)</f>
        <v>43431</v>
      </c>
      <c r="D175" s="23" t="str">
        <f>IFERROR(__xludf.DUMMYFUNCTION("""COMPUTED_VALUE"""),"Nov")</f>
        <v>Nov</v>
      </c>
      <c r="E175" s="21" t="str">
        <f>IFERROR(__xludf.DUMMYFUNCTION("""COMPUTED_VALUE"""),"2018")</f>
        <v>2018</v>
      </c>
      <c r="F175" s="22" t="str">
        <f>IFERROR(__xludf.DUMMYFUNCTION("""COMPUTED_VALUE"""),"First Class")</f>
        <v>First Class</v>
      </c>
      <c r="G175" s="22" t="str">
        <f>IFERROR(__xludf.DUMMYFUNCTION("""COMPUTED_VALUE"""),"Lynn")</f>
        <v>Lynn</v>
      </c>
      <c r="H175" s="22" t="str">
        <f>IFERROR(__xludf.DUMMYFUNCTION("""COMPUTED_VALUE"""),"Smith")</f>
        <v>Smith</v>
      </c>
      <c r="I175" s="22" t="str">
        <f>IFERROR(__xludf.DUMMYFUNCTION("""COMPUTED_VALUE"""),"Consumer")</f>
        <v>Consumer</v>
      </c>
      <c r="J175" s="22" t="str">
        <f>IFERROR(__xludf.DUMMYFUNCTION("""COMPUTED_VALUE"""),"Gladstone")</f>
        <v>Gladstone</v>
      </c>
      <c r="K175" s="22" t="str">
        <f>IFERROR(__xludf.DUMMYFUNCTION("""COMPUTED_VALUE"""),"Missouri")</f>
        <v>Missouri</v>
      </c>
      <c r="L175" s="22" t="str">
        <f>IFERROR(__xludf.DUMMYFUNCTION("""COMPUTED_VALUE"""),"Central")</f>
        <v>Central</v>
      </c>
      <c r="M175" s="22" t="str">
        <f>IFERROR(__xludf.DUMMYFUNCTION("""COMPUTED_VALUE"""),"Furniture")</f>
        <v>Furniture</v>
      </c>
      <c r="N175" s="18">
        <f>IFERROR(__xludf.DUMMYFUNCTION("""COMPUTED_VALUE"""),126.3)</f>
        <v>126.3</v>
      </c>
      <c r="O175" s="18">
        <f>IFERROR(__xludf.DUMMYFUNCTION("""COMPUTED_VALUE"""),125.39)</f>
        <v>125.39</v>
      </c>
      <c r="P175" s="22">
        <f>IFERROR(__xludf.DUMMYFUNCTION("""COMPUTED_VALUE"""),6.0)</f>
        <v>6</v>
      </c>
      <c r="Q175" s="18">
        <f>IFERROR(__xludf.DUMMYFUNCTION("""COMPUTED_VALUE"""),757.8)</f>
        <v>757.8</v>
      </c>
      <c r="R175" s="18">
        <f>IFERROR(__xludf.DUMMYFUNCTION("""COMPUTED_VALUE"""),632.41)</f>
        <v>632.41</v>
      </c>
    </row>
    <row r="176">
      <c r="A176" s="21">
        <f>IFERROR(__xludf.DUMMYFUNCTION("""COMPUTED_VALUE"""),43122.0)</f>
        <v>43122</v>
      </c>
      <c r="B176" s="21" t="str">
        <f>IFERROR(__xludf.DUMMYFUNCTION("""COMPUTED_VALUE"""),"Jan")</f>
        <v>Jan</v>
      </c>
      <c r="C176" s="9">
        <f>IFERROR(__xludf.DUMMYFUNCTION("""COMPUTED_VALUE"""),43127.0)</f>
        <v>43127</v>
      </c>
      <c r="D176" s="23" t="str">
        <f>IFERROR(__xludf.DUMMYFUNCTION("""COMPUTED_VALUE"""),"Jan")</f>
        <v>Jan</v>
      </c>
      <c r="E176" s="21" t="str">
        <f>IFERROR(__xludf.DUMMYFUNCTION("""COMPUTED_VALUE"""),"2018")</f>
        <v>2018</v>
      </c>
      <c r="F176" s="22" t="str">
        <f>IFERROR(__xludf.DUMMYFUNCTION("""COMPUTED_VALUE"""),"Standard Class")</f>
        <v>Standard Class</v>
      </c>
      <c r="G176" s="22" t="str">
        <f>IFERROR(__xludf.DUMMYFUNCTION("""COMPUTED_VALUE"""),"Alan")</f>
        <v>Alan</v>
      </c>
      <c r="H176" s="22" t="str">
        <f>IFERROR(__xludf.DUMMYFUNCTION("""COMPUTED_VALUE"""),"Dominguez")</f>
        <v>Dominguez</v>
      </c>
      <c r="I176" s="22" t="str">
        <f>IFERROR(__xludf.DUMMYFUNCTION("""COMPUTED_VALUE"""),"Home Office")</f>
        <v>Home Office</v>
      </c>
      <c r="J176" s="22" t="str">
        <f>IFERROR(__xludf.DUMMYFUNCTION("""COMPUTED_VALUE"""),"Great Falls")</f>
        <v>Great Falls</v>
      </c>
      <c r="K176" s="22" t="str">
        <f>IFERROR(__xludf.DUMMYFUNCTION("""COMPUTED_VALUE"""),"Montana")</f>
        <v>Montana</v>
      </c>
      <c r="L176" s="22" t="str">
        <f>IFERROR(__xludf.DUMMYFUNCTION("""COMPUTED_VALUE"""),"West")</f>
        <v>West</v>
      </c>
      <c r="M176" s="22" t="str">
        <f>IFERROR(__xludf.DUMMYFUNCTION("""COMPUTED_VALUE"""),"Technology")</f>
        <v>Technology</v>
      </c>
      <c r="N176" s="18">
        <f>IFERROR(__xludf.DUMMYFUNCTION("""COMPUTED_VALUE"""),2999.95)</f>
        <v>2999.95</v>
      </c>
      <c r="O176" s="18">
        <f>IFERROR(__xludf.DUMMYFUNCTION("""COMPUTED_VALUE"""),2998.96)</f>
        <v>2998.96</v>
      </c>
      <c r="P176" s="22">
        <f>IFERROR(__xludf.DUMMYFUNCTION("""COMPUTED_VALUE"""),5.0)</f>
        <v>5</v>
      </c>
      <c r="Q176" s="18">
        <f>IFERROR(__xludf.DUMMYFUNCTION("""COMPUTED_VALUE"""),14999.75)</f>
        <v>14999.75</v>
      </c>
      <c r="R176" s="18">
        <f>IFERROR(__xludf.DUMMYFUNCTION("""COMPUTED_VALUE"""),12000.79)</f>
        <v>12000.79</v>
      </c>
    </row>
    <row r="177">
      <c r="A177" s="21">
        <f>IFERROR(__xludf.DUMMYFUNCTION("""COMPUTED_VALUE"""),43122.0)</f>
        <v>43122</v>
      </c>
      <c r="B177" s="21" t="str">
        <f>IFERROR(__xludf.DUMMYFUNCTION("""COMPUTED_VALUE"""),"Jan")</f>
        <v>Jan</v>
      </c>
      <c r="C177" s="9">
        <f>IFERROR(__xludf.DUMMYFUNCTION("""COMPUTED_VALUE"""),43127.0)</f>
        <v>43127</v>
      </c>
      <c r="D177" s="23" t="str">
        <f>IFERROR(__xludf.DUMMYFUNCTION("""COMPUTED_VALUE"""),"Jan")</f>
        <v>Jan</v>
      </c>
      <c r="E177" s="21" t="str">
        <f>IFERROR(__xludf.DUMMYFUNCTION("""COMPUTED_VALUE"""),"2018")</f>
        <v>2018</v>
      </c>
      <c r="F177" s="22" t="str">
        <f>IFERROR(__xludf.DUMMYFUNCTION("""COMPUTED_VALUE"""),"Standard Class")</f>
        <v>Standard Class</v>
      </c>
      <c r="G177" s="22" t="str">
        <f>IFERROR(__xludf.DUMMYFUNCTION("""COMPUTED_VALUE"""),"Alan")</f>
        <v>Alan</v>
      </c>
      <c r="H177" s="22" t="str">
        <f>IFERROR(__xludf.DUMMYFUNCTION("""COMPUTED_VALUE"""),"Dominguez")</f>
        <v>Dominguez</v>
      </c>
      <c r="I177" s="22" t="str">
        <f>IFERROR(__xludf.DUMMYFUNCTION("""COMPUTED_VALUE"""),"Home Office")</f>
        <v>Home Office</v>
      </c>
      <c r="J177" s="22" t="str">
        <f>IFERROR(__xludf.DUMMYFUNCTION("""COMPUTED_VALUE"""),"Great Falls")</f>
        <v>Great Falls</v>
      </c>
      <c r="K177" s="22" t="str">
        <f>IFERROR(__xludf.DUMMYFUNCTION("""COMPUTED_VALUE"""),"Montana")</f>
        <v>Montana</v>
      </c>
      <c r="L177" s="22" t="str">
        <f>IFERROR(__xludf.DUMMYFUNCTION("""COMPUTED_VALUE"""),"West")</f>
        <v>West</v>
      </c>
      <c r="M177" s="22" t="str">
        <f>IFERROR(__xludf.DUMMYFUNCTION("""COMPUTED_VALUE"""),"Office Supplies")</f>
        <v>Office Supplies</v>
      </c>
      <c r="N177" s="18">
        <f>IFERROR(__xludf.DUMMYFUNCTION("""COMPUTED_VALUE"""),1126.02)</f>
        <v>1126.02</v>
      </c>
      <c r="O177" s="18">
        <f>IFERROR(__xludf.DUMMYFUNCTION("""COMPUTED_VALUE"""),1125.59)</f>
        <v>1125.59</v>
      </c>
      <c r="P177" s="22">
        <f>IFERROR(__xludf.DUMMYFUNCTION("""COMPUTED_VALUE"""),5.0)</f>
        <v>5</v>
      </c>
      <c r="Q177" s="18">
        <f>IFERROR(__xludf.DUMMYFUNCTION("""COMPUTED_VALUE"""),5630.1)</f>
        <v>5630.1</v>
      </c>
      <c r="R177" s="18">
        <f>IFERROR(__xludf.DUMMYFUNCTION("""COMPUTED_VALUE"""),4504.51)</f>
        <v>4504.51</v>
      </c>
    </row>
    <row r="178">
      <c r="A178" s="21">
        <f>IFERROR(__xludf.DUMMYFUNCTION("""COMPUTED_VALUE"""),42451.0)</f>
        <v>42451</v>
      </c>
      <c r="B178" s="21" t="str">
        <f>IFERROR(__xludf.DUMMYFUNCTION("""COMPUTED_VALUE"""),"Mar")</f>
        <v>Mar</v>
      </c>
      <c r="C178" s="9">
        <f>IFERROR(__xludf.DUMMYFUNCTION("""COMPUTED_VALUE"""),42455.0)</f>
        <v>42455</v>
      </c>
      <c r="D178" s="23" t="str">
        <f>IFERROR(__xludf.DUMMYFUNCTION("""COMPUTED_VALUE"""),"Mar")</f>
        <v>Mar</v>
      </c>
      <c r="E178" s="21" t="str">
        <f>IFERROR(__xludf.DUMMYFUNCTION("""COMPUTED_VALUE"""),"2016")</f>
        <v>2016</v>
      </c>
      <c r="F178" s="22" t="str">
        <f>IFERROR(__xludf.DUMMYFUNCTION("""COMPUTED_VALUE"""),"Standard Class")</f>
        <v>Standard Class</v>
      </c>
      <c r="G178" s="22" t="str">
        <f>IFERROR(__xludf.DUMMYFUNCTION("""COMPUTED_VALUE"""),"Dean")</f>
        <v>Dean</v>
      </c>
      <c r="H178" s="22" t="str">
        <f>IFERROR(__xludf.DUMMYFUNCTION("""COMPUTED_VALUE"""),"Braden")</f>
        <v>Braden</v>
      </c>
      <c r="I178" s="22" t="str">
        <f>IFERROR(__xludf.DUMMYFUNCTION("""COMPUTED_VALUE"""),"Consumer")</f>
        <v>Consumer</v>
      </c>
      <c r="J178" s="22" t="str">
        <f>IFERROR(__xludf.DUMMYFUNCTION("""COMPUTED_VALUE"""),"Houston")</f>
        <v>Houston</v>
      </c>
      <c r="K178" s="22" t="str">
        <f>IFERROR(__xludf.DUMMYFUNCTION("""COMPUTED_VALUE"""),"Texas")</f>
        <v>Texas</v>
      </c>
      <c r="L178" s="22" t="str">
        <f>IFERROR(__xludf.DUMMYFUNCTION("""COMPUTED_VALUE"""),"Central")</f>
        <v>Central</v>
      </c>
      <c r="M178" s="22" t="str">
        <f>IFERROR(__xludf.DUMMYFUNCTION("""COMPUTED_VALUE"""),"Office Supplies")</f>
        <v>Office Supplies</v>
      </c>
      <c r="N178" s="18">
        <f>IFERROR(__xludf.DUMMYFUNCTION("""COMPUTED_VALUE"""),129.568)</f>
        <v>129.568</v>
      </c>
      <c r="O178" s="18">
        <f>IFERROR(__xludf.DUMMYFUNCTION("""COMPUTED_VALUE"""),129.1)</f>
        <v>129.1</v>
      </c>
      <c r="P178" s="22">
        <f>IFERROR(__xludf.DUMMYFUNCTION("""COMPUTED_VALUE"""),7.0)</f>
        <v>7</v>
      </c>
      <c r="Q178" s="18">
        <f>IFERROR(__xludf.DUMMYFUNCTION("""COMPUTED_VALUE"""),906.9760000000001)</f>
        <v>906.976</v>
      </c>
      <c r="R178" s="18">
        <f>IFERROR(__xludf.DUMMYFUNCTION("""COMPUTED_VALUE"""),777.8760000000001)</f>
        <v>777.876</v>
      </c>
    </row>
    <row r="179">
      <c r="A179" s="21">
        <f>IFERROR(__xludf.DUMMYFUNCTION("""COMPUTED_VALUE"""),43123.0)</f>
        <v>43123</v>
      </c>
      <c r="B179" s="21" t="str">
        <f>IFERROR(__xludf.DUMMYFUNCTION("""COMPUTED_VALUE"""),"Jan")</f>
        <v>Jan</v>
      </c>
      <c r="C179" s="9">
        <f>IFERROR(__xludf.DUMMYFUNCTION("""COMPUTED_VALUE"""),43125.0)</f>
        <v>43125</v>
      </c>
      <c r="D179" s="23" t="str">
        <f>IFERROR(__xludf.DUMMYFUNCTION("""COMPUTED_VALUE"""),"Jan")</f>
        <v>Jan</v>
      </c>
      <c r="E179" s="21" t="str">
        <f>IFERROR(__xludf.DUMMYFUNCTION("""COMPUTED_VALUE"""),"2018")</f>
        <v>2018</v>
      </c>
      <c r="F179" s="22" t="str">
        <f>IFERROR(__xludf.DUMMYFUNCTION("""COMPUTED_VALUE"""),"First Class")</f>
        <v>First Class</v>
      </c>
      <c r="G179" s="22" t="str">
        <f>IFERROR(__xludf.DUMMYFUNCTION("""COMPUTED_VALUE"""),"Matt")</f>
        <v>Matt</v>
      </c>
      <c r="H179" s="22" t="str">
        <f>IFERROR(__xludf.DUMMYFUNCTION("""COMPUTED_VALUE"""),"Connell")</f>
        <v>Connell</v>
      </c>
      <c r="I179" s="22" t="str">
        <f>IFERROR(__xludf.DUMMYFUNCTION("""COMPUTED_VALUE"""),"Corporate")</f>
        <v>Corporate</v>
      </c>
      <c r="J179" s="22" t="str">
        <f>IFERROR(__xludf.DUMMYFUNCTION("""COMPUTED_VALUE"""),"Detroit")</f>
        <v>Detroit</v>
      </c>
      <c r="K179" s="22" t="str">
        <f>IFERROR(__xludf.DUMMYFUNCTION("""COMPUTED_VALUE"""),"Michigan")</f>
        <v>Michigan</v>
      </c>
      <c r="L179" s="22" t="str">
        <f>IFERROR(__xludf.DUMMYFUNCTION("""COMPUTED_VALUE"""),"Central")</f>
        <v>Central</v>
      </c>
      <c r="M179" s="22" t="str">
        <f>IFERROR(__xludf.DUMMYFUNCTION("""COMPUTED_VALUE"""),"Furniture")</f>
        <v>Furniture</v>
      </c>
      <c r="N179" s="18">
        <f>IFERROR(__xludf.DUMMYFUNCTION("""COMPUTED_VALUE"""),210.98)</f>
        <v>210.98</v>
      </c>
      <c r="O179" s="18">
        <f>IFERROR(__xludf.DUMMYFUNCTION("""COMPUTED_VALUE"""),210.23)</f>
        <v>210.23</v>
      </c>
      <c r="P179" s="22">
        <f>IFERROR(__xludf.DUMMYFUNCTION("""COMPUTED_VALUE"""),4.0)</f>
        <v>4</v>
      </c>
      <c r="Q179" s="18">
        <f>IFERROR(__xludf.DUMMYFUNCTION("""COMPUTED_VALUE"""),843.92)</f>
        <v>843.92</v>
      </c>
      <c r="R179" s="18">
        <f>IFERROR(__xludf.DUMMYFUNCTION("""COMPUTED_VALUE"""),633.6899999999999)</f>
        <v>633.69</v>
      </c>
    </row>
    <row r="180">
      <c r="A180" s="21">
        <f>IFERROR(__xludf.DUMMYFUNCTION("""COMPUTED_VALUE"""),42876.0)</f>
        <v>42876</v>
      </c>
      <c r="B180" s="21" t="str">
        <f>IFERROR(__xludf.DUMMYFUNCTION("""COMPUTED_VALUE"""),"May")</f>
        <v>May</v>
      </c>
      <c r="C180" s="9">
        <f>IFERROR(__xludf.DUMMYFUNCTION("""COMPUTED_VALUE"""),42878.0)</f>
        <v>42878</v>
      </c>
      <c r="D180" s="23" t="str">
        <f>IFERROR(__xludf.DUMMYFUNCTION("""COMPUTED_VALUE"""),"May")</f>
        <v>May</v>
      </c>
      <c r="E180" s="21" t="str">
        <f>IFERROR(__xludf.DUMMYFUNCTION("""COMPUTED_VALUE"""),"2017")</f>
        <v>2017</v>
      </c>
      <c r="F180" s="22" t="str">
        <f>IFERROR(__xludf.DUMMYFUNCTION("""COMPUTED_VALUE"""),"First Class")</f>
        <v>First Class</v>
      </c>
      <c r="G180" s="22" t="str">
        <f>IFERROR(__xludf.DUMMYFUNCTION("""COMPUTED_VALUE"""),"Logan")</f>
        <v>Logan</v>
      </c>
      <c r="H180" s="22" t="str">
        <f>IFERROR(__xludf.DUMMYFUNCTION("""COMPUTED_VALUE"""),"Haushalter")</f>
        <v>Haushalter</v>
      </c>
      <c r="I180" s="22" t="str">
        <f>IFERROR(__xludf.DUMMYFUNCTION("""COMPUTED_VALUE"""),"Consumer")</f>
        <v>Consumer</v>
      </c>
      <c r="J180" s="22" t="str">
        <f>IFERROR(__xludf.DUMMYFUNCTION("""COMPUTED_VALUE"""),"Los Angeles")</f>
        <v>Los Angeles</v>
      </c>
      <c r="K180" s="22" t="str">
        <f>IFERROR(__xludf.DUMMYFUNCTION("""COMPUTED_VALUE"""),"California")</f>
        <v>California</v>
      </c>
      <c r="L180" s="22" t="str">
        <f>IFERROR(__xludf.DUMMYFUNCTION("""COMPUTED_VALUE"""),"West")</f>
        <v>West</v>
      </c>
      <c r="M180" s="22" t="str">
        <f>IFERROR(__xludf.DUMMYFUNCTION("""COMPUTED_VALUE"""),"Technology")</f>
        <v>Technology</v>
      </c>
      <c r="N180" s="18">
        <f>IFERROR(__xludf.DUMMYFUNCTION("""COMPUTED_VALUE"""),66.26)</f>
        <v>66.26</v>
      </c>
      <c r="O180" s="18">
        <f>IFERROR(__xludf.DUMMYFUNCTION("""COMPUTED_VALUE"""),66.07)</f>
        <v>66.07</v>
      </c>
      <c r="P180" s="22">
        <f>IFERROR(__xludf.DUMMYFUNCTION("""COMPUTED_VALUE"""),9.0)</f>
        <v>9</v>
      </c>
      <c r="Q180" s="18">
        <f>IFERROR(__xludf.DUMMYFUNCTION("""COMPUTED_VALUE"""),596.34)</f>
        <v>596.34</v>
      </c>
      <c r="R180" s="18">
        <f>IFERROR(__xludf.DUMMYFUNCTION("""COMPUTED_VALUE"""),530.27)</f>
        <v>530.27</v>
      </c>
    </row>
    <row r="181">
      <c r="A181" s="21">
        <f>IFERROR(__xludf.DUMMYFUNCTION("""COMPUTED_VALUE"""),43394.0)</f>
        <v>43394</v>
      </c>
      <c r="B181" s="21" t="str">
        <f>IFERROR(__xludf.DUMMYFUNCTION("""COMPUTED_VALUE"""),"Oct")</f>
        <v>Oct</v>
      </c>
      <c r="C181" s="9">
        <f>IFERROR(__xludf.DUMMYFUNCTION("""COMPUTED_VALUE"""),43399.0)</f>
        <v>43399</v>
      </c>
      <c r="D181" s="23" t="str">
        <f>IFERROR(__xludf.DUMMYFUNCTION("""COMPUTED_VALUE"""),"Oct")</f>
        <v>Oct</v>
      </c>
      <c r="E181" s="21" t="str">
        <f>IFERROR(__xludf.DUMMYFUNCTION("""COMPUTED_VALUE"""),"2018")</f>
        <v>2018</v>
      </c>
      <c r="F181" s="22" t="str">
        <f>IFERROR(__xludf.DUMMYFUNCTION("""COMPUTED_VALUE"""),"Standard Class")</f>
        <v>Standard Class</v>
      </c>
      <c r="G181" s="22" t="str">
        <f>IFERROR(__xludf.DUMMYFUNCTION("""COMPUTED_VALUE"""),"Patricia")</f>
        <v>Patricia</v>
      </c>
      <c r="H181" s="22" t="str">
        <f>IFERROR(__xludf.DUMMYFUNCTION("""COMPUTED_VALUE"""),"Hirasaki")</f>
        <v>Hirasaki</v>
      </c>
      <c r="I181" s="22" t="str">
        <f>IFERROR(__xludf.DUMMYFUNCTION("""COMPUTED_VALUE"""),"Home Office")</f>
        <v>Home Office</v>
      </c>
      <c r="J181" s="22" t="str">
        <f>IFERROR(__xludf.DUMMYFUNCTION("""COMPUTED_VALUE"""),"Lakeland")</f>
        <v>Lakeland</v>
      </c>
      <c r="K181" s="22" t="str">
        <f>IFERROR(__xludf.DUMMYFUNCTION("""COMPUTED_VALUE"""),"Florida")</f>
        <v>Florida</v>
      </c>
      <c r="L181" s="22" t="str">
        <f>IFERROR(__xludf.DUMMYFUNCTION("""COMPUTED_VALUE"""),"South")</f>
        <v>South</v>
      </c>
      <c r="M181" s="22" t="str">
        <f>IFERROR(__xludf.DUMMYFUNCTION("""COMPUTED_VALUE"""),"Furniture")</f>
        <v>Furniture</v>
      </c>
      <c r="N181" s="18">
        <f>IFERROR(__xludf.DUMMYFUNCTION("""COMPUTED_VALUE"""),683.952)</f>
        <v>683.952</v>
      </c>
      <c r="O181" s="18">
        <f>IFERROR(__xludf.DUMMYFUNCTION("""COMPUTED_VALUE"""),683.38)</f>
        <v>683.38</v>
      </c>
      <c r="P181" s="22">
        <f>IFERROR(__xludf.DUMMYFUNCTION("""COMPUTED_VALUE"""),3.0)</f>
        <v>3</v>
      </c>
      <c r="Q181" s="18">
        <f>IFERROR(__xludf.DUMMYFUNCTION("""COMPUTED_VALUE"""),2051.8559999999998)</f>
        <v>2051.856</v>
      </c>
      <c r="R181" s="18">
        <f>IFERROR(__xludf.DUMMYFUNCTION("""COMPUTED_VALUE"""),1368.4759999999997)</f>
        <v>1368.476</v>
      </c>
    </row>
    <row r="182">
      <c r="A182" s="21">
        <f>IFERROR(__xludf.DUMMYFUNCTION("""COMPUTED_VALUE"""),42562.0)</f>
        <v>42562</v>
      </c>
      <c r="B182" s="21" t="str">
        <f>IFERROR(__xludf.DUMMYFUNCTION("""COMPUTED_VALUE"""),"Jul")</f>
        <v>Jul</v>
      </c>
      <c r="C182" s="9">
        <f>IFERROR(__xludf.DUMMYFUNCTION("""COMPUTED_VALUE"""),42624.0)</f>
        <v>42624</v>
      </c>
      <c r="D182" s="23" t="str">
        <f>IFERROR(__xludf.DUMMYFUNCTION("""COMPUTED_VALUE"""),"Sep")</f>
        <v>Sep</v>
      </c>
      <c r="E182" s="21" t="str">
        <f>IFERROR(__xludf.DUMMYFUNCTION("""COMPUTED_VALUE"""),"2016")</f>
        <v>2016</v>
      </c>
      <c r="F182" s="22" t="str">
        <f>IFERROR(__xludf.DUMMYFUNCTION("""COMPUTED_VALUE"""),"Second Class")</f>
        <v>Second Class</v>
      </c>
      <c r="G182" s="22" t="str">
        <f>IFERROR(__xludf.DUMMYFUNCTION("""COMPUTED_VALUE"""),"Karen")</f>
        <v>Karen</v>
      </c>
      <c r="H182" s="22" t="str">
        <f>IFERROR(__xludf.DUMMYFUNCTION("""COMPUTED_VALUE"""),"Bern")</f>
        <v>Bern</v>
      </c>
      <c r="I182" s="22" t="str">
        <f>IFERROR(__xludf.DUMMYFUNCTION("""COMPUTED_VALUE"""),"Corporate")</f>
        <v>Corporate</v>
      </c>
      <c r="J182" s="22" t="str">
        <f>IFERROR(__xludf.DUMMYFUNCTION("""COMPUTED_VALUE"""),"Los Angeles")</f>
        <v>Los Angeles</v>
      </c>
      <c r="K182" s="22" t="str">
        <f>IFERROR(__xludf.DUMMYFUNCTION("""COMPUTED_VALUE"""),"California")</f>
        <v>California</v>
      </c>
      <c r="L182" s="22" t="str">
        <f>IFERROR(__xludf.DUMMYFUNCTION("""COMPUTED_VALUE"""),"West")</f>
        <v>West</v>
      </c>
      <c r="M182" s="22" t="str">
        <f>IFERROR(__xludf.DUMMYFUNCTION("""COMPUTED_VALUE"""),"Furniture")</f>
        <v>Furniture</v>
      </c>
      <c r="N182" s="18">
        <f>IFERROR(__xludf.DUMMYFUNCTION("""COMPUTED_VALUE"""),190.72)</f>
        <v>190.72</v>
      </c>
      <c r="O182" s="18">
        <f>IFERROR(__xludf.DUMMYFUNCTION("""COMPUTED_VALUE"""),190.15)</f>
        <v>190.15</v>
      </c>
      <c r="P182" s="22">
        <f>IFERROR(__xludf.DUMMYFUNCTION("""COMPUTED_VALUE"""),9.0)</f>
        <v>9</v>
      </c>
      <c r="Q182" s="18">
        <f>IFERROR(__xludf.DUMMYFUNCTION("""COMPUTED_VALUE"""),1716.48)</f>
        <v>1716.48</v>
      </c>
      <c r="R182" s="18">
        <f>IFERROR(__xludf.DUMMYFUNCTION("""COMPUTED_VALUE"""),1526.33)</f>
        <v>1526.33</v>
      </c>
    </row>
    <row r="183">
      <c r="A183" s="21">
        <f>IFERROR(__xludf.DUMMYFUNCTION("""COMPUTED_VALUE"""),42884.0)</f>
        <v>42884</v>
      </c>
      <c r="B183" s="21" t="str">
        <f>IFERROR(__xludf.DUMMYFUNCTION("""COMPUTED_VALUE"""),"May")</f>
        <v>May</v>
      </c>
      <c r="C183" s="9">
        <f>IFERROR(__xludf.DUMMYFUNCTION("""COMPUTED_VALUE"""),42741.0)</f>
        <v>42741</v>
      </c>
      <c r="D183" s="23" t="str">
        <f>IFERROR(__xludf.DUMMYFUNCTION("""COMPUTED_VALUE"""),"Jan")</f>
        <v>Jan</v>
      </c>
      <c r="E183" s="21" t="str">
        <f>IFERROR(__xludf.DUMMYFUNCTION("""COMPUTED_VALUE"""),"2017")</f>
        <v>2017</v>
      </c>
      <c r="F183" s="22" t="str">
        <f>IFERROR(__xludf.DUMMYFUNCTION("""COMPUTED_VALUE"""),"Second Class")</f>
        <v>Second Class</v>
      </c>
      <c r="G183" s="22" t="str">
        <f>IFERROR(__xludf.DUMMYFUNCTION("""COMPUTED_VALUE"""),"Rob")</f>
        <v>Rob</v>
      </c>
      <c r="H183" s="22" t="str">
        <f>IFERROR(__xludf.DUMMYFUNCTION("""COMPUTED_VALUE"""),"Lucas")</f>
        <v>Lucas</v>
      </c>
      <c r="I183" s="22" t="str">
        <f>IFERROR(__xludf.DUMMYFUNCTION("""COMPUTED_VALUE"""),"Consumer")</f>
        <v>Consumer</v>
      </c>
      <c r="J183" s="22" t="str">
        <f>IFERROR(__xludf.DUMMYFUNCTION("""COMPUTED_VALUE"""),"Montgomery")</f>
        <v>Montgomery</v>
      </c>
      <c r="K183" s="22" t="str">
        <f>IFERROR(__xludf.DUMMYFUNCTION("""COMPUTED_VALUE"""),"Alabama")</f>
        <v>Alabama</v>
      </c>
      <c r="L183" s="22" t="str">
        <f>IFERROR(__xludf.DUMMYFUNCTION("""COMPUTED_VALUE"""),"South")</f>
        <v>South</v>
      </c>
      <c r="M183" s="22" t="str">
        <f>IFERROR(__xludf.DUMMYFUNCTION("""COMPUTED_VALUE"""),"Technology")</f>
        <v>Technology</v>
      </c>
      <c r="N183" s="18">
        <f>IFERROR(__xludf.DUMMYFUNCTION("""COMPUTED_VALUE"""),979.95)</f>
        <v>979.95</v>
      </c>
      <c r="O183" s="18">
        <f>IFERROR(__xludf.DUMMYFUNCTION("""COMPUTED_VALUE"""),979.35)</f>
        <v>979.35</v>
      </c>
      <c r="P183" s="22">
        <f>IFERROR(__xludf.DUMMYFUNCTION("""COMPUTED_VALUE"""),3.0)</f>
        <v>3</v>
      </c>
      <c r="Q183" s="18">
        <f>IFERROR(__xludf.DUMMYFUNCTION("""COMPUTED_VALUE"""),2939.8500000000004)</f>
        <v>2939.85</v>
      </c>
      <c r="R183" s="18">
        <f>IFERROR(__xludf.DUMMYFUNCTION("""COMPUTED_VALUE"""),1960.5000000000005)</f>
        <v>1960.5</v>
      </c>
    </row>
    <row r="184">
      <c r="A184" s="21">
        <f>IFERROR(__xludf.DUMMYFUNCTION("""COMPUTED_VALUE"""),42563.0)</f>
        <v>42563</v>
      </c>
      <c r="B184" s="21" t="str">
        <f>IFERROR(__xludf.DUMMYFUNCTION("""COMPUTED_VALUE"""),"Jul")</f>
        <v>Jul</v>
      </c>
      <c r="C184" s="9">
        <f>IFERROR(__xludf.DUMMYFUNCTION("""COMPUTED_VALUE"""),42686.0)</f>
        <v>42686</v>
      </c>
      <c r="D184" s="23" t="str">
        <f>IFERROR(__xludf.DUMMYFUNCTION("""COMPUTED_VALUE"""),"Nov")</f>
        <v>Nov</v>
      </c>
      <c r="E184" s="21" t="str">
        <f>IFERROR(__xludf.DUMMYFUNCTION("""COMPUTED_VALUE"""),"2016")</f>
        <v>2016</v>
      </c>
      <c r="F184" s="22" t="str">
        <f>IFERROR(__xludf.DUMMYFUNCTION("""COMPUTED_VALUE"""),"Standard Class")</f>
        <v>Standard Class</v>
      </c>
      <c r="G184" s="22" t="str">
        <f>IFERROR(__xludf.DUMMYFUNCTION("""COMPUTED_VALUE"""),"Darren")</f>
        <v>Darren</v>
      </c>
      <c r="H184" s="22" t="str">
        <f>IFERROR(__xludf.DUMMYFUNCTION("""COMPUTED_VALUE"""),"Koutras")</f>
        <v>Koutras</v>
      </c>
      <c r="I184" s="22" t="str">
        <f>IFERROR(__xludf.DUMMYFUNCTION("""COMPUTED_VALUE"""),"Consumer")</f>
        <v>Consumer</v>
      </c>
      <c r="J184" s="22" t="str">
        <f>IFERROR(__xludf.DUMMYFUNCTION("""COMPUTED_VALUE"""),"Henderson")</f>
        <v>Henderson</v>
      </c>
      <c r="K184" s="22" t="str">
        <f>IFERROR(__xludf.DUMMYFUNCTION("""COMPUTED_VALUE"""),"Kentucky")</f>
        <v>Kentucky</v>
      </c>
      <c r="L184" s="22" t="str">
        <f>IFERROR(__xludf.DUMMYFUNCTION("""COMPUTED_VALUE"""),"South")</f>
        <v>South</v>
      </c>
      <c r="M184" s="22" t="str">
        <f>IFERROR(__xludf.DUMMYFUNCTION("""COMPUTED_VALUE"""),"Furniture")</f>
        <v>Furniture</v>
      </c>
      <c r="N184" s="18">
        <f>IFERROR(__xludf.DUMMYFUNCTION("""COMPUTED_VALUE"""),283.92)</f>
        <v>283.92</v>
      </c>
      <c r="O184" s="18">
        <f>IFERROR(__xludf.DUMMYFUNCTION("""COMPUTED_VALUE"""),282.95)</f>
        <v>282.95</v>
      </c>
      <c r="P184" s="22">
        <f>IFERROR(__xludf.DUMMYFUNCTION("""COMPUTED_VALUE"""),4.0)</f>
        <v>4</v>
      </c>
      <c r="Q184" s="18">
        <f>IFERROR(__xludf.DUMMYFUNCTION("""COMPUTED_VALUE"""),1135.68)</f>
        <v>1135.68</v>
      </c>
      <c r="R184" s="18">
        <f>IFERROR(__xludf.DUMMYFUNCTION("""COMPUTED_VALUE"""),852.73)</f>
        <v>852.73</v>
      </c>
    </row>
    <row r="185">
      <c r="A185" s="21">
        <f>IFERROR(__xludf.DUMMYFUNCTION("""COMPUTED_VALUE"""),42006.0)</f>
        <v>42006</v>
      </c>
      <c r="B185" s="21" t="str">
        <f>IFERROR(__xludf.DUMMYFUNCTION("""COMPUTED_VALUE"""),"Jan")</f>
        <v>Jan</v>
      </c>
      <c r="C185" s="9">
        <f>IFERROR(__xludf.DUMMYFUNCTION("""COMPUTED_VALUE"""),42065.0)</f>
        <v>42065</v>
      </c>
      <c r="D185" s="23" t="str">
        <f>IFERROR(__xludf.DUMMYFUNCTION("""COMPUTED_VALUE"""),"Mar")</f>
        <v>Mar</v>
      </c>
      <c r="E185" s="21" t="str">
        <f>IFERROR(__xludf.DUMMYFUNCTION("""COMPUTED_VALUE"""),"2015")</f>
        <v>2015</v>
      </c>
      <c r="F185" s="22" t="str">
        <f>IFERROR(__xludf.DUMMYFUNCTION("""COMPUTED_VALUE"""),"First Class")</f>
        <v>First Class</v>
      </c>
      <c r="G185" s="22" t="str">
        <f>IFERROR(__xludf.DUMMYFUNCTION("""COMPUTED_VALUE"""),"Bradley")</f>
        <v>Bradley</v>
      </c>
      <c r="H185" s="22" t="str">
        <f>IFERROR(__xludf.DUMMYFUNCTION("""COMPUTED_VALUE"""),"Drucker")</f>
        <v>Drucker</v>
      </c>
      <c r="I185" s="22" t="str">
        <f>IFERROR(__xludf.DUMMYFUNCTION("""COMPUTED_VALUE"""),"Consumer")</f>
        <v>Consumer</v>
      </c>
      <c r="J185" s="22" t="str">
        <f>IFERROR(__xludf.DUMMYFUNCTION("""COMPUTED_VALUE"""),"Green Bay")</f>
        <v>Green Bay</v>
      </c>
      <c r="K185" s="22" t="str">
        <f>IFERROR(__xludf.DUMMYFUNCTION("""COMPUTED_VALUE"""),"Wisconsin")</f>
        <v>Wisconsin</v>
      </c>
      <c r="L185" s="22" t="str">
        <f>IFERROR(__xludf.DUMMYFUNCTION("""COMPUTED_VALUE"""),"Central")</f>
        <v>Central</v>
      </c>
      <c r="M185" s="22" t="str">
        <f>IFERROR(__xludf.DUMMYFUNCTION("""COMPUTED_VALUE"""),"Technology")</f>
        <v>Technology</v>
      </c>
      <c r="N185" s="18">
        <f>IFERROR(__xludf.DUMMYFUNCTION("""COMPUTED_VALUE"""),468.9)</f>
        <v>468.9</v>
      </c>
      <c r="O185" s="18">
        <f>IFERROR(__xludf.DUMMYFUNCTION("""COMPUTED_VALUE"""),467.96)</f>
        <v>467.96</v>
      </c>
      <c r="P185" s="22">
        <f>IFERROR(__xludf.DUMMYFUNCTION("""COMPUTED_VALUE"""),5.0)</f>
        <v>5</v>
      </c>
      <c r="Q185" s="18">
        <f>IFERROR(__xludf.DUMMYFUNCTION("""COMPUTED_VALUE"""),2344.5)</f>
        <v>2344.5</v>
      </c>
      <c r="R185" s="18">
        <f>IFERROR(__xludf.DUMMYFUNCTION("""COMPUTED_VALUE"""),1876.54)</f>
        <v>1876.54</v>
      </c>
    </row>
    <row r="186">
      <c r="A186" s="21">
        <f>IFERROR(__xludf.DUMMYFUNCTION("""COMPUTED_VALUE"""),42930.0)</f>
        <v>42930</v>
      </c>
      <c r="B186" s="21" t="str">
        <f>IFERROR(__xludf.DUMMYFUNCTION("""COMPUTED_VALUE"""),"Jul")</f>
        <v>Jul</v>
      </c>
      <c r="C186" s="9">
        <f>IFERROR(__xludf.DUMMYFUNCTION("""COMPUTED_VALUE"""),42933.0)</f>
        <v>42933</v>
      </c>
      <c r="D186" s="23" t="str">
        <f>IFERROR(__xludf.DUMMYFUNCTION("""COMPUTED_VALUE"""),"Jul")</f>
        <v>Jul</v>
      </c>
      <c r="E186" s="21" t="str">
        <f>IFERROR(__xludf.DUMMYFUNCTION("""COMPUTED_VALUE"""),"2017")</f>
        <v>2017</v>
      </c>
      <c r="F186" s="22" t="str">
        <f>IFERROR(__xludf.DUMMYFUNCTION("""COMPUTED_VALUE"""),"First Class")</f>
        <v>First Class</v>
      </c>
      <c r="G186" s="22" t="str">
        <f>IFERROR(__xludf.DUMMYFUNCTION("""COMPUTED_VALUE"""),"Erin")</f>
        <v>Erin</v>
      </c>
      <c r="H186" s="22" t="str">
        <f>IFERROR(__xludf.DUMMYFUNCTION("""COMPUTED_VALUE"""),"Smith")</f>
        <v>Smith</v>
      </c>
      <c r="I186" s="22" t="str">
        <f>IFERROR(__xludf.DUMMYFUNCTION("""COMPUTED_VALUE"""),"Corporate")</f>
        <v>Corporate</v>
      </c>
      <c r="J186" s="22" t="str">
        <f>IFERROR(__xludf.DUMMYFUNCTION("""COMPUTED_VALUE"""),"Tucson")</f>
        <v>Tucson</v>
      </c>
      <c r="K186" s="22" t="str">
        <f>IFERROR(__xludf.DUMMYFUNCTION("""COMPUTED_VALUE"""),"Arizona")</f>
        <v>Arizona</v>
      </c>
      <c r="L186" s="22" t="str">
        <f>IFERROR(__xludf.DUMMYFUNCTION("""COMPUTED_VALUE"""),"West")</f>
        <v>West</v>
      </c>
      <c r="M186" s="22" t="str">
        <f>IFERROR(__xludf.DUMMYFUNCTION("""COMPUTED_VALUE"""),"Technology")</f>
        <v>Technology</v>
      </c>
      <c r="N186" s="18">
        <f>IFERROR(__xludf.DUMMYFUNCTION("""COMPUTED_VALUE"""),380.864)</f>
        <v>380.864</v>
      </c>
      <c r="O186" s="18">
        <f>IFERROR(__xludf.DUMMYFUNCTION("""COMPUTED_VALUE"""),380.6)</f>
        <v>380.6</v>
      </c>
      <c r="P186" s="22">
        <f>IFERROR(__xludf.DUMMYFUNCTION("""COMPUTED_VALUE"""),8.0)</f>
        <v>8</v>
      </c>
      <c r="Q186" s="18">
        <f>IFERROR(__xludf.DUMMYFUNCTION("""COMPUTED_VALUE"""),3046.912)</f>
        <v>3046.912</v>
      </c>
      <c r="R186" s="18">
        <f>IFERROR(__xludf.DUMMYFUNCTION("""COMPUTED_VALUE"""),2666.312)</f>
        <v>2666.312</v>
      </c>
    </row>
    <row r="187">
      <c r="A187" s="21">
        <f>IFERROR(__xludf.DUMMYFUNCTION("""COMPUTED_VALUE"""),42722.0)</f>
        <v>42722</v>
      </c>
      <c r="B187" s="21" t="str">
        <f>IFERROR(__xludf.DUMMYFUNCTION("""COMPUTED_VALUE"""),"Dec")</f>
        <v>Dec</v>
      </c>
      <c r="C187" s="9">
        <f>IFERROR(__xludf.DUMMYFUNCTION("""COMPUTED_VALUE"""),42727.0)</f>
        <v>42727</v>
      </c>
      <c r="D187" s="23" t="str">
        <f>IFERROR(__xludf.DUMMYFUNCTION("""COMPUTED_VALUE"""),"Dec")</f>
        <v>Dec</v>
      </c>
      <c r="E187" s="21" t="str">
        <f>IFERROR(__xludf.DUMMYFUNCTION("""COMPUTED_VALUE"""),"2016")</f>
        <v>2016</v>
      </c>
      <c r="F187" s="22" t="str">
        <f>IFERROR(__xludf.DUMMYFUNCTION("""COMPUTED_VALUE"""),"Standard Class")</f>
        <v>Standard Class</v>
      </c>
      <c r="G187" s="22" t="str">
        <f>IFERROR(__xludf.DUMMYFUNCTION("""COMPUTED_VALUE"""),"Liz")</f>
        <v>Liz</v>
      </c>
      <c r="H187" s="22" t="str">
        <f>IFERROR(__xludf.DUMMYFUNCTION("""COMPUTED_VALUE"""),"MacKendrick")</f>
        <v>MacKendrick</v>
      </c>
      <c r="I187" s="22" t="str">
        <f>IFERROR(__xludf.DUMMYFUNCTION("""COMPUTED_VALUE"""),"Consumer")</f>
        <v>Consumer</v>
      </c>
      <c r="J187" s="22" t="str">
        <f>IFERROR(__xludf.DUMMYFUNCTION("""COMPUTED_VALUE"""),"Springfield")</f>
        <v>Springfield</v>
      </c>
      <c r="K187" s="22" t="str">
        <f>IFERROR(__xludf.DUMMYFUNCTION("""COMPUTED_VALUE"""),"Ohio")</f>
        <v>Ohio</v>
      </c>
      <c r="L187" s="22" t="str">
        <f>IFERROR(__xludf.DUMMYFUNCTION("""COMPUTED_VALUE"""),"East")</f>
        <v>East</v>
      </c>
      <c r="M187" s="22" t="str">
        <f>IFERROR(__xludf.DUMMYFUNCTION("""COMPUTED_VALUE"""),"Office Supplies")</f>
        <v>Office Supplies</v>
      </c>
      <c r="N187" s="18">
        <f>IFERROR(__xludf.DUMMYFUNCTION("""COMPUTED_VALUE"""),646.776)</f>
        <v>646.776</v>
      </c>
      <c r="O187" s="18">
        <f>IFERROR(__xludf.DUMMYFUNCTION("""COMPUTED_VALUE"""),646.66)</f>
        <v>646.66</v>
      </c>
      <c r="P187" s="22">
        <f>IFERROR(__xludf.DUMMYFUNCTION("""COMPUTED_VALUE"""),4.0)</f>
        <v>4</v>
      </c>
      <c r="Q187" s="18">
        <f>IFERROR(__xludf.DUMMYFUNCTION("""COMPUTED_VALUE"""),2587.104)</f>
        <v>2587.104</v>
      </c>
      <c r="R187" s="18">
        <f>IFERROR(__xludf.DUMMYFUNCTION("""COMPUTED_VALUE"""),1940.444)</f>
        <v>1940.444</v>
      </c>
    </row>
    <row r="188">
      <c r="A188" s="21">
        <f>IFERROR(__xludf.DUMMYFUNCTION("""COMPUTED_VALUE"""),42313.0)</f>
        <v>42313</v>
      </c>
      <c r="B188" s="21" t="str">
        <f>IFERROR(__xludf.DUMMYFUNCTION("""COMPUTED_VALUE"""),"Nov")</f>
        <v>Nov</v>
      </c>
      <c r="C188" s="9">
        <f>IFERROR(__xludf.DUMMYFUNCTION("""COMPUTED_VALUE"""),42140.0)</f>
        <v>42140</v>
      </c>
      <c r="D188" s="23" t="str">
        <f>IFERROR(__xludf.DUMMYFUNCTION("""COMPUTED_VALUE"""),"May")</f>
        <v>May</v>
      </c>
      <c r="E188" s="21" t="str">
        <f>IFERROR(__xludf.DUMMYFUNCTION("""COMPUTED_VALUE"""),"2015")</f>
        <v>2015</v>
      </c>
      <c r="F188" s="22" t="str">
        <f>IFERROR(__xludf.DUMMYFUNCTION("""COMPUTED_VALUE"""),"Standard Class")</f>
        <v>Standard Class</v>
      </c>
      <c r="G188" s="22" t="str">
        <f>IFERROR(__xludf.DUMMYFUNCTION("""COMPUTED_VALUE"""),"Paul")</f>
        <v>Paul</v>
      </c>
      <c r="H188" s="22" t="str">
        <f>IFERROR(__xludf.DUMMYFUNCTION("""COMPUTED_VALUE"""),"Gonzalez")</f>
        <v>Gonzalez</v>
      </c>
      <c r="I188" s="22" t="str">
        <f>IFERROR(__xludf.DUMMYFUNCTION("""COMPUTED_VALUE"""),"Consumer")</f>
        <v>Consumer</v>
      </c>
      <c r="J188" s="22" t="str">
        <f>IFERROR(__xludf.DUMMYFUNCTION("""COMPUTED_VALUE"""),"Fort Worth")</f>
        <v>Fort Worth</v>
      </c>
      <c r="K188" s="22" t="str">
        <f>IFERROR(__xludf.DUMMYFUNCTION("""COMPUTED_VALUE"""),"Texas")</f>
        <v>Texas</v>
      </c>
      <c r="L188" s="22" t="str">
        <f>IFERROR(__xludf.DUMMYFUNCTION("""COMPUTED_VALUE"""),"Central")</f>
        <v>Central</v>
      </c>
      <c r="M188" s="22" t="str">
        <f>IFERROR(__xludf.DUMMYFUNCTION("""COMPUTED_VALUE"""),"Technology")</f>
        <v>Technology</v>
      </c>
      <c r="N188" s="18">
        <f>IFERROR(__xludf.DUMMYFUNCTION("""COMPUTED_VALUE"""),100.792)</f>
        <v>100.792</v>
      </c>
      <c r="O188" s="18">
        <f>IFERROR(__xludf.DUMMYFUNCTION("""COMPUTED_VALUE"""),100.58)</f>
        <v>100.58</v>
      </c>
      <c r="P188" s="22">
        <f>IFERROR(__xludf.DUMMYFUNCTION("""COMPUTED_VALUE"""),7.0)</f>
        <v>7</v>
      </c>
      <c r="Q188" s="18">
        <f>IFERROR(__xludf.DUMMYFUNCTION("""COMPUTED_VALUE"""),705.544)</f>
        <v>705.544</v>
      </c>
      <c r="R188" s="18">
        <f>IFERROR(__xludf.DUMMYFUNCTION("""COMPUTED_VALUE"""),604.9639999999999)</f>
        <v>604.964</v>
      </c>
    </row>
    <row r="189">
      <c r="A189" s="21">
        <f>IFERROR(__xludf.DUMMYFUNCTION("""COMPUTED_VALUE"""),42689.0)</f>
        <v>42689</v>
      </c>
      <c r="B189" s="21" t="str">
        <f>IFERROR(__xludf.DUMMYFUNCTION("""COMPUTED_VALUE"""),"Nov")</f>
        <v>Nov</v>
      </c>
      <c r="C189" s="9">
        <f>IFERROR(__xludf.DUMMYFUNCTION("""COMPUTED_VALUE"""),42691.0)</f>
        <v>42691</v>
      </c>
      <c r="D189" s="23" t="str">
        <f>IFERROR(__xludf.DUMMYFUNCTION("""COMPUTED_VALUE"""),"Nov")</f>
        <v>Nov</v>
      </c>
      <c r="E189" s="21" t="str">
        <f>IFERROR(__xludf.DUMMYFUNCTION("""COMPUTED_VALUE"""),"2016")</f>
        <v>2016</v>
      </c>
      <c r="F189" s="22" t="str">
        <f>IFERROR(__xludf.DUMMYFUNCTION("""COMPUTED_VALUE"""),"Second Class")</f>
        <v>Second Class</v>
      </c>
      <c r="G189" s="22" t="str">
        <f>IFERROR(__xludf.DUMMYFUNCTION("""COMPUTED_VALUE"""),"Dean")</f>
        <v>Dean</v>
      </c>
      <c r="H189" s="22" t="str">
        <f>IFERROR(__xludf.DUMMYFUNCTION("""COMPUTED_VALUE"""),"Katz")</f>
        <v>Katz</v>
      </c>
      <c r="I189" s="22" t="str">
        <f>IFERROR(__xludf.DUMMYFUNCTION("""COMPUTED_VALUE"""),"Corporate")</f>
        <v>Corporate</v>
      </c>
      <c r="J189" s="22" t="str">
        <f>IFERROR(__xludf.DUMMYFUNCTION("""COMPUTED_VALUE"""),"Chicago")</f>
        <v>Chicago</v>
      </c>
      <c r="K189" s="22" t="str">
        <f>IFERROR(__xludf.DUMMYFUNCTION("""COMPUTED_VALUE"""),"Illinois")</f>
        <v>Illinois</v>
      </c>
      <c r="L189" s="22" t="str">
        <f>IFERROR(__xludf.DUMMYFUNCTION("""COMPUTED_VALUE"""),"Central")</f>
        <v>Central</v>
      </c>
      <c r="M189" s="22" t="str">
        <f>IFERROR(__xludf.DUMMYFUNCTION("""COMPUTED_VALUE"""),"Office Supplies")</f>
        <v>Office Supplies</v>
      </c>
      <c r="N189" s="18">
        <f>IFERROR(__xludf.DUMMYFUNCTION("""COMPUTED_VALUE"""),250.272)</f>
        <v>250.272</v>
      </c>
      <c r="O189" s="18">
        <f>IFERROR(__xludf.DUMMYFUNCTION("""COMPUTED_VALUE"""),249.83)</f>
        <v>249.83</v>
      </c>
      <c r="P189" s="22">
        <f>IFERROR(__xludf.DUMMYFUNCTION("""COMPUTED_VALUE"""),6.0)</f>
        <v>6</v>
      </c>
      <c r="Q189" s="18">
        <f>IFERROR(__xludf.DUMMYFUNCTION("""COMPUTED_VALUE"""),1501.632)</f>
        <v>1501.632</v>
      </c>
      <c r="R189" s="18">
        <f>IFERROR(__xludf.DUMMYFUNCTION("""COMPUTED_VALUE"""),1251.8020000000001)</f>
        <v>1251.802</v>
      </c>
    </row>
    <row r="190">
      <c r="A190" s="21">
        <f>IFERROR(__xludf.DUMMYFUNCTION("""COMPUTED_VALUE"""),42840.0)</f>
        <v>42840</v>
      </c>
      <c r="B190" s="21" t="str">
        <f>IFERROR(__xludf.DUMMYFUNCTION("""COMPUTED_VALUE"""),"Apr")</f>
        <v>Apr</v>
      </c>
      <c r="C190" s="9">
        <f>IFERROR(__xludf.DUMMYFUNCTION("""COMPUTED_VALUE"""),42842.0)</f>
        <v>42842</v>
      </c>
      <c r="D190" s="23" t="str">
        <f>IFERROR(__xludf.DUMMYFUNCTION("""COMPUTED_VALUE"""),"Apr")</f>
        <v>Apr</v>
      </c>
      <c r="E190" s="21" t="str">
        <f>IFERROR(__xludf.DUMMYFUNCTION("""COMPUTED_VALUE"""),"2017")</f>
        <v>2017</v>
      </c>
      <c r="F190" s="22" t="str">
        <f>IFERROR(__xludf.DUMMYFUNCTION("""COMPUTED_VALUE"""),"Second Class")</f>
        <v>Second Class</v>
      </c>
      <c r="G190" s="22" t="str">
        <f>IFERROR(__xludf.DUMMYFUNCTION("""COMPUTED_VALUE"""),"Bill")</f>
        <v>Bill</v>
      </c>
      <c r="H190" s="22" t="str">
        <f>IFERROR(__xludf.DUMMYFUNCTION("""COMPUTED_VALUE"""),"Donatelli")</f>
        <v>Donatelli</v>
      </c>
      <c r="I190" s="22" t="str">
        <f>IFERROR(__xludf.DUMMYFUNCTION("""COMPUTED_VALUE"""),"Consumer")</f>
        <v>Consumer</v>
      </c>
      <c r="J190" s="22" t="str">
        <f>IFERROR(__xludf.DUMMYFUNCTION("""COMPUTED_VALUE"""),"San Francisco")</f>
        <v>San Francisco</v>
      </c>
      <c r="K190" s="22" t="str">
        <f>IFERROR(__xludf.DUMMYFUNCTION("""COMPUTED_VALUE"""),"California")</f>
        <v>California</v>
      </c>
      <c r="L190" s="22" t="str">
        <f>IFERROR(__xludf.DUMMYFUNCTION("""COMPUTED_VALUE"""),"West")</f>
        <v>West</v>
      </c>
      <c r="M190" s="22" t="str">
        <f>IFERROR(__xludf.DUMMYFUNCTION("""COMPUTED_VALUE"""),"Furniture")</f>
        <v>Furniture</v>
      </c>
      <c r="N190" s="18">
        <f>IFERROR(__xludf.DUMMYFUNCTION("""COMPUTED_VALUE"""),1121.568)</f>
        <v>1121.568</v>
      </c>
      <c r="O190" s="18">
        <f>IFERROR(__xludf.DUMMYFUNCTION("""COMPUTED_VALUE"""),1120.83)</f>
        <v>1120.83</v>
      </c>
      <c r="P190" s="22">
        <f>IFERROR(__xludf.DUMMYFUNCTION("""COMPUTED_VALUE"""),9.0)</f>
        <v>9</v>
      </c>
      <c r="Q190" s="18">
        <f>IFERROR(__xludf.DUMMYFUNCTION("""COMPUTED_VALUE"""),10094.112)</f>
        <v>10094.112</v>
      </c>
      <c r="R190" s="18">
        <f>IFERROR(__xludf.DUMMYFUNCTION("""COMPUTED_VALUE"""),8973.282)</f>
        <v>8973.282</v>
      </c>
    </row>
    <row r="191">
      <c r="A191" s="21">
        <f>IFERROR(__xludf.DUMMYFUNCTION("""COMPUTED_VALUE"""),43280.0)</f>
        <v>43280</v>
      </c>
      <c r="B191" s="21" t="str">
        <f>IFERROR(__xludf.DUMMYFUNCTION("""COMPUTED_VALUE"""),"Jun")</f>
        <v>Jun</v>
      </c>
      <c r="C191" s="9">
        <f>IFERROR(__xludf.DUMMYFUNCTION("""COMPUTED_VALUE"""),43166.0)</f>
        <v>43166</v>
      </c>
      <c r="D191" s="23" t="str">
        <f>IFERROR(__xludf.DUMMYFUNCTION("""COMPUTED_VALUE"""),"Mar")</f>
        <v>Mar</v>
      </c>
      <c r="E191" s="21" t="str">
        <f>IFERROR(__xludf.DUMMYFUNCTION("""COMPUTED_VALUE"""),"2018")</f>
        <v>2018</v>
      </c>
      <c r="F191" s="22" t="str">
        <f>IFERROR(__xludf.DUMMYFUNCTION("""COMPUTED_VALUE"""),"Second Class")</f>
        <v>Second Class</v>
      </c>
      <c r="G191" s="22" t="str">
        <f>IFERROR(__xludf.DUMMYFUNCTION("""COMPUTED_VALUE"""),"Dean")</f>
        <v>Dean</v>
      </c>
      <c r="H191" s="22" t="str">
        <f>IFERROR(__xludf.DUMMYFUNCTION("""COMPUTED_VALUE"""),"Katz")</f>
        <v>Katz</v>
      </c>
      <c r="I191" s="22" t="str">
        <f>IFERROR(__xludf.DUMMYFUNCTION("""COMPUTED_VALUE"""),"Corporate")</f>
        <v>Corporate</v>
      </c>
      <c r="J191" s="22" t="str">
        <f>IFERROR(__xludf.DUMMYFUNCTION("""COMPUTED_VALUE"""),"Anaheim")</f>
        <v>Anaheim</v>
      </c>
      <c r="K191" s="22" t="str">
        <f>IFERROR(__xludf.DUMMYFUNCTION("""COMPUTED_VALUE"""),"California")</f>
        <v>California</v>
      </c>
      <c r="L191" s="22" t="str">
        <f>IFERROR(__xludf.DUMMYFUNCTION("""COMPUTED_VALUE"""),"West")</f>
        <v>West</v>
      </c>
      <c r="M191" s="22" t="str">
        <f>IFERROR(__xludf.DUMMYFUNCTION("""COMPUTED_VALUE"""),"Office Supplies")</f>
        <v>Office Supplies</v>
      </c>
      <c r="N191" s="18">
        <f>IFERROR(__xludf.DUMMYFUNCTION("""COMPUTED_VALUE"""),1295.78)</f>
        <v>1295.78</v>
      </c>
      <c r="O191" s="18">
        <f>IFERROR(__xludf.DUMMYFUNCTION("""COMPUTED_VALUE"""),1295.24)</f>
        <v>1295.24</v>
      </c>
      <c r="P191" s="22">
        <f>IFERROR(__xludf.DUMMYFUNCTION("""COMPUTED_VALUE"""),9.0)</f>
        <v>9</v>
      </c>
      <c r="Q191" s="18">
        <f>IFERROR(__xludf.DUMMYFUNCTION("""COMPUTED_VALUE"""),11662.02)</f>
        <v>11662.02</v>
      </c>
      <c r="R191" s="18">
        <f>IFERROR(__xludf.DUMMYFUNCTION("""COMPUTED_VALUE"""),10366.78)</f>
        <v>10366.78</v>
      </c>
    </row>
    <row r="192">
      <c r="A192" s="21">
        <f>IFERROR(__xludf.DUMMYFUNCTION("""COMPUTED_VALUE"""),43014.0)</f>
        <v>43014</v>
      </c>
      <c r="B192" s="21" t="str">
        <f>IFERROR(__xludf.DUMMYFUNCTION("""COMPUTED_VALUE"""),"Oct")</f>
        <v>Oct</v>
      </c>
      <c r="C192" s="9">
        <f>IFERROR(__xludf.DUMMYFUNCTION("""COMPUTED_VALUE"""),42901.0)</f>
        <v>42901</v>
      </c>
      <c r="D192" s="23" t="str">
        <f>IFERROR(__xludf.DUMMYFUNCTION("""COMPUTED_VALUE"""),"Jun")</f>
        <v>Jun</v>
      </c>
      <c r="E192" s="21" t="str">
        <f>IFERROR(__xludf.DUMMYFUNCTION("""COMPUTED_VALUE"""),"2017")</f>
        <v>2017</v>
      </c>
      <c r="F192" s="22" t="str">
        <f>IFERROR(__xludf.DUMMYFUNCTION("""COMPUTED_VALUE"""),"Standard Class")</f>
        <v>Standard Class</v>
      </c>
      <c r="G192" s="22" t="str">
        <f>IFERROR(__xludf.DUMMYFUNCTION("""COMPUTED_VALUE"""),"Olvera")</f>
        <v>Olvera</v>
      </c>
      <c r="H192" s="22" t="str">
        <f>IFERROR(__xludf.DUMMYFUNCTION("""COMPUTED_VALUE"""),"Toch")</f>
        <v>Toch</v>
      </c>
      <c r="I192" s="22" t="str">
        <f>IFERROR(__xludf.DUMMYFUNCTION("""COMPUTED_VALUE"""),"Consumer")</f>
        <v>Consumer</v>
      </c>
      <c r="J192" s="22" t="str">
        <f>IFERROR(__xludf.DUMMYFUNCTION("""COMPUTED_VALUE"""),"Los Angeles")</f>
        <v>Los Angeles</v>
      </c>
      <c r="K192" s="22" t="str">
        <f>IFERROR(__xludf.DUMMYFUNCTION("""COMPUTED_VALUE"""),"California")</f>
        <v>California</v>
      </c>
      <c r="L192" s="22" t="str">
        <f>IFERROR(__xludf.DUMMYFUNCTION("""COMPUTED_VALUE"""),"West")</f>
        <v>West</v>
      </c>
      <c r="M192" s="22" t="str">
        <f>IFERROR(__xludf.DUMMYFUNCTION("""COMPUTED_VALUE"""),"Furniture")</f>
        <v>Furniture</v>
      </c>
      <c r="N192" s="18">
        <f>IFERROR(__xludf.DUMMYFUNCTION("""COMPUTED_VALUE"""),1335.68)</f>
        <v>1335.68</v>
      </c>
      <c r="O192" s="18">
        <f>IFERROR(__xludf.DUMMYFUNCTION("""COMPUTED_VALUE"""),1335.12)</f>
        <v>1335.12</v>
      </c>
      <c r="P192" s="22">
        <f>IFERROR(__xludf.DUMMYFUNCTION("""COMPUTED_VALUE"""),9.0)</f>
        <v>9</v>
      </c>
      <c r="Q192" s="18">
        <f>IFERROR(__xludf.DUMMYFUNCTION("""COMPUTED_VALUE"""),12021.12)</f>
        <v>12021.12</v>
      </c>
      <c r="R192" s="18">
        <f>IFERROR(__xludf.DUMMYFUNCTION("""COMPUTED_VALUE"""),10686.0)</f>
        <v>10686</v>
      </c>
    </row>
    <row r="193">
      <c r="A193" s="21">
        <f>IFERROR(__xludf.DUMMYFUNCTION("""COMPUTED_VALUE"""),43424.0)</f>
        <v>43424</v>
      </c>
      <c r="B193" s="21" t="str">
        <f>IFERROR(__xludf.DUMMYFUNCTION("""COMPUTED_VALUE"""),"Nov")</f>
        <v>Nov</v>
      </c>
      <c r="C193" s="9">
        <f>IFERROR(__xludf.DUMMYFUNCTION("""COMPUTED_VALUE"""),43426.0)</f>
        <v>43426</v>
      </c>
      <c r="D193" s="23" t="str">
        <f>IFERROR(__xludf.DUMMYFUNCTION("""COMPUTED_VALUE"""),"Nov")</f>
        <v>Nov</v>
      </c>
      <c r="E193" s="21" t="str">
        <f>IFERROR(__xludf.DUMMYFUNCTION("""COMPUTED_VALUE"""),"2018")</f>
        <v>2018</v>
      </c>
      <c r="F193" s="22" t="str">
        <f>IFERROR(__xludf.DUMMYFUNCTION("""COMPUTED_VALUE"""),"Second Class")</f>
        <v>Second Class</v>
      </c>
      <c r="G193" s="22" t="str">
        <f>IFERROR(__xludf.DUMMYFUNCTION("""COMPUTED_VALUE"""),"Liz")</f>
        <v>Liz</v>
      </c>
      <c r="H193" s="22" t="str">
        <f>IFERROR(__xludf.DUMMYFUNCTION("""COMPUTED_VALUE"""),"Pelletier")</f>
        <v>Pelletier</v>
      </c>
      <c r="I193" s="22" t="str">
        <f>IFERROR(__xludf.DUMMYFUNCTION("""COMPUTED_VALUE"""),"Consumer")</f>
        <v>Consumer</v>
      </c>
      <c r="J193" s="22" t="str">
        <f>IFERROR(__xludf.DUMMYFUNCTION("""COMPUTED_VALUE"""),"San Francisco")</f>
        <v>San Francisco</v>
      </c>
      <c r="K193" s="22" t="str">
        <f>IFERROR(__xludf.DUMMYFUNCTION("""COMPUTED_VALUE"""),"California")</f>
        <v>California</v>
      </c>
      <c r="L193" s="22" t="str">
        <f>IFERROR(__xludf.DUMMYFUNCTION("""COMPUTED_VALUE"""),"West")</f>
        <v>West</v>
      </c>
      <c r="M193" s="22" t="str">
        <f>IFERROR(__xludf.DUMMYFUNCTION("""COMPUTED_VALUE"""),"Office Supplies")</f>
        <v>Office Supplies</v>
      </c>
      <c r="N193" s="18">
        <f>IFERROR(__xludf.DUMMYFUNCTION("""COMPUTED_VALUE"""),84.056)</f>
        <v>84.056</v>
      </c>
      <c r="O193" s="18">
        <f>IFERROR(__xludf.DUMMYFUNCTION("""COMPUTED_VALUE"""),83.54)</f>
        <v>83.54</v>
      </c>
      <c r="P193" s="22">
        <f>IFERROR(__xludf.DUMMYFUNCTION("""COMPUTED_VALUE"""),9.0)</f>
        <v>9</v>
      </c>
      <c r="Q193" s="18">
        <f>IFERROR(__xludf.DUMMYFUNCTION("""COMPUTED_VALUE"""),756.504)</f>
        <v>756.504</v>
      </c>
      <c r="R193" s="18">
        <f>IFERROR(__xludf.DUMMYFUNCTION("""COMPUTED_VALUE"""),672.964)</f>
        <v>672.964</v>
      </c>
    </row>
    <row r="194">
      <c r="A194" s="21">
        <f>IFERROR(__xludf.DUMMYFUNCTION("""COMPUTED_VALUE"""),43293.0)</f>
        <v>43293</v>
      </c>
      <c r="B194" s="21" t="str">
        <f>IFERROR(__xludf.DUMMYFUNCTION("""COMPUTED_VALUE"""),"Jul")</f>
        <v>Jul</v>
      </c>
      <c r="C194" s="9">
        <f>IFERROR(__xludf.DUMMYFUNCTION("""COMPUTED_VALUE"""),43385.0)</f>
        <v>43385</v>
      </c>
      <c r="D194" s="23" t="str">
        <f>IFERROR(__xludf.DUMMYFUNCTION("""COMPUTED_VALUE"""),"Oct")</f>
        <v>Oct</v>
      </c>
      <c r="E194" s="21" t="str">
        <f>IFERROR(__xludf.DUMMYFUNCTION("""COMPUTED_VALUE"""),"2018")</f>
        <v>2018</v>
      </c>
      <c r="F194" s="22" t="str">
        <f>IFERROR(__xludf.DUMMYFUNCTION("""COMPUTED_VALUE"""),"First Class")</f>
        <v>First Class</v>
      </c>
      <c r="G194" s="22" t="str">
        <f>IFERROR(__xludf.DUMMYFUNCTION("""COMPUTED_VALUE"""),"Frank")</f>
        <v>Frank</v>
      </c>
      <c r="H194" s="22" t="str">
        <f>IFERROR(__xludf.DUMMYFUNCTION("""COMPUTED_VALUE"""),"Preis")</f>
        <v>Preis</v>
      </c>
      <c r="I194" s="22" t="str">
        <f>IFERROR(__xludf.DUMMYFUNCTION("""COMPUTED_VALUE"""),"Consumer")</f>
        <v>Consumer</v>
      </c>
      <c r="J194" s="22" t="str">
        <f>IFERROR(__xludf.DUMMYFUNCTION("""COMPUTED_VALUE"""),"Los Angeles")</f>
        <v>Los Angeles</v>
      </c>
      <c r="K194" s="22" t="str">
        <f>IFERROR(__xludf.DUMMYFUNCTION("""COMPUTED_VALUE"""),"California")</f>
        <v>California</v>
      </c>
      <c r="L194" s="22" t="str">
        <f>IFERROR(__xludf.DUMMYFUNCTION("""COMPUTED_VALUE"""),"West")</f>
        <v>West</v>
      </c>
      <c r="M194" s="22" t="str">
        <f>IFERROR(__xludf.DUMMYFUNCTION("""COMPUTED_VALUE"""),"Technology")</f>
        <v>Technology</v>
      </c>
      <c r="N194" s="18">
        <f>IFERROR(__xludf.DUMMYFUNCTION("""COMPUTED_VALUE"""),374.376)</f>
        <v>374.376</v>
      </c>
      <c r="O194" s="18">
        <f>IFERROR(__xludf.DUMMYFUNCTION("""COMPUTED_VALUE"""),373.52)</f>
        <v>373.52</v>
      </c>
      <c r="P194" s="22">
        <f>IFERROR(__xludf.DUMMYFUNCTION("""COMPUTED_VALUE"""),9.0)</f>
        <v>9</v>
      </c>
      <c r="Q194" s="18">
        <f>IFERROR(__xludf.DUMMYFUNCTION("""COMPUTED_VALUE"""),3369.384)</f>
        <v>3369.384</v>
      </c>
      <c r="R194" s="18">
        <f>IFERROR(__xludf.DUMMYFUNCTION("""COMPUTED_VALUE"""),2995.864)</f>
        <v>2995.864</v>
      </c>
    </row>
    <row r="195">
      <c r="A195" s="21">
        <f>IFERROR(__xludf.DUMMYFUNCTION("""COMPUTED_VALUE"""),43110.0)</f>
        <v>43110</v>
      </c>
      <c r="B195" s="21" t="str">
        <f>IFERROR(__xludf.DUMMYFUNCTION("""COMPUTED_VALUE"""),"Jan")</f>
        <v>Jan</v>
      </c>
      <c r="C195" s="9">
        <f>IFERROR(__xludf.DUMMYFUNCTION("""COMPUTED_VALUE"""),43322.0)</f>
        <v>43322</v>
      </c>
      <c r="D195" s="23" t="str">
        <f>IFERROR(__xludf.DUMMYFUNCTION("""COMPUTED_VALUE"""),"Aug")</f>
        <v>Aug</v>
      </c>
      <c r="E195" s="21" t="str">
        <f>IFERROR(__xludf.DUMMYFUNCTION("""COMPUTED_VALUE"""),"2018")</f>
        <v>2018</v>
      </c>
      <c r="F195" s="22" t="str">
        <f>IFERROR(__xludf.DUMMYFUNCTION("""COMPUTED_VALUE"""),"Standard Class")</f>
        <v>Standard Class</v>
      </c>
      <c r="G195" s="22" t="str">
        <f>IFERROR(__xludf.DUMMYFUNCTION("""COMPUTED_VALUE"""),"Ellis")</f>
        <v>Ellis</v>
      </c>
      <c r="H195" s="22" t="str">
        <f>IFERROR(__xludf.DUMMYFUNCTION("""COMPUTED_VALUE"""),"Ballard")</f>
        <v>Ballard</v>
      </c>
      <c r="I195" s="22" t="str">
        <f>IFERROR(__xludf.DUMMYFUNCTION("""COMPUTED_VALUE"""),"Corporate")</f>
        <v>Corporate</v>
      </c>
      <c r="J195" s="22" t="str">
        <f>IFERROR(__xludf.DUMMYFUNCTION("""COMPUTED_VALUE"""),"Seattle")</f>
        <v>Seattle</v>
      </c>
      <c r="K195" s="22" t="str">
        <f>IFERROR(__xludf.DUMMYFUNCTION("""COMPUTED_VALUE"""),"Washington")</f>
        <v>Washington</v>
      </c>
      <c r="L195" s="22" t="str">
        <f>IFERROR(__xludf.DUMMYFUNCTION("""COMPUTED_VALUE"""),"West")</f>
        <v>West</v>
      </c>
      <c r="M195" s="22" t="str">
        <f>IFERROR(__xludf.DUMMYFUNCTION("""COMPUTED_VALUE"""),"Office Supplies")</f>
        <v>Office Supplies</v>
      </c>
      <c r="N195" s="18">
        <f>IFERROR(__xludf.DUMMYFUNCTION("""COMPUTED_VALUE"""),91.84)</f>
        <v>91.84</v>
      </c>
      <c r="O195" s="18">
        <f>IFERROR(__xludf.DUMMYFUNCTION("""COMPUTED_VALUE"""),91.28)</f>
        <v>91.28</v>
      </c>
      <c r="P195" s="22">
        <f>IFERROR(__xludf.DUMMYFUNCTION("""COMPUTED_VALUE"""),9.0)</f>
        <v>9</v>
      </c>
      <c r="Q195" s="18">
        <f>IFERROR(__xludf.DUMMYFUNCTION("""COMPUTED_VALUE"""),826.5600000000001)</f>
        <v>826.56</v>
      </c>
      <c r="R195" s="18">
        <f>IFERROR(__xludf.DUMMYFUNCTION("""COMPUTED_VALUE"""),735.2800000000001)</f>
        <v>735.28</v>
      </c>
    </row>
    <row r="196">
      <c r="A196" s="21">
        <f>IFERROR(__xludf.DUMMYFUNCTION("""COMPUTED_VALUE"""),43110.0)</f>
        <v>43110</v>
      </c>
      <c r="B196" s="21" t="str">
        <f>IFERROR(__xludf.DUMMYFUNCTION("""COMPUTED_VALUE"""),"Jan")</f>
        <v>Jan</v>
      </c>
      <c r="C196" s="9">
        <f>IFERROR(__xludf.DUMMYFUNCTION("""COMPUTED_VALUE"""),43322.0)</f>
        <v>43322</v>
      </c>
      <c r="D196" s="23" t="str">
        <f>IFERROR(__xludf.DUMMYFUNCTION("""COMPUTED_VALUE"""),"Aug")</f>
        <v>Aug</v>
      </c>
      <c r="E196" s="21" t="str">
        <f>IFERROR(__xludf.DUMMYFUNCTION("""COMPUTED_VALUE"""),"2018")</f>
        <v>2018</v>
      </c>
      <c r="F196" s="22" t="str">
        <f>IFERROR(__xludf.DUMMYFUNCTION("""COMPUTED_VALUE"""),"Standard Class")</f>
        <v>Standard Class</v>
      </c>
      <c r="G196" s="22" t="str">
        <f>IFERROR(__xludf.DUMMYFUNCTION("""COMPUTED_VALUE"""),"Ellis")</f>
        <v>Ellis</v>
      </c>
      <c r="H196" s="22" t="str">
        <f>IFERROR(__xludf.DUMMYFUNCTION("""COMPUTED_VALUE"""),"Ballard")</f>
        <v>Ballard</v>
      </c>
      <c r="I196" s="22" t="str">
        <f>IFERROR(__xludf.DUMMYFUNCTION("""COMPUTED_VALUE"""),"Corporate")</f>
        <v>Corporate</v>
      </c>
      <c r="J196" s="22" t="str">
        <f>IFERROR(__xludf.DUMMYFUNCTION("""COMPUTED_VALUE"""),"Seattle")</f>
        <v>Seattle</v>
      </c>
      <c r="K196" s="22" t="str">
        <f>IFERROR(__xludf.DUMMYFUNCTION("""COMPUTED_VALUE"""),"Washington")</f>
        <v>Washington</v>
      </c>
      <c r="L196" s="22" t="str">
        <f>IFERROR(__xludf.DUMMYFUNCTION("""COMPUTED_VALUE"""),"West")</f>
        <v>West</v>
      </c>
      <c r="M196" s="22" t="str">
        <f>IFERROR(__xludf.DUMMYFUNCTION("""COMPUTED_VALUE"""),"Office Supplies")</f>
        <v>Office Supplies</v>
      </c>
      <c r="N196" s="18">
        <f>IFERROR(__xludf.DUMMYFUNCTION("""COMPUTED_VALUE"""),81.088)</f>
        <v>81.088</v>
      </c>
      <c r="O196" s="18">
        <f>IFERROR(__xludf.DUMMYFUNCTION("""COMPUTED_VALUE"""),80.34)</f>
        <v>80.34</v>
      </c>
      <c r="P196" s="22">
        <f>IFERROR(__xludf.DUMMYFUNCTION("""COMPUTED_VALUE"""),9.0)</f>
        <v>9</v>
      </c>
      <c r="Q196" s="18">
        <f>IFERROR(__xludf.DUMMYFUNCTION("""COMPUTED_VALUE"""),729.7919999999999)</f>
        <v>729.792</v>
      </c>
      <c r="R196" s="18">
        <f>IFERROR(__xludf.DUMMYFUNCTION("""COMPUTED_VALUE"""),649.4519999999999)</f>
        <v>649.452</v>
      </c>
    </row>
    <row r="197">
      <c r="A197" s="21">
        <f>IFERROR(__xludf.DUMMYFUNCTION("""COMPUTED_VALUE"""),43110.0)</f>
        <v>43110</v>
      </c>
      <c r="B197" s="21" t="str">
        <f>IFERROR(__xludf.DUMMYFUNCTION("""COMPUTED_VALUE"""),"Jan")</f>
        <v>Jan</v>
      </c>
      <c r="C197" s="9">
        <f>IFERROR(__xludf.DUMMYFUNCTION("""COMPUTED_VALUE"""),43322.0)</f>
        <v>43322</v>
      </c>
      <c r="D197" s="23" t="str">
        <f>IFERROR(__xludf.DUMMYFUNCTION("""COMPUTED_VALUE"""),"Aug")</f>
        <v>Aug</v>
      </c>
      <c r="E197" s="21" t="str">
        <f>IFERROR(__xludf.DUMMYFUNCTION("""COMPUTED_VALUE"""),"2018")</f>
        <v>2018</v>
      </c>
      <c r="F197" s="22" t="str">
        <f>IFERROR(__xludf.DUMMYFUNCTION("""COMPUTED_VALUE"""),"Standard Class")</f>
        <v>Standard Class</v>
      </c>
      <c r="G197" s="22" t="str">
        <f>IFERROR(__xludf.DUMMYFUNCTION("""COMPUTED_VALUE"""),"Ellis")</f>
        <v>Ellis</v>
      </c>
      <c r="H197" s="22" t="str">
        <f>IFERROR(__xludf.DUMMYFUNCTION("""COMPUTED_VALUE"""),"Ballard")</f>
        <v>Ballard</v>
      </c>
      <c r="I197" s="22" t="str">
        <f>IFERROR(__xludf.DUMMYFUNCTION("""COMPUTED_VALUE"""),"Corporate")</f>
        <v>Corporate</v>
      </c>
      <c r="J197" s="22" t="str">
        <f>IFERROR(__xludf.DUMMYFUNCTION("""COMPUTED_VALUE"""),"Seattle")</f>
        <v>Seattle</v>
      </c>
      <c r="K197" s="22" t="str">
        <f>IFERROR(__xludf.DUMMYFUNCTION("""COMPUTED_VALUE"""),"Washington")</f>
        <v>Washington</v>
      </c>
      <c r="L197" s="22" t="str">
        <f>IFERROR(__xludf.DUMMYFUNCTION("""COMPUTED_VALUE"""),"West")</f>
        <v>West</v>
      </c>
      <c r="M197" s="22" t="str">
        <f>IFERROR(__xludf.DUMMYFUNCTION("""COMPUTED_VALUE"""),"Furniture")</f>
        <v>Furniture</v>
      </c>
      <c r="N197" s="18">
        <f>IFERROR(__xludf.DUMMYFUNCTION("""COMPUTED_VALUE"""),451.152)</f>
        <v>451.152</v>
      </c>
      <c r="O197" s="18">
        <f>IFERROR(__xludf.DUMMYFUNCTION("""COMPUTED_VALUE"""),450.79)</f>
        <v>450.79</v>
      </c>
      <c r="P197" s="22">
        <f>IFERROR(__xludf.DUMMYFUNCTION("""COMPUTED_VALUE"""),9.0)</f>
        <v>9</v>
      </c>
      <c r="Q197" s="18">
        <f>IFERROR(__xludf.DUMMYFUNCTION("""COMPUTED_VALUE"""),4060.368)</f>
        <v>4060.368</v>
      </c>
      <c r="R197" s="18">
        <f>IFERROR(__xludf.DUMMYFUNCTION("""COMPUTED_VALUE"""),3609.578)</f>
        <v>3609.578</v>
      </c>
    </row>
    <row r="198">
      <c r="A198" s="21">
        <f>IFERROR(__xludf.DUMMYFUNCTION("""COMPUTED_VALUE"""),42631.0)</f>
        <v>42631</v>
      </c>
      <c r="B198" s="21" t="str">
        <f>IFERROR(__xludf.DUMMYFUNCTION("""COMPUTED_VALUE"""),"Sep")</f>
        <v>Sep</v>
      </c>
      <c r="C198" s="9">
        <f>IFERROR(__xludf.DUMMYFUNCTION("""COMPUTED_VALUE"""),42635.0)</f>
        <v>42635</v>
      </c>
      <c r="D198" s="23" t="str">
        <f>IFERROR(__xludf.DUMMYFUNCTION("""COMPUTED_VALUE"""),"Sep")</f>
        <v>Sep</v>
      </c>
      <c r="E198" s="21" t="str">
        <f>IFERROR(__xludf.DUMMYFUNCTION("""COMPUTED_VALUE"""),"2016")</f>
        <v>2016</v>
      </c>
      <c r="F198" s="22" t="str">
        <f>IFERROR(__xludf.DUMMYFUNCTION("""COMPUTED_VALUE"""),"Second Class")</f>
        <v>Second Class</v>
      </c>
      <c r="G198" s="22" t="str">
        <f>IFERROR(__xludf.DUMMYFUNCTION("""COMPUTED_VALUE"""),"Trudy")</f>
        <v>Trudy</v>
      </c>
      <c r="H198" s="22" t="str">
        <f>IFERROR(__xludf.DUMMYFUNCTION("""COMPUTED_VALUE"""),"Glocke")</f>
        <v>Glocke</v>
      </c>
      <c r="I198" s="22" t="str">
        <f>IFERROR(__xludf.DUMMYFUNCTION("""COMPUTED_VALUE"""),"Consumer")</f>
        <v>Consumer</v>
      </c>
      <c r="J198" s="22" t="str">
        <f>IFERROR(__xludf.DUMMYFUNCTION("""COMPUTED_VALUE"""),"Long Beach")</f>
        <v>Long Beach</v>
      </c>
      <c r="K198" s="22" t="str">
        <f>IFERROR(__xludf.DUMMYFUNCTION("""COMPUTED_VALUE"""),"California")</f>
        <v>California</v>
      </c>
      <c r="L198" s="22" t="str">
        <f>IFERROR(__xludf.DUMMYFUNCTION("""COMPUTED_VALUE"""),"West")</f>
        <v>West</v>
      </c>
      <c r="M198" s="22" t="str">
        <f>IFERROR(__xludf.DUMMYFUNCTION("""COMPUTED_VALUE"""),"Office Supplies")</f>
        <v>Office Supplies</v>
      </c>
      <c r="N198" s="18">
        <f>IFERROR(__xludf.DUMMYFUNCTION("""COMPUTED_VALUE"""),160.72)</f>
        <v>160.72</v>
      </c>
      <c r="O198" s="18">
        <f>IFERROR(__xludf.DUMMYFUNCTION("""COMPUTED_VALUE"""),160.1)</f>
        <v>160.1</v>
      </c>
      <c r="P198" s="22">
        <f>IFERROR(__xludf.DUMMYFUNCTION("""COMPUTED_VALUE"""),9.0)</f>
        <v>9</v>
      </c>
      <c r="Q198" s="18">
        <f>IFERROR(__xludf.DUMMYFUNCTION("""COMPUTED_VALUE"""),1446.48)</f>
        <v>1446.48</v>
      </c>
      <c r="R198" s="18">
        <f>IFERROR(__xludf.DUMMYFUNCTION("""COMPUTED_VALUE"""),1286.38)</f>
        <v>1286.38</v>
      </c>
    </row>
    <row r="199">
      <c r="A199" s="21">
        <f>IFERROR(__xludf.DUMMYFUNCTION("""COMPUTED_VALUE"""),43112.0)</f>
        <v>43112</v>
      </c>
      <c r="B199" s="21" t="str">
        <f>IFERROR(__xludf.DUMMYFUNCTION("""COMPUTED_VALUE"""),"Jan")</f>
        <v>Jan</v>
      </c>
      <c r="C199" s="9">
        <f>IFERROR(__xludf.DUMMYFUNCTION("""COMPUTED_VALUE"""),43232.0)</f>
        <v>43232</v>
      </c>
      <c r="D199" s="23" t="str">
        <f>IFERROR(__xludf.DUMMYFUNCTION("""COMPUTED_VALUE"""),"May")</f>
        <v>May</v>
      </c>
      <c r="E199" s="21" t="str">
        <f>IFERROR(__xludf.DUMMYFUNCTION("""COMPUTED_VALUE"""),"2018")</f>
        <v>2018</v>
      </c>
      <c r="F199" s="22" t="str">
        <f>IFERROR(__xludf.DUMMYFUNCTION("""COMPUTED_VALUE"""),"Standard Class")</f>
        <v>Standard Class</v>
      </c>
      <c r="G199" s="22" t="str">
        <f>IFERROR(__xludf.DUMMYFUNCTION("""COMPUTED_VALUE"""),"Dianna")</f>
        <v>Dianna</v>
      </c>
      <c r="H199" s="22" t="str">
        <f>IFERROR(__xludf.DUMMYFUNCTION("""COMPUTED_VALUE"""),"Vittorini")</f>
        <v>Vittorini</v>
      </c>
      <c r="I199" s="22" t="str">
        <f>IFERROR(__xludf.DUMMYFUNCTION("""COMPUTED_VALUE"""),"Consumer")</f>
        <v>Consumer</v>
      </c>
      <c r="J199" s="22" t="str">
        <f>IFERROR(__xludf.DUMMYFUNCTION("""COMPUTED_VALUE"""),"Denver")</f>
        <v>Denver</v>
      </c>
      <c r="K199" s="22" t="str">
        <f>IFERROR(__xludf.DUMMYFUNCTION("""COMPUTED_VALUE"""),"Colorado")</f>
        <v>Colorado</v>
      </c>
      <c r="L199" s="22" t="str">
        <f>IFERROR(__xludf.DUMMYFUNCTION("""COMPUTED_VALUE"""),"West")</f>
        <v>West</v>
      </c>
      <c r="M199" s="22" t="str">
        <f>IFERROR(__xludf.DUMMYFUNCTION("""COMPUTED_VALUE"""),"Technology")</f>
        <v>Technology</v>
      </c>
      <c r="N199" s="18">
        <f>IFERROR(__xludf.DUMMYFUNCTION("""COMPUTED_VALUE"""),470.376)</f>
        <v>470.376</v>
      </c>
      <c r="O199" s="18">
        <f>IFERROR(__xludf.DUMMYFUNCTION("""COMPUTED_VALUE"""),469.87)</f>
        <v>469.87</v>
      </c>
      <c r="P199" s="22">
        <f>IFERROR(__xludf.DUMMYFUNCTION("""COMPUTED_VALUE"""),8.0)</f>
        <v>8</v>
      </c>
      <c r="Q199" s="18">
        <f>IFERROR(__xludf.DUMMYFUNCTION("""COMPUTED_VALUE"""),3763.008)</f>
        <v>3763.008</v>
      </c>
      <c r="R199" s="18">
        <f>IFERROR(__xludf.DUMMYFUNCTION("""COMPUTED_VALUE"""),3293.138)</f>
        <v>3293.138</v>
      </c>
    </row>
    <row r="200">
      <c r="A200" s="21">
        <f>IFERROR(__xludf.DUMMYFUNCTION("""COMPUTED_VALUE"""),43112.0)</f>
        <v>43112</v>
      </c>
      <c r="B200" s="21" t="str">
        <f>IFERROR(__xludf.DUMMYFUNCTION("""COMPUTED_VALUE"""),"Jan")</f>
        <v>Jan</v>
      </c>
      <c r="C200" s="9">
        <f>IFERROR(__xludf.DUMMYFUNCTION("""COMPUTED_VALUE"""),43232.0)</f>
        <v>43232</v>
      </c>
      <c r="D200" s="23" t="str">
        <f>IFERROR(__xludf.DUMMYFUNCTION("""COMPUTED_VALUE"""),"May")</f>
        <v>May</v>
      </c>
      <c r="E200" s="21" t="str">
        <f>IFERROR(__xludf.DUMMYFUNCTION("""COMPUTED_VALUE"""),"2018")</f>
        <v>2018</v>
      </c>
      <c r="F200" s="22" t="str">
        <f>IFERROR(__xludf.DUMMYFUNCTION("""COMPUTED_VALUE"""),"Standard Class")</f>
        <v>Standard Class</v>
      </c>
      <c r="G200" s="22" t="str">
        <f>IFERROR(__xludf.DUMMYFUNCTION("""COMPUTED_VALUE"""),"Dianna")</f>
        <v>Dianna</v>
      </c>
      <c r="H200" s="22" t="str">
        <f>IFERROR(__xludf.DUMMYFUNCTION("""COMPUTED_VALUE"""),"Vittorini")</f>
        <v>Vittorini</v>
      </c>
      <c r="I200" s="22" t="str">
        <f>IFERROR(__xludf.DUMMYFUNCTION("""COMPUTED_VALUE"""),"Consumer")</f>
        <v>Consumer</v>
      </c>
      <c r="J200" s="22" t="str">
        <f>IFERROR(__xludf.DUMMYFUNCTION("""COMPUTED_VALUE"""),"Denver")</f>
        <v>Denver</v>
      </c>
      <c r="K200" s="22" t="str">
        <f>IFERROR(__xludf.DUMMYFUNCTION("""COMPUTED_VALUE"""),"Colorado")</f>
        <v>Colorado</v>
      </c>
      <c r="L200" s="22" t="str">
        <f>IFERROR(__xludf.DUMMYFUNCTION("""COMPUTED_VALUE"""),"West")</f>
        <v>West</v>
      </c>
      <c r="M200" s="22" t="str">
        <f>IFERROR(__xludf.DUMMYFUNCTION("""COMPUTED_VALUE"""),"Technology")</f>
        <v>Technology</v>
      </c>
      <c r="N200" s="18">
        <f>IFERROR(__xludf.DUMMYFUNCTION("""COMPUTED_VALUE"""),105.584)</f>
        <v>105.584</v>
      </c>
      <c r="O200" s="18">
        <f>IFERROR(__xludf.DUMMYFUNCTION("""COMPUTED_VALUE"""),104.8)</f>
        <v>104.8</v>
      </c>
      <c r="P200" s="22">
        <f>IFERROR(__xludf.DUMMYFUNCTION("""COMPUTED_VALUE"""),8.0)</f>
        <v>8</v>
      </c>
      <c r="Q200" s="18">
        <f>IFERROR(__xludf.DUMMYFUNCTION("""COMPUTED_VALUE"""),844.672)</f>
        <v>844.672</v>
      </c>
      <c r="R200" s="18">
        <f>IFERROR(__xludf.DUMMYFUNCTION("""COMPUTED_VALUE"""),739.8720000000001)</f>
        <v>739.872</v>
      </c>
    </row>
    <row r="201">
      <c r="A201" s="21">
        <f>IFERROR(__xludf.DUMMYFUNCTION("""COMPUTED_VALUE"""),43112.0)</f>
        <v>43112</v>
      </c>
      <c r="B201" s="21" t="str">
        <f>IFERROR(__xludf.DUMMYFUNCTION("""COMPUTED_VALUE"""),"Jan")</f>
        <v>Jan</v>
      </c>
      <c r="C201" s="9">
        <f>IFERROR(__xludf.DUMMYFUNCTION("""COMPUTED_VALUE"""),43232.0)</f>
        <v>43232</v>
      </c>
      <c r="D201" s="23" t="str">
        <f>IFERROR(__xludf.DUMMYFUNCTION("""COMPUTED_VALUE"""),"May")</f>
        <v>May</v>
      </c>
      <c r="E201" s="21" t="str">
        <f>IFERROR(__xludf.DUMMYFUNCTION("""COMPUTED_VALUE"""),"2018")</f>
        <v>2018</v>
      </c>
      <c r="F201" s="22" t="str">
        <f>IFERROR(__xludf.DUMMYFUNCTION("""COMPUTED_VALUE"""),"Standard Class")</f>
        <v>Standard Class</v>
      </c>
      <c r="G201" s="22" t="str">
        <f>IFERROR(__xludf.DUMMYFUNCTION("""COMPUTED_VALUE"""),"Dianna")</f>
        <v>Dianna</v>
      </c>
      <c r="H201" s="22" t="str">
        <f>IFERROR(__xludf.DUMMYFUNCTION("""COMPUTED_VALUE"""),"Vittorini")</f>
        <v>Vittorini</v>
      </c>
      <c r="I201" s="22" t="str">
        <f>IFERROR(__xludf.DUMMYFUNCTION("""COMPUTED_VALUE"""),"Consumer")</f>
        <v>Consumer</v>
      </c>
      <c r="J201" s="22" t="str">
        <f>IFERROR(__xludf.DUMMYFUNCTION("""COMPUTED_VALUE"""),"Denver")</f>
        <v>Denver</v>
      </c>
      <c r="K201" s="22" t="str">
        <f>IFERROR(__xludf.DUMMYFUNCTION("""COMPUTED_VALUE"""),"Colorado")</f>
        <v>Colorado</v>
      </c>
      <c r="L201" s="22" t="str">
        <f>IFERROR(__xludf.DUMMYFUNCTION("""COMPUTED_VALUE"""),"West")</f>
        <v>West</v>
      </c>
      <c r="M201" s="22" t="str">
        <f>IFERROR(__xludf.DUMMYFUNCTION("""COMPUTED_VALUE"""),"Technology")</f>
        <v>Technology</v>
      </c>
      <c r="N201" s="18">
        <f>IFERROR(__xludf.DUMMYFUNCTION("""COMPUTED_VALUE"""),406.368)</f>
        <v>406.368</v>
      </c>
      <c r="O201" s="18">
        <f>IFERROR(__xludf.DUMMYFUNCTION("""COMPUTED_VALUE"""),406.22)</f>
        <v>406.22</v>
      </c>
      <c r="P201" s="22">
        <f>IFERROR(__xludf.DUMMYFUNCTION("""COMPUTED_VALUE"""),8.0)</f>
        <v>8</v>
      </c>
      <c r="Q201" s="18">
        <f>IFERROR(__xludf.DUMMYFUNCTION("""COMPUTED_VALUE"""),3250.944)</f>
        <v>3250.944</v>
      </c>
      <c r="R201" s="18">
        <f>IFERROR(__xludf.DUMMYFUNCTION("""COMPUTED_VALUE"""),2844.724)</f>
        <v>2844.724</v>
      </c>
    </row>
    <row r="202">
      <c r="A202" s="21">
        <f>IFERROR(__xludf.DUMMYFUNCTION("""COMPUTED_VALUE"""),42436.0)</f>
        <v>42436</v>
      </c>
      <c r="B202" s="21" t="str">
        <f>IFERROR(__xludf.DUMMYFUNCTION("""COMPUTED_VALUE"""),"Mar")</f>
        <v>Mar</v>
      </c>
      <c r="C202" s="9">
        <f>IFERROR(__xludf.DUMMYFUNCTION("""COMPUTED_VALUE"""),42620.0)</f>
        <v>42620</v>
      </c>
      <c r="D202" s="23" t="str">
        <f>IFERROR(__xludf.DUMMYFUNCTION("""COMPUTED_VALUE"""),"Sep")</f>
        <v>Sep</v>
      </c>
      <c r="E202" s="21" t="str">
        <f>IFERROR(__xludf.DUMMYFUNCTION("""COMPUTED_VALUE"""),"2016")</f>
        <v>2016</v>
      </c>
      <c r="F202" s="22" t="str">
        <f>IFERROR(__xludf.DUMMYFUNCTION("""COMPUTED_VALUE"""),"Standard Class")</f>
        <v>Standard Class</v>
      </c>
      <c r="G202" s="22" t="str">
        <f>IFERROR(__xludf.DUMMYFUNCTION("""COMPUTED_VALUE"""),"Bruce")</f>
        <v>Bruce</v>
      </c>
      <c r="H202" s="22" t="str">
        <f>IFERROR(__xludf.DUMMYFUNCTION("""COMPUTED_VALUE"""),"Degenhardt")</f>
        <v>Degenhardt</v>
      </c>
      <c r="I202" s="22" t="str">
        <f>IFERROR(__xludf.DUMMYFUNCTION("""COMPUTED_VALUE"""),"Consumer")</f>
        <v>Consumer</v>
      </c>
      <c r="J202" s="22" t="str">
        <f>IFERROR(__xludf.DUMMYFUNCTION("""COMPUTED_VALUE"""),"Richmond")</f>
        <v>Richmond</v>
      </c>
      <c r="K202" s="22" t="str">
        <f>IFERROR(__xludf.DUMMYFUNCTION("""COMPUTED_VALUE"""),"Kentucky")</f>
        <v>Kentucky</v>
      </c>
      <c r="L202" s="22" t="str">
        <f>IFERROR(__xludf.DUMMYFUNCTION("""COMPUTED_VALUE"""),"South")</f>
        <v>South</v>
      </c>
      <c r="M202" s="22" t="str">
        <f>IFERROR(__xludf.DUMMYFUNCTION("""COMPUTED_VALUE"""),"Office Supplies")</f>
        <v>Office Supplies</v>
      </c>
      <c r="N202" s="18">
        <f>IFERROR(__xludf.DUMMYFUNCTION("""COMPUTED_VALUE"""),294.93)</f>
        <v>294.93</v>
      </c>
      <c r="O202" s="18">
        <f>IFERROR(__xludf.DUMMYFUNCTION("""COMPUTED_VALUE"""),294.81)</f>
        <v>294.81</v>
      </c>
      <c r="P202" s="22">
        <f>IFERROR(__xludf.DUMMYFUNCTION("""COMPUTED_VALUE"""),4.0)</f>
        <v>4</v>
      </c>
      <c r="Q202" s="18">
        <f>IFERROR(__xludf.DUMMYFUNCTION("""COMPUTED_VALUE"""),1179.72)</f>
        <v>1179.72</v>
      </c>
      <c r="R202" s="18">
        <f>IFERROR(__xludf.DUMMYFUNCTION("""COMPUTED_VALUE"""),884.9100000000001)</f>
        <v>884.91</v>
      </c>
    </row>
    <row r="203">
      <c r="A203" s="21">
        <f>IFERROR(__xludf.DUMMYFUNCTION("""COMPUTED_VALUE"""),42814.0)</f>
        <v>42814</v>
      </c>
      <c r="B203" s="21" t="str">
        <f>IFERROR(__xludf.DUMMYFUNCTION("""COMPUTED_VALUE"""),"Mar")</f>
        <v>Mar</v>
      </c>
      <c r="C203" s="9">
        <f>IFERROR(__xludf.DUMMYFUNCTION("""COMPUTED_VALUE"""),42818.0)</f>
        <v>42818</v>
      </c>
      <c r="D203" s="23" t="str">
        <f>IFERROR(__xludf.DUMMYFUNCTION("""COMPUTED_VALUE"""),"Mar")</f>
        <v>Mar</v>
      </c>
      <c r="E203" s="21" t="str">
        <f>IFERROR(__xludf.DUMMYFUNCTION("""COMPUTED_VALUE"""),"2017")</f>
        <v>2017</v>
      </c>
      <c r="F203" s="22" t="str">
        <f>IFERROR(__xludf.DUMMYFUNCTION("""COMPUTED_VALUE"""),"Standard Class")</f>
        <v>Standard Class</v>
      </c>
      <c r="G203" s="22" t="str">
        <f>IFERROR(__xludf.DUMMYFUNCTION("""COMPUTED_VALUE"""),"Zuschuss")</f>
        <v>Zuschuss</v>
      </c>
      <c r="H203" s="22" t="str">
        <f>IFERROR(__xludf.DUMMYFUNCTION("""COMPUTED_VALUE"""),"Carroll")</f>
        <v>Carroll</v>
      </c>
      <c r="I203" s="22" t="str">
        <f>IFERROR(__xludf.DUMMYFUNCTION("""COMPUTED_VALUE"""),"Consumer")</f>
        <v>Consumer</v>
      </c>
      <c r="J203" s="22" t="str">
        <f>IFERROR(__xludf.DUMMYFUNCTION("""COMPUTED_VALUE"""),"Salem")</f>
        <v>Salem</v>
      </c>
      <c r="K203" s="22" t="str">
        <f>IFERROR(__xludf.DUMMYFUNCTION("""COMPUTED_VALUE"""),"Oregon")</f>
        <v>Oregon</v>
      </c>
      <c r="L203" s="22" t="str">
        <f>IFERROR(__xludf.DUMMYFUNCTION("""COMPUTED_VALUE"""),"West")</f>
        <v>West</v>
      </c>
      <c r="M203" s="22" t="str">
        <f>IFERROR(__xludf.DUMMYFUNCTION("""COMPUTED_VALUE"""),"Technology")</f>
        <v>Technology</v>
      </c>
      <c r="N203" s="18">
        <f>IFERROR(__xludf.DUMMYFUNCTION("""COMPUTED_VALUE"""),84.784)</f>
        <v>84.784</v>
      </c>
      <c r="O203" s="18">
        <f>IFERROR(__xludf.DUMMYFUNCTION("""COMPUTED_VALUE"""),84.02)</f>
        <v>84.02</v>
      </c>
      <c r="P203" s="22">
        <f>IFERROR(__xludf.DUMMYFUNCTION("""COMPUTED_VALUE"""),9.0)</f>
        <v>9</v>
      </c>
      <c r="Q203" s="18">
        <f>IFERROR(__xludf.DUMMYFUNCTION("""COMPUTED_VALUE"""),763.056)</f>
        <v>763.056</v>
      </c>
      <c r="R203" s="18">
        <f>IFERROR(__xludf.DUMMYFUNCTION("""COMPUTED_VALUE"""),679.0360000000001)</f>
        <v>679.036</v>
      </c>
    </row>
    <row r="204">
      <c r="A204" s="21">
        <f>IFERROR(__xludf.DUMMYFUNCTION("""COMPUTED_VALUE"""),42224.0)</f>
        <v>42224</v>
      </c>
      <c r="B204" s="21" t="str">
        <f>IFERROR(__xludf.DUMMYFUNCTION("""COMPUTED_VALUE"""),"Aug")</f>
        <v>Aug</v>
      </c>
      <c r="C204" s="9">
        <f>IFERROR(__xludf.DUMMYFUNCTION("""COMPUTED_VALUE"""),42231.0)</f>
        <v>42231</v>
      </c>
      <c r="D204" s="23" t="str">
        <f>IFERROR(__xludf.DUMMYFUNCTION("""COMPUTED_VALUE"""),"Aug")</f>
        <v>Aug</v>
      </c>
      <c r="E204" s="21" t="str">
        <f>IFERROR(__xludf.DUMMYFUNCTION("""COMPUTED_VALUE"""),"2015")</f>
        <v>2015</v>
      </c>
      <c r="F204" s="22" t="str">
        <f>IFERROR(__xludf.DUMMYFUNCTION("""COMPUTED_VALUE"""),"Standard Class")</f>
        <v>Standard Class</v>
      </c>
      <c r="G204" s="22" t="str">
        <f>IFERROR(__xludf.DUMMYFUNCTION("""COMPUTED_VALUE"""),"Lena")</f>
        <v>Lena</v>
      </c>
      <c r="H204" s="22" t="str">
        <f>IFERROR(__xludf.DUMMYFUNCTION("""COMPUTED_VALUE"""),"Radford")</f>
        <v>Radford</v>
      </c>
      <c r="I204" s="22" t="str">
        <f>IFERROR(__xludf.DUMMYFUNCTION("""COMPUTED_VALUE"""),"Consumer")</f>
        <v>Consumer</v>
      </c>
      <c r="J204" s="22" t="str">
        <f>IFERROR(__xludf.DUMMYFUNCTION("""COMPUTED_VALUE"""),"San Diego")</f>
        <v>San Diego</v>
      </c>
      <c r="K204" s="22" t="str">
        <f>IFERROR(__xludf.DUMMYFUNCTION("""COMPUTED_VALUE"""),"California")</f>
        <v>California</v>
      </c>
      <c r="L204" s="22" t="str">
        <f>IFERROR(__xludf.DUMMYFUNCTION("""COMPUTED_VALUE"""),"West")</f>
        <v>West</v>
      </c>
      <c r="M204" s="22" t="str">
        <f>IFERROR(__xludf.DUMMYFUNCTION("""COMPUTED_VALUE"""),"Office Supplies")</f>
        <v>Office Supplies</v>
      </c>
      <c r="N204" s="18">
        <f>IFERROR(__xludf.DUMMYFUNCTION("""COMPUTED_VALUE"""),76.12)</f>
        <v>76.12</v>
      </c>
      <c r="O204" s="18">
        <f>IFERROR(__xludf.DUMMYFUNCTION("""COMPUTED_VALUE"""),75.46)</f>
        <v>75.46</v>
      </c>
      <c r="P204" s="22">
        <f>IFERROR(__xludf.DUMMYFUNCTION("""COMPUTED_VALUE"""),9.0)</f>
        <v>9</v>
      </c>
      <c r="Q204" s="18">
        <f>IFERROR(__xludf.DUMMYFUNCTION("""COMPUTED_VALUE"""),685.08)</f>
        <v>685.08</v>
      </c>
      <c r="R204" s="18">
        <f>IFERROR(__xludf.DUMMYFUNCTION("""COMPUTED_VALUE"""),609.62)</f>
        <v>609.62</v>
      </c>
    </row>
    <row r="205">
      <c r="A205" s="21">
        <f>IFERROR(__xludf.DUMMYFUNCTION("""COMPUTED_VALUE"""),42224.0)</f>
        <v>42224</v>
      </c>
      <c r="B205" s="21" t="str">
        <f>IFERROR(__xludf.DUMMYFUNCTION("""COMPUTED_VALUE"""),"Aug")</f>
        <v>Aug</v>
      </c>
      <c r="C205" s="9">
        <f>IFERROR(__xludf.DUMMYFUNCTION("""COMPUTED_VALUE"""),42231.0)</f>
        <v>42231</v>
      </c>
      <c r="D205" s="23" t="str">
        <f>IFERROR(__xludf.DUMMYFUNCTION("""COMPUTED_VALUE"""),"Aug")</f>
        <v>Aug</v>
      </c>
      <c r="E205" s="21" t="str">
        <f>IFERROR(__xludf.DUMMYFUNCTION("""COMPUTED_VALUE"""),"2015")</f>
        <v>2015</v>
      </c>
      <c r="F205" s="22" t="str">
        <f>IFERROR(__xludf.DUMMYFUNCTION("""COMPUTED_VALUE"""),"Standard Class")</f>
        <v>Standard Class</v>
      </c>
      <c r="G205" s="22" t="str">
        <f>IFERROR(__xludf.DUMMYFUNCTION("""COMPUTED_VALUE"""),"Lena")</f>
        <v>Lena</v>
      </c>
      <c r="H205" s="22" t="str">
        <f>IFERROR(__xludf.DUMMYFUNCTION("""COMPUTED_VALUE"""),"Radford")</f>
        <v>Radford</v>
      </c>
      <c r="I205" s="22" t="str">
        <f>IFERROR(__xludf.DUMMYFUNCTION("""COMPUTED_VALUE"""),"Consumer")</f>
        <v>Consumer</v>
      </c>
      <c r="J205" s="22" t="str">
        <f>IFERROR(__xludf.DUMMYFUNCTION("""COMPUTED_VALUE"""),"San Diego")</f>
        <v>San Diego</v>
      </c>
      <c r="K205" s="22" t="str">
        <f>IFERROR(__xludf.DUMMYFUNCTION("""COMPUTED_VALUE"""),"California")</f>
        <v>California</v>
      </c>
      <c r="L205" s="22" t="str">
        <f>IFERROR(__xludf.DUMMYFUNCTION("""COMPUTED_VALUE"""),"West")</f>
        <v>West</v>
      </c>
      <c r="M205" s="22" t="str">
        <f>IFERROR(__xludf.DUMMYFUNCTION("""COMPUTED_VALUE"""),"Technology")</f>
        <v>Technology</v>
      </c>
      <c r="N205" s="18">
        <f>IFERROR(__xludf.DUMMYFUNCTION("""COMPUTED_VALUE"""),1199.976)</f>
        <v>1199.976</v>
      </c>
      <c r="O205" s="18">
        <f>IFERROR(__xludf.DUMMYFUNCTION("""COMPUTED_VALUE"""),1199.23)</f>
        <v>1199.23</v>
      </c>
      <c r="P205" s="22">
        <f>IFERROR(__xludf.DUMMYFUNCTION("""COMPUTED_VALUE"""),9.0)</f>
        <v>9</v>
      </c>
      <c r="Q205" s="18">
        <f>IFERROR(__xludf.DUMMYFUNCTION("""COMPUTED_VALUE"""),10799.784000000001)</f>
        <v>10799.784</v>
      </c>
      <c r="R205" s="18">
        <f>IFERROR(__xludf.DUMMYFUNCTION("""COMPUTED_VALUE"""),9600.554000000002)</f>
        <v>9600.554</v>
      </c>
    </row>
    <row r="206">
      <c r="A206" s="21">
        <f>IFERROR(__xludf.DUMMYFUNCTION("""COMPUTED_VALUE"""),42224.0)</f>
        <v>42224</v>
      </c>
      <c r="B206" s="21" t="str">
        <f>IFERROR(__xludf.DUMMYFUNCTION("""COMPUTED_VALUE"""),"Aug")</f>
        <v>Aug</v>
      </c>
      <c r="C206" s="9">
        <f>IFERROR(__xludf.DUMMYFUNCTION("""COMPUTED_VALUE"""),42231.0)</f>
        <v>42231</v>
      </c>
      <c r="D206" s="23" t="str">
        <f>IFERROR(__xludf.DUMMYFUNCTION("""COMPUTED_VALUE"""),"Aug")</f>
        <v>Aug</v>
      </c>
      <c r="E206" s="21" t="str">
        <f>IFERROR(__xludf.DUMMYFUNCTION("""COMPUTED_VALUE"""),"2015")</f>
        <v>2015</v>
      </c>
      <c r="F206" s="22" t="str">
        <f>IFERROR(__xludf.DUMMYFUNCTION("""COMPUTED_VALUE"""),"Standard Class")</f>
        <v>Standard Class</v>
      </c>
      <c r="G206" s="22" t="str">
        <f>IFERROR(__xludf.DUMMYFUNCTION("""COMPUTED_VALUE"""),"Lena")</f>
        <v>Lena</v>
      </c>
      <c r="H206" s="22" t="str">
        <f>IFERROR(__xludf.DUMMYFUNCTION("""COMPUTED_VALUE"""),"Radford")</f>
        <v>Radford</v>
      </c>
      <c r="I206" s="22" t="str">
        <f>IFERROR(__xludf.DUMMYFUNCTION("""COMPUTED_VALUE"""),"Consumer")</f>
        <v>Consumer</v>
      </c>
      <c r="J206" s="22" t="str">
        <f>IFERROR(__xludf.DUMMYFUNCTION("""COMPUTED_VALUE"""),"San Diego")</f>
        <v>San Diego</v>
      </c>
      <c r="K206" s="22" t="str">
        <f>IFERROR(__xludf.DUMMYFUNCTION("""COMPUTED_VALUE"""),"California")</f>
        <v>California</v>
      </c>
      <c r="L206" s="22" t="str">
        <f>IFERROR(__xludf.DUMMYFUNCTION("""COMPUTED_VALUE"""),"West")</f>
        <v>West</v>
      </c>
      <c r="M206" s="22" t="str">
        <f>IFERROR(__xludf.DUMMYFUNCTION("""COMPUTED_VALUE"""),"Technology")</f>
        <v>Technology</v>
      </c>
      <c r="N206" s="18">
        <f>IFERROR(__xludf.DUMMYFUNCTION("""COMPUTED_VALUE"""),445.96)</f>
        <v>445.96</v>
      </c>
      <c r="O206" s="18">
        <f>IFERROR(__xludf.DUMMYFUNCTION("""COMPUTED_VALUE"""),445.38)</f>
        <v>445.38</v>
      </c>
      <c r="P206" s="22">
        <f>IFERROR(__xludf.DUMMYFUNCTION("""COMPUTED_VALUE"""),9.0)</f>
        <v>9</v>
      </c>
      <c r="Q206" s="18">
        <f>IFERROR(__xludf.DUMMYFUNCTION("""COMPUTED_VALUE"""),4013.64)</f>
        <v>4013.64</v>
      </c>
      <c r="R206" s="18">
        <f>IFERROR(__xludf.DUMMYFUNCTION("""COMPUTED_VALUE"""),3568.2599999999998)</f>
        <v>3568.26</v>
      </c>
    </row>
    <row r="207">
      <c r="A207" s="21">
        <f>IFERROR(__xludf.DUMMYFUNCTION("""COMPUTED_VALUE"""),42224.0)</f>
        <v>42224</v>
      </c>
      <c r="B207" s="21" t="str">
        <f>IFERROR(__xludf.DUMMYFUNCTION("""COMPUTED_VALUE"""),"Aug")</f>
        <v>Aug</v>
      </c>
      <c r="C207" s="9">
        <f>IFERROR(__xludf.DUMMYFUNCTION("""COMPUTED_VALUE"""),42231.0)</f>
        <v>42231</v>
      </c>
      <c r="D207" s="23" t="str">
        <f>IFERROR(__xludf.DUMMYFUNCTION("""COMPUTED_VALUE"""),"Aug")</f>
        <v>Aug</v>
      </c>
      <c r="E207" s="21" t="str">
        <f>IFERROR(__xludf.DUMMYFUNCTION("""COMPUTED_VALUE"""),"2015")</f>
        <v>2015</v>
      </c>
      <c r="F207" s="22" t="str">
        <f>IFERROR(__xludf.DUMMYFUNCTION("""COMPUTED_VALUE"""),"Standard Class")</f>
        <v>Standard Class</v>
      </c>
      <c r="G207" s="22" t="str">
        <f>IFERROR(__xludf.DUMMYFUNCTION("""COMPUTED_VALUE"""),"Lena")</f>
        <v>Lena</v>
      </c>
      <c r="H207" s="22" t="str">
        <f>IFERROR(__xludf.DUMMYFUNCTION("""COMPUTED_VALUE"""),"Radford")</f>
        <v>Radford</v>
      </c>
      <c r="I207" s="22" t="str">
        <f>IFERROR(__xludf.DUMMYFUNCTION("""COMPUTED_VALUE"""),"Consumer")</f>
        <v>Consumer</v>
      </c>
      <c r="J207" s="22" t="str">
        <f>IFERROR(__xludf.DUMMYFUNCTION("""COMPUTED_VALUE"""),"San Diego")</f>
        <v>San Diego</v>
      </c>
      <c r="K207" s="22" t="str">
        <f>IFERROR(__xludf.DUMMYFUNCTION("""COMPUTED_VALUE"""),"California")</f>
        <v>California</v>
      </c>
      <c r="L207" s="22" t="str">
        <f>IFERROR(__xludf.DUMMYFUNCTION("""COMPUTED_VALUE"""),"West")</f>
        <v>West</v>
      </c>
      <c r="M207" s="22" t="str">
        <f>IFERROR(__xludf.DUMMYFUNCTION("""COMPUTED_VALUE"""),"Furniture")</f>
        <v>Furniture</v>
      </c>
      <c r="N207" s="18">
        <f>IFERROR(__xludf.DUMMYFUNCTION("""COMPUTED_VALUE"""),327.76)</f>
        <v>327.76</v>
      </c>
      <c r="O207" s="18">
        <f>IFERROR(__xludf.DUMMYFUNCTION("""COMPUTED_VALUE"""),327.51)</f>
        <v>327.51</v>
      </c>
      <c r="P207" s="22">
        <f>IFERROR(__xludf.DUMMYFUNCTION("""COMPUTED_VALUE"""),9.0)</f>
        <v>9</v>
      </c>
      <c r="Q207" s="18">
        <f>IFERROR(__xludf.DUMMYFUNCTION("""COMPUTED_VALUE"""),2949.84)</f>
        <v>2949.84</v>
      </c>
      <c r="R207" s="18">
        <f>IFERROR(__xludf.DUMMYFUNCTION("""COMPUTED_VALUE"""),2622.33)</f>
        <v>2622.33</v>
      </c>
    </row>
    <row r="208">
      <c r="A208" s="21">
        <f>IFERROR(__xludf.DUMMYFUNCTION("""COMPUTED_VALUE"""),42853.0)</f>
        <v>42853</v>
      </c>
      <c r="B208" s="21" t="str">
        <f>IFERROR(__xludf.DUMMYFUNCTION("""COMPUTED_VALUE"""),"Apr")</f>
        <v>Apr</v>
      </c>
      <c r="C208" s="9">
        <f>IFERROR(__xludf.DUMMYFUNCTION("""COMPUTED_VALUE"""),42740.0)</f>
        <v>42740</v>
      </c>
      <c r="D208" s="23" t="str">
        <f>IFERROR(__xludf.DUMMYFUNCTION("""COMPUTED_VALUE"""),"Jan")</f>
        <v>Jan</v>
      </c>
      <c r="E208" s="21" t="str">
        <f>IFERROR(__xludf.DUMMYFUNCTION("""COMPUTED_VALUE"""),"2017")</f>
        <v>2017</v>
      </c>
      <c r="F208" s="22" t="str">
        <f>IFERROR(__xludf.DUMMYFUNCTION("""COMPUTED_VALUE"""),"First Class")</f>
        <v>First Class</v>
      </c>
      <c r="G208" s="22" t="str">
        <f>IFERROR(__xludf.DUMMYFUNCTION("""COMPUTED_VALUE"""),"Nona")</f>
        <v>Nona</v>
      </c>
      <c r="H208" s="22" t="str">
        <f>IFERROR(__xludf.DUMMYFUNCTION("""COMPUTED_VALUE"""),"Balk")</f>
        <v>Balk</v>
      </c>
      <c r="I208" s="22" t="str">
        <f>IFERROR(__xludf.DUMMYFUNCTION("""COMPUTED_VALUE"""),"Corporate")</f>
        <v>Corporate</v>
      </c>
      <c r="J208" s="22" t="str">
        <f>IFERROR(__xludf.DUMMYFUNCTION("""COMPUTED_VALUE"""),"Dallas")</f>
        <v>Dallas</v>
      </c>
      <c r="K208" s="22" t="str">
        <f>IFERROR(__xludf.DUMMYFUNCTION("""COMPUTED_VALUE"""),"Texas")</f>
        <v>Texas</v>
      </c>
      <c r="L208" s="22" t="str">
        <f>IFERROR(__xludf.DUMMYFUNCTION("""COMPUTED_VALUE"""),"Central")</f>
        <v>Central</v>
      </c>
      <c r="M208" s="22" t="str">
        <f>IFERROR(__xludf.DUMMYFUNCTION("""COMPUTED_VALUE"""),"Technology")</f>
        <v>Technology</v>
      </c>
      <c r="N208" s="18">
        <f>IFERROR(__xludf.DUMMYFUNCTION("""COMPUTED_VALUE"""),369.576)</f>
        <v>369.576</v>
      </c>
      <c r="O208" s="18">
        <f>IFERROR(__xludf.DUMMYFUNCTION("""COMPUTED_VALUE"""),369.43)</f>
        <v>369.43</v>
      </c>
      <c r="P208" s="22">
        <f>IFERROR(__xludf.DUMMYFUNCTION("""COMPUTED_VALUE"""),7.0)</f>
        <v>7</v>
      </c>
      <c r="Q208" s="18">
        <f>IFERROR(__xludf.DUMMYFUNCTION("""COMPUTED_VALUE"""),2587.032)</f>
        <v>2587.032</v>
      </c>
      <c r="R208" s="18">
        <f>IFERROR(__xludf.DUMMYFUNCTION("""COMPUTED_VALUE"""),2217.6020000000003)</f>
        <v>2217.602</v>
      </c>
    </row>
    <row r="209">
      <c r="A209" s="21">
        <f>IFERROR(__xludf.DUMMYFUNCTION("""COMPUTED_VALUE"""),42703.0)</f>
        <v>42703</v>
      </c>
      <c r="B209" s="21" t="str">
        <f>IFERROR(__xludf.DUMMYFUNCTION("""COMPUTED_VALUE"""),"Nov")</f>
        <v>Nov</v>
      </c>
      <c r="C209" s="9">
        <f>IFERROR(__xludf.DUMMYFUNCTION("""COMPUTED_VALUE"""),42441.0)</f>
        <v>42441</v>
      </c>
      <c r="D209" s="23" t="str">
        <f>IFERROR(__xludf.DUMMYFUNCTION("""COMPUTED_VALUE"""),"Mar")</f>
        <v>Mar</v>
      </c>
      <c r="E209" s="21" t="str">
        <f>IFERROR(__xludf.DUMMYFUNCTION("""COMPUTED_VALUE"""),"2016")</f>
        <v>2016</v>
      </c>
      <c r="F209" s="22" t="str">
        <f>IFERROR(__xludf.DUMMYFUNCTION("""COMPUTED_VALUE"""),"Standard Class")</f>
        <v>Standard Class</v>
      </c>
      <c r="G209" s="22" t="str">
        <f>IFERROR(__xludf.DUMMYFUNCTION("""COMPUTED_VALUE"""),"Sylvia")</f>
        <v>Sylvia</v>
      </c>
      <c r="H209" s="22" t="str">
        <f>IFERROR(__xludf.DUMMYFUNCTION("""COMPUTED_VALUE"""),"Foulston")</f>
        <v>Foulston</v>
      </c>
      <c r="I209" s="22" t="str">
        <f>IFERROR(__xludf.DUMMYFUNCTION("""COMPUTED_VALUE"""),"Corporate")</f>
        <v>Corporate</v>
      </c>
      <c r="J209" s="22" t="str">
        <f>IFERROR(__xludf.DUMMYFUNCTION("""COMPUTED_VALUE"""),"Dearborn")</f>
        <v>Dearborn</v>
      </c>
      <c r="K209" s="22" t="str">
        <f>IFERROR(__xludf.DUMMYFUNCTION("""COMPUTED_VALUE"""),"Michigan")</f>
        <v>Michigan</v>
      </c>
      <c r="L209" s="22" t="str">
        <f>IFERROR(__xludf.DUMMYFUNCTION("""COMPUTED_VALUE"""),"Central")</f>
        <v>Central</v>
      </c>
      <c r="M209" s="22" t="str">
        <f>IFERROR(__xludf.DUMMYFUNCTION("""COMPUTED_VALUE"""),"Furniture")</f>
        <v>Furniture</v>
      </c>
      <c r="N209" s="18">
        <f>IFERROR(__xludf.DUMMYFUNCTION("""COMPUTED_VALUE"""),301.96)</f>
        <v>301.96</v>
      </c>
      <c r="O209" s="18">
        <f>IFERROR(__xludf.DUMMYFUNCTION("""COMPUTED_VALUE"""),301.62)</f>
        <v>301.62</v>
      </c>
      <c r="P209" s="22">
        <f>IFERROR(__xludf.DUMMYFUNCTION("""COMPUTED_VALUE"""),4.0)</f>
        <v>4</v>
      </c>
      <c r="Q209" s="18">
        <f>IFERROR(__xludf.DUMMYFUNCTION("""COMPUTED_VALUE"""),1207.84)</f>
        <v>1207.84</v>
      </c>
      <c r="R209" s="18">
        <f>IFERROR(__xludf.DUMMYFUNCTION("""COMPUTED_VALUE"""),906.2199999999999)</f>
        <v>906.22</v>
      </c>
    </row>
    <row r="210">
      <c r="A210" s="21">
        <f>IFERROR(__xludf.DUMMYFUNCTION("""COMPUTED_VALUE"""),42703.0)</f>
        <v>42703</v>
      </c>
      <c r="B210" s="21" t="str">
        <f>IFERROR(__xludf.DUMMYFUNCTION("""COMPUTED_VALUE"""),"Nov")</f>
        <v>Nov</v>
      </c>
      <c r="C210" s="9">
        <f>IFERROR(__xludf.DUMMYFUNCTION("""COMPUTED_VALUE"""),42441.0)</f>
        <v>42441</v>
      </c>
      <c r="D210" s="23" t="str">
        <f>IFERROR(__xludf.DUMMYFUNCTION("""COMPUTED_VALUE"""),"Mar")</f>
        <v>Mar</v>
      </c>
      <c r="E210" s="21" t="str">
        <f>IFERROR(__xludf.DUMMYFUNCTION("""COMPUTED_VALUE"""),"2016")</f>
        <v>2016</v>
      </c>
      <c r="F210" s="22" t="str">
        <f>IFERROR(__xludf.DUMMYFUNCTION("""COMPUTED_VALUE"""),"Standard Class")</f>
        <v>Standard Class</v>
      </c>
      <c r="G210" s="22" t="str">
        <f>IFERROR(__xludf.DUMMYFUNCTION("""COMPUTED_VALUE"""),"Sylvia")</f>
        <v>Sylvia</v>
      </c>
      <c r="H210" s="22" t="str">
        <f>IFERROR(__xludf.DUMMYFUNCTION("""COMPUTED_VALUE"""),"Foulston")</f>
        <v>Foulston</v>
      </c>
      <c r="I210" s="22" t="str">
        <f>IFERROR(__xludf.DUMMYFUNCTION("""COMPUTED_VALUE"""),"Corporate")</f>
        <v>Corporate</v>
      </c>
      <c r="J210" s="22" t="str">
        <f>IFERROR(__xludf.DUMMYFUNCTION("""COMPUTED_VALUE"""),"Dearborn")</f>
        <v>Dearborn</v>
      </c>
      <c r="K210" s="22" t="str">
        <f>IFERROR(__xludf.DUMMYFUNCTION("""COMPUTED_VALUE"""),"Michigan")</f>
        <v>Michigan</v>
      </c>
      <c r="L210" s="22" t="str">
        <f>IFERROR(__xludf.DUMMYFUNCTION("""COMPUTED_VALUE"""),"Central")</f>
        <v>Central</v>
      </c>
      <c r="M210" s="22" t="str">
        <f>IFERROR(__xludf.DUMMYFUNCTION("""COMPUTED_VALUE"""),"Office Supplies")</f>
        <v>Office Supplies</v>
      </c>
      <c r="N210" s="18">
        <f>IFERROR(__xludf.DUMMYFUNCTION("""COMPUTED_VALUE"""),555.21)</f>
        <v>555.21</v>
      </c>
      <c r="O210" s="18">
        <f>IFERROR(__xludf.DUMMYFUNCTION("""COMPUTED_VALUE"""),554.84)</f>
        <v>554.84</v>
      </c>
      <c r="P210" s="22">
        <f>IFERROR(__xludf.DUMMYFUNCTION("""COMPUTED_VALUE"""),4.0)</f>
        <v>4</v>
      </c>
      <c r="Q210" s="18">
        <f>IFERROR(__xludf.DUMMYFUNCTION("""COMPUTED_VALUE"""),2220.84)</f>
        <v>2220.84</v>
      </c>
      <c r="R210" s="18">
        <f>IFERROR(__xludf.DUMMYFUNCTION("""COMPUTED_VALUE"""),1666.0)</f>
        <v>1666</v>
      </c>
    </row>
    <row r="211">
      <c r="A211" s="21">
        <f>IFERROR(__xludf.DUMMYFUNCTION("""COMPUTED_VALUE"""),42703.0)</f>
        <v>42703</v>
      </c>
      <c r="B211" s="21" t="str">
        <f>IFERROR(__xludf.DUMMYFUNCTION("""COMPUTED_VALUE"""),"Nov")</f>
        <v>Nov</v>
      </c>
      <c r="C211" s="9">
        <f>IFERROR(__xludf.DUMMYFUNCTION("""COMPUTED_VALUE"""),42441.0)</f>
        <v>42441</v>
      </c>
      <c r="D211" s="23" t="str">
        <f>IFERROR(__xludf.DUMMYFUNCTION("""COMPUTED_VALUE"""),"Mar")</f>
        <v>Mar</v>
      </c>
      <c r="E211" s="21" t="str">
        <f>IFERROR(__xludf.DUMMYFUNCTION("""COMPUTED_VALUE"""),"2016")</f>
        <v>2016</v>
      </c>
      <c r="F211" s="22" t="str">
        <f>IFERROR(__xludf.DUMMYFUNCTION("""COMPUTED_VALUE"""),"Standard Class")</f>
        <v>Standard Class</v>
      </c>
      <c r="G211" s="22" t="str">
        <f>IFERROR(__xludf.DUMMYFUNCTION("""COMPUTED_VALUE"""),"Sylvia")</f>
        <v>Sylvia</v>
      </c>
      <c r="H211" s="22" t="str">
        <f>IFERROR(__xludf.DUMMYFUNCTION("""COMPUTED_VALUE"""),"Foulston")</f>
        <v>Foulston</v>
      </c>
      <c r="I211" s="22" t="str">
        <f>IFERROR(__xludf.DUMMYFUNCTION("""COMPUTED_VALUE"""),"Corporate")</f>
        <v>Corporate</v>
      </c>
      <c r="J211" s="22" t="str">
        <f>IFERROR(__xludf.DUMMYFUNCTION("""COMPUTED_VALUE"""),"Dearborn")</f>
        <v>Dearborn</v>
      </c>
      <c r="K211" s="22" t="str">
        <f>IFERROR(__xludf.DUMMYFUNCTION("""COMPUTED_VALUE"""),"Michigan")</f>
        <v>Michigan</v>
      </c>
      <c r="L211" s="22" t="str">
        <f>IFERROR(__xludf.DUMMYFUNCTION("""COMPUTED_VALUE"""),"Central")</f>
        <v>Central</v>
      </c>
      <c r="M211" s="22" t="str">
        <f>IFERROR(__xludf.DUMMYFUNCTION("""COMPUTED_VALUE"""),"Office Supplies")</f>
        <v>Office Supplies</v>
      </c>
      <c r="N211" s="18">
        <f>IFERROR(__xludf.DUMMYFUNCTION("""COMPUTED_VALUE"""),523.48)</f>
        <v>523.48</v>
      </c>
      <c r="O211" s="18">
        <f>IFERROR(__xludf.DUMMYFUNCTION("""COMPUTED_VALUE"""),522.95)</f>
        <v>522.95</v>
      </c>
      <c r="P211" s="22">
        <f>IFERROR(__xludf.DUMMYFUNCTION("""COMPUTED_VALUE"""),4.0)</f>
        <v>4</v>
      </c>
      <c r="Q211" s="18">
        <f>IFERROR(__xludf.DUMMYFUNCTION("""COMPUTED_VALUE"""),2093.92)</f>
        <v>2093.92</v>
      </c>
      <c r="R211" s="18">
        <f>IFERROR(__xludf.DUMMYFUNCTION("""COMPUTED_VALUE"""),1570.97)</f>
        <v>1570.97</v>
      </c>
    </row>
    <row r="212">
      <c r="A212" s="21">
        <f>IFERROR(__xludf.DUMMYFUNCTION("""COMPUTED_VALUE"""),43239.0)</f>
        <v>43239</v>
      </c>
      <c r="B212" s="21" t="str">
        <f>IFERROR(__xludf.DUMMYFUNCTION("""COMPUTED_VALUE"""),"May")</f>
        <v>May</v>
      </c>
      <c r="C212" s="9">
        <f>IFERROR(__xludf.DUMMYFUNCTION("""COMPUTED_VALUE"""),43243.0)</f>
        <v>43243</v>
      </c>
      <c r="D212" s="23" t="str">
        <f>IFERROR(__xludf.DUMMYFUNCTION("""COMPUTED_VALUE"""),"May")</f>
        <v>May</v>
      </c>
      <c r="E212" s="21" t="str">
        <f>IFERROR(__xludf.DUMMYFUNCTION("""COMPUTED_VALUE"""),"2018")</f>
        <v>2018</v>
      </c>
      <c r="F212" s="22" t="str">
        <f>IFERROR(__xludf.DUMMYFUNCTION("""COMPUTED_VALUE"""),"Standard Class")</f>
        <v>Standard Class</v>
      </c>
      <c r="G212" s="22" t="str">
        <f>IFERROR(__xludf.DUMMYFUNCTION("""COMPUTED_VALUE"""),"Annie")</f>
        <v>Annie</v>
      </c>
      <c r="H212" s="22" t="str">
        <f>IFERROR(__xludf.DUMMYFUNCTION("""COMPUTED_VALUE"""),"Thurman")</f>
        <v>Thurman</v>
      </c>
      <c r="I212" s="22" t="str">
        <f>IFERROR(__xludf.DUMMYFUNCTION("""COMPUTED_VALUE"""),"Consumer")</f>
        <v>Consumer</v>
      </c>
      <c r="J212" s="22" t="str">
        <f>IFERROR(__xludf.DUMMYFUNCTION("""COMPUTED_VALUE"""),"Seattle")</f>
        <v>Seattle</v>
      </c>
      <c r="K212" s="22" t="str">
        <f>IFERROR(__xludf.DUMMYFUNCTION("""COMPUTED_VALUE"""),"Washington")</f>
        <v>Washington</v>
      </c>
      <c r="L212" s="22" t="str">
        <f>IFERROR(__xludf.DUMMYFUNCTION("""COMPUTED_VALUE"""),"West")</f>
        <v>West</v>
      </c>
      <c r="M212" s="22" t="str">
        <f>IFERROR(__xludf.DUMMYFUNCTION("""COMPUTED_VALUE"""),"Office Supplies")</f>
        <v>Office Supplies</v>
      </c>
      <c r="N212" s="18">
        <f>IFERROR(__xludf.DUMMYFUNCTION("""COMPUTED_VALUE"""),97.16)</f>
        <v>97.16</v>
      </c>
      <c r="O212" s="18">
        <f>IFERROR(__xludf.DUMMYFUNCTION("""COMPUTED_VALUE"""),97.09)</f>
        <v>97.09</v>
      </c>
      <c r="P212" s="22">
        <f>IFERROR(__xludf.DUMMYFUNCTION("""COMPUTED_VALUE"""),9.0)</f>
        <v>9</v>
      </c>
      <c r="Q212" s="18">
        <f>IFERROR(__xludf.DUMMYFUNCTION("""COMPUTED_VALUE"""),874.4399999999999)</f>
        <v>874.44</v>
      </c>
      <c r="R212" s="18">
        <f>IFERROR(__xludf.DUMMYFUNCTION("""COMPUTED_VALUE"""),777.3499999999999)</f>
        <v>777.35</v>
      </c>
    </row>
    <row r="213">
      <c r="A213" s="21">
        <f>IFERROR(__xludf.DUMMYFUNCTION("""COMPUTED_VALUE"""),43051.0)</f>
        <v>43051</v>
      </c>
      <c r="B213" s="21" t="str">
        <f>IFERROR(__xludf.DUMMYFUNCTION("""COMPUTED_VALUE"""),"Nov")</f>
        <v>Nov</v>
      </c>
      <c r="C213" s="9">
        <f>IFERROR(__xludf.DUMMYFUNCTION("""COMPUTED_VALUE"""),43082.0)</f>
        <v>43082</v>
      </c>
      <c r="D213" s="23" t="str">
        <f>IFERROR(__xludf.DUMMYFUNCTION("""COMPUTED_VALUE"""),"Dec")</f>
        <v>Dec</v>
      </c>
      <c r="E213" s="21" t="str">
        <f>IFERROR(__xludf.DUMMYFUNCTION("""COMPUTED_VALUE"""),"2017")</f>
        <v>2017</v>
      </c>
      <c r="F213" s="22" t="str">
        <f>IFERROR(__xludf.DUMMYFUNCTION("""COMPUTED_VALUE"""),"Second Class")</f>
        <v>Second Class</v>
      </c>
      <c r="G213" s="22" t="str">
        <f>IFERROR(__xludf.DUMMYFUNCTION("""COMPUTED_VALUE"""),"Fred")</f>
        <v>Fred</v>
      </c>
      <c r="H213" s="22" t="str">
        <f>IFERROR(__xludf.DUMMYFUNCTION("""COMPUTED_VALUE"""),"McMath")</f>
        <v>McMath</v>
      </c>
      <c r="I213" s="22" t="str">
        <f>IFERROR(__xludf.DUMMYFUNCTION("""COMPUTED_VALUE"""),"Consumer")</f>
        <v>Consumer</v>
      </c>
      <c r="J213" s="22" t="str">
        <f>IFERROR(__xludf.DUMMYFUNCTION("""COMPUTED_VALUE"""),"Aurora")</f>
        <v>Aurora</v>
      </c>
      <c r="K213" s="22" t="str">
        <f>IFERROR(__xludf.DUMMYFUNCTION("""COMPUTED_VALUE"""),"Colorado")</f>
        <v>Colorado</v>
      </c>
      <c r="L213" s="22" t="str">
        <f>IFERROR(__xludf.DUMMYFUNCTION("""COMPUTED_VALUE"""),"West")</f>
        <v>West</v>
      </c>
      <c r="M213" s="22" t="str">
        <f>IFERROR(__xludf.DUMMYFUNCTION("""COMPUTED_VALUE"""),"Office Supplies")</f>
        <v>Office Supplies</v>
      </c>
      <c r="N213" s="18">
        <f>IFERROR(__xludf.DUMMYFUNCTION("""COMPUTED_VALUE"""),243.384)</f>
        <v>243.384</v>
      </c>
      <c r="O213" s="18">
        <f>IFERROR(__xludf.DUMMYFUNCTION("""COMPUTED_VALUE"""),242.8)</f>
        <v>242.8</v>
      </c>
      <c r="P213" s="22">
        <f>IFERROR(__xludf.DUMMYFUNCTION("""COMPUTED_VALUE"""),8.0)</f>
        <v>8</v>
      </c>
      <c r="Q213" s="18">
        <f>IFERROR(__xludf.DUMMYFUNCTION("""COMPUTED_VALUE"""),1947.072)</f>
        <v>1947.072</v>
      </c>
      <c r="R213" s="18">
        <f>IFERROR(__xludf.DUMMYFUNCTION("""COMPUTED_VALUE"""),1704.272)</f>
        <v>1704.272</v>
      </c>
    </row>
    <row r="214">
      <c r="A214" s="21">
        <f>IFERROR(__xludf.DUMMYFUNCTION("""COMPUTED_VALUE"""),43051.0)</f>
        <v>43051</v>
      </c>
      <c r="B214" s="21" t="str">
        <f>IFERROR(__xludf.DUMMYFUNCTION("""COMPUTED_VALUE"""),"Nov")</f>
        <v>Nov</v>
      </c>
      <c r="C214" s="9">
        <f>IFERROR(__xludf.DUMMYFUNCTION("""COMPUTED_VALUE"""),43082.0)</f>
        <v>43082</v>
      </c>
      <c r="D214" s="23" t="str">
        <f>IFERROR(__xludf.DUMMYFUNCTION("""COMPUTED_VALUE"""),"Dec")</f>
        <v>Dec</v>
      </c>
      <c r="E214" s="21" t="str">
        <f>IFERROR(__xludf.DUMMYFUNCTION("""COMPUTED_VALUE"""),"2017")</f>
        <v>2017</v>
      </c>
      <c r="F214" s="22" t="str">
        <f>IFERROR(__xludf.DUMMYFUNCTION("""COMPUTED_VALUE"""),"Second Class")</f>
        <v>Second Class</v>
      </c>
      <c r="G214" s="22" t="str">
        <f>IFERROR(__xludf.DUMMYFUNCTION("""COMPUTED_VALUE"""),"Fred")</f>
        <v>Fred</v>
      </c>
      <c r="H214" s="22" t="str">
        <f>IFERROR(__xludf.DUMMYFUNCTION("""COMPUTED_VALUE"""),"McMath")</f>
        <v>McMath</v>
      </c>
      <c r="I214" s="22" t="str">
        <f>IFERROR(__xludf.DUMMYFUNCTION("""COMPUTED_VALUE"""),"Consumer")</f>
        <v>Consumer</v>
      </c>
      <c r="J214" s="22" t="str">
        <f>IFERROR(__xludf.DUMMYFUNCTION("""COMPUTED_VALUE"""),"Aurora")</f>
        <v>Aurora</v>
      </c>
      <c r="K214" s="22" t="str">
        <f>IFERROR(__xludf.DUMMYFUNCTION("""COMPUTED_VALUE"""),"Colorado")</f>
        <v>Colorado</v>
      </c>
      <c r="L214" s="22" t="str">
        <f>IFERROR(__xludf.DUMMYFUNCTION("""COMPUTED_VALUE"""),"West")</f>
        <v>West</v>
      </c>
      <c r="M214" s="22" t="str">
        <f>IFERROR(__xludf.DUMMYFUNCTION("""COMPUTED_VALUE"""),"Technology")</f>
        <v>Technology</v>
      </c>
      <c r="N214" s="18">
        <f>IFERROR(__xludf.DUMMYFUNCTION("""COMPUTED_VALUE"""),119.8)</f>
        <v>119.8</v>
      </c>
      <c r="O214" s="18">
        <f>IFERROR(__xludf.DUMMYFUNCTION("""COMPUTED_VALUE"""),119.49)</f>
        <v>119.49</v>
      </c>
      <c r="P214" s="22">
        <f>IFERROR(__xludf.DUMMYFUNCTION("""COMPUTED_VALUE"""),8.0)</f>
        <v>8</v>
      </c>
      <c r="Q214" s="18">
        <f>IFERROR(__xludf.DUMMYFUNCTION("""COMPUTED_VALUE"""),958.4)</f>
        <v>958.4</v>
      </c>
      <c r="R214" s="18">
        <f>IFERROR(__xludf.DUMMYFUNCTION("""COMPUTED_VALUE"""),838.91)</f>
        <v>838.91</v>
      </c>
    </row>
    <row r="215">
      <c r="A215" s="21">
        <f>IFERROR(__xludf.DUMMYFUNCTION("""COMPUTED_VALUE"""),43051.0)</f>
        <v>43051</v>
      </c>
      <c r="B215" s="21" t="str">
        <f>IFERROR(__xludf.DUMMYFUNCTION("""COMPUTED_VALUE"""),"Nov")</f>
        <v>Nov</v>
      </c>
      <c r="C215" s="9">
        <f>IFERROR(__xludf.DUMMYFUNCTION("""COMPUTED_VALUE"""),43082.0)</f>
        <v>43082</v>
      </c>
      <c r="D215" s="23" t="str">
        <f>IFERROR(__xludf.DUMMYFUNCTION("""COMPUTED_VALUE"""),"Dec")</f>
        <v>Dec</v>
      </c>
      <c r="E215" s="21" t="str">
        <f>IFERROR(__xludf.DUMMYFUNCTION("""COMPUTED_VALUE"""),"2017")</f>
        <v>2017</v>
      </c>
      <c r="F215" s="22" t="str">
        <f>IFERROR(__xludf.DUMMYFUNCTION("""COMPUTED_VALUE"""),"Second Class")</f>
        <v>Second Class</v>
      </c>
      <c r="G215" s="22" t="str">
        <f>IFERROR(__xludf.DUMMYFUNCTION("""COMPUTED_VALUE"""),"Fred")</f>
        <v>Fred</v>
      </c>
      <c r="H215" s="22" t="str">
        <f>IFERROR(__xludf.DUMMYFUNCTION("""COMPUTED_VALUE"""),"McMath")</f>
        <v>McMath</v>
      </c>
      <c r="I215" s="22" t="str">
        <f>IFERROR(__xludf.DUMMYFUNCTION("""COMPUTED_VALUE"""),"Consumer")</f>
        <v>Consumer</v>
      </c>
      <c r="J215" s="22" t="str">
        <f>IFERROR(__xludf.DUMMYFUNCTION("""COMPUTED_VALUE"""),"Aurora")</f>
        <v>Aurora</v>
      </c>
      <c r="K215" s="22" t="str">
        <f>IFERROR(__xludf.DUMMYFUNCTION("""COMPUTED_VALUE"""),"Colorado")</f>
        <v>Colorado</v>
      </c>
      <c r="L215" s="22" t="str">
        <f>IFERROR(__xludf.DUMMYFUNCTION("""COMPUTED_VALUE"""),"West")</f>
        <v>West</v>
      </c>
      <c r="M215" s="22" t="str">
        <f>IFERROR(__xludf.DUMMYFUNCTION("""COMPUTED_VALUE"""),"Technology")</f>
        <v>Technology</v>
      </c>
      <c r="N215" s="18">
        <f>IFERROR(__xludf.DUMMYFUNCTION("""COMPUTED_VALUE"""),300.768)</f>
        <v>300.768</v>
      </c>
      <c r="O215" s="18">
        <f>IFERROR(__xludf.DUMMYFUNCTION("""COMPUTED_VALUE"""),300.09)</f>
        <v>300.09</v>
      </c>
      <c r="P215" s="22">
        <f>IFERROR(__xludf.DUMMYFUNCTION("""COMPUTED_VALUE"""),8.0)</f>
        <v>8</v>
      </c>
      <c r="Q215" s="18">
        <f>IFERROR(__xludf.DUMMYFUNCTION("""COMPUTED_VALUE"""),2406.144)</f>
        <v>2406.144</v>
      </c>
      <c r="R215" s="18">
        <f>IFERROR(__xludf.DUMMYFUNCTION("""COMPUTED_VALUE"""),2106.0539999999996)</f>
        <v>2106.054</v>
      </c>
    </row>
    <row r="216">
      <c r="A216" s="21">
        <f>IFERROR(__xludf.DUMMYFUNCTION("""COMPUTED_VALUE"""),42470.0)</f>
        <v>42470</v>
      </c>
      <c r="B216" s="21" t="str">
        <f>IFERROR(__xludf.DUMMYFUNCTION("""COMPUTED_VALUE"""),"Apr")</f>
        <v>Apr</v>
      </c>
      <c r="C216" s="9">
        <f>IFERROR(__xludf.DUMMYFUNCTION("""COMPUTED_VALUE"""),42623.0)</f>
        <v>42623</v>
      </c>
      <c r="D216" s="23" t="str">
        <f>IFERROR(__xludf.DUMMYFUNCTION("""COMPUTED_VALUE"""),"Sep")</f>
        <v>Sep</v>
      </c>
      <c r="E216" s="21" t="str">
        <f>IFERROR(__xludf.DUMMYFUNCTION("""COMPUTED_VALUE"""),"2016")</f>
        <v>2016</v>
      </c>
      <c r="F216" s="22" t="str">
        <f>IFERROR(__xludf.DUMMYFUNCTION("""COMPUTED_VALUE"""),"Second Class")</f>
        <v>Second Class</v>
      </c>
      <c r="G216" s="22" t="str">
        <f>IFERROR(__xludf.DUMMYFUNCTION("""COMPUTED_VALUE"""),"Denny")</f>
        <v>Denny</v>
      </c>
      <c r="H216" s="22" t="str">
        <f>IFERROR(__xludf.DUMMYFUNCTION("""COMPUTED_VALUE"""),"Joy")</f>
        <v>Joy</v>
      </c>
      <c r="I216" s="22" t="str">
        <f>IFERROR(__xludf.DUMMYFUNCTION("""COMPUTED_VALUE"""),"Corporate")</f>
        <v>Corporate</v>
      </c>
      <c r="J216" s="22" t="str">
        <f>IFERROR(__xludf.DUMMYFUNCTION("""COMPUTED_VALUE"""),"Warner Robins")</f>
        <v>Warner Robins</v>
      </c>
      <c r="K216" s="22" t="str">
        <f>IFERROR(__xludf.DUMMYFUNCTION("""COMPUTED_VALUE"""),"Georgia")</f>
        <v>Georgia</v>
      </c>
      <c r="L216" s="22" t="str">
        <f>IFERROR(__xludf.DUMMYFUNCTION("""COMPUTED_VALUE"""),"South")</f>
        <v>South</v>
      </c>
      <c r="M216" s="22" t="str">
        <f>IFERROR(__xludf.DUMMYFUNCTION("""COMPUTED_VALUE"""),"Furniture")</f>
        <v>Furniture</v>
      </c>
      <c r="N216" s="18">
        <f>IFERROR(__xludf.DUMMYFUNCTION("""COMPUTED_VALUE"""),392.94)</f>
        <v>392.94</v>
      </c>
      <c r="O216" s="18">
        <f>IFERROR(__xludf.DUMMYFUNCTION("""COMPUTED_VALUE"""),392.3)</f>
        <v>392.3</v>
      </c>
      <c r="P216" s="22">
        <f>IFERROR(__xludf.DUMMYFUNCTION("""COMPUTED_VALUE"""),3.0)</f>
        <v>3</v>
      </c>
      <c r="Q216" s="18">
        <f>IFERROR(__xludf.DUMMYFUNCTION("""COMPUTED_VALUE"""),1178.82)</f>
        <v>1178.82</v>
      </c>
      <c r="R216" s="18">
        <f>IFERROR(__xludf.DUMMYFUNCTION("""COMPUTED_VALUE"""),786.52)</f>
        <v>786.52</v>
      </c>
    </row>
    <row r="217">
      <c r="A217" s="21">
        <f>IFERROR(__xludf.DUMMYFUNCTION("""COMPUTED_VALUE"""),42962.0)</f>
        <v>42962</v>
      </c>
      <c r="B217" s="21" t="str">
        <f>IFERROR(__xludf.DUMMYFUNCTION("""COMPUTED_VALUE"""),"Aug")</f>
        <v>Aug</v>
      </c>
      <c r="C217" s="9">
        <f>IFERROR(__xludf.DUMMYFUNCTION("""COMPUTED_VALUE"""),42968.0)</f>
        <v>42968</v>
      </c>
      <c r="D217" s="23" t="str">
        <f>IFERROR(__xludf.DUMMYFUNCTION("""COMPUTED_VALUE"""),"Aug")</f>
        <v>Aug</v>
      </c>
      <c r="E217" s="21" t="str">
        <f>IFERROR(__xludf.DUMMYFUNCTION("""COMPUTED_VALUE"""),"2017")</f>
        <v>2017</v>
      </c>
      <c r="F217" s="22" t="str">
        <f>IFERROR(__xludf.DUMMYFUNCTION("""COMPUTED_VALUE"""),"Standard Class")</f>
        <v>Standard Class</v>
      </c>
      <c r="G217" s="22" t="str">
        <f>IFERROR(__xludf.DUMMYFUNCTION("""COMPUTED_VALUE"""),"Max")</f>
        <v>Max</v>
      </c>
      <c r="H217" s="22" t="str">
        <f>IFERROR(__xludf.DUMMYFUNCTION("""COMPUTED_VALUE"""),"Engle")</f>
        <v>Engle</v>
      </c>
      <c r="I217" s="22" t="str">
        <f>IFERROR(__xludf.DUMMYFUNCTION("""COMPUTED_VALUE"""),"Consumer")</f>
        <v>Consumer</v>
      </c>
      <c r="J217" s="22" t="str">
        <f>IFERROR(__xludf.DUMMYFUNCTION("""COMPUTED_VALUE"""),"Aurora")</f>
        <v>Aurora</v>
      </c>
      <c r="K217" s="22" t="str">
        <f>IFERROR(__xludf.DUMMYFUNCTION("""COMPUTED_VALUE"""),"Colorado")</f>
        <v>Colorado</v>
      </c>
      <c r="L217" s="22" t="str">
        <f>IFERROR(__xludf.DUMMYFUNCTION("""COMPUTED_VALUE"""),"West")</f>
        <v>West</v>
      </c>
      <c r="M217" s="22" t="str">
        <f>IFERROR(__xludf.DUMMYFUNCTION("""COMPUTED_VALUE"""),"Office Supplies")</f>
        <v>Office Supplies</v>
      </c>
      <c r="N217" s="18">
        <f>IFERROR(__xludf.DUMMYFUNCTION("""COMPUTED_VALUE"""),122.328)</f>
        <v>122.328</v>
      </c>
      <c r="O217" s="18">
        <f>IFERROR(__xludf.DUMMYFUNCTION("""COMPUTED_VALUE"""),121.96)</f>
        <v>121.96</v>
      </c>
      <c r="P217" s="22">
        <f>IFERROR(__xludf.DUMMYFUNCTION("""COMPUTED_VALUE"""),8.0)</f>
        <v>8</v>
      </c>
      <c r="Q217" s="18">
        <f>IFERROR(__xludf.DUMMYFUNCTION("""COMPUTED_VALUE"""),978.624)</f>
        <v>978.624</v>
      </c>
      <c r="R217" s="18">
        <f>IFERROR(__xludf.DUMMYFUNCTION("""COMPUTED_VALUE"""),856.664)</f>
        <v>856.664</v>
      </c>
    </row>
    <row r="218">
      <c r="A218" s="21">
        <f>IFERROR(__xludf.DUMMYFUNCTION("""COMPUTED_VALUE"""),42875.0)</f>
        <v>42875</v>
      </c>
      <c r="B218" s="21" t="str">
        <f>IFERROR(__xludf.DUMMYFUNCTION("""COMPUTED_VALUE"""),"May")</f>
        <v>May</v>
      </c>
      <c r="C218" s="9">
        <f>IFERROR(__xludf.DUMMYFUNCTION("""COMPUTED_VALUE"""),42880.0)</f>
        <v>42880</v>
      </c>
      <c r="D218" s="23" t="str">
        <f>IFERROR(__xludf.DUMMYFUNCTION("""COMPUTED_VALUE"""),"May")</f>
        <v>May</v>
      </c>
      <c r="E218" s="21" t="str">
        <f>IFERROR(__xludf.DUMMYFUNCTION("""COMPUTED_VALUE"""),"2017")</f>
        <v>2017</v>
      </c>
      <c r="F218" s="22" t="str">
        <f>IFERROR(__xludf.DUMMYFUNCTION("""COMPUTED_VALUE"""),"Standard Class")</f>
        <v>Standard Class</v>
      </c>
      <c r="G218" s="22" t="str">
        <f>IFERROR(__xludf.DUMMYFUNCTION("""COMPUTED_VALUE"""),"Rick")</f>
        <v>Rick</v>
      </c>
      <c r="H218" s="22" t="str">
        <f>IFERROR(__xludf.DUMMYFUNCTION("""COMPUTED_VALUE"""),"Bensley")</f>
        <v>Bensley</v>
      </c>
      <c r="I218" s="22" t="str">
        <f>IFERROR(__xludf.DUMMYFUNCTION("""COMPUTED_VALUE"""),"Home Office")</f>
        <v>Home Office</v>
      </c>
      <c r="J218" s="22" t="str">
        <f>IFERROR(__xludf.DUMMYFUNCTION("""COMPUTED_VALUE"""),"Vallejo")</f>
        <v>Vallejo</v>
      </c>
      <c r="K218" s="22" t="str">
        <f>IFERROR(__xludf.DUMMYFUNCTION("""COMPUTED_VALUE"""),"California")</f>
        <v>California</v>
      </c>
      <c r="L218" s="22" t="str">
        <f>IFERROR(__xludf.DUMMYFUNCTION("""COMPUTED_VALUE"""),"West")</f>
        <v>West</v>
      </c>
      <c r="M218" s="22" t="str">
        <f>IFERROR(__xludf.DUMMYFUNCTION("""COMPUTED_VALUE"""),"Furniture")</f>
        <v>Furniture</v>
      </c>
      <c r="N218" s="18">
        <f>IFERROR(__xludf.DUMMYFUNCTION("""COMPUTED_VALUE"""),1049.2)</f>
        <v>1049.2</v>
      </c>
      <c r="O218" s="18">
        <f>IFERROR(__xludf.DUMMYFUNCTION("""COMPUTED_VALUE"""),1048.97)</f>
        <v>1048.97</v>
      </c>
      <c r="P218" s="22">
        <f>IFERROR(__xludf.DUMMYFUNCTION("""COMPUTED_VALUE"""),9.0)</f>
        <v>9</v>
      </c>
      <c r="Q218" s="18">
        <f>IFERROR(__xludf.DUMMYFUNCTION("""COMPUTED_VALUE"""),9442.800000000001)</f>
        <v>9442.8</v>
      </c>
      <c r="R218" s="18">
        <f>IFERROR(__xludf.DUMMYFUNCTION("""COMPUTED_VALUE"""),8393.830000000002)</f>
        <v>8393.83</v>
      </c>
    </row>
    <row r="219">
      <c r="A219" s="21">
        <f>IFERROR(__xludf.DUMMYFUNCTION("""COMPUTED_VALUE"""),43311.0)</f>
        <v>43311</v>
      </c>
      <c r="B219" s="21" t="str">
        <f>IFERROR(__xludf.DUMMYFUNCTION("""COMPUTED_VALUE"""),"Jul")</f>
        <v>Jul</v>
      </c>
      <c r="C219" s="9">
        <f>IFERROR(__xludf.DUMMYFUNCTION("""COMPUTED_VALUE"""),43167.0)</f>
        <v>43167</v>
      </c>
      <c r="D219" s="23" t="str">
        <f>IFERROR(__xludf.DUMMYFUNCTION("""COMPUTED_VALUE"""),"Mar")</f>
        <v>Mar</v>
      </c>
      <c r="E219" s="21" t="str">
        <f>IFERROR(__xludf.DUMMYFUNCTION("""COMPUTED_VALUE"""),"2018")</f>
        <v>2018</v>
      </c>
      <c r="F219" s="22" t="str">
        <f>IFERROR(__xludf.DUMMYFUNCTION("""COMPUTED_VALUE"""),"Second Class")</f>
        <v>Second Class</v>
      </c>
      <c r="G219" s="22" t="str">
        <f>IFERROR(__xludf.DUMMYFUNCTION("""COMPUTED_VALUE"""),"John")</f>
        <v>John</v>
      </c>
      <c r="H219" s="22" t="str">
        <f>IFERROR(__xludf.DUMMYFUNCTION("""COMPUTED_VALUE"""),"Lee")</f>
        <v>Lee</v>
      </c>
      <c r="I219" s="22" t="str">
        <f>IFERROR(__xludf.DUMMYFUNCTION("""COMPUTED_VALUE"""),"Consumer")</f>
        <v>Consumer</v>
      </c>
      <c r="J219" s="22" t="str">
        <f>IFERROR(__xludf.DUMMYFUNCTION("""COMPUTED_VALUE"""),"Mission Viejo")</f>
        <v>Mission Viejo</v>
      </c>
      <c r="K219" s="22" t="str">
        <f>IFERROR(__xludf.DUMMYFUNCTION("""COMPUTED_VALUE"""),"California")</f>
        <v>California</v>
      </c>
      <c r="L219" s="22" t="str">
        <f>IFERROR(__xludf.DUMMYFUNCTION("""COMPUTED_VALUE"""),"West")</f>
        <v>West</v>
      </c>
      <c r="M219" s="22" t="str">
        <f>IFERROR(__xludf.DUMMYFUNCTION("""COMPUTED_VALUE"""),"Office Supplies")</f>
        <v>Office Supplies</v>
      </c>
      <c r="N219" s="18">
        <f>IFERROR(__xludf.DUMMYFUNCTION("""COMPUTED_VALUE"""),330.4)</f>
        <v>330.4</v>
      </c>
      <c r="O219" s="18">
        <f>IFERROR(__xludf.DUMMYFUNCTION("""COMPUTED_VALUE"""),330.19)</f>
        <v>330.19</v>
      </c>
      <c r="P219" s="22">
        <f>IFERROR(__xludf.DUMMYFUNCTION("""COMPUTED_VALUE"""),9.0)</f>
        <v>9</v>
      </c>
      <c r="Q219" s="18">
        <f>IFERROR(__xludf.DUMMYFUNCTION("""COMPUTED_VALUE"""),2973.6)</f>
        <v>2973.6</v>
      </c>
      <c r="R219" s="18">
        <f>IFERROR(__xludf.DUMMYFUNCTION("""COMPUTED_VALUE"""),2643.41)</f>
        <v>2643.41</v>
      </c>
    </row>
    <row r="220">
      <c r="A220" s="21">
        <f>IFERROR(__xludf.DUMMYFUNCTION("""COMPUTED_VALUE"""),43464.0)</f>
        <v>43464</v>
      </c>
      <c r="B220" s="21" t="str">
        <f>IFERROR(__xludf.DUMMYFUNCTION("""COMPUTED_VALUE"""),"Dec")</f>
        <v>Dec</v>
      </c>
      <c r="C220" s="9">
        <f>IFERROR(__xludf.DUMMYFUNCTION("""COMPUTED_VALUE"""),43586.0)</f>
        <v>43586</v>
      </c>
      <c r="D220" s="23" t="str">
        <f>IFERROR(__xludf.DUMMYFUNCTION("""COMPUTED_VALUE"""),"May")</f>
        <v>May</v>
      </c>
      <c r="E220" s="21" t="str">
        <f>IFERROR(__xludf.DUMMYFUNCTION("""COMPUTED_VALUE"""),"2019")</f>
        <v>2019</v>
      </c>
      <c r="F220" s="22" t="str">
        <f>IFERROR(__xludf.DUMMYFUNCTION("""COMPUTED_VALUE"""),"Standard Class")</f>
        <v>Standard Class</v>
      </c>
      <c r="G220" s="22" t="str">
        <f>IFERROR(__xludf.DUMMYFUNCTION("""COMPUTED_VALUE"""),"Chuck")</f>
        <v>Chuck</v>
      </c>
      <c r="H220" s="22" t="str">
        <f>IFERROR(__xludf.DUMMYFUNCTION("""COMPUTED_VALUE"""),"Clark")</f>
        <v>Clark</v>
      </c>
      <c r="I220" s="22" t="str">
        <f>IFERROR(__xludf.DUMMYFUNCTION("""COMPUTED_VALUE"""),"Home Office")</f>
        <v>Home Office</v>
      </c>
      <c r="J220" s="22" t="str">
        <f>IFERROR(__xludf.DUMMYFUNCTION("""COMPUTED_VALUE"""),"Columbus")</f>
        <v>Columbus</v>
      </c>
      <c r="K220" s="22" t="str">
        <f>IFERROR(__xludf.DUMMYFUNCTION("""COMPUTED_VALUE"""),"Indiana")</f>
        <v>Indiana</v>
      </c>
      <c r="L220" s="22" t="str">
        <f>IFERROR(__xludf.DUMMYFUNCTION("""COMPUTED_VALUE"""),"Central")</f>
        <v>Central</v>
      </c>
      <c r="M220" s="22" t="str">
        <f>IFERROR(__xludf.DUMMYFUNCTION("""COMPUTED_VALUE"""),"Office Supplies")</f>
        <v>Office Supplies</v>
      </c>
      <c r="N220" s="18">
        <f>IFERROR(__xludf.DUMMYFUNCTION("""COMPUTED_VALUE"""),209.3)</f>
        <v>209.3</v>
      </c>
      <c r="O220" s="18">
        <f>IFERROR(__xludf.DUMMYFUNCTION("""COMPUTED_VALUE"""),209.04)</f>
        <v>209.04</v>
      </c>
      <c r="P220" s="22">
        <f>IFERROR(__xludf.DUMMYFUNCTION("""COMPUTED_VALUE"""),4.0)</f>
        <v>4</v>
      </c>
      <c r="Q220" s="18">
        <f>IFERROR(__xludf.DUMMYFUNCTION("""COMPUTED_VALUE"""),837.2)</f>
        <v>837.2</v>
      </c>
      <c r="R220" s="18">
        <f>IFERROR(__xludf.DUMMYFUNCTION("""COMPUTED_VALUE"""),628.1600000000001)</f>
        <v>628.16</v>
      </c>
    </row>
    <row r="221">
      <c r="A221" s="21">
        <f>IFERROR(__xludf.DUMMYFUNCTION("""COMPUTED_VALUE"""),43051.0)</f>
        <v>43051</v>
      </c>
      <c r="B221" s="21" t="str">
        <f>IFERROR(__xludf.DUMMYFUNCTION("""COMPUTED_VALUE"""),"Nov")</f>
        <v>Nov</v>
      </c>
      <c r="C221" s="9">
        <f>IFERROR(__xludf.DUMMYFUNCTION("""COMPUTED_VALUE"""),43085.0)</f>
        <v>43085</v>
      </c>
      <c r="D221" s="23" t="str">
        <f>IFERROR(__xludf.DUMMYFUNCTION("""COMPUTED_VALUE"""),"Dec")</f>
        <v>Dec</v>
      </c>
      <c r="E221" s="21" t="str">
        <f>IFERROR(__xludf.DUMMYFUNCTION("""COMPUTED_VALUE"""),"2017")</f>
        <v>2017</v>
      </c>
      <c r="F221" s="22" t="str">
        <f>IFERROR(__xludf.DUMMYFUNCTION("""COMPUTED_VALUE"""),"Second Class")</f>
        <v>Second Class</v>
      </c>
      <c r="G221" s="22" t="str">
        <f>IFERROR(__xludf.DUMMYFUNCTION("""COMPUTED_VALUE"""),"Anthony")</f>
        <v>Anthony</v>
      </c>
      <c r="H221" s="22" t="str">
        <f>IFERROR(__xludf.DUMMYFUNCTION("""COMPUTED_VALUE"""),"Rawles")</f>
        <v>Rawles</v>
      </c>
      <c r="I221" s="22" t="str">
        <f>IFERROR(__xludf.DUMMYFUNCTION("""COMPUTED_VALUE"""),"Corporate")</f>
        <v>Corporate</v>
      </c>
      <c r="J221" s="22" t="str">
        <f>IFERROR(__xludf.DUMMYFUNCTION("""COMPUTED_VALUE"""),"Vancouver")</f>
        <v>Vancouver</v>
      </c>
      <c r="K221" s="22" t="str">
        <f>IFERROR(__xludf.DUMMYFUNCTION("""COMPUTED_VALUE"""),"Washington")</f>
        <v>Washington</v>
      </c>
      <c r="L221" s="22" t="str">
        <f>IFERROR(__xludf.DUMMYFUNCTION("""COMPUTED_VALUE"""),"West")</f>
        <v>West</v>
      </c>
      <c r="M221" s="22" t="str">
        <f>IFERROR(__xludf.DUMMYFUNCTION("""COMPUTED_VALUE"""),"Technology")</f>
        <v>Technology</v>
      </c>
      <c r="N221" s="18">
        <f>IFERROR(__xludf.DUMMYFUNCTION("""COMPUTED_VALUE"""),302.376)</f>
        <v>302.376</v>
      </c>
      <c r="O221" s="18">
        <f>IFERROR(__xludf.DUMMYFUNCTION("""COMPUTED_VALUE"""),301.45)</f>
        <v>301.45</v>
      </c>
      <c r="P221" s="22">
        <f>IFERROR(__xludf.DUMMYFUNCTION("""COMPUTED_VALUE"""),9.0)</f>
        <v>9</v>
      </c>
      <c r="Q221" s="18">
        <f>IFERROR(__xludf.DUMMYFUNCTION("""COMPUTED_VALUE"""),2721.384)</f>
        <v>2721.384</v>
      </c>
      <c r="R221" s="18">
        <f>IFERROR(__xludf.DUMMYFUNCTION("""COMPUTED_VALUE"""),2419.934)</f>
        <v>2419.934</v>
      </c>
    </row>
    <row r="222">
      <c r="A222" s="21">
        <f>IFERROR(__xludf.DUMMYFUNCTION("""COMPUTED_VALUE"""),43051.0)</f>
        <v>43051</v>
      </c>
      <c r="B222" s="21" t="str">
        <f>IFERROR(__xludf.DUMMYFUNCTION("""COMPUTED_VALUE"""),"Nov")</f>
        <v>Nov</v>
      </c>
      <c r="C222" s="9">
        <f>IFERROR(__xludf.DUMMYFUNCTION("""COMPUTED_VALUE"""),43085.0)</f>
        <v>43085</v>
      </c>
      <c r="D222" s="23" t="str">
        <f>IFERROR(__xludf.DUMMYFUNCTION("""COMPUTED_VALUE"""),"Dec")</f>
        <v>Dec</v>
      </c>
      <c r="E222" s="21" t="str">
        <f>IFERROR(__xludf.DUMMYFUNCTION("""COMPUTED_VALUE"""),"2017")</f>
        <v>2017</v>
      </c>
      <c r="F222" s="22" t="str">
        <f>IFERROR(__xludf.DUMMYFUNCTION("""COMPUTED_VALUE"""),"Second Class")</f>
        <v>Second Class</v>
      </c>
      <c r="G222" s="22" t="str">
        <f>IFERROR(__xludf.DUMMYFUNCTION("""COMPUTED_VALUE"""),"Anthony")</f>
        <v>Anthony</v>
      </c>
      <c r="H222" s="22" t="str">
        <f>IFERROR(__xludf.DUMMYFUNCTION("""COMPUTED_VALUE"""),"Rawles")</f>
        <v>Rawles</v>
      </c>
      <c r="I222" s="22" t="str">
        <f>IFERROR(__xludf.DUMMYFUNCTION("""COMPUTED_VALUE"""),"Corporate")</f>
        <v>Corporate</v>
      </c>
      <c r="J222" s="22" t="str">
        <f>IFERROR(__xludf.DUMMYFUNCTION("""COMPUTED_VALUE"""),"Vancouver")</f>
        <v>Vancouver</v>
      </c>
      <c r="K222" s="22" t="str">
        <f>IFERROR(__xludf.DUMMYFUNCTION("""COMPUTED_VALUE"""),"Washington")</f>
        <v>Washington</v>
      </c>
      <c r="L222" s="22" t="str">
        <f>IFERROR(__xludf.DUMMYFUNCTION("""COMPUTED_VALUE"""),"West")</f>
        <v>West</v>
      </c>
      <c r="M222" s="22" t="str">
        <f>IFERROR(__xludf.DUMMYFUNCTION("""COMPUTED_VALUE"""),"Technology")</f>
        <v>Technology</v>
      </c>
      <c r="N222" s="18">
        <f>IFERROR(__xludf.DUMMYFUNCTION("""COMPUTED_VALUE"""),316.0)</f>
        <v>316</v>
      </c>
      <c r="O222" s="18">
        <f>IFERROR(__xludf.DUMMYFUNCTION("""COMPUTED_VALUE"""),315.0)</f>
        <v>315</v>
      </c>
      <c r="P222" s="22">
        <f>IFERROR(__xludf.DUMMYFUNCTION("""COMPUTED_VALUE"""),9.0)</f>
        <v>9</v>
      </c>
      <c r="Q222" s="18">
        <f>IFERROR(__xludf.DUMMYFUNCTION("""COMPUTED_VALUE"""),2844.0)</f>
        <v>2844</v>
      </c>
      <c r="R222" s="18">
        <f>IFERROR(__xludf.DUMMYFUNCTION("""COMPUTED_VALUE"""),2529.0)</f>
        <v>2529</v>
      </c>
    </row>
    <row r="223">
      <c r="A223" s="21">
        <f>IFERROR(__xludf.DUMMYFUNCTION("""COMPUTED_VALUE"""),42997.0)</f>
        <v>42997</v>
      </c>
      <c r="B223" s="21" t="str">
        <f>IFERROR(__xludf.DUMMYFUNCTION("""COMPUTED_VALUE"""),"Sep")</f>
        <v>Sep</v>
      </c>
      <c r="C223" s="9">
        <f>IFERROR(__xludf.DUMMYFUNCTION("""COMPUTED_VALUE"""),42997.0)</f>
        <v>42997</v>
      </c>
      <c r="D223" s="23" t="str">
        <f>IFERROR(__xludf.DUMMYFUNCTION("""COMPUTED_VALUE"""),"Sep")</f>
        <v>Sep</v>
      </c>
      <c r="E223" s="21" t="str">
        <f>IFERROR(__xludf.DUMMYFUNCTION("""COMPUTED_VALUE"""),"2017")</f>
        <v>2017</v>
      </c>
      <c r="F223" s="22" t="str">
        <f>IFERROR(__xludf.DUMMYFUNCTION("""COMPUTED_VALUE"""),"Same Day")</f>
        <v>Same Day</v>
      </c>
      <c r="G223" s="22" t="str">
        <f>IFERROR(__xludf.DUMMYFUNCTION("""COMPUTED_VALUE"""),"Eugene")</f>
        <v>Eugene</v>
      </c>
      <c r="H223" s="22" t="str">
        <f>IFERROR(__xludf.DUMMYFUNCTION("""COMPUTED_VALUE"""),"Hildebrand")</f>
        <v>Hildebrand</v>
      </c>
      <c r="I223" s="22" t="str">
        <f>IFERROR(__xludf.DUMMYFUNCTION("""COMPUTED_VALUE"""),"Home Office")</f>
        <v>Home Office</v>
      </c>
      <c r="J223" s="22" t="str">
        <f>IFERROR(__xludf.DUMMYFUNCTION("""COMPUTED_VALUE"""),"Aurora")</f>
        <v>Aurora</v>
      </c>
      <c r="K223" s="22" t="str">
        <f>IFERROR(__xludf.DUMMYFUNCTION("""COMPUTED_VALUE"""),"Illinois")</f>
        <v>Illinois</v>
      </c>
      <c r="L223" s="22" t="str">
        <f>IFERROR(__xludf.DUMMYFUNCTION("""COMPUTED_VALUE"""),"Central")</f>
        <v>Central</v>
      </c>
      <c r="M223" s="22" t="str">
        <f>IFERROR(__xludf.DUMMYFUNCTION("""COMPUTED_VALUE"""),"Furniture")</f>
        <v>Furniture</v>
      </c>
      <c r="N223" s="18">
        <f>IFERROR(__xludf.DUMMYFUNCTION("""COMPUTED_VALUE"""),701.372)</f>
        <v>701.372</v>
      </c>
      <c r="O223" s="18">
        <f>IFERROR(__xludf.DUMMYFUNCTION("""COMPUTED_VALUE"""),700.42)</f>
        <v>700.42</v>
      </c>
      <c r="P223" s="22">
        <f>IFERROR(__xludf.DUMMYFUNCTION("""COMPUTED_VALUE"""),6.0)</f>
        <v>6</v>
      </c>
      <c r="Q223" s="18">
        <f>IFERROR(__xludf.DUMMYFUNCTION("""COMPUTED_VALUE"""),4208.232)</f>
        <v>4208.232</v>
      </c>
      <c r="R223" s="18">
        <f>IFERROR(__xludf.DUMMYFUNCTION("""COMPUTED_VALUE"""),3507.812)</f>
        <v>3507.812</v>
      </c>
    </row>
    <row r="224">
      <c r="A224" s="21">
        <f>IFERROR(__xludf.DUMMYFUNCTION("""COMPUTED_VALUE"""),42606.0)</f>
        <v>42606</v>
      </c>
      <c r="B224" s="21" t="str">
        <f>IFERROR(__xludf.DUMMYFUNCTION("""COMPUTED_VALUE"""),"Aug")</f>
        <v>Aug</v>
      </c>
      <c r="C224" s="9">
        <f>IFERROR(__xludf.DUMMYFUNCTION("""COMPUTED_VALUE"""),42610.0)</f>
        <v>42610</v>
      </c>
      <c r="D224" s="23" t="str">
        <f>IFERROR(__xludf.DUMMYFUNCTION("""COMPUTED_VALUE"""),"Aug")</f>
        <v>Aug</v>
      </c>
      <c r="E224" s="21" t="str">
        <f>IFERROR(__xludf.DUMMYFUNCTION("""COMPUTED_VALUE"""),"2016")</f>
        <v>2016</v>
      </c>
      <c r="F224" s="22" t="str">
        <f>IFERROR(__xludf.DUMMYFUNCTION("""COMPUTED_VALUE"""),"Standard Class")</f>
        <v>Standard Class</v>
      </c>
      <c r="G224" s="22" t="str">
        <f>IFERROR(__xludf.DUMMYFUNCTION("""COMPUTED_VALUE"""),"Cassandra")</f>
        <v>Cassandra</v>
      </c>
      <c r="H224" s="22" t="str">
        <f>IFERROR(__xludf.DUMMYFUNCTION("""COMPUTED_VALUE"""),"Brandow")</f>
        <v>Brandow</v>
      </c>
      <c r="I224" s="22" t="str">
        <f>IFERROR(__xludf.DUMMYFUNCTION("""COMPUTED_VALUE"""),"Consumer")</f>
        <v>Consumer</v>
      </c>
      <c r="J224" s="22" t="str">
        <f>IFERROR(__xludf.DUMMYFUNCTION("""COMPUTED_VALUE"""),"Arlington")</f>
        <v>Arlington</v>
      </c>
      <c r="K224" s="22" t="str">
        <f>IFERROR(__xludf.DUMMYFUNCTION("""COMPUTED_VALUE"""),"Texas")</f>
        <v>Texas</v>
      </c>
      <c r="L224" s="22" t="str">
        <f>IFERROR(__xludf.DUMMYFUNCTION("""COMPUTED_VALUE"""),"Central")</f>
        <v>Central</v>
      </c>
      <c r="M224" s="22" t="str">
        <f>IFERROR(__xludf.DUMMYFUNCTION("""COMPUTED_VALUE"""),"Office Supplies")</f>
        <v>Office Supplies</v>
      </c>
      <c r="N224" s="18">
        <f>IFERROR(__xludf.DUMMYFUNCTION("""COMPUTED_VALUE"""),999.432)</f>
        <v>999.432</v>
      </c>
      <c r="O224" s="18">
        <f>IFERROR(__xludf.DUMMYFUNCTION("""COMPUTED_VALUE"""),998.53)</f>
        <v>998.53</v>
      </c>
      <c r="P224" s="22">
        <f>IFERROR(__xludf.DUMMYFUNCTION("""COMPUTED_VALUE"""),7.0)</f>
        <v>7</v>
      </c>
      <c r="Q224" s="18">
        <f>IFERROR(__xludf.DUMMYFUNCTION("""COMPUTED_VALUE"""),6996.024)</f>
        <v>6996.024</v>
      </c>
      <c r="R224" s="18">
        <f>IFERROR(__xludf.DUMMYFUNCTION("""COMPUTED_VALUE"""),5997.494000000001)</f>
        <v>5997.494</v>
      </c>
    </row>
    <row r="225">
      <c r="A225" s="21">
        <f>IFERROR(__xludf.DUMMYFUNCTION("""COMPUTED_VALUE"""),42606.0)</f>
        <v>42606</v>
      </c>
      <c r="B225" s="21" t="str">
        <f>IFERROR(__xludf.DUMMYFUNCTION("""COMPUTED_VALUE"""),"Aug")</f>
        <v>Aug</v>
      </c>
      <c r="C225" s="9">
        <f>IFERROR(__xludf.DUMMYFUNCTION("""COMPUTED_VALUE"""),42610.0)</f>
        <v>42610</v>
      </c>
      <c r="D225" s="23" t="str">
        <f>IFERROR(__xludf.DUMMYFUNCTION("""COMPUTED_VALUE"""),"Aug")</f>
        <v>Aug</v>
      </c>
      <c r="E225" s="21" t="str">
        <f>IFERROR(__xludf.DUMMYFUNCTION("""COMPUTED_VALUE"""),"2016")</f>
        <v>2016</v>
      </c>
      <c r="F225" s="22" t="str">
        <f>IFERROR(__xludf.DUMMYFUNCTION("""COMPUTED_VALUE"""),"Standard Class")</f>
        <v>Standard Class</v>
      </c>
      <c r="G225" s="22" t="str">
        <f>IFERROR(__xludf.DUMMYFUNCTION("""COMPUTED_VALUE"""),"Cassandra")</f>
        <v>Cassandra</v>
      </c>
      <c r="H225" s="22" t="str">
        <f>IFERROR(__xludf.DUMMYFUNCTION("""COMPUTED_VALUE"""),"Brandow")</f>
        <v>Brandow</v>
      </c>
      <c r="I225" s="22" t="str">
        <f>IFERROR(__xludf.DUMMYFUNCTION("""COMPUTED_VALUE"""),"Consumer")</f>
        <v>Consumer</v>
      </c>
      <c r="J225" s="22" t="str">
        <f>IFERROR(__xludf.DUMMYFUNCTION("""COMPUTED_VALUE"""),"Arlington")</f>
        <v>Arlington</v>
      </c>
      <c r="K225" s="22" t="str">
        <f>IFERROR(__xludf.DUMMYFUNCTION("""COMPUTED_VALUE"""),"Texas")</f>
        <v>Texas</v>
      </c>
      <c r="L225" s="22" t="str">
        <f>IFERROR(__xludf.DUMMYFUNCTION("""COMPUTED_VALUE"""),"Central")</f>
        <v>Central</v>
      </c>
      <c r="M225" s="22" t="str">
        <f>IFERROR(__xludf.DUMMYFUNCTION("""COMPUTED_VALUE"""),"Office Supplies")</f>
        <v>Office Supplies</v>
      </c>
      <c r="N225" s="18">
        <f>IFERROR(__xludf.DUMMYFUNCTION("""COMPUTED_VALUE"""),724.08)</f>
        <v>724.08</v>
      </c>
      <c r="O225" s="18">
        <f>IFERROR(__xludf.DUMMYFUNCTION("""COMPUTED_VALUE"""),723.22)</f>
        <v>723.22</v>
      </c>
      <c r="P225" s="22">
        <f>IFERROR(__xludf.DUMMYFUNCTION("""COMPUTED_VALUE"""),7.0)</f>
        <v>7</v>
      </c>
      <c r="Q225" s="18">
        <f>IFERROR(__xludf.DUMMYFUNCTION("""COMPUTED_VALUE"""),5068.56)</f>
        <v>5068.56</v>
      </c>
      <c r="R225" s="18">
        <f>IFERROR(__xludf.DUMMYFUNCTION("""COMPUTED_VALUE"""),4345.34)</f>
        <v>4345.34</v>
      </c>
    </row>
    <row r="226">
      <c r="A226" s="21">
        <f>IFERROR(__xludf.DUMMYFUNCTION("""COMPUTED_VALUE"""),42606.0)</f>
        <v>42606</v>
      </c>
      <c r="B226" s="21" t="str">
        <f>IFERROR(__xludf.DUMMYFUNCTION("""COMPUTED_VALUE"""),"Aug")</f>
        <v>Aug</v>
      </c>
      <c r="C226" s="9">
        <f>IFERROR(__xludf.DUMMYFUNCTION("""COMPUTED_VALUE"""),42610.0)</f>
        <v>42610</v>
      </c>
      <c r="D226" s="23" t="str">
        <f>IFERROR(__xludf.DUMMYFUNCTION("""COMPUTED_VALUE"""),"Aug")</f>
        <v>Aug</v>
      </c>
      <c r="E226" s="21" t="str">
        <f>IFERROR(__xludf.DUMMYFUNCTION("""COMPUTED_VALUE"""),"2016")</f>
        <v>2016</v>
      </c>
      <c r="F226" s="22" t="str">
        <f>IFERROR(__xludf.DUMMYFUNCTION("""COMPUTED_VALUE"""),"Standard Class")</f>
        <v>Standard Class</v>
      </c>
      <c r="G226" s="22" t="str">
        <f>IFERROR(__xludf.DUMMYFUNCTION("""COMPUTED_VALUE"""),"Cassandra")</f>
        <v>Cassandra</v>
      </c>
      <c r="H226" s="22" t="str">
        <f>IFERROR(__xludf.DUMMYFUNCTION("""COMPUTED_VALUE"""),"Brandow")</f>
        <v>Brandow</v>
      </c>
      <c r="I226" s="22" t="str">
        <f>IFERROR(__xludf.DUMMYFUNCTION("""COMPUTED_VALUE"""),"Consumer")</f>
        <v>Consumer</v>
      </c>
      <c r="J226" s="22" t="str">
        <f>IFERROR(__xludf.DUMMYFUNCTION("""COMPUTED_VALUE"""),"Arlington")</f>
        <v>Arlington</v>
      </c>
      <c r="K226" s="22" t="str">
        <f>IFERROR(__xludf.DUMMYFUNCTION("""COMPUTED_VALUE"""),"Texas")</f>
        <v>Texas</v>
      </c>
      <c r="L226" s="22" t="str">
        <f>IFERROR(__xludf.DUMMYFUNCTION("""COMPUTED_VALUE"""),"Central")</f>
        <v>Central</v>
      </c>
      <c r="M226" s="22" t="str">
        <f>IFERROR(__xludf.DUMMYFUNCTION("""COMPUTED_VALUE"""),"Furniture")</f>
        <v>Furniture</v>
      </c>
      <c r="N226" s="18">
        <f>IFERROR(__xludf.DUMMYFUNCTION("""COMPUTED_VALUE"""),918.785)</f>
        <v>918.785</v>
      </c>
      <c r="O226" s="18">
        <f>IFERROR(__xludf.DUMMYFUNCTION("""COMPUTED_VALUE"""),917.93)</f>
        <v>917.93</v>
      </c>
      <c r="P226" s="22">
        <f>IFERROR(__xludf.DUMMYFUNCTION("""COMPUTED_VALUE"""),7.0)</f>
        <v>7</v>
      </c>
      <c r="Q226" s="18">
        <f>IFERROR(__xludf.DUMMYFUNCTION("""COMPUTED_VALUE"""),6431.495)</f>
        <v>6431.495</v>
      </c>
      <c r="R226" s="18">
        <f>IFERROR(__xludf.DUMMYFUNCTION("""COMPUTED_VALUE"""),5513.565)</f>
        <v>5513.565</v>
      </c>
    </row>
    <row r="227">
      <c r="A227" s="21">
        <f>IFERROR(__xludf.DUMMYFUNCTION("""COMPUTED_VALUE"""),43318.0)</f>
        <v>43318</v>
      </c>
      <c r="B227" s="21" t="str">
        <f>IFERROR(__xludf.DUMMYFUNCTION("""COMPUTED_VALUE"""),"Aug")</f>
        <v>Aug</v>
      </c>
      <c r="C227" s="9">
        <f>IFERROR(__xludf.DUMMYFUNCTION("""COMPUTED_VALUE"""),43379.0)</f>
        <v>43379</v>
      </c>
      <c r="D227" s="23" t="str">
        <f>IFERROR(__xludf.DUMMYFUNCTION("""COMPUTED_VALUE"""),"Oct")</f>
        <v>Oct</v>
      </c>
      <c r="E227" s="21" t="str">
        <f>IFERROR(__xludf.DUMMYFUNCTION("""COMPUTED_VALUE"""),"2018")</f>
        <v>2018</v>
      </c>
      <c r="F227" s="22" t="str">
        <f>IFERROR(__xludf.DUMMYFUNCTION("""COMPUTED_VALUE"""),"Second Class")</f>
        <v>Second Class</v>
      </c>
      <c r="G227" s="22" t="str">
        <f>IFERROR(__xludf.DUMMYFUNCTION("""COMPUTED_VALUE"""),"Tiffany")</f>
        <v>Tiffany</v>
      </c>
      <c r="H227" s="22" t="str">
        <f>IFERROR(__xludf.DUMMYFUNCTION("""COMPUTED_VALUE"""),"House")</f>
        <v>House</v>
      </c>
      <c r="I227" s="22" t="str">
        <f>IFERROR(__xludf.DUMMYFUNCTION("""COMPUTED_VALUE"""),"Corporate")</f>
        <v>Corporate</v>
      </c>
      <c r="J227" s="22" t="str">
        <f>IFERROR(__xludf.DUMMYFUNCTION("""COMPUTED_VALUE"""),"Dallas")</f>
        <v>Dallas</v>
      </c>
      <c r="K227" s="22" t="str">
        <f>IFERROR(__xludf.DUMMYFUNCTION("""COMPUTED_VALUE"""),"Texas")</f>
        <v>Texas</v>
      </c>
      <c r="L227" s="22" t="str">
        <f>IFERROR(__xludf.DUMMYFUNCTION("""COMPUTED_VALUE"""),"Central")</f>
        <v>Central</v>
      </c>
      <c r="M227" s="22" t="str">
        <f>IFERROR(__xludf.DUMMYFUNCTION("""COMPUTED_VALUE"""),"Office Supplies")</f>
        <v>Office Supplies</v>
      </c>
      <c r="N227" s="18">
        <f>IFERROR(__xludf.DUMMYFUNCTION("""COMPUTED_VALUE"""),85.056)</f>
        <v>85.056</v>
      </c>
      <c r="O227" s="18">
        <f>IFERROR(__xludf.DUMMYFUNCTION("""COMPUTED_VALUE"""),84.29)</f>
        <v>84.29</v>
      </c>
      <c r="P227" s="22">
        <f>IFERROR(__xludf.DUMMYFUNCTION("""COMPUTED_VALUE"""),7.0)</f>
        <v>7</v>
      </c>
      <c r="Q227" s="18">
        <f>IFERROR(__xludf.DUMMYFUNCTION("""COMPUTED_VALUE"""),595.3919999999999)</f>
        <v>595.392</v>
      </c>
      <c r="R227" s="18">
        <f>IFERROR(__xludf.DUMMYFUNCTION("""COMPUTED_VALUE"""),511.1019999999999)</f>
        <v>511.102</v>
      </c>
    </row>
    <row r="228">
      <c r="A228" s="21">
        <f>IFERROR(__xludf.DUMMYFUNCTION("""COMPUTED_VALUE"""),43318.0)</f>
        <v>43318</v>
      </c>
      <c r="B228" s="21" t="str">
        <f>IFERROR(__xludf.DUMMYFUNCTION("""COMPUTED_VALUE"""),"Aug")</f>
        <v>Aug</v>
      </c>
      <c r="C228" s="9">
        <f>IFERROR(__xludf.DUMMYFUNCTION("""COMPUTED_VALUE"""),43379.0)</f>
        <v>43379</v>
      </c>
      <c r="D228" s="23" t="str">
        <f>IFERROR(__xludf.DUMMYFUNCTION("""COMPUTED_VALUE"""),"Oct")</f>
        <v>Oct</v>
      </c>
      <c r="E228" s="21" t="str">
        <f>IFERROR(__xludf.DUMMYFUNCTION("""COMPUTED_VALUE"""),"2018")</f>
        <v>2018</v>
      </c>
      <c r="F228" s="22" t="str">
        <f>IFERROR(__xludf.DUMMYFUNCTION("""COMPUTED_VALUE"""),"Second Class")</f>
        <v>Second Class</v>
      </c>
      <c r="G228" s="22" t="str">
        <f>IFERROR(__xludf.DUMMYFUNCTION("""COMPUTED_VALUE"""),"Tiffany")</f>
        <v>Tiffany</v>
      </c>
      <c r="H228" s="22" t="str">
        <f>IFERROR(__xludf.DUMMYFUNCTION("""COMPUTED_VALUE"""),"House")</f>
        <v>House</v>
      </c>
      <c r="I228" s="22" t="str">
        <f>IFERROR(__xludf.DUMMYFUNCTION("""COMPUTED_VALUE"""),"Corporate")</f>
        <v>Corporate</v>
      </c>
      <c r="J228" s="22" t="str">
        <f>IFERROR(__xludf.DUMMYFUNCTION("""COMPUTED_VALUE"""),"Dallas")</f>
        <v>Dallas</v>
      </c>
      <c r="K228" s="22" t="str">
        <f>IFERROR(__xludf.DUMMYFUNCTION("""COMPUTED_VALUE"""),"Texas")</f>
        <v>Texas</v>
      </c>
      <c r="L228" s="22" t="str">
        <f>IFERROR(__xludf.DUMMYFUNCTION("""COMPUTED_VALUE"""),"Central")</f>
        <v>Central</v>
      </c>
      <c r="M228" s="22" t="str">
        <f>IFERROR(__xludf.DUMMYFUNCTION("""COMPUTED_VALUE"""),"Technology")</f>
        <v>Technology</v>
      </c>
      <c r="N228" s="18">
        <f>IFERROR(__xludf.DUMMYFUNCTION("""COMPUTED_VALUE"""),381.576)</f>
        <v>381.576</v>
      </c>
      <c r="O228" s="18">
        <f>IFERROR(__xludf.DUMMYFUNCTION("""COMPUTED_VALUE"""),380.78)</f>
        <v>380.78</v>
      </c>
      <c r="P228" s="22">
        <f>IFERROR(__xludf.DUMMYFUNCTION("""COMPUTED_VALUE"""),7.0)</f>
        <v>7</v>
      </c>
      <c r="Q228" s="18">
        <f>IFERROR(__xludf.DUMMYFUNCTION("""COMPUTED_VALUE"""),2671.032)</f>
        <v>2671.032</v>
      </c>
      <c r="R228" s="18">
        <f>IFERROR(__xludf.DUMMYFUNCTION("""COMPUTED_VALUE"""),2290.2520000000004)</f>
        <v>2290.252</v>
      </c>
    </row>
    <row r="229">
      <c r="A229" s="21">
        <f>IFERROR(__xludf.DUMMYFUNCTION("""COMPUTED_VALUE"""),43349.0)</f>
        <v>43349</v>
      </c>
      <c r="B229" s="21" t="str">
        <f>IFERROR(__xludf.DUMMYFUNCTION("""COMPUTED_VALUE"""),"Sep")</f>
        <v>Sep</v>
      </c>
      <c r="C229" s="9">
        <f>IFERROR(__xludf.DUMMYFUNCTION("""COMPUTED_VALUE"""),43264.0)</f>
        <v>43264</v>
      </c>
      <c r="D229" s="23" t="str">
        <f>IFERROR(__xludf.DUMMYFUNCTION("""COMPUTED_VALUE"""),"Jun")</f>
        <v>Jun</v>
      </c>
      <c r="E229" s="21" t="str">
        <f>IFERROR(__xludf.DUMMYFUNCTION("""COMPUTED_VALUE"""),"2018")</f>
        <v>2018</v>
      </c>
      <c r="F229" s="22" t="str">
        <f>IFERROR(__xludf.DUMMYFUNCTION("""COMPUTED_VALUE"""),"Standard Class")</f>
        <v>Standard Class</v>
      </c>
      <c r="G229" s="22" t="str">
        <f>IFERROR(__xludf.DUMMYFUNCTION("""COMPUTED_VALUE"""),"Meg")</f>
        <v>Meg</v>
      </c>
      <c r="H229" s="22" t="str">
        <f>IFERROR(__xludf.DUMMYFUNCTION("""COMPUTED_VALUE"""),"O'Connel")</f>
        <v>O'Connel</v>
      </c>
      <c r="I229" s="22" t="str">
        <f>IFERROR(__xludf.DUMMYFUNCTION("""COMPUTED_VALUE"""),"Home Office")</f>
        <v>Home Office</v>
      </c>
      <c r="J229" s="22" t="str">
        <f>IFERROR(__xludf.DUMMYFUNCTION("""COMPUTED_VALUE"""),"Chicago")</f>
        <v>Chicago</v>
      </c>
      <c r="K229" s="22" t="str">
        <f>IFERROR(__xludf.DUMMYFUNCTION("""COMPUTED_VALUE"""),"Illinois")</f>
        <v>Illinois</v>
      </c>
      <c r="L229" s="22" t="str">
        <f>IFERROR(__xludf.DUMMYFUNCTION("""COMPUTED_VALUE"""),"Central")</f>
        <v>Central</v>
      </c>
      <c r="M229" s="22" t="str">
        <f>IFERROR(__xludf.DUMMYFUNCTION("""COMPUTED_VALUE"""),"Furniture")</f>
        <v>Furniture</v>
      </c>
      <c r="N229" s="18">
        <f>IFERROR(__xludf.DUMMYFUNCTION("""COMPUTED_VALUE"""),108.925)</f>
        <v>108.925</v>
      </c>
      <c r="O229" s="18">
        <f>IFERROR(__xludf.DUMMYFUNCTION("""COMPUTED_VALUE"""),108.54)</f>
        <v>108.54</v>
      </c>
      <c r="P229" s="22">
        <f>IFERROR(__xludf.DUMMYFUNCTION("""COMPUTED_VALUE"""),6.0)</f>
        <v>6</v>
      </c>
      <c r="Q229" s="18">
        <f>IFERROR(__xludf.DUMMYFUNCTION("""COMPUTED_VALUE"""),653.55)</f>
        <v>653.55</v>
      </c>
      <c r="R229" s="18">
        <f>IFERROR(__xludf.DUMMYFUNCTION("""COMPUTED_VALUE"""),545.01)</f>
        <v>545.01</v>
      </c>
    </row>
    <row r="230">
      <c r="A230" s="21">
        <f>IFERROR(__xludf.DUMMYFUNCTION("""COMPUTED_VALUE"""),43177.0)</f>
        <v>43177</v>
      </c>
      <c r="B230" s="21" t="str">
        <f>IFERROR(__xludf.DUMMYFUNCTION("""COMPUTED_VALUE"""),"Mar")</f>
        <v>Mar</v>
      </c>
      <c r="C230" s="9">
        <f>IFERROR(__xludf.DUMMYFUNCTION("""COMPUTED_VALUE"""),43182.0)</f>
        <v>43182</v>
      </c>
      <c r="D230" s="23" t="str">
        <f>IFERROR(__xludf.DUMMYFUNCTION("""COMPUTED_VALUE"""),"Mar")</f>
        <v>Mar</v>
      </c>
      <c r="E230" s="21" t="str">
        <f>IFERROR(__xludf.DUMMYFUNCTION("""COMPUTED_VALUE"""),"2018")</f>
        <v>2018</v>
      </c>
      <c r="F230" s="22" t="str">
        <f>IFERROR(__xludf.DUMMYFUNCTION("""COMPUTED_VALUE"""),"Standard Class")</f>
        <v>Standard Class</v>
      </c>
      <c r="G230" s="22" t="str">
        <f>IFERROR(__xludf.DUMMYFUNCTION("""COMPUTED_VALUE"""),"Carol")</f>
        <v>Carol</v>
      </c>
      <c r="H230" s="22" t="str">
        <f>IFERROR(__xludf.DUMMYFUNCTION("""COMPUTED_VALUE"""),"Darley")</f>
        <v>Darley</v>
      </c>
      <c r="I230" s="22" t="str">
        <f>IFERROR(__xludf.DUMMYFUNCTION("""COMPUTED_VALUE"""),"Consumer")</f>
        <v>Consumer</v>
      </c>
      <c r="J230" s="22" t="str">
        <f>IFERROR(__xludf.DUMMYFUNCTION("""COMPUTED_VALUE"""),"Tyler")</f>
        <v>Tyler</v>
      </c>
      <c r="K230" s="22" t="str">
        <f>IFERROR(__xludf.DUMMYFUNCTION("""COMPUTED_VALUE"""),"Texas")</f>
        <v>Texas</v>
      </c>
      <c r="L230" s="22" t="str">
        <f>IFERROR(__xludf.DUMMYFUNCTION("""COMPUTED_VALUE"""),"Central")</f>
        <v>Central</v>
      </c>
      <c r="M230" s="22" t="str">
        <f>IFERROR(__xludf.DUMMYFUNCTION("""COMPUTED_VALUE"""),"Office Supplies")</f>
        <v>Office Supplies</v>
      </c>
      <c r="N230" s="18">
        <f>IFERROR(__xludf.DUMMYFUNCTION("""COMPUTED_VALUE"""),182.994)</f>
        <v>182.994</v>
      </c>
      <c r="O230" s="18">
        <f>IFERROR(__xludf.DUMMYFUNCTION("""COMPUTED_VALUE"""),182.04)</f>
        <v>182.04</v>
      </c>
      <c r="P230" s="22">
        <f>IFERROR(__xludf.DUMMYFUNCTION("""COMPUTED_VALUE"""),7.0)</f>
        <v>7</v>
      </c>
      <c r="Q230" s="18">
        <f>IFERROR(__xludf.DUMMYFUNCTION("""COMPUTED_VALUE"""),1280.958)</f>
        <v>1280.958</v>
      </c>
      <c r="R230" s="18">
        <f>IFERROR(__xludf.DUMMYFUNCTION("""COMPUTED_VALUE"""),1098.9180000000001)</f>
        <v>1098.918</v>
      </c>
    </row>
    <row r="231">
      <c r="A231" s="21">
        <f>IFERROR(__xludf.DUMMYFUNCTION("""COMPUTED_VALUE"""),43201.0)</f>
        <v>43201</v>
      </c>
      <c r="B231" s="21" t="str">
        <f>IFERROR(__xludf.DUMMYFUNCTION("""COMPUTED_VALUE"""),"Apr")</f>
        <v>Apr</v>
      </c>
      <c r="C231" s="9">
        <f>IFERROR(__xludf.DUMMYFUNCTION("""COMPUTED_VALUE"""),43201.0)</f>
        <v>43201</v>
      </c>
      <c r="D231" s="23" t="str">
        <f>IFERROR(__xludf.DUMMYFUNCTION("""COMPUTED_VALUE"""),"Apr")</f>
        <v>Apr</v>
      </c>
      <c r="E231" s="21" t="str">
        <f>IFERROR(__xludf.DUMMYFUNCTION("""COMPUTED_VALUE"""),"2018")</f>
        <v>2018</v>
      </c>
      <c r="F231" s="22" t="str">
        <f>IFERROR(__xludf.DUMMYFUNCTION("""COMPUTED_VALUE"""),"Same Day")</f>
        <v>Same Day</v>
      </c>
      <c r="G231" s="22" t="str">
        <f>IFERROR(__xludf.DUMMYFUNCTION("""COMPUTED_VALUE"""),"Grant")</f>
        <v>Grant</v>
      </c>
      <c r="H231" s="22" t="str">
        <f>IFERROR(__xludf.DUMMYFUNCTION("""COMPUTED_VALUE"""),"Thornton")</f>
        <v>Thornton</v>
      </c>
      <c r="I231" s="22" t="str">
        <f>IFERROR(__xludf.DUMMYFUNCTION("""COMPUTED_VALUE"""),"Corporate")</f>
        <v>Corporate</v>
      </c>
      <c r="J231" s="22" t="str">
        <f>IFERROR(__xludf.DUMMYFUNCTION("""COMPUTED_VALUE"""),"Burlington")</f>
        <v>Burlington</v>
      </c>
      <c r="K231" s="22" t="str">
        <f>IFERROR(__xludf.DUMMYFUNCTION("""COMPUTED_VALUE"""),"North Carolina")</f>
        <v>North Carolina</v>
      </c>
      <c r="L231" s="22" t="str">
        <f>IFERROR(__xludf.DUMMYFUNCTION("""COMPUTED_VALUE"""),"South")</f>
        <v>South</v>
      </c>
      <c r="M231" s="22" t="str">
        <f>IFERROR(__xludf.DUMMYFUNCTION("""COMPUTED_VALUE"""),"Technology")</f>
        <v>Technology</v>
      </c>
      <c r="N231" s="18">
        <f>IFERROR(__xludf.DUMMYFUNCTION("""COMPUTED_VALUE"""),7999.98)</f>
        <v>7999.98</v>
      </c>
      <c r="O231" s="18">
        <f>IFERROR(__xludf.DUMMYFUNCTION("""COMPUTED_VALUE"""),7999.04)</f>
        <v>7999.04</v>
      </c>
      <c r="P231" s="22">
        <f>IFERROR(__xludf.DUMMYFUNCTION("""COMPUTED_VALUE"""),2.0)</f>
        <v>2</v>
      </c>
      <c r="Q231" s="18">
        <f>IFERROR(__xludf.DUMMYFUNCTION("""COMPUTED_VALUE"""),15999.96)</f>
        <v>15999.96</v>
      </c>
      <c r="R231" s="18">
        <f>IFERROR(__xludf.DUMMYFUNCTION("""COMPUTED_VALUE"""),8000.919999999999)</f>
        <v>8000.92</v>
      </c>
    </row>
    <row r="232">
      <c r="A232" s="21">
        <f>IFERROR(__xludf.DUMMYFUNCTION("""COMPUTED_VALUE"""),42131.0)</f>
        <v>42131</v>
      </c>
      <c r="B232" s="21" t="str">
        <f>IFERROR(__xludf.DUMMYFUNCTION("""COMPUTED_VALUE"""),"May")</f>
        <v>May</v>
      </c>
      <c r="C232" s="9">
        <f>IFERROR(__xludf.DUMMYFUNCTION("""COMPUTED_VALUE"""),42223.0)</f>
        <v>42223</v>
      </c>
      <c r="D232" s="23" t="str">
        <f>IFERROR(__xludf.DUMMYFUNCTION("""COMPUTED_VALUE"""),"Aug")</f>
        <v>Aug</v>
      </c>
      <c r="E232" s="21" t="str">
        <f>IFERROR(__xludf.DUMMYFUNCTION("""COMPUTED_VALUE"""),"2015")</f>
        <v>2015</v>
      </c>
      <c r="F232" s="22" t="str">
        <f>IFERROR(__xludf.DUMMYFUNCTION("""COMPUTED_VALUE"""),"First Class")</f>
        <v>First Class</v>
      </c>
      <c r="G232" s="22" t="str">
        <f>IFERROR(__xludf.DUMMYFUNCTION("""COMPUTED_VALUE"""),"Michael")</f>
        <v>Michael</v>
      </c>
      <c r="H232" s="22" t="str">
        <f>IFERROR(__xludf.DUMMYFUNCTION("""COMPUTED_VALUE"""),"Chen")</f>
        <v>Chen</v>
      </c>
      <c r="I232" s="22" t="str">
        <f>IFERROR(__xludf.DUMMYFUNCTION("""COMPUTED_VALUE"""),"Consumer")</f>
        <v>Consumer</v>
      </c>
      <c r="J232" s="22" t="str">
        <f>IFERROR(__xludf.DUMMYFUNCTION("""COMPUTED_VALUE"""),"Jackson")</f>
        <v>Jackson</v>
      </c>
      <c r="K232" s="22" t="str">
        <f>IFERROR(__xludf.DUMMYFUNCTION("""COMPUTED_VALUE"""),"Mississippi")</f>
        <v>Mississippi</v>
      </c>
      <c r="L232" s="22" t="str">
        <f>IFERROR(__xludf.DUMMYFUNCTION("""COMPUTED_VALUE"""),"South")</f>
        <v>South</v>
      </c>
      <c r="M232" s="22" t="str">
        <f>IFERROR(__xludf.DUMMYFUNCTION("""COMPUTED_VALUE"""),"Technology")</f>
        <v>Technology</v>
      </c>
      <c r="N232" s="18">
        <f>IFERROR(__xludf.DUMMYFUNCTION("""COMPUTED_VALUE"""),479.97)</f>
        <v>479.97</v>
      </c>
      <c r="O232" s="18">
        <f>IFERROR(__xludf.DUMMYFUNCTION("""COMPUTED_VALUE"""),479.4)</f>
        <v>479.4</v>
      </c>
      <c r="P232" s="22">
        <f>IFERROR(__xludf.DUMMYFUNCTION("""COMPUTED_VALUE"""),3.0)</f>
        <v>3</v>
      </c>
      <c r="Q232" s="18">
        <f>IFERROR(__xludf.DUMMYFUNCTION("""COMPUTED_VALUE"""),1439.91)</f>
        <v>1439.91</v>
      </c>
      <c r="R232" s="18">
        <f>IFERROR(__xludf.DUMMYFUNCTION("""COMPUTED_VALUE"""),960.5100000000001)</f>
        <v>960.51</v>
      </c>
    </row>
    <row r="233">
      <c r="A233" s="21">
        <f>IFERROR(__xludf.DUMMYFUNCTION("""COMPUTED_VALUE"""),42457.0)</f>
        <v>42457</v>
      </c>
      <c r="B233" s="21" t="str">
        <f>IFERROR(__xludf.DUMMYFUNCTION("""COMPUTED_VALUE"""),"Mar")</f>
        <v>Mar</v>
      </c>
      <c r="C233" s="9">
        <f>IFERROR(__xludf.DUMMYFUNCTION("""COMPUTED_VALUE"""),42404.0)</f>
        <v>42404</v>
      </c>
      <c r="D233" s="23" t="str">
        <f>IFERROR(__xludf.DUMMYFUNCTION("""COMPUTED_VALUE"""),"Feb")</f>
        <v>Feb</v>
      </c>
      <c r="E233" s="21" t="str">
        <f>IFERROR(__xludf.DUMMYFUNCTION("""COMPUTED_VALUE"""),"2016")</f>
        <v>2016</v>
      </c>
      <c r="F233" s="22" t="str">
        <f>IFERROR(__xludf.DUMMYFUNCTION("""COMPUTED_VALUE"""),"Standard Class")</f>
        <v>Standard Class</v>
      </c>
      <c r="G233" s="22" t="str">
        <f>IFERROR(__xludf.DUMMYFUNCTION("""COMPUTED_VALUE"""),"Alan")</f>
        <v>Alan</v>
      </c>
      <c r="H233" s="22" t="str">
        <f>IFERROR(__xludf.DUMMYFUNCTION("""COMPUTED_VALUE"""),"Barnes")</f>
        <v>Barnes</v>
      </c>
      <c r="I233" s="22" t="str">
        <f>IFERROR(__xludf.DUMMYFUNCTION("""COMPUTED_VALUE"""),"Consumer")</f>
        <v>Consumer</v>
      </c>
      <c r="J233" s="22" t="str">
        <f>IFERROR(__xludf.DUMMYFUNCTION("""COMPUTED_VALUE"""),"Los Angeles")</f>
        <v>Los Angeles</v>
      </c>
      <c r="K233" s="22" t="str">
        <f>IFERROR(__xludf.DUMMYFUNCTION("""COMPUTED_VALUE"""),"California")</f>
        <v>California</v>
      </c>
      <c r="L233" s="22" t="str">
        <f>IFERROR(__xludf.DUMMYFUNCTION("""COMPUTED_VALUE"""),"West")</f>
        <v>West</v>
      </c>
      <c r="M233" s="22" t="str">
        <f>IFERROR(__xludf.DUMMYFUNCTION("""COMPUTED_VALUE"""),"Technology")</f>
        <v>Technology</v>
      </c>
      <c r="N233" s="18">
        <f>IFERROR(__xludf.DUMMYFUNCTION("""COMPUTED_VALUE"""),166.24)</f>
        <v>166.24</v>
      </c>
      <c r="O233" s="18">
        <f>IFERROR(__xludf.DUMMYFUNCTION("""COMPUTED_VALUE"""),166.08)</f>
        <v>166.08</v>
      </c>
      <c r="P233" s="22">
        <f>IFERROR(__xludf.DUMMYFUNCTION("""COMPUTED_VALUE"""),9.0)</f>
        <v>9</v>
      </c>
      <c r="Q233" s="18">
        <f>IFERROR(__xludf.DUMMYFUNCTION("""COMPUTED_VALUE"""),1496.16)</f>
        <v>1496.16</v>
      </c>
      <c r="R233" s="18">
        <f>IFERROR(__xludf.DUMMYFUNCTION("""COMPUTED_VALUE"""),1330.0800000000002)</f>
        <v>1330.08</v>
      </c>
    </row>
    <row r="234">
      <c r="A234" s="21">
        <f>IFERROR(__xludf.DUMMYFUNCTION("""COMPUTED_VALUE"""),42836.0)</f>
        <v>42836</v>
      </c>
      <c r="B234" s="21" t="str">
        <f>IFERROR(__xludf.DUMMYFUNCTION("""COMPUTED_VALUE"""),"Apr")</f>
        <v>Apr</v>
      </c>
      <c r="C234" s="9">
        <f>IFERROR(__xludf.DUMMYFUNCTION("""COMPUTED_VALUE"""),42958.0)</f>
        <v>42958</v>
      </c>
      <c r="D234" s="23" t="str">
        <f>IFERROR(__xludf.DUMMYFUNCTION("""COMPUTED_VALUE"""),"Aug")</f>
        <v>Aug</v>
      </c>
      <c r="E234" s="21" t="str">
        <f>IFERROR(__xludf.DUMMYFUNCTION("""COMPUTED_VALUE"""),"2017")</f>
        <v>2017</v>
      </c>
      <c r="F234" s="22" t="str">
        <f>IFERROR(__xludf.DUMMYFUNCTION("""COMPUTED_VALUE"""),"Second Class")</f>
        <v>Second Class</v>
      </c>
      <c r="G234" s="22" t="str">
        <f>IFERROR(__xludf.DUMMYFUNCTION("""COMPUTED_VALUE"""),"Alejandro")</f>
        <v>Alejandro</v>
      </c>
      <c r="H234" s="22" t="str">
        <f>IFERROR(__xludf.DUMMYFUNCTION("""COMPUTED_VALUE"""),"Savely")</f>
        <v>Savely</v>
      </c>
      <c r="I234" s="22" t="str">
        <f>IFERROR(__xludf.DUMMYFUNCTION("""COMPUTED_VALUE"""),"Corporate")</f>
        <v>Corporate</v>
      </c>
      <c r="J234" s="22" t="str">
        <f>IFERROR(__xludf.DUMMYFUNCTION("""COMPUTED_VALUE"""),"Seattle")</f>
        <v>Seattle</v>
      </c>
      <c r="K234" s="22" t="str">
        <f>IFERROR(__xludf.DUMMYFUNCTION("""COMPUTED_VALUE"""),"Washington")</f>
        <v>Washington</v>
      </c>
      <c r="L234" s="22" t="str">
        <f>IFERROR(__xludf.DUMMYFUNCTION("""COMPUTED_VALUE"""),"West")</f>
        <v>West</v>
      </c>
      <c r="M234" s="22" t="str">
        <f>IFERROR(__xludf.DUMMYFUNCTION("""COMPUTED_VALUE"""),"Furniture")</f>
        <v>Furniture</v>
      </c>
      <c r="N234" s="18">
        <f>IFERROR(__xludf.DUMMYFUNCTION("""COMPUTED_VALUE"""),209.88)</f>
        <v>209.88</v>
      </c>
      <c r="O234" s="18">
        <f>IFERROR(__xludf.DUMMYFUNCTION("""COMPUTED_VALUE"""),209.67)</f>
        <v>209.67</v>
      </c>
      <c r="P234" s="22">
        <f>IFERROR(__xludf.DUMMYFUNCTION("""COMPUTED_VALUE"""),9.0)</f>
        <v>9</v>
      </c>
      <c r="Q234" s="18">
        <f>IFERROR(__xludf.DUMMYFUNCTION("""COMPUTED_VALUE"""),1888.92)</f>
        <v>1888.92</v>
      </c>
      <c r="R234" s="18">
        <f>IFERROR(__xludf.DUMMYFUNCTION("""COMPUTED_VALUE"""),1679.25)</f>
        <v>1679.25</v>
      </c>
    </row>
    <row r="235">
      <c r="A235" s="21">
        <f>IFERROR(__xludf.DUMMYFUNCTION("""COMPUTED_VALUE"""),42617.0)</f>
        <v>42617</v>
      </c>
      <c r="B235" s="21" t="str">
        <f>IFERROR(__xludf.DUMMYFUNCTION("""COMPUTED_VALUE"""),"Sep")</f>
        <v>Sep</v>
      </c>
      <c r="C235" s="9">
        <f>IFERROR(__xludf.DUMMYFUNCTION("""COMPUTED_VALUE"""),42474.0)</f>
        <v>42474</v>
      </c>
      <c r="D235" s="23" t="str">
        <f>IFERROR(__xludf.DUMMYFUNCTION("""COMPUTED_VALUE"""),"Apr")</f>
        <v>Apr</v>
      </c>
      <c r="E235" s="21" t="str">
        <f>IFERROR(__xludf.DUMMYFUNCTION("""COMPUTED_VALUE"""),"2016")</f>
        <v>2016</v>
      </c>
      <c r="F235" s="22" t="str">
        <f>IFERROR(__xludf.DUMMYFUNCTION("""COMPUTED_VALUE"""),"Standard Class")</f>
        <v>Standard Class</v>
      </c>
      <c r="G235" s="22" t="str">
        <f>IFERROR(__xludf.DUMMYFUNCTION("""COMPUTED_VALUE"""),"Jay")</f>
        <v>Jay</v>
      </c>
      <c r="H235" s="22" t="str">
        <f>IFERROR(__xludf.DUMMYFUNCTION("""COMPUTED_VALUE"""),"Kimmel")</f>
        <v>Kimmel</v>
      </c>
      <c r="I235" s="22" t="str">
        <f>IFERROR(__xludf.DUMMYFUNCTION("""COMPUTED_VALUE"""),"Consumer")</f>
        <v>Consumer</v>
      </c>
      <c r="J235" s="22" t="str">
        <f>IFERROR(__xludf.DUMMYFUNCTION("""COMPUTED_VALUE"""),"Long Beach")</f>
        <v>Long Beach</v>
      </c>
      <c r="K235" s="22" t="str">
        <f>IFERROR(__xludf.DUMMYFUNCTION("""COMPUTED_VALUE"""),"California")</f>
        <v>California</v>
      </c>
      <c r="L235" s="22" t="str">
        <f>IFERROR(__xludf.DUMMYFUNCTION("""COMPUTED_VALUE"""),"West")</f>
        <v>West</v>
      </c>
      <c r="M235" s="22" t="str">
        <f>IFERROR(__xludf.DUMMYFUNCTION("""COMPUTED_VALUE"""),"Furniture")</f>
        <v>Furniture</v>
      </c>
      <c r="N235" s="18">
        <f>IFERROR(__xludf.DUMMYFUNCTION("""COMPUTED_VALUE"""),369.912)</f>
        <v>369.912</v>
      </c>
      <c r="O235" s="18">
        <f>IFERROR(__xludf.DUMMYFUNCTION("""COMPUTED_VALUE"""),369.25)</f>
        <v>369.25</v>
      </c>
      <c r="P235" s="22">
        <f>IFERROR(__xludf.DUMMYFUNCTION("""COMPUTED_VALUE"""),9.0)</f>
        <v>9</v>
      </c>
      <c r="Q235" s="18">
        <f>IFERROR(__xludf.DUMMYFUNCTION("""COMPUTED_VALUE"""),3329.2079999999996)</f>
        <v>3329.208</v>
      </c>
      <c r="R235" s="18">
        <f>IFERROR(__xludf.DUMMYFUNCTION("""COMPUTED_VALUE"""),2959.9579999999996)</f>
        <v>2959.958</v>
      </c>
    </row>
    <row r="236">
      <c r="A236" s="21">
        <f>IFERROR(__xludf.DUMMYFUNCTION("""COMPUTED_VALUE"""),42041.0)</f>
        <v>42041</v>
      </c>
      <c r="B236" s="21" t="str">
        <f>IFERROR(__xludf.DUMMYFUNCTION("""COMPUTED_VALUE"""),"Feb")</f>
        <v>Feb</v>
      </c>
      <c r="C236" s="9">
        <f>IFERROR(__xludf.DUMMYFUNCTION("""COMPUTED_VALUE"""),42191.0)</f>
        <v>42191</v>
      </c>
      <c r="D236" s="23" t="str">
        <f>IFERROR(__xludf.DUMMYFUNCTION("""COMPUTED_VALUE"""),"Jul")</f>
        <v>Jul</v>
      </c>
      <c r="E236" s="21" t="str">
        <f>IFERROR(__xludf.DUMMYFUNCTION("""COMPUTED_VALUE"""),"2015")</f>
        <v>2015</v>
      </c>
      <c r="F236" s="22" t="str">
        <f>IFERROR(__xludf.DUMMYFUNCTION("""COMPUTED_VALUE"""),"Standard Class")</f>
        <v>Standard Class</v>
      </c>
      <c r="G236" s="22" t="str">
        <f>IFERROR(__xludf.DUMMYFUNCTION("""COMPUTED_VALUE"""),"Christine")</f>
        <v>Christine</v>
      </c>
      <c r="H236" s="22" t="str">
        <f>IFERROR(__xludf.DUMMYFUNCTION("""COMPUTED_VALUE"""),"Kargatis")</f>
        <v>Kargatis</v>
      </c>
      <c r="I236" s="22" t="str">
        <f>IFERROR(__xludf.DUMMYFUNCTION("""COMPUTED_VALUE"""),"Home Office")</f>
        <v>Home Office</v>
      </c>
      <c r="J236" s="22" t="str">
        <f>IFERROR(__xludf.DUMMYFUNCTION("""COMPUTED_VALUE"""),"Orem")</f>
        <v>Orem</v>
      </c>
      <c r="K236" s="22" t="str">
        <f>IFERROR(__xludf.DUMMYFUNCTION("""COMPUTED_VALUE"""),"Utah")</f>
        <v>Utah</v>
      </c>
      <c r="L236" s="22" t="str">
        <f>IFERROR(__xludf.DUMMYFUNCTION("""COMPUTED_VALUE"""),"West")</f>
        <v>West</v>
      </c>
      <c r="M236" s="22" t="str">
        <f>IFERROR(__xludf.DUMMYFUNCTION("""COMPUTED_VALUE"""),"Furniture")</f>
        <v>Furniture</v>
      </c>
      <c r="N236" s="18">
        <f>IFERROR(__xludf.DUMMYFUNCTION("""COMPUTED_VALUE"""),73.32)</f>
        <v>73.32</v>
      </c>
      <c r="O236" s="18">
        <f>IFERROR(__xludf.DUMMYFUNCTION("""COMPUTED_VALUE"""),72.32)</f>
        <v>72.32</v>
      </c>
      <c r="P236" s="22">
        <f>IFERROR(__xludf.DUMMYFUNCTION("""COMPUTED_VALUE"""),8.0)</f>
        <v>8</v>
      </c>
      <c r="Q236" s="18">
        <f>IFERROR(__xludf.DUMMYFUNCTION("""COMPUTED_VALUE"""),586.56)</f>
        <v>586.56</v>
      </c>
      <c r="R236" s="18">
        <f>IFERROR(__xludf.DUMMYFUNCTION("""COMPUTED_VALUE"""),514.24)</f>
        <v>514.24</v>
      </c>
    </row>
    <row r="237">
      <c r="A237" s="21">
        <f>IFERROR(__xludf.DUMMYFUNCTION("""COMPUTED_VALUE"""),42779.0)</f>
        <v>42779</v>
      </c>
      <c r="B237" s="21" t="str">
        <f>IFERROR(__xludf.DUMMYFUNCTION("""COMPUTED_VALUE"""),"Feb")</f>
        <v>Feb</v>
      </c>
      <c r="C237" s="9">
        <f>IFERROR(__xludf.DUMMYFUNCTION("""COMPUTED_VALUE"""),42784.0)</f>
        <v>42784</v>
      </c>
      <c r="D237" s="23" t="str">
        <f>IFERROR(__xludf.DUMMYFUNCTION("""COMPUTED_VALUE"""),"Feb")</f>
        <v>Feb</v>
      </c>
      <c r="E237" s="21" t="str">
        <f>IFERROR(__xludf.DUMMYFUNCTION("""COMPUTED_VALUE"""),"2017")</f>
        <v>2017</v>
      </c>
      <c r="F237" s="22" t="str">
        <f>IFERROR(__xludf.DUMMYFUNCTION("""COMPUTED_VALUE"""),"Standard Class")</f>
        <v>Standard Class</v>
      </c>
      <c r="G237" s="22" t="str">
        <f>IFERROR(__xludf.DUMMYFUNCTION("""COMPUTED_VALUE"""),"Ross")</f>
        <v>Ross</v>
      </c>
      <c r="H237" s="22" t="str">
        <f>IFERROR(__xludf.DUMMYFUNCTION("""COMPUTED_VALUE"""),"DeVincentis")</f>
        <v>DeVincentis</v>
      </c>
      <c r="I237" s="22" t="str">
        <f>IFERROR(__xludf.DUMMYFUNCTION("""COMPUTED_VALUE"""),"Home Office")</f>
        <v>Home Office</v>
      </c>
      <c r="J237" s="22" t="str">
        <f>IFERROR(__xludf.DUMMYFUNCTION("""COMPUTED_VALUE"""),"Los Angeles")</f>
        <v>Los Angeles</v>
      </c>
      <c r="K237" s="22" t="str">
        <f>IFERROR(__xludf.DUMMYFUNCTION("""COMPUTED_VALUE"""),"California")</f>
        <v>California</v>
      </c>
      <c r="L237" s="22" t="str">
        <f>IFERROR(__xludf.DUMMYFUNCTION("""COMPUTED_VALUE"""),"West")</f>
        <v>West</v>
      </c>
      <c r="M237" s="22" t="str">
        <f>IFERROR(__xludf.DUMMYFUNCTION("""COMPUTED_VALUE"""),"Office Supplies")</f>
        <v>Office Supplies</v>
      </c>
      <c r="N237" s="18">
        <f>IFERROR(__xludf.DUMMYFUNCTION("""COMPUTED_VALUE"""),146.82)</f>
        <v>146.82</v>
      </c>
      <c r="O237" s="18">
        <f>IFERROR(__xludf.DUMMYFUNCTION("""COMPUTED_VALUE"""),146.01)</f>
        <v>146.01</v>
      </c>
      <c r="P237" s="22">
        <f>IFERROR(__xludf.DUMMYFUNCTION("""COMPUTED_VALUE"""),9.0)</f>
        <v>9</v>
      </c>
      <c r="Q237" s="18">
        <f>IFERROR(__xludf.DUMMYFUNCTION("""COMPUTED_VALUE"""),1321.3799999999999)</f>
        <v>1321.38</v>
      </c>
      <c r="R237" s="18">
        <f>IFERROR(__xludf.DUMMYFUNCTION("""COMPUTED_VALUE"""),1175.37)</f>
        <v>1175.37</v>
      </c>
    </row>
    <row r="238">
      <c r="A238" s="21">
        <f>IFERROR(__xludf.DUMMYFUNCTION("""COMPUTED_VALUE"""),43084.0)</f>
        <v>43084</v>
      </c>
      <c r="B238" s="21" t="str">
        <f>IFERROR(__xludf.DUMMYFUNCTION("""COMPUTED_VALUE"""),"Dec")</f>
        <v>Dec</v>
      </c>
      <c r="C238" s="9">
        <f>IFERROR(__xludf.DUMMYFUNCTION("""COMPUTED_VALUE"""),43088.0)</f>
        <v>43088</v>
      </c>
      <c r="D238" s="23" t="str">
        <f>IFERROR(__xludf.DUMMYFUNCTION("""COMPUTED_VALUE"""),"Dec")</f>
        <v>Dec</v>
      </c>
      <c r="E238" s="21" t="str">
        <f>IFERROR(__xludf.DUMMYFUNCTION("""COMPUTED_VALUE"""),"2017")</f>
        <v>2017</v>
      </c>
      <c r="F238" s="22" t="str">
        <f>IFERROR(__xludf.DUMMYFUNCTION("""COMPUTED_VALUE"""),"Standard Class")</f>
        <v>Standard Class</v>
      </c>
      <c r="G238" s="22" t="str">
        <f>IFERROR(__xludf.DUMMYFUNCTION("""COMPUTED_VALUE"""),"Michael")</f>
        <v>Michael</v>
      </c>
      <c r="H238" s="22" t="str">
        <f>IFERROR(__xludf.DUMMYFUNCTION("""COMPUTED_VALUE"""),"Paige")</f>
        <v>Paige</v>
      </c>
      <c r="I238" s="22" t="str">
        <f>IFERROR(__xludf.DUMMYFUNCTION("""COMPUTED_VALUE"""),"Corporate")</f>
        <v>Corporate</v>
      </c>
      <c r="J238" s="22" t="str">
        <f>IFERROR(__xludf.DUMMYFUNCTION("""COMPUTED_VALUE"""),"Detroit")</f>
        <v>Detroit</v>
      </c>
      <c r="K238" s="22" t="str">
        <f>IFERROR(__xludf.DUMMYFUNCTION("""COMPUTED_VALUE"""),"Michigan")</f>
        <v>Michigan</v>
      </c>
      <c r="L238" s="22" t="str">
        <f>IFERROR(__xludf.DUMMYFUNCTION("""COMPUTED_VALUE"""),"Central")</f>
        <v>Central</v>
      </c>
      <c r="M238" s="22" t="str">
        <f>IFERROR(__xludf.DUMMYFUNCTION("""COMPUTED_VALUE"""),"Furniture")</f>
        <v>Furniture</v>
      </c>
      <c r="N238" s="18">
        <f>IFERROR(__xludf.DUMMYFUNCTION("""COMPUTED_VALUE"""),1652.94)</f>
        <v>1652.94</v>
      </c>
      <c r="O238" s="18">
        <f>IFERROR(__xludf.DUMMYFUNCTION("""COMPUTED_VALUE"""),1652.21)</f>
        <v>1652.21</v>
      </c>
      <c r="P238" s="22">
        <f>IFERROR(__xludf.DUMMYFUNCTION("""COMPUTED_VALUE"""),4.0)</f>
        <v>4</v>
      </c>
      <c r="Q238" s="18">
        <f>IFERROR(__xludf.DUMMYFUNCTION("""COMPUTED_VALUE"""),6611.76)</f>
        <v>6611.76</v>
      </c>
      <c r="R238" s="18">
        <f>IFERROR(__xludf.DUMMYFUNCTION("""COMPUTED_VALUE"""),4959.55)</f>
        <v>4959.55</v>
      </c>
    </row>
    <row r="239">
      <c r="A239" s="21">
        <f>IFERROR(__xludf.DUMMYFUNCTION("""COMPUTED_VALUE"""),43084.0)</f>
        <v>43084</v>
      </c>
      <c r="B239" s="21" t="str">
        <f>IFERROR(__xludf.DUMMYFUNCTION("""COMPUTED_VALUE"""),"Dec")</f>
        <v>Dec</v>
      </c>
      <c r="C239" s="9">
        <f>IFERROR(__xludf.DUMMYFUNCTION("""COMPUTED_VALUE"""),43088.0)</f>
        <v>43088</v>
      </c>
      <c r="D239" s="23" t="str">
        <f>IFERROR(__xludf.DUMMYFUNCTION("""COMPUTED_VALUE"""),"Dec")</f>
        <v>Dec</v>
      </c>
      <c r="E239" s="21" t="str">
        <f>IFERROR(__xludf.DUMMYFUNCTION("""COMPUTED_VALUE"""),"2017")</f>
        <v>2017</v>
      </c>
      <c r="F239" s="22" t="str">
        <f>IFERROR(__xludf.DUMMYFUNCTION("""COMPUTED_VALUE"""),"Standard Class")</f>
        <v>Standard Class</v>
      </c>
      <c r="G239" s="22" t="str">
        <f>IFERROR(__xludf.DUMMYFUNCTION("""COMPUTED_VALUE"""),"Michael")</f>
        <v>Michael</v>
      </c>
      <c r="H239" s="22" t="str">
        <f>IFERROR(__xludf.DUMMYFUNCTION("""COMPUTED_VALUE"""),"Paige")</f>
        <v>Paige</v>
      </c>
      <c r="I239" s="22" t="str">
        <f>IFERROR(__xludf.DUMMYFUNCTION("""COMPUTED_VALUE"""),"Corporate")</f>
        <v>Corporate</v>
      </c>
      <c r="J239" s="22" t="str">
        <f>IFERROR(__xludf.DUMMYFUNCTION("""COMPUTED_VALUE"""),"Detroit")</f>
        <v>Detroit</v>
      </c>
      <c r="K239" s="22" t="str">
        <f>IFERROR(__xludf.DUMMYFUNCTION("""COMPUTED_VALUE"""),"Michigan")</f>
        <v>Michigan</v>
      </c>
      <c r="L239" s="22" t="str">
        <f>IFERROR(__xludf.DUMMYFUNCTION("""COMPUTED_VALUE"""),"Central")</f>
        <v>Central</v>
      </c>
      <c r="M239" s="22" t="str">
        <f>IFERROR(__xludf.DUMMYFUNCTION("""COMPUTED_VALUE"""),"Office Supplies")</f>
        <v>Office Supplies</v>
      </c>
      <c r="N239" s="18">
        <f>IFERROR(__xludf.DUMMYFUNCTION("""COMPUTED_VALUE"""),296.37)</f>
        <v>296.37</v>
      </c>
      <c r="O239" s="18">
        <f>IFERROR(__xludf.DUMMYFUNCTION("""COMPUTED_VALUE"""),296.27)</f>
        <v>296.27</v>
      </c>
      <c r="P239" s="22">
        <f>IFERROR(__xludf.DUMMYFUNCTION("""COMPUTED_VALUE"""),4.0)</f>
        <v>4</v>
      </c>
      <c r="Q239" s="18">
        <f>IFERROR(__xludf.DUMMYFUNCTION("""COMPUTED_VALUE"""),1185.48)</f>
        <v>1185.48</v>
      </c>
      <c r="R239" s="18">
        <f>IFERROR(__xludf.DUMMYFUNCTION("""COMPUTED_VALUE"""),889.21)</f>
        <v>889.21</v>
      </c>
    </row>
    <row r="240">
      <c r="A240" s="21">
        <f>IFERROR(__xludf.DUMMYFUNCTION("""COMPUTED_VALUE"""),43121.0)</f>
        <v>43121</v>
      </c>
      <c r="B240" s="21" t="str">
        <f>IFERROR(__xludf.DUMMYFUNCTION("""COMPUTED_VALUE"""),"Jan")</f>
        <v>Jan</v>
      </c>
      <c r="C240" s="9">
        <f>IFERROR(__xludf.DUMMYFUNCTION("""COMPUTED_VALUE"""),43125.0)</f>
        <v>43125</v>
      </c>
      <c r="D240" s="23" t="str">
        <f>IFERROR(__xludf.DUMMYFUNCTION("""COMPUTED_VALUE"""),"Jan")</f>
        <v>Jan</v>
      </c>
      <c r="E240" s="21" t="str">
        <f>IFERROR(__xludf.DUMMYFUNCTION("""COMPUTED_VALUE"""),"2018")</f>
        <v>2018</v>
      </c>
      <c r="F240" s="22" t="str">
        <f>IFERROR(__xludf.DUMMYFUNCTION("""COMPUTED_VALUE"""),"Standard Class")</f>
        <v>Standard Class</v>
      </c>
      <c r="G240" s="22" t="str">
        <f>IFERROR(__xludf.DUMMYFUNCTION("""COMPUTED_VALUE"""),"Darrin")</f>
        <v>Darrin</v>
      </c>
      <c r="H240" s="22" t="str">
        <f>IFERROR(__xludf.DUMMYFUNCTION("""COMPUTED_VALUE"""),"Sayre")</f>
        <v>Sayre</v>
      </c>
      <c r="I240" s="22" t="str">
        <f>IFERROR(__xludf.DUMMYFUNCTION("""COMPUTED_VALUE"""),"Home Office")</f>
        <v>Home Office</v>
      </c>
      <c r="J240" s="22" t="str">
        <f>IFERROR(__xludf.DUMMYFUNCTION("""COMPUTED_VALUE"""),"Seattle")</f>
        <v>Seattle</v>
      </c>
      <c r="K240" s="22" t="str">
        <f>IFERROR(__xludf.DUMMYFUNCTION("""COMPUTED_VALUE"""),"Washington")</f>
        <v>Washington</v>
      </c>
      <c r="L240" s="22" t="str">
        <f>IFERROR(__xludf.DUMMYFUNCTION("""COMPUTED_VALUE"""),"West")</f>
        <v>West</v>
      </c>
      <c r="M240" s="22" t="str">
        <f>IFERROR(__xludf.DUMMYFUNCTION("""COMPUTED_VALUE"""),"Office Supplies")</f>
        <v>Office Supplies</v>
      </c>
      <c r="N240" s="18">
        <f>IFERROR(__xludf.DUMMYFUNCTION("""COMPUTED_VALUE"""),242.94)</f>
        <v>242.94</v>
      </c>
      <c r="O240" s="18">
        <f>IFERROR(__xludf.DUMMYFUNCTION("""COMPUTED_VALUE"""),242.41)</f>
        <v>242.41</v>
      </c>
      <c r="P240" s="22">
        <f>IFERROR(__xludf.DUMMYFUNCTION("""COMPUTED_VALUE"""),9.0)</f>
        <v>9</v>
      </c>
      <c r="Q240" s="18">
        <f>IFERROR(__xludf.DUMMYFUNCTION("""COMPUTED_VALUE"""),2186.46)</f>
        <v>2186.46</v>
      </c>
      <c r="R240" s="18">
        <f>IFERROR(__xludf.DUMMYFUNCTION("""COMPUTED_VALUE"""),1944.05)</f>
        <v>1944.05</v>
      </c>
    </row>
    <row r="241">
      <c r="A241" s="21">
        <f>IFERROR(__xludf.DUMMYFUNCTION("""COMPUTED_VALUE"""),43121.0)</f>
        <v>43121</v>
      </c>
      <c r="B241" s="21" t="str">
        <f>IFERROR(__xludf.DUMMYFUNCTION("""COMPUTED_VALUE"""),"Jan")</f>
        <v>Jan</v>
      </c>
      <c r="C241" s="9">
        <f>IFERROR(__xludf.DUMMYFUNCTION("""COMPUTED_VALUE"""),43125.0)</f>
        <v>43125</v>
      </c>
      <c r="D241" s="23" t="str">
        <f>IFERROR(__xludf.DUMMYFUNCTION("""COMPUTED_VALUE"""),"Jan")</f>
        <v>Jan</v>
      </c>
      <c r="E241" s="21" t="str">
        <f>IFERROR(__xludf.DUMMYFUNCTION("""COMPUTED_VALUE"""),"2018")</f>
        <v>2018</v>
      </c>
      <c r="F241" s="22" t="str">
        <f>IFERROR(__xludf.DUMMYFUNCTION("""COMPUTED_VALUE"""),"Standard Class")</f>
        <v>Standard Class</v>
      </c>
      <c r="G241" s="22" t="str">
        <f>IFERROR(__xludf.DUMMYFUNCTION("""COMPUTED_VALUE"""),"Darrin")</f>
        <v>Darrin</v>
      </c>
      <c r="H241" s="22" t="str">
        <f>IFERROR(__xludf.DUMMYFUNCTION("""COMPUTED_VALUE"""),"Sayre")</f>
        <v>Sayre</v>
      </c>
      <c r="I241" s="22" t="str">
        <f>IFERROR(__xludf.DUMMYFUNCTION("""COMPUTED_VALUE"""),"Home Office")</f>
        <v>Home Office</v>
      </c>
      <c r="J241" s="22" t="str">
        <f>IFERROR(__xludf.DUMMYFUNCTION("""COMPUTED_VALUE"""),"Seattle")</f>
        <v>Seattle</v>
      </c>
      <c r="K241" s="22" t="str">
        <f>IFERROR(__xludf.DUMMYFUNCTION("""COMPUTED_VALUE"""),"Washington")</f>
        <v>Washington</v>
      </c>
      <c r="L241" s="22" t="str">
        <f>IFERROR(__xludf.DUMMYFUNCTION("""COMPUTED_VALUE"""),"West")</f>
        <v>West</v>
      </c>
      <c r="M241" s="22" t="str">
        <f>IFERROR(__xludf.DUMMYFUNCTION("""COMPUTED_VALUE"""),"Technology")</f>
        <v>Technology</v>
      </c>
      <c r="N241" s="18">
        <f>IFERROR(__xludf.DUMMYFUNCTION("""COMPUTED_VALUE"""),179.97)</f>
        <v>179.97</v>
      </c>
      <c r="O241" s="18">
        <f>IFERROR(__xludf.DUMMYFUNCTION("""COMPUTED_VALUE"""),179.08)</f>
        <v>179.08</v>
      </c>
      <c r="P241" s="22">
        <f>IFERROR(__xludf.DUMMYFUNCTION("""COMPUTED_VALUE"""),9.0)</f>
        <v>9</v>
      </c>
      <c r="Q241" s="18">
        <f>IFERROR(__xludf.DUMMYFUNCTION("""COMPUTED_VALUE"""),1619.73)</f>
        <v>1619.73</v>
      </c>
      <c r="R241" s="18">
        <f>IFERROR(__xludf.DUMMYFUNCTION("""COMPUTED_VALUE"""),1440.65)</f>
        <v>1440.65</v>
      </c>
    </row>
    <row r="242">
      <c r="A242" s="21">
        <f>IFERROR(__xludf.DUMMYFUNCTION("""COMPUTED_VALUE"""),43121.0)</f>
        <v>43121</v>
      </c>
      <c r="B242" s="21" t="str">
        <f>IFERROR(__xludf.DUMMYFUNCTION("""COMPUTED_VALUE"""),"Jan")</f>
        <v>Jan</v>
      </c>
      <c r="C242" s="9">
        <f>IFERROR(__xludf.DUMMYFUNCTION("""COMPUTED_VALUE"""),43125.0)</f>
        <v>43125</v>
      </c>
      <c r="D242" s="23" t="str">
        <f>IFERROR(__xludf.DUMMYFUNCTION("""COMPUTED_VALUE"""),"Jan")</f>
        <v>Jan</v>
      </c>
      <c r="E242" s="21" t="str">
        <f>IFERROR(__xludf.DUMMYFUNCTION("""COMPUTED_VALUE"""),"2018")</f>
        <v>2018</v>
      </c>
      <c r="F242" s="22" t="str">
        <f>IFERROR(__xludf.DUMMYFUNCTION("""COMPUTED_VALUE"""),"Standard Class")</f>
        <v>Standard Class</v>
      </c>
      <c r="G242" s="22" t="str">
        <f>IFERROR(__xludf.DUMMYFUNCTION("""COMPUTED_VALUE"""),"Darrin")</f>
        <v>Darrin</v>
      </c>
      <c r="H242" s="22" t="str">
        <f>IFERROR(__xludf.DUMMYFUNCTION("""COMPUTED_VALUE"""),"Sayre")</f>
        <v>Sayre</v>
      </c>
      <c r="I242" s="22" t="str">
        <f>IFERROR(__xludf.DUMMYFUNCTION("""COMPUTED_VALUE"""),"Home Office")</f>
        <v>Home Office</v>
      </c>
      <c r="J242" s="22" t="str">
        <f>IFERROR(__xludf.DUMMYFUNCTION("""COMPUTED_VALUE"""),"Seattle")</f>
        <v>Seattle</v>
      </c>
      <c r="K242" s="22" t="str">
        <f>IFERROR(__xludf.DUMMYFUNCTION("""COMPUTED_VALUE"""),"Washington")</f>
        <v>Washington</v>
      </c>
      <c r="L242" s="22" t="str">
        <f>IFERROR(__xludf.DUMMYFUNCTION("""COMPUTED_VALUE"""),"West")</f>
        <v>West</v>
      </c>
      <c r="M242" s="22" t="str">
        <f>IFERROR(__xludf.DUMMYFUNCTION("""COMPUTED_VALUE"""),"Office Supplies")</f>
        <v>Office Supplies</v>
      </c>
      <c r="N242" s="18">
        <f>IFERROR(__xludf.DUMMYFUNCTION("""COMPUTED_VALUE"""),99.696)</f>
        <v>99.696</v>
      </c>
      <c r="O242" s="18">
        <f>IFERROR(__xludf.DUMMYFUNCTION("""COMPUTED_VALUE"""),99.66)</f>
        <v>99.66</v>
      </c>
      <c r="P242" s="22">
        <f>IFERROR(__xludf.DUMMYFUNCTION("""COMPUTED_VALUE"""),9.0)</f>
        <v>9</v>
      </c>
      <c r="Q242" s="18">
        <f>IFERROR(__xludf.DUMMYFUNCTION("""COMPUTED_VALUE"""),897.264)</f>
        <v>897.264</v>
      </c>
      <c r="R242" s="18">
        <f>IFERROR(__xludf.DUMMYFUNCTION("""COMPUTED_VALUE"""),797.604)</f>
        <v>797.604</v>
      </c>
    </row>
    <row r="243">
      <c r="A243" s="21">
        <f>IFERROR(__xludf.DUMMYFUNCTION("""COMPUTED_VALUE"""),43121.0)</f>
        <v>43121</v>
      </c>
      <c r="B243" s="21" t="str">
        <f>IFERROR(__xludf.DUMMYFUNCTION("""COMPUTED_VALUE"""),"Jan")</f>
        <v>Jan</v>
      </c>
      <c r="C243" s="9">
        <f>IFERROR(__xludf.DUMMYFUNCTION("""COMPUTED_VALUE"""),43125.0)</f>
        <v>43125</v>
      </c>
      <c r="D243" s="23" t="str">
        <f>IFERROR(__xludf.DUMMYFUNCTION("""COMPUTED_VALUE"""),"Jan")</f>
        <v>Jan</v>
      </c>
      <c r="E243" s="21" t="str">
        <f>IFERROR(__xludf.DUMMYFUNCTION("""COMPUTED_VALUE"""),"2018")</f>
        <v>2018</v>
      </c>
      <c r="F243" s="22" t="str">
        <f>IFERROR(__xludf.DUMMYFUNCTION("""COMPUTED_VALUE"""),"Standard Class")</f>
        <v>Standard Class</v>
      </c>
      <c r="G243" s="22" t="str">
        <f>IFERROR(__xludf.DUMMYFUNCTION("""COMPUTED_VALUE"""),"Darrin")</f>
        <v>Darrin</v>
      </c>
      <c r="H243" s="22" t="str">
        <f>IFERROR(__xludf.DUMMYFUNCTION("""COMPUTED_VALUE"""),"Sayre")</f>
        <v>Sayre</v>
      </c>
      <c r="I243" s="22" t="str">
        <f>IFERROR(__xludf.DUMMYFUNCTION("""COMPUTED_VALUE"""),"Home Office")</f>
        <v>Home Office</v>
      </c>
      <c r="J243" s="22" t="str">
        <f>IFERROR(__xludf.DUMMYFUNCTION("""COMPUTED_VALUE"""),"Seattle")</f>
        <v>Seattle</v>
      </c>
      <c r="K243" s="22" t="str">
        <f>IFERROR(__xludf.DUMMYFUNCTION("""COMPUTED_VALUE"""),"Washington")</f>
        <v>Washington</v>
      </c>
      <c r="L243" s="22" t="str">
        <f>IFERROR(__xludf.DUMMYFUNCTION("""COMPUTED_VALUE"""),"West")</f>
        <v>West</v>
      </c>
      <c r="M243" s="22" t="str">
        <f>IFERROR(__xludf.DUMMYFUNCTION("""COMPUTED_VALUE"""),"Furniture")</f>
        <v>Furniture</v>
      </c>
      <c r="N243" s="18">
        <f>IFERROR(__xludf.DUMMYFUNCTION("""COMPUTED_VALUE"""),84.98)</f>
        <v>84.98</v>
      </c>
      <c r="O243" s="18">
        <f>IFERROR(__xludf.DUMMYFUNCTION("""COMPUTED_VALUE"""),84.26)</f>
        <v>84.26</v>
      </c>
      <c r="P243" s="22">
        <f>IFERROR(__xludf.DUMMYFUNCTION("""COMPUTED_VALUE"""),9.0)</f>
        <v>9</v>
      </c>
      <c r="Q243" s="18">
        <f>IFERROR(__xludf.DUMMYFUNCTION("""COMPUTED_VALUE"""),764.82)</f>
        <v>764.82</v>
      </c>
      <c r="R243" s="18">
        <f>IFERROR(__xludf.DUMMYFUNCTION("""COMPUTED_VALUE"""),680.5600000000001)</f>
        <v>680.56</v>
      </c>
    </row>
    <row r="244">
      <c r="A244" s="21">
        <f>IFERROR(__xludf.DUMMYFUNCTION("""COMPUTED_VALUE"""),42095.0)</f>
        <v>42095</v>
      </c>
      <c r="B244" s="21" t="str">
        <f>IFERROR(__xludf.DUMMYFUNCTION("""COMPUTED_VALUE"""),"Apr")</f>
        <v>Apr</v>
      </c>
      <c r="C244" s="9">
        <f>IFERROR(__xludf.DUMMYFUNCTION("""COMPUTED_VALUE"""),42217.0)</f>
        <v>42217</v>
      </c>
      <c r="D244" s="23" t="str">
        <f>IFERROR(__xludf.DUMMYFUNCTION("""COMPUTED_VALUE"""),"Aug")</f>
        <v>Aug</v>
      </c>
      <c r="E244" s="21" t="str">
        <f>IFERROR(__xludf.DUMMYFUNCTION("""COMPUTED_VALUE"""),"2015")</f>
        <v>2015</v>
      </c>
      <c r="F244" s="22" t="str">
        <f>IFERROR(__xludf.DUMMYFUNCTION("""COMPUTED_VALUE"""),"Standard Class")</f>
        <v>Standard Class</v>
      </c>
      <c r="G244" s="22" t="str">
        <f>IFERROR(__xludf.DUMMYFUNCTION("""COMPUTED_VALUE"""),"Phillina")</f>
        <v>Phillina</v>
      </c>
      <c r="H244" s="22" t="str">
        <f>IFERROR(__xludf.DUMMYFUNCTION("""COMPUTED_VALUE"""),"Ober")</f>
        <v>Ober</v>
      </c>
      <c r="I244" s="22" t="str">
        <f>IFERROR(__xludf.DUMMYFUNCTION("""COMPUTED_VALUE"""),"Home Office")</f>
        <v>Home Office</v>
      </c>
      <c r="J244" s="22" t="str">
        <f>IFERROR(__xludf.DUMMYFUNCTION("""COMPUTED_VALUE"""),"Naperville")</f>
        <v>Naperville</v>
      </c>
      <c r="K244" s="22" t="str">
        <f>IFERROR(__xludf.DUMMYFUNCTION("""COMPUTED_VALUE"""),"Illinois")</f>
        <v>Illinois</v>
      </c>
      <c r="L244" s="22" t="str">
        <f>IFERROR(__xludf.DUMMYFUNCTION("""COMPUTED_VALUE"""),"Central")</f>
        <v>Central</v>
      </c>
      <c r="M244" s="22" t="str">
        <f>IFERROR(__xludf.DUMMYFUNCTION("""COMPUTED_VALUE"""),"Office Supplies")</f>
        <v>Office Supplies</v>
      </c>
      <c r="N244" s="18">
        <f>IFERROR(__xludf.DUMMYFUNCTION("""COMPUTED_VALUE"""),272.736)</f>
        <v>272.736</v>
      </c>
      <c r="O244" s="18">
        <f>IFERROR(__xludf.DUMMYFUNCTION("""COMPUTED_VALUE"""),271.79)</f>
        <v>271.79</v>
      </c>
      <c r="P244" s="22">
        <f>IFERROR(__xludf.DUMMYFUNCTION("""COMPUTED_VALUE"""),6.0)</f>
        <v>6</v>
      </c>
      <c r="Q244" s="18">
        <f>IFERROR(__xludf.DUMMYFUNCTION("""COMPUTED_VALUE"""),1636.416)</f>
        <v>1636.416</v>
      </c>
      <c r="R244" s="18">
        <f>IFERROR(__xludf.DUMMYFUNCTION("""COMPUTED_VALUE"""),1364.626)</f>
        <v>1364.626</v>
      </c>
    </row>
    <row r="245">
      <c r="A245" s="21">
        <f>IFERROR(__xludf.DUMMYFUNCTION("""COMPUTED_VALUE"""),42151.0)</f>
        <v>42151</v>
      </c>
      <c r="B245" s="21" t="str">
        <f>IFERROR(__xludf.DUMMYFUNCTION("""COMPUTED_VALUE"""),"May")</f>
        <v>May</v>
      </c>
      <c r="C245" s="9">
        <f>IFERROR(__xludf.DUMMYFUNCTION("""COMPUTED_VALUE"""),42151.0)</f>
        <v>42151</v>
      </c>
      <c r="D245" s="23" t="str">
        <f>IFERROR(__xludf.DUMMYFUNCTION("""COMPUTED_VALUE"""),"May")</f>
        <v>May</v>
      </c>
      <c r="E245" s="21" t="str">
        <f>IFERROR(__xludf.DUMMYFUNCTION("""COMPUTED_VALUE"""),"2015")</f>
        <v>2015</v>
      </c>
      <c r="F245" s="22" t="str">
        <f>IFERROR(__xludf.DUMMYFUNCTION("""COMPUTED_VALUE"""),"Same Day")</f>
        <v>Same Day</v>
      </c>
      <c r="G245" s="22" t="str">
        <f>IFERROR(__xludf.DUMMYFUNCTION("""COMPUTED_VALUE"""),"Maya")</f>
        <v>Maya</v>
      </c>
      <c r="H245" s="22" t="str">
        <f>IFERROR(__xludf.DUMMYFUNCTION("""COMPUTED_VALUE"""),"Herman")</f>
        <v>Herman</v>
      </c>
      <c r="I245" s="22" t="str">
        <f>IFERROR(__xludf.DUMMYFUNCTION("""COMPUTED_VALUE"""),"Corporate")</f>
        <v>Corporate</v>
      </c>
      <c r="J245" s="22" t="str">
        <f>IFERROR(__xludf.DUMMYFUNCTION("""COMPUTED_VALUE"""),"San Diego")</f>
        <v>San Diego</v>
      </c>
      <c r="K245" s="22" t="str">
        <f>IFERROR(__xludf.DUMMYFUNCTION("""COMPUTED_VALUE"""),"California")</f>
        <v>California</v>
      </c>
      <c r="L245" s="22" t="str">
        <f>IFERROR(__xludf.DUMMYFUNCTION("""COMPUTED_VALUE"""),"West")</f>
        <v>West</v>
      </c>
      <c r="M245" s="22" t="str">
        <f>IFERROR(__xludf.DUMMYFUNCTION("""COMPUTED_VALUE"""),"Furniture")</f>
        <v>Furniture</v>
      </c>
      <c r="N245" s="18">
        <f>IFERROR(__xludf.DUMMYFUNCTION("""COMPUTED_VALUE"""),567.12)</f>
        <v>567.12</v>
      </c>
      <c r="O245" s="18">
        <f>IFERROR(__xludf.DUMMYFUNCTION("""COMPUTED_VALUE"""),566.93)</f>
        <v>566.93</v>
      </c>
      <c r="P245" s="22">
        <f>IFERROR(__xludf.DUMMYFUNCTION("""COMPUTED_VALUE"""),9.0)</f>
        <v>9</v>
      </c>
      <c r="Q245" s="18">
        <f>IFERROR(__xludf.DUMMYFUNCTION("""COMPUTED_VALUE"""),5104.08)</f>
        <v>5104.08</v>
      </c>
      <c r="R245" s="18">
        <f>IFERROR(__xludf.DUMMYFUNCTION("""COMPUTED_VALUE"""),4537.15)</f>
        <v>4537.15</v>
      </c>
    </row>
    <row r="246">
      <c r="A246" s="21">
        <f>IFERROR(__xludf.DUMMYFUNCTION("""COMPUTED_VALUE"""),42151.0)</f>
        <v>42151</v>
      </c>
      <c r="B246" s="21" t="str">
        <f>IFERROR(__xludf.DUMMYFUNCTION("""COMPUTED_VALUE"""),"May")</f>
        <v>May</v>
      </c>
      <c r="C246" s="9">
        <f>IFERROR(__xludf.DUMMYFUNCTION("""COMPUTED_VALUE"""),42151.0)</f>
        <v>42151</v>
      </c>
      <c r="D246" s="23" t="str">
        <f>IFERROR(__xludf.DUMMYFUNCTION("""COMPUTED_VALUE"""),"May")</f>
        <v>May</v>
      </c>
      <c r="E246" s="21" t="str">
        <f>IFERROR(__xludf.DUMMYFUNCTION("""COMPUTED_VALUE"""),"2015")</f>
        <v>2015</v>
      </c>
      <c r="F246" s="22" t="str">
        <f>IFERROR(__xludf.DUMMYFUNCTION("""COMPUTED_VALUE"""),"Same Day")</f>
        <v>Same Day</v>
      </c>
      <c r="G246" s="22" t="str">
        <f>IFERROR(__xludf.DUMMYFUNCTION("""COMPUTED_VALUE"""),"Maya")</f>
        <v>Maya</v>
      </c>
      <c r="H246" s="22" t="str">
        <f>IFERROR(__xludf.DUMMYFUNCTION("""COMPUTED_VALUE"""),"Herman")</f>
        <v>Herman</v>
      </c>
      <c r="I246" s="22" t="str">
        <f>IFERROR(__xludf.DUMMYFUNCTION("""COMPUTED_VALUE"""),"Corporate")</f>
        <v>Corporate</v>
      </c>
      <c r="J246" s="22" t="str">
        <f>IFERROR(__xludf.DUMMYFUNCTION("""COMPUTED_VALUE"""),"San Diego")</f>
        <v>San Diego</v>
      </c>
      <c r="K246" s="22" t="str">
        <f>IFERROR(__xludf.DUMMYFUNCTION("""COMPUTED_VALUE"""),"California")</f>
        <v>California</v>
      </c>
      <c r="L246" s="22" t="str">
        <f>IFERROR(__xludf.DUMMYFUNCTION("""COMPUTED_VALUE"""),"West")</f>
        <v>West</v>
      </c>
      <c r="M246" s="22" t="str">
        <f>IFERROR(__xludf.DUMMYFUNCTION("""COMPUTED_VALUE"""),"Office Supplies")</f>
        <v>Office Supplies</v>
      </c>
      <c r="N246" s="18">
        <f>IFERROR(__xludf.DUMMYFUNCTION("""COMPUTED_VALUE"""),359.32)</f>
        <v>359.32</v>
      </c>
      <c r="O246" s="18">
        <f>IFERROR(__xludf.DUMMYFUNCTION("""COMPUTED_VALUE"""),358.74)</f>
        <v>358.74</v>
      </c>
      <c r="P246" s="22">
        <f>IFERROR(__xludf.DUMMYFUNCTION("""COMPUTED_VALUE"""),9.0)</f>
        <v>9</v>
      </c>
      <c r="Q246" s="18">
        <f>IFERROR(__xludf.DUMMYFUNCTION("""COMPUTED_VALUE"""),3233.88)</f>
        <v>3233.88</v>
      </c>
      <c r="R246" s="18">
        <f>IFERROR(__xludf.DUMMYFUNCTION("""COMPUTED_VALUE"""),2875.1400000000003)</f>
        <v>2875.14</v>
      </c>
    </row>
    <row r="247">
      <c r="A247" s="21">
        <f>IFERROR(__xludf.DUMMYFUNCTION("""COMPUTED_VALUE"""),42920.0)</f>
        <v>42920</v>
      </c>
      <c r="B247" s="21" t="str">
        <f>IFERROR(__xludf.DUMMYFUNCTION("""COMPUTED_VALUE"""),"Jul")</f>
        <v>Jul</v>
      </c>
      <c r="C247" s="9">
        <f>IFERROR(__xludf.DUMMYFUNCTION("""COMPUTED_VALUE"""),42982.0)</f>
        <v>42982</v>
      </c>
      <c r="D247" s="23" t="str">
        <f>IFERROR(__xludf.DUMMYFUNCTION("""COMPUTED_VALUE"""),"Sep")</f>
        <v>Sep</v>
      </c>
      <c r="E247" s="21" t="str">
        <f>IFERROR(__xludf.DUMMYFUNCTION("""COMPUTED_VALUE"""),"2017")</f>
        <v>2017</v>
      </c>
      <c r="F247" s="22" t="str">
        <f>IFERROR(__xludf.DUMMYFUNCTION("""COMPUTED_VALUE"""),"First Class")</f>
        <v>First Class</v>
      </c>
      <c r="G247" s="22" t="str">
        <f>IFERROR(__xludf.DUMMYFUNCTION("""COMPUTED_VALUE"""),"Yoseph")</f>
        <v>Yoseph</v>
      </c>
      <c r="H247" s="22" t="str">
        <f>IFERROR(__xludf.DUMMYFUNCTION("""COMPUTED_VALUE"""),"Carroll")</f>
        <v>Carroll</v>
      </c>
      <c r="I247" s="22" t="str">
        <f>IFERROR(__xludf.DUMMYFUNCTION("""COMPUTED_VALUE"""),"Corporate")</f>
        <v>Corporate</v>
      </c>
      <c r="J247" s="22" t="str">
        <f>IFERROR(__xludf.DUMMYFUNCTION("""COMPUTED_VALUE"""),"San Francisco")</f>
        <v>San Francisco</v>
      </c>
      <c r="K247" s="22" t="str">
        <f>IFERROR(__xludf.DUMMYFUNCTION("""COMPUTED_VALUE"""),"California")</f>
        <v>California</v>
      </c>
      <c r="L247" s="22" t="str">
        <f>IFERROR(__xludf.DUMMYFUNCTION("""COMPUTED_VALUE"""),"West")</f>
        <v>West</v>
      </c>
      <c r="M247" s="22" t="str">
        <f>IFERROR(__xludf.DUMMYFUNCTION("""COMPUTED_VALUE"""),"Technology")</f>
        <v>Technology</v>
      </c>
      <c r="N247" s="18">
        <f>IFERROR(__xludf.DUMMYFUNCTION("""COMPUTED_VALUE"""),1199.976)</f>
        <v>1199.976</v>
      </c>
      <c r="O247" s="18">
        <f>IFERROR(__xludf.DUMMYFUNCTION("""COMPUTED_VALUE"""),1199.7)</f>
        <v>1199.7</v>
      </c>
      <c r="P247" s="22">
        <f>IFERROR(__xludf.DUMMYFUNCTION("""COMPUTED_VALUE"""),9.0)</f>
        <v>9</v>
      </c>
      <c r="Q247" s="18">
        <f>IFERROR(__xludf.DUMMYFUNCTION("""COMPUTED_VALUE"""),10799.784000000001)</f>
        <v>10799.784</v>
      </c>
      <c r="R247" s="18">
        <f>IFERROR(__xludf.DUMMYFUNCTION("""COMPUTED_VALUE"""),9600.084)</f>
        <v>9600.084</v>
      </c>
    </row>
    <row r="248">
      <c r="A248" s="21">
        <f>IFERROR(__xludf.DUMMYFUNCTION("""COMPUTED_VALUE"""),42563.0)</f>
        <v>42563</v>
      </c>
      <c r="B248" s="21" t="str">
        <f>IFERROR(__xludf.DUMMYFUNCTION("""COMPUTED_VALUE"""),"Jul")</f>
        <v>Jul</v>
      </c>
      <c r="C248" s="9">
        <f>IFERROR(__xludf.DUMMYFUNCTION("""COMPUTED_VALUE"""),42716.0)</f>
        <v>42716</v>
      </c>
      <c r="D248" s="23" t="str">
        <f>IFERROR(__xludf.DUMMYFUNCTION("""COMPUTED_VALUE"""),"Dec")</f>
        <v>Dec</v>
      </c>
      <c r="E248" s="21" t="str">
        <f>IFERROR(__xludf.DUMMYFUNCTION("""COMPUTED_VALUE"""),"2016")</f>
        <v>2016</v>
      </c>
      <c r="F248" s="22" t="str">
        <f>IFERROR(__xludf.DUMMYFUNCTION("""COMPUTED_VALUE"""),"Standard Class")</f>
        <v>Standard Class</v>
      </c>
      <c r="G248" s="22" t="str">
        <f>IFERROR(__xludf.DUMMYFUNCTION("""COMPUTED_VALUE"""),"Melanie")</f>
        <v>Melanie</v>
      </c>
      <c r="H248" s="22" t="str">
        <f>IFERROR(__xludf.DUMMYFUNCTION("""COMPUTED_VALUE"""),"Seite")</f>
        <v>Seite</v>
      </c>
      <c r="I248" s="22" t="str">
        <f>IFERROR(__xludf.DUMMYFUNCTION("""COMPUTED_VALUE"""),"Consumer")</f>
        <v>Consumer</v>
      </c>
      <c r="J248" s="22" t="str">
        <f>IFERROR(__xludf.DUMMYFUNCTION("""COMPUTED_VALUE"""),"Los Angeles")</f>
        <v>Los Angeles</v>
      </c>
      <c r="K248" s="22" t="str">
        <f>IFERROR(__xludf.DUMMYFUNCTION("""COMPUTED_VALUE"""),"California")</f>
        <v>California</v>
      </c>
      <c r="L248" s="22" t="str">
        <f>IFERROR(__xludf.DUMMYFUNCTION("""COMPUTED_VALUE"""),"West")</f>
        <v>West</v>
      </c>
      <c r="M248" s="22" t="str">
        <f>IFERROR(__xludf.DUMMYFUNCTION("""COMPUTED_VALUE"""),"Furniture")</f>
        <v>Furniture</v>
      </c>
      <c r="N248" s="18">
        <f>IFERROR(__xludf.DUMMYFUNCTION("""COMPUTED_VALUE"""),79.92)</f>
        <v>79.92</v>
      </c>
      <c r="O248" s="18">
        <f>IFERROR(__xludf.DUMMYFUNCTION("""COMPUTED_VALUE"""),79.91)</f>
        <v>79.91</v>
      </c>
      <c r="P248" s="22">
        <f>IFERROR(__xludf.DUMMYFUNCTION("""COMPUTED_VALUE"""),9.0)</f>
        <v>9</v>
      </c>
      <c r="Q248" s="18">
        <f>IFERROR(__xludf.DUMMYFUNCTION("""COMPUTED_VALUE"""),719.28)</f>
        <v>719.28</v>
      </c>
      <c r="R248" s="18">
        <f>IFERROR(__xludf.DUMMYFUNCTION("""COMPUTED_VALUE"""),639.37)</f>
        <v>639.37</v>
      </c>
    </row>
    <row r="249">
      <c r="A249" s="21">
        <f>IFERROR(__xludf.DUMMYFUNCTION("""COMPUTED_VALUE"""),42996.0)</f>
        <v>42996</v>
      </c>
      <c r="B249" s="21" t="str">
        <f>IFERROR(__xludf.DUMMYFUNCTION("""COMPUTED_VALUE"""),"Sep")</f>
        <v>Sep</v>
      </c>
      <c r="C249" s="9">
        <f>IFERROR(__xludf.DUMMYFUNCTION("""COMPUTED_VALUE"""),43000.0)</f>
        <v>43000</v>
      </c>
      <c r="D249" s="23" t="str">
        <f>IFERROR(__xludf.DUMMYFUNCTION("""COMPUTED_VALUE"""),"Sep")</f>
        <v>Sep</v>
      </c>
      <c r="E249" s="21" t="str">
        <f>IFERROR(__xludf.DUMMYFUNCTION("""COMPUTED_VALUE"""),"2017")</f>
        <v>2017</v>
      </c>
      <c r="F249" s="22" t="str">
        <f>IFERROR(__xludf.DUMMYFUNCTION("""COMPUTED_VALUE"""),"Standard Class")</f>
        <v>Standard Class</v>
      </c>
      <c r="G249" s="22" t="str">
        <f>IFERROR(__xludf.DUMMYFUNCTION("""COMPUTED_VALUE"""),"Nona")</f>
        <v>Nona</v>
      </c>
      <c r="H249" s="22" t="str">
        <f>IFERROR(__xludf.DUMMYFUNCTION("""COMPUTED_VALUE"""),"Balk")</f>
        <v>Balk</v>
      </c>
      <c r="I249" s="22" t="str">
        <f>IFERROR(__xludf.DUMMYFUNCTION("""COMPUTED_VALUE"""),"Corporate")</f>
        <v>Corporate</v>
      </c>
      <c r="J249" s="22" t="str">
        <f>IFERROR(__xludf.DUMMYFUNCTION("""COMPUTED_VALUE"""),"Jacksonville")</f>
        <v>Jacksonville</v>
      </c>
      <c r="K249" s="22" t="str">
        <f>IFERROR(__xludf.DUMMYFUNCTION("""COMPUTED_VALUE"""),"Florida")</f>
        <v>Florida</v>
      </c>
      <c r="L249" s="22" t="str">
        <f>IFERROR(__xludf.DUMMYFUNCTION("""COMPUTED_VALUE"""),"South")</f>
        <v>South</v>
      </c>
      <c r="M249" s="22" t="str">
        <f>IFERROR(__xludf.DUMMYFUNCTION("""COMPUTED_VALUE"""),"Furniture")</f>
        <v>Furniture</v>
      </c>
      <c r="N249" s="18">
        <f>IFERROR(__xludf.DUMMYFUNCTION("""COMPUTED_VALUE"""),383.438)</f>
        <v>383.438</v>
      </c>
      <c r="O249" s="18">
        <f>IFERROR(__xludf.DUMMYFUNCTION("""COMPUTED_VALUE"""),382.77)</f>
        <v>382.77</v>
      </c>
      <c r="P249" s="22">
        <f>IFERROR(__xludf.DUMMYFUNCTION("""COMPUTED_VALUE"""),3.0)</f>
        <v>3</v>
      </c>
      <c r="Q249" s="18">
        <f>IFERROR(__xludf.DUMMYFUNCTION("""COMPUTED_VALUE"""),1150.3139999999999)</f>
        <v>1150.314</v>
      </c>
      <c r="R249" s="18">
        <f>IFERROR(__xludf.DUMMYFUNCTION("""COMPUTED_VALUE"""),767.5439999999999)</f>
        <v>767.544</v>
      </c>
    </row>
    <row r="250">
      <c r="A250" s="21">
        <f>IFERROR(__xludf.DUMMYFUNCTION("""COMPUTED_VALUE"""),42017.0)</f>
        <v>42017</v>
      </c>
      <c r="B250" s="21" t="str">
        <f>IFERROR(__xludf.DUMMYFUNCTION("""COMPUTED_VALUE"""),"Jan")</f>
        <v>Jan</v>
      </c>
      <c r="C250" s="9">
        <f>IFERROR(__xludf.DUMMYFUNCTION("""COMPUTED_VALUE"""),42019.0)</f>
        <v>42019</v>
      </c>
      <c r="D250" s="23" t="str">
        <f>IFERROR(__xludf.DUMMYFUNCTION("""COMPUTED_VALUE"""),"Jan")</f>
        <v>Jan</v>
      </c>
      <c r="E250" s="21" t="str">
        <f>IFERROR(__xludf.DUMMYFUNCTION("""COMPUTED_VALUE"""),"2015")</f>
        <v>2015</v>
      </c>
      <c r="F250" s="22" t="str">
        <f>IFERROR(__xludf.DUMMYFUNCTION("""COMPUTED_VALUE"""),"Second Class")</f>
        <v>Second Class</v>
      </c>
      <c r="G250" s="22" t="str">
        <f>IFERROR(__xludf.DUMMYFUNCTION("""COMPUTED_VALUE"""),"Chris")</f>
        <v>Chris</v>
      </c>
      <c r="H250" s="22" t="str">
        <f>IFERROR(__xludf.DUMMYFUNCTION("""COMPUTED_VALUE"""),"Selesnick")</f>
        <v>Selesnick</v>
      </c>
      <c r="I250" s="22" t="str">
        <f>IFERROR(__xludf.DUMMYFUNCTION("""COMPUTED_VALUE"""),"Corporate")</f>
        <v>Corporate</v>
      </c>
      <c r="J250" s="22" t="str">
        <f>IFERROR(__xludf.DUMMYFUNCTION("""COMPUTED_VALUE"""),"Bossier City")</f>
        <v>Bossier City</v>
      </c>
      <c r="K250" s="22" t="str">
        <f>IFERROR(__xludf.DUMMYFUNCTION("""COMPUTED_VALUE"""),"Louisiana")</f>
        <v>Louisiana</v>
      </c>
      <c r="L250" s="22" t="str">
        <f>IFERROR(__xludf.DUMMYFUNCTION("""COMPUTED_VALUE"""),"South")</f>
        <v>South</v>
      </c>
      <c r="M250" s="22" t="str">
        <f>IFERROR(__xludf.DUMMYFUNCTION("""COMPUTED_VALUE"""),"Technology")</f>
        <v>Technology</v>
      </c>
      <c r="N250" s="18">
        <f>IFERROR(__xludf.DUMMYFUNCTION("""COMPUTED_VALUE"""),646.74)</f>
        <v>646.74</v>
      </c>
      <c r="O250" s="18">
        <f>IFERROR(__xludf.DUMMYFUNCTION("""COMPUTED_VALUE"""),646.38)</f>
        <v>646.38</v>
      </c>
      <c r="P250" s="22">
        <f>IFERROR(__xludf.DUMMYFUNCTION("""COMPUTED_VALUE"""),7.0)</f>
        <v>7</v>
      </c>
      <c r="Q250" s="18">
        <f>IFERROR(__xludf.DUMMYFUNCTION("""COMPUTED_VALUE"""),4527.18)</f>
        <v>4527.18</v>
      </c>
      <c r="R250" s="18">
        <f>IFERROR(__xludf.DUMMYFUNCTION("""COMPUTED_VALUE"""),3880.8)</f>
        <v>3880.8</v>
      </c>
    </row>
    <row r="251">
      <c r="A251" s="21">
        <f>IFERROR(__xludf.DUMMYFUNCTION("""COMPUTED_VALUE"""),42017.0)</f>
        <v>42017</v>
      </c>
      <c r="B251" s="21" t="str">
        <f>IFERROR(__xludf.DUMMYFUNCTION("""COMPUTED_VALUE"""),"Jan")</f>
        <v>Jan</v>
      </c>
      <c r="C251" s="9">
        <f>IFERROR(__xludf.DUMMYFUNCTION("""COMPUTED_VALUE"""),42019.0)</f>
        <v>42019</v>
      </c>
      <c r="D251" s="23" t="str">
        <f>IFERROR(__xludf.DUMMYFUNCTION("""COMPUTED_VALUE"""),"Jan")</f>
        <v>Jan</v>
      </c>
      <c r="E251" s="21" t="str">
        <f>IFERROR(__xludf.DUMMYFUNCTION("""COMPUTED_VALUE"""),"2015")</f>
        <v>2015</v>
      </c>
      <c r="F251" s="22" t="str">
        <f>IFERROR(__xludf.DUMMYFUNCTION("""COMPUTED_VALUE"""),"Second Class")</f>
        <v>Second Class</v>
      </c>
      <c r="G251" s="22" t="str">
        <f>IFERROR(__xludf.DUMMYFUNCTION("""COMPUTED_VALUE"""),"Chris")</f>
        <v>Chris</v>
      </c>
      <c r="H251" s="22" t="str">
        <f>IFERROR(__xludf.DUMMYFUNCTION("""COMPUTED_VALUE"""),"Selesnick")</f>
        <v>Selesnick</v>
      </c>
      <c r="I251" s="22" t="str">
        <f>IFERROR(__xludf.DUMMYFUNCTION("""COMPUTED_VALUE"""),"Corporate")</f>
        <v>Corporate</v>
      </c>
      <c r="J251" s="22" t="str">
        <f>IFERROR(__xludf.DUMMYFUNCTION("""COMPUTED_VALUE"""),"Bossier City")</f>
        <v>Bossier City</v>
      </c>
      <c r="K251" s="22" t="str">
        <f>IFERROR(__xludf.DUMMYFUNCTION("""COMPUTED_VALUE"""),"Louisiana")</f>
        <v>Louisiana</v>
      </c>
      <c r="L251" s="22" t="str">
        <f>IFERROR(__xludf.DUMMYFUNCTION("""COMPUTED_VALUE"""),"South")</f>
        <v>South</v>
      </c>
      <c r="M251" s="22" t="str">
        <f>IFERROR(__xludf.DUMMYFUNCTION("""COMPUTED_VALUE"""),"Office Supplies")</f>
        <v>Office Supplies</v>
      </c>
      <c r="N251" s="18">
        <f>IFERROR(__xludf.DUMMYFUNCTION("""COMPUTED_VALUE"""),572.58)</f>
        <v>572.58</v>
      </c>
      <c r="O251" s="18">
        <f>IFERROR(__xludf.DUMMYFUNCTION("""COMPUTED_VALUE"""),572.37)</f>
        <v>572.37</v>
      </c>
      <c r="P251" s="22">
        <f>IFERROR(__xludf.DUMMYFUNCTION("""COMPUTED_VALUE"""),7.0)</f>
        <v>7</v>
      </c>
      <c r="Q251" s="18">
        <f>IFERROR(__xludf.DUMMYFUNCTION("""COMPUTED_VALUE"""),4008.0600000000004)</f>
        <v>4008.06</v>
      </c>
      <c r="R251" s="18">
        <f>IFERROR(__xludf.DUMMYFUNCTION("""COMPUTED_VALUE"""),3435.6900000000005)</f>
        <v>3435.69</v>
      </c>
    </row>
    <row r="252">
      <c r="A252" s="21">
        <f>IFERROR(__xludf.DUMMYFUNCTION("""COMPUTED_VALUE"""),42138.0)</f>
        <v>42138</v>
      </c>
      <c r="B252" s="21" t="str">
        <f>IFERROR(__xludf.DUMMYFUNCTION("""COMPUTED_VALUE"""),"May")</f>
        <v>May</v>
      </c>
      <c r="C252" s="9">
        <f>IFERROR(__xludf.DUMMYFUNCTION("""COMPUTED_VALUE"""),42144.0)</f>
        <v>42144</v>
      </c>
      <c r="D252" s="23" t="str">
        <f>IFERROR(__xludf.DUMMYFUNCTION("""COMPUTED_VALUE"""),"May")</f>
        <v>May</v>
      </c>
      <c r="E252" s="21" t="str">
        <f>IFERROR(__xludf.DUMMYFUNCTION("""COMPUTED_VALUE"""),"2015")</f>
        <v>2015</v>
      </c>
      <c r="F252" s="22" t="str">
        <f>IFERROR(__xludf.DUMMYFUNCTION("""COMPUTED_VALUE"""),"Standard Class")</f>
        <v>Standard Class</v>
      </c>
      <c r="G252" s="22" t="str">
        <f>IFERROR(__xludf.DUMMYFUNCTION("""COMPUTED_VALUE"""),"Anthony")</f>
        <v>Anthony</v>
      </c>
      <c r="H252" s="22" t="str">
        <f>IFERROR(__xludf.DUMMYFUNCTION("""COMPUTED_VALUE"""),"Johnson")</f>
        <v>Johnson</v>
      </c>
      <c r="I252" s="22" t="str">
        <f>IFERROR(__xludf.DUMMYFUNCTION("""COMPUTED_VALUE"""),"Corporate")</f>
        <v>Corporate</v>
      </c>
      <c r="J252" s="22" t="str">
        <f>IFERROR(__xludf.DUMMYFUNCTION("""COMPUTED_VALUE"""),"Saint Petersburg")</f>
        <v>Saint Petersburg</v>
      </c>
      <c r="K252" s="22" t="str">
        <f>IFERROR(__xludf.DUMMYFUNCTION("""COMPUTED_VALUE"""),"Florida")</f>
        <v>Florida</v>
      </c>
      <c r="L252" s="22" t="str">
        <f>IFERROR(__xludf.DUMMYFUNCTION("""COMPUTED_VALUE"""),"South")</f>
        <v>South</v>
      </c>
      <c r="M252" s="22" t="str">
        <f>IFERROR(__xludf.DUMMYFUNCTION("""COMPUTED_VALUE"""),"Furniture")</f>
        <v>Furniture</v>
      </c>
      <c r="N252" s="18">
        <f>IFERROR(__xludf.DUMMYFUNCTION("""COMPUTED_VALUE"""),310.88)</f>
        <v>310.88</v>
      </c>
      <c r="O252" s="18">
        <f>IFERROR(__xludf.DUMMYFUNCTION("""COMPUTED_VALUE"""),310.63)</f>
        <v>310.63</v>
      </c>
      <c r="P252" s="22">
        <f>IFERROR(__xludf.DUMMYFUNCTION("""COMPUTED_VALUE"""),3.0)</f>
        <v>3</v>
      </c>
      <c r="Q252" s="18">
        <f>IFERROR(__xludf.DUMMYFUNCTION("""COMPUTED_VALUE"""),932.64)</f>
        <v>932.64</v>
      </c>
      <c r="R252" s="18">
        <f>IFERROR(__xludf.DUMMYFUNCTION("""COMPUTED_VALUE"""),622.01)</f>
        <v>622.01</v>
      </c>
    </row>
    <row r="253">
      <c r="A253" s="21">
        <f>IFERROR(__xludf.DUMMYFUNCTION("""COMPUTED_VALUE"""),42874.0)</f>
        <v>42874</v>
      </c>
      <c r="B253" s="21" t="str">
        <f>IFERROR(__xludf.DUMMYFUNCTION("""COMPUTED_VALUE"""),"May")</f>
        <v>May</v>
      </c>
      <c r="C253" s="9">
        <f>IFERROR(__xludf.DUMMYFUNCTION("""COMPUTED_VALUE"""),42879.0)</f>
        <v>42879</v>
      </c>
      <c r="D253" s="23" t="str">
        <f>IFERROR(__xludf.DUMMYFUNCTION("""COMPUTED_VALUE"""),"May")</f>
        <v>May</v>
      </c>
      <c r="E253" s="21" t="str">
        <f>IFERROR(__xludf.DUMMYFUNCTION("""COMPUTED_VALUE"""),"2017")</f>
        <v>2017</v>
      </c>
      <c r="F253" s="22" t="str">
        <f>IFERROR(__xludf.DUMMYFUNCTION("""COMPUTED_VALUE"""),"Standard Class")</f>
        <v>Standard Class</v>
      </c>
      <c r="G253" s="22" t="str">
        <f>IFERROR(__xludf.DUMMYFUNCTION("""COMPUTED_VALUE"""),"Laurel")</f>
        <v>Laurel</v>
      </c>
      <c r="H253" s="22" t="str">
        <f>IFERROR(__xludf.DUMMYFUNCTION("""COMPUTED_VALUE"""),"Elliston")</f>
        <v>Elliston</v>
      </c>
      <c r="I253" s="22" t="str">
        <f>IFERROR(__xludf.DUMMYFUNCTION("""COMPUTED_VALUE"""),"Consumer")</f>
        <v>Consumer</v>
      </c>
      <c r="J253" s="22" t="str">
        <f>IFERROR(__xludf.DUMMYFUNCTION("""COMPUTED_VALUE"""),"Arlington")</f>
        <v>Arlington</v>
      </c>
      <c r="K253" s="22" t="str">
        <f>IFERROR(__xludf.DUMMYFUNCTION("""COMPUTED_VALUE"""),"Virginia")</f>
        <v>Virginia</v>
      </c>
      <c r="L253" s="22" t="str">
        <f>IFERROR(__xludf.DUMMYFUNCTION("""COMPUTED_VALUE"""),"South")</f>
        <v>South</v>
      </c>
      <c r="M253" s="22" t="str">
        <f>IFERROR(__xludf.DUMMYFUNCTION("""COMPUTED_VALUE"""),"Furniture")</f>
        <v>Furniture</v>
      </c>
      <c r="N253" s="18">
        <f>IFERROR(__xludf.DUMMYFUNCTION("""COMPUTED_VALUE"""),641.96)</f>
        <v>641.96</v>
      </c>
      <c r="O253" s="18">
        <f>IFERROR(__xludf.DUMMYFUNCTION("""COMPUTED_VALUE"""),641.65)</f>
        <v>641.65</v>
      </c>
      <c r="P253" s="22">
        <f>IFERROR(__xludf.DUMMYFUNCTION("""COMPUTED_VALUE"""),2.0)</f>
        <v>2</v>
      </c>
      <c r="Q253" s="18">
        <f>IFERROR(__xludf.DUMMYFUNCTION("""COMPUTED_VALUE"""),1283.92)</f>
        <v>1283.92</v>
      </c>
      <c r="R253" s="18">
        <f>IFERROR(__xludf.DUMMYFUNCTION("""COMPUTED_VALUE"""),642.2700000000001)</f>
        <v>642.27</v>
      </c>
    </row>
    <row r="254">
      <c r="A254" s="21">
        <f>IFERROR(__xludf.DUMMYFUNCTION("""COMPUTED_VALUE"""),43130.0)</f>
        <v>43130</v>
      </c>
      <c r="B254" s="21" t="str">
        <f>IFERROR(__xludf.DUMMYFUNCTION("""COMPUTED_VALUE"""),"Jan")</f>
        <v>Jan</v>
      </c>
      <c r="C254" s="9">
        <f>IFERROR(__xludf.DUMMYFUNCTION("""COMPUTED_VALUE"""),43222.0)</f>
        <v>43222</v>
      </c>
      <c r="D254" s="23" t="str">
        <f>IFERROR(__xludf.DUMMYFUNCTION("""COMPUTED_VALUE"""),"May")</f>
        <v>May</v>
      </c>
      <c r="E254" s="21" t="str">
        <f>IFERROR(__xludf.DUMMYFUNCTION("""COMPUTED_VALUE"""),"2018")</f>
        <v>2018</v>
      </c>
      <c r="F254" s="22" t="str">
        <f>IFERROR(__xludf.DUMMYFUNCTION("""COMPUTED_VALUE"""),"Standard Class")</f>
        <v>Standard Class</v>
      </c>
      <c r="G254" s="22" t="str">
        <f>IFERROR(__xludf.DUMMYFUNCTION("""COMPUTED_VALUE"""),"Benjamin")</f>
        <v>Benjamin</v>
      </c>
      <c r="H254" s="22" t="str">
        <f>IFERROR(__xludf.DUMMYFUNCTION("""COMPUTED_VALUE"""),"Venier")</f>
        <v>Venier</v>
      </c>
      <c r="I254" s="22" t="str">
        <f>IFERROR(__xludf.DUMMYFUNCTION("""COMPUTED_VALUE"""),"Corporate")</f>
        <v>Corporate</v>
      </c>
      <c r="J254" s="22" t="str">
        <f>IFERROR(__xludf.DUMMYFUNCTION("""COMPUTED_VALUE"""),"Des Moines")</f>
        <v>Des Moines</v>
      </c>
      <c r="K254" s="22" t="str">
        <f>IFERROR(__xludf.DUMMYFUNCTION("""COMPUTED_VALUE"""),"Iowa")</f>
        <v>Iowa</v>
      </c>
      <c r="L254" s="22" t="str">
        <f>IFERROR(__xludf.DUMMYFUNCTION("""COMPUTED_VALUE"""),"Central")</f>
        <v>Central</v>
      </c>
      <c r="M254" s="22" t="str">
        <f>IFERROR(__xludf.DUMMYFUNCTION("""COMPUTED_VALUE"""),"Technology")</f>
        <v>Technology</v>
      </c>
      <c r="N254" s="18">
        <f>IFERROR(__xludf.DUMMYFUNCTION("""COMPUTED_VALUE"""),207.0)</f>
        <v>207</v>
      </c>
      <c r="O254" s="18">
        <f>IFERROR(__xludf.DUMMYFUNCTION("""COMPUTED_VALUE"""),206.73)</f>
        <v>206.73</v>
      </c>
      <c r="P254" s="22">
        <f>IFERROR(__xludf.DUMMYFUNCTION("""COMPUTED_VALUE"""),5.0)</f>
        <v>5</v>
      </c>
      <c r="Q254" s="18">
        <f>IFERROR(__xludf.DUMMYFUNCTION("""COMPUTED_VALUE"""),1035.0)</f>
        <v>1035</v>
      </c>
      <c r="R254" s="18">
        <f>IFERROR(__xludf.DUMMYFUNCTION("""COMPUTED_VALUE"""),828.27)</f>
        <v>828.27</v>
      </c>
    </row>
    <row r="255">
      <c r="A255" s="21">
        <f>IFERROR(__xludf.DUMMYFUNCTION("""COMPUTED_VALUE"""),42603.0)</f>
        <v>42603</v>
      </c>
      <c r="B255" s="21" t="str">
        <f>IFERROR(__xludf.DUMMYFUNCTION("""COMPUTED_VALUE"""),"Aug")</f>
        <v>Aug</v>
      </c>
      <c r="C255" s="9">
        <f>IFERROR(__xludf.DUMMYFUNCTION("""COMPUTED_VALUE"""),42605.0)</f>
        <v>42605</v>
      </c>
      <c r="D255" s="23" t="str">
        <f>IFERROR(__xludf.DUMMYFUNCTION("""COMPUTED_VALUE"""),"Aug")</f>
        <v>Aug</v>
      </c>
      <c r="E255" s="21" t="str">
        <f>IFERROR(__xludf.DUMMYFUNCTION("""COMPUTED_VALUE"""),"2016")</f>
        <v>2016</v>
      </c>
      <c r="F255" s="22" t="str">
        <f>IFERROR(__xludf.DUMMYFUNCTION("""COMPUTED_VALUE"""),"First Class")</f>
        <v>First Class</v>
      </c>
      <c r="G255" s="22" t="str">
        <f>IFERROR(__xludf.DUMMYFUNCTION("""COMPUTED_VALUE"""),"Nick")</f>
        <v>Nick</v>
      </c>
      <c r="H255" s="22" t="str">
        <f>IFERROR(__xludf.DUMMYFUNCTION("""COMPUTED_VALUE"""),"Zandusky")</f>
        <v>Zandusky</v>
      </c>
      <c r="I255" s="22" t="str">
        <f>IFERROR(__xludf.DUMMYFUNCTION("""COMPUTED_VALUE"""),"Home Office")</f>
        <v>Home Office</v>
      </c>
      <c r="J255" s="22" t="str">
        <f>IFERROR(__xludf.DUMMYFUNCTION("""COMPUTED_VALUE"""),"San Francisco")</f>
        <v>San Francisco</v>
      </c>
      <c r="K255" s="22" t="str">
        <f>IFERROR(__xludf.DUMMYFUNCTION("""COMPUTED_VALUE"""),"California")</f>
        <v>California</v>
      </c>
      <c r="L255" s="22" t="str">
        <f>IFERROR(__xludf.DUMMYFUNCTION("""COMPUTED_VALUE"""),"West")</f>
        <v>West</v>
      </c>
      <c r="M255" s="22" t="str">
        <f>IFERROR(__xludf.DUMMYFUNCTION("""COMPUTED_VALUE"""),"Furniture")</f>
        <v>Furniture</v>
      </c>
      <c r="N255" s="18">
        <f>IFERROR(__xludf.DUMMYFUNCTION("""COMPUTED_VALUE"""),544.008)</f>
        <v>544.008</v>
      </c>
      <c r="O255" s="18">
        <f>IFERROR(__xludf.DUMMYFUNCTION("""COMPUTED_VALUE"""),543.32)</f>
        <v>543.32</v>
      </c>
      <c r="P255" s="22">
        <f>IFERROR(__xludf.DUMMYFUNCTION("""COMPUTED_VALUE"""),9.0)</f>
        <v>9</v>
      </c>
      <c r="Q255" s="18">
        <f>IFERROR(__xludf.DUMMYFUNCTION("""COMPUTED_VALUE"""),4896.072)</f>
        <v>4896.072</v>
      </c>
      <c r="R255" s="18">
        <f>IFERROR(__xludf.DUMMYFUNCTION("""COMPUTED_VALUE"""),4352.752)</f>
        <v>4352.752</v>
      </c>
    </row>
    <row r="256">
      <c r="A256" s="21">
        <f>IFERROR(__xludf.DUMMYFUNCTION("""COMPUTED_VALUE"""),42716.0)</f>
        <v>42716</v>
      </c>
      <c r="B256" s="21" t="str">
        <f>IFERROR(__xludf.DUMMYFUNCTION("""COMPUTED_VALUE"""),"Dec")</f>
        <v>Dec</v>
      </c>
      <c r="C256" s="9">
        <f>IFERROR(__xludf.DUMMYFUNCTION("""COMPUTED_VALUE"""),42720.0)</f>
        <v>42720</v>
      </c>
      <c r="D256" s="23" t="str">
        <f>IFERROR(__xludf.DUMMYFUNCTION("""COMPUTED_VALUE"""),"Dec")</f>
        <v>Dec</v>
      </c>
      <c r="E256" s="21" t="str">
        <f>IFERROR(__xludf.DUMMYFUNCTION("""COMPUTED_VALUE"""),"2016")</f>
        <v>2016</v>
      </c>
      <c r="F256" s="22" t="str">
        <f>IFERROR(__xludf.DUMMYFUNCTION("""COMPUTED_VALUE"""),"Standard Class")</f>
        <v>Standard Class</v>
      </c>
      <c r="G256" s="22" t="str">
        <f>IFERROR(__xludf.DUMMYFUNCTION("""COMPUTED_VALUE"""),"Liz")</f>
        <v>Liz</v>
      </c>
      <c r="H256" s="22" t="str">
        <f>IFERROR(__xludf.DUMMYFUNCTION("""COMPUTED_VALUE"""),"Thompson")</f>
        <v>Thompson</v>
      </c>
      <c r="I256" s="22" t="str">
        <f>IFERROR(__xludf.DUMMYFUNCTION("""COMPUTED_VALUE"""),"Consumer")</f>
        <v>Consumer</v>
      </c>
      <c r="J256" s="22" t="str">
        <f>IFERROR(__xludf.DUMMYFUNCTION("""COMPUTED_VALUE"""),"Lancaster")</f>
        <v>Lancaster</v>
      </c>
      <c r="K256" s="22" t="str">
        <f>IFERROR(__xludf.DUMMYFUNCTION("""COMPUTED_VALUE"""),"California")</f>
        <v>California</v>
      </c>
      <c r="L256" s="22" t="str">
        <f>IFERROR(__xludf.DUMMYFUNCTION("""COMPUTED_VALUE"""),"West")</f>
        <v>West</v>
      </c>
      <c r="M256" s="22" t="str">
        <f>IFERROR(__xludf.DUMMYFUNCTION("""COMPUTED_VALUE"""),"Furniture")</f>
        <v>Furniture</v>
      </c>
      <c r="N256" s="18">
        <f>IFERROR(__xludf.DUMMYFUNCTION("""COMPUTED_VALUE"""),348.928)</f>
        <v>348.928</v>
      </c>
      <c r="O256" s="18">
        <f>IFERROR(__xludf.DUMMYFUNCTION("""COMPUTED_VALUE"""),348.61)</f>
        <v>348.61</v>
      </c>
      <c r="P256" s="22">
        <f>IFERROR(__xludf.DUMMYFUNCTION("""COMPUTED_VALUE"""),9.0)</f>
        <v>9</v>
      </c>
      <c r="Q256" s="18">
        <f>IFERROR(__xludf.DUMMYFUNCTION("""COMPUTED_VALUE"""),3140.352)</f>
        <v>3140.352</v>
      </c>
      <c r="R256" s="18">
        <f>IFERROR(__xludf.DUMMYFUNCTION("""COMPUTED_VALUE"""),2791.7419999999997)</f>
        <v>2791.742</v>
      </c>
    </row>
    <row r="257">
      <c r="A257" s="21">
        <f>IFERROR(__xludf.DUMMYFUNCTION("""COMPUTED_VALUE"""),42875.0)</f>
        <v>42875</v>
      </c>
      <c r="B257" s="21" t="str">
        <f>IFERROR(__xludf.DUMMYFUNCTION("""COMPUTED_VALUE"""),"May")</f>
        <v>May</v>
      </c>
      <c r="C257" s="9">
        <f>IFERROR(__xludf.DUMMYFUNCTION("""COMPUTED_VALUE"""),42875.0)</f>
        <v>42875</v>
      </c>
      <c r="D257" s="23" t="str">
        <f>IFERROR(__xludf.DUMMYFUNCTION("""COMPUTED_VALUE"""),"May")</f>
        <v>May</v>
      </c>
      <c r="E257" s="21" t="str">
        <f>IFERROR(__xludf.DUMMYFUNCTION("""COMPUTED_VALUE"""),"2017")</f>
        <v>2017</v>
      </c>
      <c r="F257" s="22" t="str">
        <f>IFERROR(__xludf.DUMMYFUNCTION("""COMPUTED_VALUE"""),"Same Day")</f>
        <v>Same Day</v>
      </c>
      <c r="G257" s="22" t="str">
        <f>IFERROR(__xludf.DUMMYFUNCTION("""COMPUTED_VALUE"""),"Joe")</f>
        <v>Joe</v>
      </c>
      <c r="H257" s="22" t="str">
        <f>IFERROR(__xludf.DUMMYFUNCTION("""COMPUTED_VALUE"""),"Kamberova")</f>
        <v>Kamberova</v>
      </c>
      <c r="I257" s="22" t="str">
        <f>IFERROR(__xludf.DUMMYFUNCTION("""COMPUTED_VALUE"""),"Consumer")</f>
        <v>Consumer</v>
      </c>
      <c r="J257" s="22" t="str">
        <f>IFERROR(__xludf.DUMMYFUNCTION("""COMPUTED_VALUE"""),"Asheville")</f>
        <v>Asheville</v>
      </c>
      <c r="K257" s="22" t="str">
        <f>IFERROR(__xludf.DUMMYFUNCTION("""COMPUTED_VALUE"""),"North Carolina")</f>
        <v>North Carolina</v>
      </c>
      <c r="L257" s="22" t="str">
        <f>IFERROR(__xludf.DUMMYFUNCTION("""COMPUTED_VALUE"""),"South")</f>
        <v>South</v>
      </c>
      <c r="M257" s="22" t="str">
        <f>IFERROR(__xludf.DUMMYFUNCTION("""COMPUTED_VALUE"""),"Technology")</f>
        <v>Technology</v>
      </c>
      <c r="N257" s="18">
        <f>IFERROR(__xludf.DUMMYFUNCTION("""COMPUTED_VALUE"""),1363.96)</f>
        <v>1363.96</v>
      </c>
      <c r="O257" s="18">
        <f>IFERROR(__xludf.DUMMYFUNCTION("""COMPUTED_VALUE"""),1363.48)</f>
        <v>1363.48</v>
      </c>
      <c r="P257" s="22">
        <f>IFERROR(__xludf.DUMMYFUNCTION("""COMPUTED_VALUE"""),2.0)</f>
        <v>2</v>
      </c>
      <c r="Q257" s="18">
        <f>IFERROR(__xludf.DUMMYFUNCTION("""COMPUTED_VALUE"""),2727.92)</f>
        <v>2727.92</v>
      </c>
      <c r="R257" s="18">
        <f>IFERROR(__xludf.DUMMYFUNCTION("""COMPUTED_VALUE"""),1364.44)</f>
        <v>1364.44</v>
      </c>
    </row>
    <row r="258">
      <c r="A258" s="21">
        <f>IFERROR(__xludf.DUMMYFUNCTION("""COMPUTED_VALUE"""),42701.0)</f>
        <v>42701</v>
      </c>
      <c r="B258" s="21" t="str">
        <f>IFERROR(__xludf.DUMMYFUNCTION("""COMPUTED_VALUE"""),"Nov")</f>
        <v>Nov</v>
      </c>
      <c r="C258" s="9">
        <f>IFERROR(__xludf.DUMMYFUNCTION("""COMPUTED_VALUE"""),42441.0)</f>
        <v>42441</v>
      </c>
      <c r="D258" s="23" t="str">
        <f>IFERROR(__xludf.DUMMYFUNCTION("""COMPUTED_VALUE"""),"Mar")</f>
        <v>Mar</v>
      </c>
      <c r="E258" s="21" t="str">
        <f>IFERROR(__xludf.DUMMYFUNCTION("""COMPUTED_VALUE"""),"2016")</f>
        <v>2016</v>
      </c>
      <c r="F258" s="22" t="str">
        <f>IFERROR(__xludf.DUMMYFUNCTION("""COMPUTED_VALUE"""),"Standard Class")</f>
        <v>Standard Class</v>
      </c>
      <c r="G258" s="22" t="str">
        <f>IFERROR(__xludf.DUMMYFUNCTION("""COMPUTED_VALUE"""),"Carlos")</f>
        <v>Carlos</v>
      </c>
      <c r="H258" s="22" t="str">
        <f>IFERROR(__xludf.DUMMYFUNCTION("""COMPUTED_VALUE"""),"Daly")</f>
        <v>Daly</v>
      </c>
      <c r="I258" s="22" t="str">
        <f>IFERROR(__xludf.DUMMYFUNCTION("""COMPUTED_VALUE"""),"Consumer")</f>
        <v>Consumer</v>
      </c>
      <c r="J258" s="22" t="str">
        <f>IFERROR(__xludf.DUMMYFUNCTION("""COMPUTED_VALUE"""),"Lake Elsinore")</f>
        <v>Lake Elsinore</v>
      </c>
      <c r="K258" s="22" t="str">
        <f>IFERROR(__xludf.DUMMYFUNCTION("""COMPUTED_VALUE"""),"California")</f>
        <v>California</v>
      </c>
      <c r="L258" s="22" t="str">
        <f>IFERROR(__xludf.DUMMYFUNCTION("""COMPUTED_VALUE"""),"West")</f>
        <v>West</v>
      </c>
      <c r="M258" s="22" t="str">
        <f>IFERROR(__xludf.DUMMYFUNCTION("""COMPUTED_VALUE"""),"Furniture")</f>
        <v>Furniture</v>
      </c>
      <c r="N258" s="18">
        <f>IFERROR(__xludf.DUMMYFUNCTION("""COMPUTED_VALUE"""),283.92)</f>
        <v>283.92</v>
      </c>
      <c r="O258" s="18">
        <f>IFERROR(__xludf.DUMMYFUNCTION("""COMPUTED_VALUE"""),282.99)</f>
        <v>282.99</v>
      </c>
      <c r="P258" s="22">
        <f>IFERROR(__xludf.DUMMYFUNCTION("""COMPUTED_VALUE"""),9.0)</f>
        <v>9</v>
      </c>
      <c r="Q258" s="18">
        <f>IFERROR(__xludf.DUMMYFUNCTION("""COMPUTED_VALUE"""),2555.28)</f>
        <v>2555.28</v>
      </c>
      <c r="R258" s="18">
        <f>IFERROR(__xludf.DUMMYFUNCTION("""COMPUTED_VALUE"""),2272.29)</f>
        <v>2272.29</v>
      </c>
    </row>
    <row r="259">
      <c r="A259" s="21">
        <f>IFERROR(__xludf.DUMMYFUNCTION("""COMPUTED_VALUE"""),43151.0)</f>
        <v>43151</v>
      </c>
      <c r="B259" s="21" t="str">
        <f>IFERROR(__xludf.DUMMYFUNCTION("""COMPUTED_VALUE"""),"Feb")</f>
        <v>Feb</v>
      </c>
      <c r="C259" s="9">
        <f>IFERROR(__xludf.DUMMYFUNCTION("""COMPUTED_VALUE"""),43154.0)</f>
        <v>43154</v>
      </c>
      <c r="D259" s="23" t="str">
        <f>IFERROR(__xludf.DUMMYFUNCTION("""COMPUTED_VALUE"""),"Feb")</f>
        <v>Feb</v>
      </c>
      <c r="E259" s="21" t="str">
        <f>IFERROR(__xludf.DUMMYFUNCTION("""COMPUTED_VALUE"""),"2018")</f>
        <v>2018</v>
      </c>
      <c r="F259" s="22" t="str">
        <f>IFERROR(__xludf.DUMMYFUNCTION("""COMPUTED_VALUE"""),"First Class")</f>
        <v>First Class</v>
      </c>
      <c r="G259" s="22" t="str">
        <f>IFERROR(__xludf.DUMMYFUNCTION("""COMPUTED_VALUE"""),"Helen")</f>
        <v>Helen</v>
      </c>
      <c r="H259" s="22" t="str">
        <f>IFERROR(__xludf.DUMMYFUNCTION("""COMPUTED_VALUE"""),"Wasserman")</f>
        <v>Wasserman</v>
      </c>
      <c r="I259" s="22" t="str">
        <f>IFERROR(__xludf.DUMMYFUNCTION("""COMPUTED_VALUE"""),"Corporate")</f>
        <v>Corporate</v>
      </c>
      <c r="J259" s="22" t="str">
        <f>IFERROR(__xludf.DUMMYFUNCTION("""COMPUTED_VALUE"""),"San Diego")</f>
        <v>San Diego</v>
      </c>
      <c r="K259" s="22" t="str">
        <f>IFERROR(__xludf.DUMMYFUNCTION("""COMPUTED_VALUE"""),"California")</f>
        <v>California</v>
      </c>
      <c r="L259" s="22" t="str">
        <f>IFERROR(__xludf.DUMMYFUNCTION("""COMPUTED_VALUE"""),"West")</f>
        <v>West</v>
      </c>
      <c r="M259" s="22" t="str">
        <f>IFERROR(__xludf.DUMMYFUNCTION("""COMPUTED_VALUE"""),"Technology")</f>
        <v>Technology</v>
      </c>
      <c r="N259" s="18">
        <f>IFERROR(__xludf.DUMMYFUNCTION("""COMPUTED_VALUE"""),215.968)</f>
        <v>215.968</v>
      </c>
      <c r="O259" s="18">
        <f>IFERROR(__xludf.DUMMYFUNCTION("""COMPUTED_VALUE"""),215.54)</f>
        <v>215.54</v>
      </c>
      <c r="P259" s="22">
        <f>IFERROR(__xludf.DUMMYFUNCTION("""COMPUTED_VALUE"""),9.0)</f>
        <v>9</v>
      </c>
      <c r="Q259" s="18">
        <f>IFERROR(__xludf.DUMMYFUNCTION("""COMPUTED_VALUE"""),1943.712)</f>
        <v>1943.712</v>
      </c>
      <c r="R259" s="18">
        <f>IFERROR(__xludf.DUMMYFUNCTION("""COMPUTED_VALUE"""),1728.172)</f>
        <v>1728.172</v>
      </c>
    </row>
    <row r="260">
      <c r="A260" s="21">
        <f>IFERROR(__xludf.DUMMYFUNCTION("""COMPUTED_VALUE"""),42015.0)</f>
        <v>42015</v>
      </c>
      <c r="B260" s="21" t="str">
        <f>IFERROR(__xludf.DUMMYFUNCTION("""COMPUTED_VALUE"""),"Jan")</f>
        <v>Jan</v>
      </c>
      <c r="C260" s="9">
        <f>IFERROR(__xludf.DUMMYFUNCTION("""COMPUTED_VALUE"""),42196.0)</f>
        <v>42196</v>
      </c>
      <c r="D260" s="23" t="str">
        <f>IFERROR(__xludf.DUMMYFUNCTION("""COMPUTED_VALUE"""),"Jul")</f>
        <v>Jul</v>
      </c>
      <c r="E260" s="21" t="str">
        <f>IFERROR(__xludf.DUMMYFUNCTION("""COMPUTED_VALUE"""),"2015")</f>
        <v>2015</v>
      </c>
      <c r="F260" s="22" t="str">
        <f>IFERROR(__xludf.DUMMYFUNCTION("""COMPUTED_VALUE"""),"Standard Class")</f>
        <v>Standard Class</v>
      </c>
      <c r="G260" s="22" t="str">
        <f>IFERROR(__xludf.DUMMYFUNCTION("""COMPUTED_VALUE"""),"Russell")</f>
        <v>Russell</v>
      </c>
      <c r="H260" s="22" t="str">
        <f>IFERROR(__xludf.DUMMYFUNCTION("""COMPUTED_VALUE"""),"Applegate")</f>
        <v>Applegate</v>
      </c>
      <c r="I260" s="22" t="str">
        <f>IFERROR(__xludf.DUMMYFUNCTION("""COMPUTED_VALUE"""),"Consumer")</f>
        <v>Consumer</v>
      </c>
      <c r="J260" s="22" t="str">
        <f>IFERROR(__xludf.DUMMYFUNCTION("""COMPUTED_VALUE"""),"Denver")</f>
        <v>Denver</v>
      </c>
      <c r="K260" s="22" t="str">
        <f>IFERROR(__xludf.DUMMYFUNCTION("""COMPUTED_VALUE"""),"Colorado")</f>
        <v>Colorado</v>
      </c>
      <c r="L260" s="22" t="str">
        <f>IFERROR(__xludf.DUMMYFUNCTION("""COMPUTED_VALUE"""),"West")</f>
        <v>West</v>
      </c>
      <c r="M260" s="22" t="str">
        <f>IFERROR(__xludf.DUMMYFUNCTION("""COMPUTED_VALUE"""),"Technology")</f>
        <v>Technology</v>
      </c>
      <c r="N260" s="18">
        <f>IFERROR(__xludf.DUMMYFUNCTION("""COMPUTED_VALUE"""),1983.968)</f>
        <v>1983.968</v>
      </c>
      <c r="O260" s="18">
        <f>IFERROR(__xludf.DUMMYFUNCTION("""COMPUTED_VALUE"""),1983.61)</f>
        <v>1983.61</v>
      </c>
      <c r="P260" s="22">
        <f>IFERROR(__xludf.DUMMYFUNCTION("""COMPUTED_VALUE"""),8.0)</f>
        <v>8</v>
      </c>
      <c r="Q260" s="18">
        <f>IFERROR(__xludf.DUMMYFUNCTION("""COMPUTED_VALUE"""),15871.744)</f>
        <v>15871.744</v>
      </c>
      <c r="R260" s="18">
        <f>IFERROR(__xludf.DUMMYFUNCTION("""COMPUTED_VALUE"""),13888.134)</f>
        <v>13888.134</v>
      </c>
    </row>
    <row r="261">
      <c r="A261" s="21">
        <f>IFERROR(__xludf.DUMMYFUNCTION("""COMPUTED_VALUE"""),42431.0)</f>
        <v>42431</v>
      </c>
      <c r="B261" s="21" t="str">
        <f>IFERROR(__xludf.DUMMYFUNCTION("""COMPUTED_VALUE"""),"Mar")</f>
        <v>Mar</v>
      </c>
      <c r="C261" s="9">
        <f>IFERROR(__xludf.DUMMYFUNCTION("""COMPUTED_VALUE"""),42492.0)</f>
        <v>42492</v>
      </c>
      <c r="D261" s="23" t="str">
        <f>IFERROR(__xludf.DUMMYFUNCTION("""COMPUTED_VALUE"""),"May")</f>
        <v>May</v>
      </c>
      <c r="E261" s="21" t="str">
        <f>IFERROR(__xludf.DUMMYFUNCTION("""COMPUTED_VALUE"""),"2016")</f>
        <v>2016</v>
      </c>
      <c r="F261" s="22" t="str">
        <f>IFERROR(__xludf.DUMMYFUNCTION("""COMPUTED_VALUE"""),"First Class")</f>
        <v>First Class</v>
      </c>
      <c r="G261" s="22" t="str">
        <f>IFERROR(__xludf.DUMMYFUNCTION("""COMPUTED_VALUE"""),"Allen")</f>
        <v>Allen</v>
      </c>
      <c r="H261" s="22" t="str">
        <f>IFERROR(__xludf.DUMMYFUNCTION("""COMPUTED_VALUE"""),"Armold")</f>
        <v>Armold</v>
      </c>
      <c r="I261" s="22" t="str">
        <f>IFERROR(__xludf.DUMMYFUNCTION("""COMPUTED_VALUE"""),"Consumer")</f>
        <v>Consumer</v>
      </c>
      <c r="J261" s="22" t="str">
        <f>IFERROR(__xludf.DUMMYFUNCTION("""COMPUTED_VALUE"""),"Omaha")</f>
        <v>Omaha</v>
      </c>
      <c r="K261" s="22" t="str">
        <f>IFERROR(__xludf.DUMMYFUNCTION("""COMPUTED_VALUE"""),"Nebraska")</f>
        <v>Nebraska</v>
      </c>
      <c r="L261" s="22" t="str">
        <f>IFERROR(__xludf.DUMMYFUNCTION("""COMPUTED_VALUE"""),"Central")</f>
        <v>Central</v>
      </c>
      <c r="M261" s="22" t="str">
        <f>IFERROR(__xludf.DUMMYFUNCTION("""COMPUTED_VALUE"""),"Technology")</f>
        <v>Technology</v>
      </c>
      <c r="N261" s="18">
        <f>IFERROR(__xludf.DUMMYFUNCTION("""COMPUTED_VALUE"""),149.97)</f>
        <v>149.97</v>
      </c>
      <c r="O261" s="18">
        <f>IFERROR(__xludf.DUMMYFUNCTION("""COMPUTED_VALUE"""),149.22)</f>
        <v>149.22</v>
      </c>
      <c r="P261" s="22">
        <f>IFERROR(__xludf.DUMMYFUNCTION("""COMPUTED_VALUE"""),6.0)</f>
        <v>6</v>
      </c>
      <c r="Q261" s="18">
        <f>IFERROR(__xludf.DUMMYFUNCTION("""COMPUTED_VALUE"""),899.8199999999999)</f>
        <v>899.82</v>
      </c>
      <c r="R261" s="18">
        <f>IFERROR(__xludf.DUMMYFUNCTION("""COMPUTED_VALUE"""),750.5999999999999)</f>
        <v>750.6</v>
      </c>
    </row>
    <row r="262">
      <c r="A262" s="21">
        <f>IFERROR(__xludf.DUMMYFUNCTION("""COMPUTED_VALUE"""),42290.0)</f>
        <v>42290</v>
      </c>
      <c r="B262" s="21" t="str">
        <f>IFERROR(__xludf.DUMMYFUNCTION("""COMPUTED_VALUE"""),"Oct")</f>
        <v>Oct</v>
      </c>
      <c r="C262" s="9">
        <f>IFERROR(__xludf.DUMMYFUNCTION("""COMPUTED_VALUE"""),42292.0)</f>
        <v>42292</v>
      </c>
      <c r="D262" s="23" t="str">
        <f>IFERROR(__xludf.DUMMYFUNCTION("""COMPUTED_VALUE"""),"Oct")</f>
        <v>Oct</v>
      </c>
      <c r="E262" s="21" t="str">
        <f>IFERROR(__xludf.DUMMYFUNCTION("""COMPUTED_VALUE"""),"2015")</f>
        <v>2015</v>
      </c>
      <c r="F262" s="22" t="str">
        <f>IFERROR(__xludf.DUMMYFUNCTION("""COMPUTED_VALUE"""),"First Class")</f>
        <v>First Class</v>
      </c>
      <c r="G262" s="22" t="str">
        <f>IFERROR(__xludf.DUMMYFUNCTION("""COMPUTED_VALUE"""),"Zuschuss")</f>
        <v>Zuschuss</v>
      </c>
      <c r="H262" s="22" t="str">
        <f>IFERROR(__xludf.DUMMYFUNCTION("""COMPUTED_VALUE"""),"Carroll")</f>
        <v>Carroll</v>
      </c>
      <c r="I262" s="22" t="str">
        <f>IFERROR(__xludf.DUMMYFUNCTION("""COMPUTED_VALUE"""),"Consumer")</f>
        <v>Consumer</v>
      </c>
      <c r="J262" s="22" t="str">
        <f>IFERROR(__xludf.DUMMYFUNCTION("""COMPUTED_VALUE"""),"Edmonds")</f>
        <v>Edmonds</v>
      </c>
      <c r="K262" s="22" t="str">
        <f>IFERROR(__xludf.DUMMYFUNCTION("""COMPUTED_VALUE"""),"Washington")</f>
        <v>Washington</v>
      </c>
      <c r="L262" s="22" t="str">
        <f>IFERROR(__xludf.DUMMYFUNCTION("""COMPUTED_VALUE"""),"West")</f>
        <v>West</v>
      </c>
      <c r="M262" s="22" t="str">
        <f>IFERROR(__xludf.DUMMYFUNCTION("""COMPUTED_VALUE"""),"Furniture")</f>
        <v>Furniture</v>
      </c>
      <c r="N262" s="18">
        <f>IFERROR(__xludf.DUMMYFUNCTION("""COMPUTED_VALUE"""),1298.55)</f>
        <v>1298.55</v>
      </c>
      <c r="O262" s="18">
        <f>IFERROR(__xludf.DUMMYFUNCTION("""COMPUTED_VALUE"""),1297.88)</f>
        <v>1297.88</v>
      </c>
      <c r="P262" s="22">
        <f>IFERROR(__xludf.DUMMYFUNCTION("""COMPUTED_VALUE"""),9.0)</f>
        <v>9</v>
      </c>
      <c r="Q262" s="18">
        <f>IFERROR(__xludf.DUMMYFUNCTION("""COMPUTED_VALUE"""),11686.949999999999)</f>
        <v>11686.95</v>
      </c>
      <c r="R262" s="18">
        <f>IFERROR(__xludf.DUMMYFUNCTION("""COMPUTED_VALUE"""),10389.07)</f>
        <v>10389.07</v>
      </c>
    </row>
    <row r="263">
      <c r="A263" s="21">
        <f>IFERROR(__xludf.DUMMYFUNCTION("""COMPUTED_VALUE"""),42290.0)</f>
        <v>42290</v>
      </c>
      <c r="B263" s="21" t="str">
        <f>IFERROR(__xludf.DUMMYFUNCTION("""COMPUTED_VALUE"""),"Oct")</f>
        <v>Oct</v>
      </c>
      <c r="C263" s="9">
        <f>IFERROR(__xludf.DUMMYFUNCTION("""COMPUTED_VALUE"""),42292.0)</f>
        <v>42292</v>
      </c>
      <c r="D263" s="23" t="str">
        <f>IFERROR(__xludf.DUMMYFUNCTION("""COMPUTED_VALUE"""),"Oct")</f>
        <v>Oct</v>
      </c>
      <c r="E263" s="21" t="str">
        <f>IFERROR(__xludf.DUMMYFUNCTION("""COMPUTED_VALUE"""),"2015")</f>
        <v>2015</v>
      </c>
      <c r="F263" s="22" t="str">
        <f>IFERROR(__xludf.DUMMYFUNCTION("""COMPUTED_VALUE"""),"First Class")</f>
        <v>First Class</v>
      </c>
      <c r="G263" s="22" t="str">
        <f>IFERROR(__xludf.DUMMYFUNCTION("""COMPUTED_VALUE"""),"Zuschuss")</f>
        <v>Zuschuss</v>
      </c>
      <c r="H263" s="22" t="str">
        <f>IFERROR(__xludf.DUMMYFUNCTION("""COMPUTED_VALUE"""),"Carroll")</f>
        <v>Carroll</v>
      </c>
      <c r="I263" s="22" t="str">
        <f>IFERROR(__xludf.DUMMYFUNCTION("""COMPUTED_VALUE"""),"Consumer")</f>
        <v>Consumer</v>
      </c>
      <c r="J263" s="22" t="str">
        <f>IFERROR(__xludf.DUMMYFUNCTION("""COMPUTED_VALUE"""),"Edmonds")</f>
        <v>Edmonds</v>
      </c>
      <c r="K263" s="22" t="str">
        <f>IFERROR(__xludf.DUMMYFUNCTION("""COMPUTED_VALUE"""),"Washington")</f>
        <v>Washington</v>
      </c>
      <c r="L263" s="22" t="str">
        <f>IFERROR(__xludf.DUMMYFUNCTION("""COMPUTED_VALUE"""),"West")</f>
        <v>West</v>
      </c>
      <c r="M263" s="22" t="str">
        <f>IFERROR(__xludf.DUMMYFUNCTION("""COMPUTED_VALUE"""),"Office Supplies")</f>
        <v>Office Supplies</v>
      </c>
      <c r="N263" s="18">
        <f>IFERROR(__xludf.DUMMYFUNCTION("""COMPUTED_VALUE"""),213.92)</f>
        <v>213.92</v>
      </c>
      <c r="O263" s="18">
        <f>IFERROR(__xludf.DUMMYFUNCTION("""COMPUTED_VALUE"""),213.11)</f>
        <v>213.11</v>
      </c>
      <c r="P263" s="22">
        <f>IFERROR(__xludf.DUMMYFUNCTION("""COMPUTED_VALUE"""),9.0)</f>
        <v>9</v>
      </c>
      <c r="Q263" s="18">
        <f>IFERROR(__xludf.DUMMYFUNCTION("""COMPUTED_VALUE"""),1925.28)</f>
        <v>1925.28</v>
      </c>
      <c r="R263" s="18">
        <f>IFERROR(__xludf.DUMMYFUNCTION("""COMPUTED_VALUE"""),1712.17)</f>
        <v>1712.17</v>
      </c>
    </row>
    <row r="264">
      <c r="A264" s="21">
        <f>IFERROR(__xludf.DUMMYFUNCTION("""COMPUTED_VALUE"""),43234.0)</f>
        <v>43234</v>
      </c>
      <c r="B264" s="21" t="str">
        <f>IFERROR(__xludf.DUMMYFUNCTION("""COMPUTED_VALUE"""),"May")</f>
        <v>May</v>
      </c>
      <c r="C264" s="9">
        <f>IFERROR(__xludf.DUMMYFUNCTION("""COMPUTED_VALUE"""),43234.0)</f>
        <v>43234</v>
      </c>
      <c r="D264" s="23" t="str">
        <f>IFERROR(__xludf.DUMMYFUNCTION("""COMPUTED_VALUE"""),"May")</f>
        <v>May</v>
      </c>
      <c r="E264" s="21" t="str">
        <f>IFERROR(__xludf.DUMMYFUNCTION("""COMPUTED_VALUE"""),"2018")</f>
        <v>2018</v>
      </c>
      <c r="F264" s="22" t="str">
        <f>IFERROR(__xludf.DUMMYFUNCTION("""COMPUTED_VALUE"""),"Same Day")</f>
        <v>Same Day</v>
      </c>
      <c r="G264" s="22" t="str">
        <f>IFERROR(__xludf.DUMMYFUNCTION("""COMPUTED_VALUE"""),"Pauline")</f>
        <v>Pauline</v>
      </c>
      <c r="H264" s="22" t="str">
        <f>IFERROR(__xludf.DUMMYFUNCTION("""COMPUTED_VALUE"""),"Johnson")</f>
        <v>Johnson</v>
      </c>
      <c r="I264" s="22" t="str">
        <f>IFERROR(__xludf.DUMMYFUNCTION("""COMPUTED_VALUE"""),"Consumer")</f>
        <v>Consumer</v>
      </c>
      <c r="J264" s="22" t="str">
        <f>IFERROR(__xludf.DUMMYFUNCTION("""COMPUTED_VALUE"""),"Santa Ana")</f>
        <v>Santa Ana</v>
      </c>
      <c r="K264" s="22" t="str">
        <f>IFERROR(__xludf.DUMMYFUNCTION("""COMPUTED_VALUE"""),"California")</f>
        <v>California</v>
      </c>
      <c r="L264" s="22" t="str">
        <f>IFERROR(__xludf.DUMMYFUNCTION("""COMPUTED_VALUE"""),"West")</f>
        <v>West</v>
      </c>
      <c r="M264" s="22" t="str">
        <f>IFERROR(__xludf.DUMMYFUNCTION("""COMPUTED_VALUE"""),"Technology")</f>
        <v>Technology</v>
      </c>
      <c r="N264" s="18">
        <f>IFERROR(__xludf.DUMMYFUNCTION("""COMPUTED_VALUE"""),1399.93)</f>
        <v>1399.93</v>
      </c>
      <c r="O264" s="18">
        <f>IFERROR(__xludf.DUMMYFUNCTION("""COMPUTED_VALUE"""),1399.32)</f>
        <v>1399.32</v>
      </c>
      <c r="P264" s="22">
        <f>IFERROR(__xludf.DUMMYFUNCTION("""COMPUTED_VALUE"""),9.0)</f>
        <v>9</v>
      </c>
      <c r="Q264" s="18">
        <f>IFERROR(__xludf.DUMMYFUNCTION("""COMPUTED_VALUE"""),12599.37)</f>
        <v>12599.37</v>
      </c>
      <c r="R264" s="18">
        <f>IFERROR(__xludf.DUMMYFUNCTION("""COMPUTED_VALUE"""),11200.050000000001)</f>
        <v>11200.05</v>
      </c>
    </row>
    <row r="265">
      <c r="A265" s="21">
        <f>IFERROR(__xludf.DUMMYFUNCTION("""COMPUTED_VALUE"""),43271.0)</f>
        <v>43271</v>
      </c>
      <c r="B265" s="21" t="str">
        <f>IFERROR(__xludf.DUMMYFUNCTION("""COMPUTED_VALUE"""),"Jun")</f>
        <v>Jun</v>
      </c>
      <c r="C265" s="9">
        <f>IFERROR(__xludf.DUMMYFUNCTION("""COMPUTED_VALUE"""),43278.0)</f>
        <v>43278</v>
      </c>
      <c r="D265" s="23" t="str">
        <f>IFERROR(__xludf.DUMMYFUNCTION("""COMPUTED_VALUE"""),"Jun")</f>
        <v>Jun</v>
      </c>
      <c r="E265" s="21" t="str">
        <f>IFERROR(__xludf.DUMMYFUNCTION("""COMPUTED_VALUE"""),"2018")</f>
        <v>2018</v>
      </c>
      <c r="F265" s="22" t="str">
        <f>IFERROR(__xludf.DUMMYFUNCTION("""COMPUTED_VALUE"""),"Standard Class")</f>
        <v>Standard Class</v>
      </c>
      <c r="G265" s="22" t="str">
        <f>IFERROR(__xludf.DUMMYFUNCTION("""COMPUTED_VALUE"""),"Toby")</f>
        <v>Toby</v>
      </c>
      <c r="H265" s="22" t="str">
        <f>IFERROR(__xludf.DUMMYFUNCTION("""COMPUTED_VALUE"""),"Ritter")</f>
        <v>Ritter</v>
      </c>
      <c r="I265" s="22" t="str">
        <f>IFERROR(__xludf.DUMMYFUNCTION("""COMPUTED_VALUE"""),"Consumer")</f>
        <v>Consumer</v>
      </c>
      <c r="J265" s="22" t="str">
        <f>IFERROR(__xludf.DUMMYFUNCTION("""COMPUTED_VALUE"""),"Belleville")</f>
        <v>Belleville</v>
      </c>
      <c r="K265" s="22" t="str">
        <f>IFERROR(__xludf.DUMMYFUNCTION("""COMPUTED_VALUE"""),"New Jersey")</f>
        <v>New Jersey</v>
      </c>
      <c r="L265" s="22" t="str">
        <f>IFERROR(__xludf.DUMMYFUNCTION("""COMPUTED_VALUE"""),"East")</f>
        <v>East</v>
      </c>
      <c r="M265" s="22" t="str">
        <f>IFERROR(__xludf.DUMMYFUNCTION("""COMPUTED_VALUE"""),"Technology")</f>
        <v>Technology</v>
      </c>
      <c r="N265" s="18">
        <f>IFERROR(__xludf.DUMMYFUNCTION("""COMPUTED_VALUE"""),239.97)</f>
        <v>239.97</v>
      </c>
      <c r="O265" s="18">
        <f>IFERROR(__xludf.DUMMYFUNCTION("""COMPUTED_VALUE"""),239.15)</f>
        <v>239.15</v>
      </c>
      <c r="P265" s="22">
        <f>IFERROR(__xludf.DUMMYFUNCTION("""COMPUTED_VALUE"""),7.0)</f>
        <v>7</v>
      </c>
      <c r="Q265" s="18">
        <f>IFERROR(__xludf.DUMMYFUNCTION("""COMPUTED_VALUE"""),1679.79)</f>
        <v>1679.79</v>
      </c>
      <c r="R265" s="18">
        <f>IFERROR(__xludf.DUMMYFUNCTION("""COMPUTED_VALUE"""),1440.6399999999999)</f>
        <v>1440.64</v>
      </c>
    </row>
    <row r="266">
      <c r="A266" s="21">
        <f>IFERROR(__xludf.DUMMYFUNCTION("""COMPUTED_VALUE"""),42252.0)</f>
        <v>42252</v>
      </c>
      <c r="B266" s="21" t="str">
        <f>IFERROR(__xludf.DUMMYFUNCTION("""COMPUTED_VALUE"""),"Sep")</f>
        <v>Sep</v>
      </c>
      <c r="C266" s="9">
        <f>IFERROR(__xludf.DUMMYFUNCTION("""COMPUTED_VALUE"""),42139.0)</f>
        <v>42139</v>
      </c>
      <c r="D266" s="23" t="str">
        <f>IFERROR(__xludf.DUMMYFUNCTION("""COMPUTED_VALUE"""),"May")</f>
        <v>May</v>
      </c>
      <c r="E266" s="21" t="str">
        <f>IFERROR(__xludf.DUMMYFUNCTION("""COMPUTED_VALUE"""),"2015")</f>
        <v>2015</v>
      </c>
      <c r="F266" s="22" t="str">
        <f>IFERROR(__xludf.DUMMYFUNCTION("""COMPUTED_VALUE"""),"Standard Class")</f>
        <v>Standard Class</v>
      </c>
      <c r="G266" s="22" t="str">
        <f>IFERROR(__xludf.DUMMYFUNCTION("""COMPUTED_VALUE"""),"Patrick")</f>
        <v>Patrick</v>
      </c>
      <c r="H266" s="22" t="str">
        <f>IFERROR(__xludf.DUMMYFUNCTION("""COMPUTED_VALUE"""),"Gardner")</f>
        <v>Gardner</v>
      </c>
      <c r="I266" s="22" t="str">
        <f>IFERROR(__xludf.DUMMYFUNCTION("""COMPUTED_VALUE"""),"Consumer")</f>
        <v>Consumer</v>
      </c>
      <c r="J266" s="22" t="str">
        <f>IFERROR(__xludf.DUMMYFUNCTION("""COMPUTED_VALUE"""),"San Francisco")</f>
        <v>San Francisco</v>
      </c>
      <c r="K266" s="22" t="str">
        <f>IFERROR(__xludf.DUMMYFUNCTION("""COMPUTED_VALUE"""),"California")</f>
        <v>California</v>
      </c>
      <c r="L266" s="22" t="str">
        <f>IFERROR(__xludf.DUMMYFUNCTION("""COMPUTED_VALUE"""),"West")</f>
        <v>West</v>
      </c>
      <c r="M266" s="22" t="str">
        <f>IFERROR(__xludf.DUMMYFUNCTION("""COMPUTED_VALUE"""),"Technology")</f>
        <v>Technology</v>
      </c>
      <c r="N266" s="18">
        <f>IFERROR(__xludf.DUMMYFUNCTION("""COMPUTED_VALUE"""),67.8)</f>
        <v>67.8</v>
      </c>
      <c r="O266" s="18">
        <f>IFERROR(__xludf.DUMMYFUNCTION("""COMPUTED_VALUE"""),66.82)</f>
        <v>66.82</v>
      </c>
      <c r="P266" s="22">
        <f>IFERROR(__xludf.DUMMYFUNCTION("""COMPUTED_VALUE"""),9.0)</f>
        <v>9</v>
      </c>
      <c r="Q266" s="18">
        <f>IFERROR(__xludf.DUMMYFUNCTION("""COMPUTED_VALUE"""),610.1999999999999)</f>
        <v>610.2</v>
      </c>
      <c r="R266" s="18">
        <f>IFERROR(__xludf.DUMMYFUNCTION("""COMPUTED_VALUE"""),543.3799999999999)</f>
        <v>543.38</v>
      </c>
    </row>
    <row r="267">
      <c r="A267" s="21">
        <f>IFERROR(__xludf.DUMMYFUNCTION("""COMPUTED_VALUE"""),42252.0)</f>
        <v>42252</v>
      </c>
      <c r="B267" s="21" t="str">
        <f>IFERROR(__xludf.DUMMYFUNCTION("""COMPUTED_VALUE"""),"Sep")</f>
        <v>Sep</v>
      </c>
      <c r="C267" s="9">
        <f>IFERROR(__xludf.DUMMYFUNCTION("""COMPUTED_VALUE"""),42139.0)</f>
        <v>42139</v>
      </c>
      <c r="D267" s="23" t="str">
        <f>IFERROR(__xludf.DUMMYFUNCTION("""COMPUTED_VALUE"""),"May")</f>
        <v>May</v>
      </c>
      <c r="E267" s="21" t="str">
        <f>IFERROR(__xludf.DUMMYFUNCTION("""COMPUTED_VALUE"""),"2015")</f>
        <v>2015</v>
      </c>
      <c r="F267" s="22" t="str">
        <f>IFERROR(__xludf.DUMMYFUNCTION("""COMPUTED_VALUE"""),"Standard Class")</f>
        <v>Standard Class</v>
      </c>
      <c r="G267" s="22" t="str">
        <f>IFERROR(__xludf.DUMMYFUNCTION("""COMPUTED_VALUE"""),"Patrick")</f>
        <v>Patrick</v>
      </c>
      <c r="H267" s="22" t="str">
        <f>IFERROR(__xludf.DUMMYFUNCTION("""COMPUTED_VALUE"""),"Gardner")</f>
        <v>Gardner</v>
      </c>
      <c r="I267" s="22" t="str">
        <f>IFERROR(__xludf.DUMMYFUNCTION("""COMPUTED_VALUE"""),"Consumer")</f>
        <v>Consumer</v>
      </c>
      <c r="J267" s="22" t="str">
        <f>IFERROR(__xludf.DUMMYFUNCTION("""COMPUTED_VALUE"""),"San Francisco")</f>
        <v>San Francisco</v>
      </c>
      <c r="K267" s="22" t="str">
        <f>IFERROR(__xludf.DUMMYFUNCTION("""COMPUTED_VALUE"""),"California")</f>
        <v>California</v>
      </c>
      <c r="L267" s="22" t="str">
        <f>IFERROR(__xludf.DUMMYFUNCTION("""COMPUTED_VALUE"""),"West")</f>
        <v>West</v>
      </c>
      <c r="M267" s="22" t="str">
        <f>IFERROR(__xludf.DUMMYFUNCTION("""COMPUTED_VALUE"""),"Technology")</f>
        <v>Technology</v>
      </c>
      <c r="N267" s="18">
        <f>IFERROR(__xludf.DUMMYFUNCTION("""COMPUTED_VALUE"""),167.97)</f>
        <v>167.97</v>
      </c>
      <c r="O267" s="18">
        <f>IFERROR(__xludf.DUMMYFUNCTION("""COMPUTED_VALUE"""),167.06)</f>
        <v>167.06</v>
      </c>
      <c r="P267" s="22">
        <f>IFERROR(__xludf.DUMMYFUNCTION("""COMPUTED_VALUE"""),9.0)</f>
        <v>9</v>
      </c>
      <c r="Q267" s="18">
        <f>IFERROR(__xludf.DUMMYFUNCTION("""COMPUTED_VALUE"""),1511.73)</f>
        <v>1511.73</v>
      </c>
      <c r="R267" s="18">
        <f>IFERROR(__xludf.DUMMYFUNCTION("""COMPUTED_VALUE"""),1344.67)</f>
        <v>1344.67</v>
      </c>
    </row>
    <row r="268">
      <c r="A268" s="21">
        <f>IFERROR(__xludf.DUMMYFUNCTION("""COMPUTED_VALUE"""),43267.0)</f>
        <v>43267</v>
      </c>
      <c r="B268" s="21" t="str">
        <f>IFERROR(__xludf.DUMMYFUNCTION("""COMPUTED_VALUE"""),"Jun")</f>
        <v>Jun</v>
      </c>
      <c r="C268" s="9">
        <f>IFERROR(__xludf.DUMMYFUNCTION("""COMPUTED_VALUE"""),43272.0)</f>
        <v>43272</v>
      </c>
      <c r="D268" s="23" t="str">
        <f>IFERROR(__xludf.DUMMYFUNCTION("""COMPUTED_VALUE"""),"Jun")</f>
        <v>Jun</v>
      </c>
      <c r="E268" s="21" t="str">
        <f>IFERROR(__xludf.DUMMYFUNCTION("""COMPUTED_VALUE"""),"2018")</f>
        <v>2018</v>
      </c>
      <c r="F268" s="22" t="str">
        <f>IFERROR(__xludf.DUMMYFUNCTION("""COMPUTED_VALUE"""),"Second Class")</f>
        <v>Second Class</v>
      </c>
      <c r="G268" s="22" t="str">
        <f>IFERROR(__xludf.DUMMYFUNCTION("""COMPUTED_VALUE"""),"Joel")</f>
        <v>Joel</v>
      </c>
      <c r="H268" s="22" t="str">
        <f>IFERROR(__xludf.DUMMYFUNCTION("""COMPUTED_VALUE"""),"Eaton")</f>
        <v>Eaton</v>
      </c>
      <c r="I268" s="22" t="str">
        <f>IFERROR(__xludf.DUMMYFUNCTION("""COMPUTED_VALUE"""),"Consumer")</f>
        <v>Consumer</v>
      </c>
      <c r="J268" s="22" t="str">
        <f>IFERROR(__xludf.DUMMYFUNCTION("""COMPUTED_VALUE"""),"Florence")</f>
        <v>Florence</v>
      </c>
      <c r="K268" s="22" t="str">
        <f>IFERROR(__xludf.DUMMYFUNCTION("""COMPUTED_VALUE"""),"Kentucky")</f>
        <v>Kentucky</v>
      </c>
      <c r="L268" s="22" t="str">
        <f>IFERROR(__xludf.DUMMYFUNCTION("""COMPUTED_VALUE"""),"South")</f>
        <v>South</v>
      </c>
      <c r="M268" s="22" t="str">
        <f>IFERROR(__xludf.DUMMYFUNCTION("""COMPUTED_VALUE"""),"Furniture")</f>
        <v>Furniture</v>
      </c>
      <c r="N268" s="18">
        <f>IFERROR(__xludf.DUMMYFUNCTION("""COMPUTED_VALUE"""),301.96)</f>
        <v>301.96</v>
      </c>
      <c r="O268" s="18">
        <f>IFERROR(__xludf.DUMMYFUNCTION("""COMPUTED_VALUE"""),301.63)</f>
        <v>301.63</v>
      </c>
      <c r="P268" s="22">
        <f>IFERROR(__xludf.DUMMYFUNCTION("""COMPUTED_VALUE"""),4.0)</f>
        <v>4</v>
      </c>
      <c r="Q268" s="18">
        <f>IFERROR(__xludf.DUMMYFUNCTION("""COMPUTED_VALUE"""),1207.84)</f>
        <v>1207.84</v>
      </c>
      <c r="R268" s="18">
        <f>IFERROR(__xludf.DUMMYFUNCTION("""COMPUTED_VALUE"""),906.2099999999999)</f>
        <v>906.21</v>
      </c>
    </row>
    <row r="269">
      <c r="A269" s="21">
        <f>IFERROR(__xludf.DUMMYFUNCTION("""COMPUTED_VALUE"""),43267.0)</f>
        <v>43267</v>
      </c>
      <c r="B269" s="21" t="str">
        <f>IFERROR(__xludf.DUMMYFUNCTION("""COMPUTED_VALUE"""),"Jun")</f>
        <v>Jun</v>
      </c>
      <c r="C269" s="9">
        <f>IFERROR(__xludf.DUMMYFUNCTION("""COMPUTED_VALUE"""),43272.0)</f>
        <v>43272</v>
      </c>
      <c r="D269" s="23" t="str">
        <f>IFERROR(__xludf.DUMMYFUNCTION("""COMPUTED_VALUE"""),"Jun")</f>
        <v>Jun</v>
      </c>
      <c r="E269" s="21" t="str">
        <f>IFERROR(__xludf.DUMMYFUNCTION("""COMPUTED_VALUE"""),"2018")</f>
        <v>2018</v>
      </c>
      <c r="F269" s="22" t="str">
        <f>IFERROR(__xludf.DUMMYFUNCTION("""COMPUTED_VALUE"""),"Second Class")</f>
        <v>Second Class</v>
      </c>
      <c r="G269" s="22" t="str">
        <f>IFERROR(__xludf.DUMMYFUNCTION("""COMPUTED_VALUE"""),"Joel")</f>
        <v>Joel</v>
      </c>
      <c r="H269" s="22" t="str">
        <f>IFERROR(__xludf.DUMMYFUNCTION("""COMPUTED_VALUE"""),"Eaton")</f>
        <v>Eaton</v>
      </c>
      <c r="I269" s="22" t="str">
        <f>IFERROR(__xludf.DUMMYFUNCTION("""COMPUTED_VALUE"""),"Consumer")</f>
        <v>Consumer</v>
      </c>
      <c r="J269" s="22" t="str">
        <f>IFERROR(__xludf.DUMMYFUNCTION("""COMPUTED_VALUE"""),"Florence")</f>
        <v>Florence</v>
      </c>
      <c r="K269" s="22" t="str">
        <f>IFERROR(__xludf.DUMMYFUNCTION("""COMPUTED_VALUE"""),"Kentucky")</f>
        <v>Kentucky</v>
      </c>
      <c r="L269" s="22" t="str">
        <f>IFERROR(__xludf.DUMMYFUNCTION("""COMPUTED_VALUE"""),"South")</f>
        <v>South</v>
      </c>
      <c r="M269" s="22" t="str">
        <f>IFERROR(__xludf.DUMMYFUNCTION("""COMPUTED_VALUE"""),"Office Supplies")</f>
        <v>Office Supplies</v>
      </c>
      <c r="N269" s="18">
        <f>IFERROR(__xludf.DUMMYFUNCTION("""COMPUTED_VALUE"""),180.66)</f>
        <v>180.66</v>
      </c>
      <c r="O269" s="18">
        <f>IFERROR(__xludf.DUMMYFUNCTION("""COMPUTED_VALUE"""),180.35)</f>
        <v>180.35</v>
      </c>
      <c r="P269" s="22">
        <f>IFERROR(__xludf.DUMMYFUNCTION("""COMPUTED_VALUE"""),4.0)</f>
        <v>4</v>
      </c>
      <c r="Q269" s="18">
        <f>IFERROR(__xludf.DUMMYFUNCTION("""COMPUTED_VALUE"""),722.64)</f>
        <v>722.64</v>
      </c>
      <c r="R269" s="18">
        <f>IFERROR(__xludf.DUMMYFUNCTION("""COMPUTED_VALUE"""),542.29)</f>
        <v>542.29</v>
      </c>
    </row>
    <row r="270">
      <c r="A270" s="21">
        <f>IFERROR(__xludf.DUMMYFUNCTION("""COMPUTED_VALUE"""),43267.0)</f>
        <v>43267</v>
      </c>
      <c r="B270" s="21" t="str">
        <f>IFERROR(__xludf.DUMMYFUNCTION("""COMPUTED_VALUE"""),"Jun")</f>
        <v>Jun</v>
      </c>
      <c r="C270" s="9">
        <f>IFERROR(__xludf.DUMMYFUNCTION("""COMPUTED_VALUE"""),43272.0)</f>
        <v>43272</v>
      </c>
      <c r="D270" s="23" t="str">
        <f>IFERROR(__xludf.DUMMYFUNCTION("""COMPUTED_VALUE"""),"Jun")</f>
        <v>Jun</v>
      </c>
      <c r="E270" s="21" t="str">
        <f>IFERROR(__xludf.DUMMYFUNCTION("""COMPUTED_VALUE"""),"2018")</f>
        <v>2018</v>
      </c>
      <c r="F270" s="22" t="str">
        <f>IFERROR(__xludf.DUMMYFUNCTION("""COMPUTED_VALUE"""),"Second Class")</f>
        <v>Second Class</v>
      </c>
      <c r="G270" s="22" t="str">
        <f>IFERROR(__xludf.DUMMYFUNCTION("""COMPUTED_VALUE"""),"Joel")</f>
        <v>Joel</v>
      </c>
      <c r="H270" s="22" t="str">
        <f>IFERROR(__xludf.DUMMYFUNCTION("""COMPUTED_VALUE"""),"Eaton")</f>
        <v>Eaton</v>
      </c>
      <c r="I270" s="22" t="str">
        <f>IFERROR(__xludf.DUMMYFUNCTION("""COMPUTED_VALUE"""),"Consumer")</f>
        <v>Consumer</v>
      </c>
      <c r="J270" s="22" t="str">
        <f>IFERROR(__xludf.DUMMYFUNCTION("""COMPUTED_VALUE"""),"Florence")</f>
        <v>Florence</v>
      </c>
      <c r="K270" s="22" t="str">
        <f>IFERROR(__xludf.DUMMYFUNCTION("""COMPUTED_VALUE"""),"Kentucky")</f>
        <v>Kentucky</v>
      </c>
      <c r="L270" s="22" t="str">
        <f>IFERROR(__xludf.DUMMYFUNCTION("""COMPUTED_VALUE"""),"South")</f>
        <v>South</v>
      </c>
      <c r="M270" s="22" t="str">
        <f>IFERROR(__xludf.DUMMYFUNCTION("""COMPUTED_VALUE"""),"Technology")</f>
        <v>Technology</v>
      </c>
      <c r="N270" s="18">
        <f>IFERROR(__xludf.DUMMYFUNCTION("""COMPUTED_VALUE"""),191.98)</f>
        <v>191.98</v>
      </c>
      <c r="O270" s="18">
        <f>IFERROR(__xludf.DUMMYFUNCTION("""COMPUTED_VALUE"""),191.97)</f>
        <v>191.97</v>
      </c>
      <c r="P270" s="22">
        <f>IFERROR(__xludf.DUMMYFUNCTION("""COMPUTED_VALUE"""),4.0)</f>
        <v>4</v>
      </c>
      <c r="Q270" s="18">
        <f>IFERROR(__xludf.DUMMYFUNCTION("""COMPUTED_VALUE"""),767.92)</f>
        <v>767.92</v>
      </c>
      <c r="R270" s="18">
        <f>IFERROR(__xludf.DUMMYFUNCTION("""COMPUTED_VALUE"""),575.9499999999999)</f>
        <v>575.95</v>
      </c>
    </row>
    <row r="271">
      <c r="A271" s="21">
        <f>IFERROR(__xludf.DUMMYFUNCTION("""COMPUTED_VALUE"""),42939.0)</f>
        <v>42939</v>
      </c>
      <c r="B271" s="21" t="str">
        <f>IFERROR(__xludf.DUMMYFUNCTION("""COMPUTED_VALUE"""),"Jul")</f>
        <v>Jul</v>
      </c>
      <c r="C271" s="9">
        <f>IFERROR(__xludf.DUMMYFUNCTION("""COMPUTED_VALUE"""),42943.0)</f>
        <v>42943</v>
      </c>
      <c r="D271" s="23" t="str">
        <f>IFERROR(__xludf.DUMMYFUNCTION("""COMPUTED_VALUE"""),"Jul")</f>
        <v>Jul</v>
      </c>
      <c r="E271" s="21" t="str">
        <f>IFERROR(__xludf.DUMMYFUNCTION("""COMPUTED_VALUE"""),"2017")</f>
        <v>2017</v>
      </c>
      <c r="F271" s="22" t="str">
        <f>IFERROR(__xludf.DUMMYFUNCTION("""COMPUTED_VALUE"""),"Standard Class")</f>
        <v>Standard Class</v>
      </c>
      <c r="G271" s="22" t="str">
        <f>IFERROR(__xludf.DUMMYFUNCTION("""COMPUTED_VALUE"""),"Jennifer")</f>
        <v>Jennifer</v>
      </c>
      <c r="H271" s="22" t="str">
        <f>IFERROR(__xludf.DUMMYFUNCTION("""COMPUTED_VALUE"""),"Braxton")</f>
        <v>Braxton</v>
      </c>
      <c r="I271" s="22" t="str">
        <f>IFERROR(__xludf.DUMMYFUNCTION("""COMPUTED_VALUE"""),"Corporate")</f>
        <v>Corporate</v>
      </c>
      <c r="J271" s="22" t="str">
        <f>IFERROR(__xludf.DUMMYFUNCTION("""COMPUTED_VALUE"""),"Tampa")</f>
        <v>Tampa</v>
      </c>
      <c r="K271" s="22" t="str">
        <f>IFERROR(__xludf.DUMMYFUNCTION("""COMPUTED_VALUE"""),"Florida")</f>
        <v>Florida</v>
      </c>
      <c r="L271" s="22" t="str">
        <f>IFERROR(__xludf.DUMMYFUNCTION("""COMPUTED_VALUE"""),"South")</f>
        <v>South</v>
      </c>
      <c r="M271" s="22" t="str">
        <f>IFERROR(__xludf.DUMMYFUNCTION("""COMPUTED_VALUE"""),"Technology")</f>
        <v>Technology</v>
      </c>
      <c r="N271" s="18">
        <f>IFERROR(__xludf.DUMMYFUNCTION("""COMPUTED_VALUE"""),265.475)</f>
        <v>265.475</v>
      </c>
      <c r="O271" s="18">
        <f>IFERROR(__xludf.DUMMYFUNCTION("""COMPUTED_VALUE"""),265.15)</f>
        <v>265.15</v>
      </c>
      <c r="P271" s="22">
        <f>IFERROR(__xludf.DUMMYFUNCTION("""COMPUTED_VALUE"""),3.0)</f>
        <v>3</v>
      </c>
      <c r="Q271" s="18">
        <f>IFERROR(__xludf.DUMMYFUNCTION("""COMPUTED_VALUE"""),796.4250000000001)</f>
        <v>796.425</v>
      </c>
      <c r="R271" s="18">
        <f>IFERROR(__xludf.DUMMYFUNCTION("""COMPUTED_VALUE"""),531.2750000000001)</f>
        <v>531.275</v>
      </c>
    </row>
    <row r="272">
      <c r="A272" s="21">
        <f>IFERROR(__xludf.DUMMYFUNCTION("""COMPUTED_VALUE"""),42656.0)</f>
        <v>42656</v>
      </c>
      <c r="B272" s="21" t="str">
        <f>IFERROR(__xludf.DUMMYFUNCTION("""COMPUTED_VALUE"""),"Oct")</f>
        <v>Oct</v>
      </c>
      <c r="C272" s="9">
        <f>IFERROR(__xludf.DUMMYFUNCTION("""COMPUTED_VALUE"""),42660.0)</f>
        <v>42660</v>
      </c>
      <c r="D272" s="23" t="str">
        <f>IFERROR(__xludf.DUMMYFUNCTION("""COMPUTED_VALUE"""),"Oct")</f>
        <v>Oct</v>
      </c>
      <c r="E272" s="21" t="str">
        <f>IFERROR(__xludf.DUMMYFUNCTION("""COMPUTED_VALUE"""),"2016")</f>
        <v>2016</v>
      </c>
      <c r="F272" s="22" t="str">
        <f>IFERROR(__xludf.DUMMYFUNCTION("""COMPUTED_VALUE"""),"Standard Class")</f>
        <v>Standard Class</v>
      </c>
      <c r="G272" s="22" t="str">
        <f>IFERROR(__xludf.DUMMYFUNCTION("""COMPUTED_VALUE"""),"Art")</f>
        <v>Art</v>
      </c>
      <c r="H272" s="22" t="str">
        <f>IFERROR(__xludf.DUMMYFUNCTION("""COMPUTED_VALUE"""),"Foster")</f>
        <v>Foster</v>
      </c>
      <c r="I272" s="22" t="str">
        <f>IFERROR(__xludf.DUMMYFUNCTION("""COMPUTED_VALUE"""),"Consumer")</f>
        <v>Consumer</v>
      </c>
      <c r="J272" s="22" t="str">
        <f>IFERROR(__xludf.DUMMYFUNCTION("""COMPUTED_VALUE"""),"Louisville")</f>
        <v>Louisville</v>
      </c>
      <c r="K272" s="22" t="str">
        <f>IFERROR(__xludf.DUMMYFUNCTION("""COMPUTED_VALUE"""),"Kentucky")</f>
        <v>Kentucky</v>
      </c>
      <c r="L272" s="22" t="str">
        <f>IFERROR(__xludf.DUMMYFUNCTION("""COMPUTED_VALUE"""),"South")</f>
        <v>South</v>
      </c>
      <c r="M272" s="22" t="str">
        <f>IFERROR(__xludf.DUMMYFUNCTION("""COMPUTED_VALUE"""),"Furniture")</f>
        <v>Furniture</v>
      </c>
      <c r="N272" s="18">
        <f>IFERROR(__xludf.DUMMYFUNCTION("""COMPUTED_VALUE"""),287.94)</f>
        <v>287.94</v>
      </c>
      <c r="O272" s="18">
        <f>IFERROR(__xludf.DUMMYFUNCTION("""COMPUTED_VALUE"""),286.99)</f>
        <v>286.99</v>
      </c>
      <c r="P272" s="22">
        <f>IFERROR(__xludf.DUMMYFUNCTION("""COMPUTED_VALUE"""),4.0)</f>
        <v>4</v>
      </c>
      <c r="Q272" s="18">
        <f>IFERROR(__xludf.DUMMYFUNCTION("""COMPUTED_VALUE"""),1151.76)</f>
        <v>1151.76</v>
      </c>
      <c r="R272" s="18">
        <f>IFERROR(__xludf.DUMMYFUNCTION("""COMPUTED_VALUE"""),864.77)</f>
        <v>864.77</v>
      </c>
    </row>
    <row r="273">
      <c r="A273" s="21">
        <f>IFERROR(__xludf.DUMMYFUNCTION("""COMPUTED_VALUE"""),42187.0)</f>
        <v>42187</v>
      </c>
      <c r="B273" s="21" t="str">
        <f>IFERROR(__xludf.DUMMYFUNCTION("""COMPUTED_VALUE"""),"Jul")</f>
        <v>Jul</v>
      </c>
      <c r="C273" s="9">
        <f>IFERROR(__xludf.DUMMYFUNCTION("""COMPUTED_VALUE"""),42340.0)</f>
        <v>42340</v>
      </c>
      <c r="D273" s="23" t="str">
        <f>IFERROR(__xludf.DUMMYFUNCTION("""COMPUTED_VALUE"""),"Dec")</f>
        <v>Dec</v>
      </c>
      <c r="E273" s="21" t="str">
        <f>IFERROR(__xludf.DUMMYFUNCTION("""COMPUTED_VALUE"""),"2015")</f>
        <v>2015</v>
      </c>
      <c r="F273" s="22" t="str">
        <f>IFERROR(__xludf.DUMMYFUNCTION("""COMPUTED_VALUE"""),"Standard Class")</f>
        <v>Standard Class</v>
      </c>
      <c r="G273" s="22" t="str">
        <f>IFERROR(__xludf.DUMMYFUNCTION("""COMPUTED_VALUE"""),"Cyma")</f>
        <v>Cyma</v>
      </c>
      <c r="H273" s="22" t="str">
        <f>IFERROR(__xludf.DUMMYFUNCTION("""COMPUTED_VALUE"""),"Kinney")</f>
        <v>Kinney</v>
      </c>
      <c r="I273" s="22" t="str">
        <f>IFERROR(__xludf.DUMMYFUNCTION("""COMPUTED_VALUE"""),"Corporate")</f>
        <v>Corporate</v>
      </c>
      <c r="J273" s="22" t="str">
        <f>IFERROR(__xludf.DUMMYFUNCTION("""COMPUTED_VALUE"""),"Linden")</f>
        <v>Linden</v>
      </c>
      <c r="K273" s="22" t="str">
        <f>IFERROR(__xludf.DUMMYFUNCTION("""COMPUTED_VALUE"""),"New Jersey")</f>
        <v>New Jersey</v>
      </c>
      <c r="L273" s="22" t="str">
        <f>IFERROR(__xludf.DUMMYFUNCTION("""COMPUTED_VALUE"""),"East")</f>
        <v>East</v>
      </c>
      <c r="M273" s="22" t="str">
        <f>IFERROR(__xludf.DUMMYFUNCTION("""COMPUTED_VALUE"""),"Technology")</f>
        <v>Technology</v>
      </c>
      <c r="N273" s="18">
        <f>IFERROR(__xludf.DUMMYFUNCTION("""COMPUTED_VALUE"""),115.36)</f>
        <v>115.36</v>
      </c>
      <c r="O273" s="18">
        <f>IFERROR(__xludf.DUMMYFUNCTION("""COMPUTED_VALUE"""),114.77)</f>
        <v>114.77</v>
      </c>
      <c r="P273" s="22">
        <f>IFERROR(__xludf.DUMMYFUNCTION("""COMPUTED_VALUE"""),7.0)</f>
        <v>7</v>
      </c>
      <c r="Q273" s="18">
        <f>IFERROR(__xludf.DUMMYFUNCTION("""COMPUTED_VALUE"""),807.52)</f>
        <v>807.52</v>
      </c>
      <c r="R273" s="18">
        <f>IFERROR(__xludf.DUMMYFUNCTION("""COMPUTED_VALUE"""),692.75)</f>
        <v>692.75</v>
      </c>
    </row>
    <row r="274">
      <c r="A274" s="21">
        <f>IFERROR(__xludf.DUMMYFUNCTION("""COMPUTED_VALUE"""),42752.0)</f>
        <v>42752</v>
      </c>
      <c r="B274" s="21" t="str">
        <f>IFERROR(__xludf.DUMMYFUNCTION("""COMPUTED_VALUE"""),"Jan")</f>
        <v>Jan</v>
      </c>
      <c r="C274" s="9">
        <f>IFERROR(__xludf.DUMMYFUNCTION("""COMPUTED_VALUE"""),42756.0)</f>
        <v>42756</v>
      </c>
      <c r="D274" s="23" t="str">
        <f>IFERROR(__xludf.DUMMYFUNCTION("""COMPUTED_VALUE"""),"Jan")</f>
        <v>Jan</v>
      </c>
      <c r="E274" s="21" t="str">
        <f>IFERROR(__xludf.DUMMYFUNCTION("""COMPUTED_VALUE"""),"2017")</f>
        <v>2017</v>
      </c>
      <c r="F274" s="22" t="str">
        <f>IFERROR(__xludf.DUMMYFUNCTION("""COMPUTED_VALUE"""),"Standard Class")</f>
        <v>Standard Class</v>
      </c>
      <c r="G274" s="22" t="str">
        <f>IFERROR(__xludf.DUMMYFUNCTION("""COMPUTED_VALUE"""),"Chuck")</f>
        <v>Chuck</v>
      </c>
      <c r="H274" s="22" t="str">
        <f>IFERROR(__xludf.DUMMYFUNCTION("""COMPUTED_VALUE"""),"Clark")</f>
        <v>Clark</v>
      </c>
      <c r="I274" s="22" t="str">
        <f>IFERROR(__xludf.DUMMYFUNCTION("""COMPUTED_VALUE"""),"Home Office")</f>
        <v>Home Office</v>
      </c>
      <c r="J274" s="22" t="str">
        <f>IFERROR(__xludf.DUMMYFUNCTION("""COMPUTED_VALUE"""),"Concord")</f>
        <v>Concord</v>
      </c>
      <c r="K274" s="22" t="str">
        <f>IFERROR(__xludf.DUMMYFUNCTION("""COMPUTED_VALUE"""),"New Hampshire")</f>
        <v>New Hampshire</v>
      </c>
      <c r="L274" s="22" t="str">
        <f>IFERROR(__xludf.DUMMYFUNCTION("""COMPUTED_VALUE"""),"East")</f>
        <v>East</v>
      </c>
      <c r="M274" s="22" t="str">
        <f>IFERROR(__xludf.DUMMYFUNCTION("""COMPUTED_VALUE"""),"Furniture")</f>
        <v>Furniture</v>
      </c>
      <c r="N274" s="18">
        <f>IFERROR(__xludf.DUMMYFUNCTION("""COMPUTED_VALUE"""),322.59)</f>
        <v>322.59</v>
      </c>
      <c r="O274" s="18">
        <f>IFERROR(__xludf.DUMMYFUNCTION("""COMPUTED_VALUE"""),322.4)</f>
        <v>322.4</v>
      </c>
      <c r="P274" s="22">
        <f>IFERROR(__xludf.DUMMYFUNCTION("""COMPUTED_VALUE"""),3.0)</f>
        <v>3</v>
      </c>
      <c r="Q274" s="18">
        <f>IFERROR(__xludf.DUMMYFUNCTION("""COMPUTED_VALUE"""),967.77)</f>
        <v>967.77</v>
      </c>
      <c r="R274" s="18">
        <f>IFERROR(__xludf.DUMMYFUNCTION("""COMPUTED_VALUE"""),645.37)</f>
        <v>645.37</v>
      </c>
    </row>
    <row r="275">
      <c r="A275" s="21">
        <f>IFERROR(__xludf.DUMMYFUNCTION("""COMPUTED_VALUE"""),42752.0)</f>
        <v>42752</v>
      </c>
      <c r="B275" s="21" t="str">
        <f>IFERROR(__xludf.DUMMYFUNCTION("""COMPUTED_VALUE"""),"Jan")</f>
        <v>Jan</v>
      </c>
      <c r="C275" s="9">
        <f>IFERROR(__xludf.DUMMYFUNCTION("""COMPUTED_VALUE"""),42756.0)</f>
        <v>42756</v>
      </c>
      <c r="D275" s="23" t="str">
        <f>IFERROR(__xludf.DUMMYFUNCTION("""COMPUTED_VALUE"""),"Jan")</f>
        <v>Jan</v>
      </c>
      <c r="E275" s="21" t="str">
        <f>IFERROR(__xludf.DUMMYFUNCTION("""COMPUTED_VALUE"""),"2017")</f>
        <v>2017</v>
      </c>
      <c r="F275" s="22" t="str">
        <f>IFERROR(__xludf.DUMMYFUNCTION("""COMPUTED_VALUE"""),"Standard Class")</f>
        <v>Standard Class</v>
      </c>
      <c r="G275" s="22" t="str">
        <f>IFERROR(__xludf.DUMMYFUNCTION("""COMPUTED_VALUE"""),"Chuck")</f>
        <v>Chuck</v>
      </c>
      <c r="H275" s="22" t="str">
        <f>IFERROR(__xludf.DUMMYFUNCTION("""COMPUTED_VALUE"""),"Clark")</f>
        <v>Clark</v>
      </c>
      <c r="I275" s="22" t="str">
        <f>IFERROR(__xludf.DUMMYFUNCTION("""COMPUTED_VALUE"""),"Home Office")</f>
        <v>Home Office</v>
      </c>
      <c r="J275" s="22" t="str">
        <f>IFERROR(__xludf.DUMMYFUNCTION("""COMPUTED_VALUE"""),"Concord")</f>
        <v>Concord</v>
      </c>
      <c r="K275" s="22" t="str">
        <f>IFERROR(__xludf.DUMMYFUNCTION("""COMPUTED_VALUE"""),"New Hampshire")</f>
        <v>New Hampshire</v>
      </c>
      <c r="L275" s="22" t="str">
        <f>IFERROR(__xludf.DUMMYFUNCTION("""COMPUTED_VALUE"""),"East")</f>
        <v>East</v>
      </c>
      <c r="M275" s="22" t="str">
        <f>IFERROR(__xludf.DUMMYFUNCTION("""COMPUTED_VALUE"""),"Technology")</f>
        <v>Technology</v>
      </c>
      <c r="N275" s="18">
        <f>IFERROR(__xludf.DUMMYFUNCTION("""COMPUTED_VALUE"""),371.97)</f>
        <v>371.97</v>
      </c>
      <c r="O275" s="18">
        <f>IFERROR(__xludf.DUMMYFUNCTION("""COMPUTED_VALUE"""),371.37)</f>
        <v>371.37</v>
      </c>
      <c r="P275" s="22">
        <f>IFERROR(__xludf.DUMMYFUNCTION("""COMPUTED_VALUE"""),3.0)</f>
        <v>3</v>
      </c>
      <c r="Q275" s="18">
        <f>IFERROR(__xludf.DUMMYFUNCTION("""COMPUTED_VALUE"""),1115.91)</f>
        <v>1115.91</v>
      </c>
      <c r="R275" s="18">
        <f>IFERROR(__xludf.DUMMYFUNCTION("""COMPUTED_VALUE"""),744.5400000000001)</f>
        <v>744.54</v>
      </c>
    </row>
    <row r="276">
      <c r="A276" s="21">
        <f>IFERROR(__xludf.DUMMYFUNCTION("""COMPUTED_VALUE"""),43277.0)</f>
        <v>43277</v>
      </c>
      <c r="B276" s="21" t="str">
        <f>IFERROR(__xludf.DUMMYFUNCTION("""COMPUTED_VALUE"""),"Jun")</f>
        <v>Jun</v>
      </c>
      <c r="C276" s="9">
        <f>IFERROR(__xludf.DUMMYFUNCTION("""COMPUTED_VALUE"""),43138.0)</f>
        <v>43138</v>
      </c>
      <c r="D276" s="23" t="str">
        <f>IFERROR(__xludf.DUMMYFUNCTION("""COMPUTED_VALUE"""),"Feb")</f>
        <v>Feb</v>
      </c>
      <c r="E276" s="21" t="str">
        <f>IFERROR(__xludf.DUMMYFUNCTION("""COMPUTED_VALUE"""),"2018")</f>
        <v>2018</v>
      </c>
      <c r="F276" s="22" t="str">
        <f>IFERROR(__xludf.DUMMYFUNCTION("""COMPUTED_VALUE"""),"Standard Class")</f>
        <v>Standard Class</v>
      </c>
      <c r="G276" s="22" t="str">
        <f>IFERROR(__xludf.DUMMYFUNCTION("""COMPUTED_VALUE"""),"Olvera")</f>
        <v>Olvera</v>
      </c>
      <c r="H276" s="22" t="str">
        <f>IFERROR(__xludf.DUMMYFUNCTION("""COMPUTED_VALUE"""),"Toch")</f>
        <v>Toch</v>
      </c>
      <c r="I276" s="22" t="str">
        <f>IFERROR(__xludf.DUMMYFUNCTION("""COMPUTED_VALUE"""),"Consumer")</f>
        <v>Consumer</v>
      </c>
      <c r="J276" s="22" t="str">
        <f>IFERROR(__xludf.DUMMYFUNCTION("""COMPUTED_VALUE"""),"San Diego")</f>
        <v>San Diego</v>
      </c>
      <c r="K276" s="22" t="str">
        <f>IFERROR(__xludf.DUMMYFUNCTION("""COMPUTED_VALUE"""),"California")</f>
        <v>California</v>
      </c>
      <c r="L276" s="22" t="str">
        <f>IFERROR(__xludf.DUMMYFUNCTION("""COMPUTED_VALUE"""),"West")</f>
        <v>West</v>
      </c>
      <c r="M276" s="22" t="str">
        <f>IFERROR(__xludf.DUMMYFUNCTION("""COMPUTED_VALUE"""),"Office Supplies")</f>
        <v>Office Supplies</v>
      </c>
      <c r="N276" s="18">
        <f>IFERROR(__xludf.DUMMYFUNCTION("""COMPUTED_VALUE"""),83.76)</f>
        <v>83.76</v>
      </c>
      <c r="O276" s="18">
        <f>IFERROR(__xludf.DUMMYFUNCTION("""COMPUTED_VALUE"""),83.49)</f>
        <v>83.49</v>
      </c>
      <c r="P276" s="22">
        <f>IFERROR(__xludf.DUMMYFUNCTION("""COMPUTED_VALUE"""),9.0)</f>
        <v>9</v>
      </c>
      <c r="Q276" s="18">
        <f>IFERROR(__xludf.DUMMYFUNCTION("""COMPUTED_VALUE"""),753.84)</f>
        <v>753.84</v>
      </c>
      <c r="R276" s="18">
        <f>IFERROR(__xludf.DUMMYFUNCTION("""COMPUTED_VALUE"""),670.35)</f>
        <v>670.35</v>
      </c>
    </row>
    <row r="277">
      <c r="A277" s="21">
        <f>IFERROR(__xludf.DUMMYFUNCTION("""COMPUTED_VALUE"""),43277.0)</f>
        <v>43277</v>
      </c>
      <c r="B277" s="21" t="str">
        <f>IFERROR(__xludf.DUMMYFUNCTION("""COMPUTED_VALUE"""),"Jun")</f>
        <v>Jun</v>
      </c>
      <c r="C277" s="9">
        <f>IFERROR(__xludf.DUMMYFUNCTION("""COMPUTED_VALUE"""),43278.0)</f>
        <v>43278</v>
      </c>
      <c r="D277" s="23" t="str">
        <f>IFERROR(__xludf.DUMMYFUNCTION("""COMPUTED_VALUE"""),"Jun")</f>
        <v>Jun</v>
      </c>
      <c r="E277" s="21" t="str">
        <f>IFERROR(__xludf.DUMMYFUNCTION("""COMPUTED_VALUE"""),"2018")</f>
        <v>2018</v>
      </c>
      <c r="F277" s="22" t="str">
        <f>IFERROR(__xludf.DUMMYFUNCTION("""COMPUTED_VALUE"""),"First Class")</f>
        <v>First Class</v>
      </c>
      <c r="G277" s="22" t="str">
        <f>IFERROR(__xludf.DUMMYFUNCTION("""COMPUTED_VALUE"""),"Tracy")</f>
        <v>Tracy</v>
      </c>
      <c r="H277" s="22" t="str">
        <f>IFERROR(__xludf.DUMMYFUNCTION("""COMPUTED_VALUE"""),"Hopkins")</f>
        <v>Hopkins</v>
      </c>
      <c r="I277" s="22" t="str">
        <f>IFERROR(__xludf.DUMMYFUNCTION("""COMPUTED_VALUE"""),"Home Office")</f>
        <v>Home Office</v>
      </c>
      <c r="J277" s="22" t="str">
        <f>IFERROR(__xludf.DUMMYFUNCTION("""COMPUTED_VALUE"""),"Detroit")</f>
        <v>Detroit</v>
      </c>
      <c r="K277" s="22" t="str">
        <f>IFERROR(__xludf.DUMMYFUNCTION("""COMPUTED_VALUE"""),"Michigan")</f>
        <v>Michigan</v>
      </c>
      <c r="L277" s="22" t="str">
        <f>IFERROR(__xludf.DUMMYFUNCTION("""COMPUTED_VALUE"""),"Central")</f>
        <v>Central</v>
      </c>
      <c r="M277" s="22" t="str">
        <f>IFERROR(__xludf.DUMMYFUNCTION("""COMPUTED_VALUE"""),"Technology")</f>
        <v>Technology</v>
      </c>
      <c r="N277" s="18">
        <f>IFERROR(__xludf.DUMMYFUNCTION("""COMPUTED_VALUE"""),543.92)</f>
        <v>543.92</v>
      </c>
      <c r="O277" s="18">
        <f>IFERROR(__xludf.DUMMYFUNCTION("""COMPUTED_VALUE"""),543.77)</f>
        <v>543.77</v>
      </c>
      <c r="P277" s="22">
        <f>IFERROR(__xludf.DUMMYFUNCTION("""COMPUTED_VALUE"""),4.0)</f>
        <v>4</v>
      </c>
      <c r="Q277" s="18">
        <f>IFERROR(__xludf.DUMMYFUNCTION("""COMPUTED_VALUE"""),2175.68)</f>
        <v>2175.68</v>
      </c>
      <c r="R277" s="18">
        <f>IFERROR(__xludf.DUMMYFUNCTION("""COMPUTED_VALUE"""),1631.9099999999999)</f>
        <v>1631.91</v>
      </c>
    </row>
    <row r="278">
      <c r="A278" s="21">
        <f>IFERROR(__xludf.DUMMYFUNCTION("""COMPUTED_VALUE"""),43019.0)</f>
        <v>43019</v>
      </c>
      <c r="B278" s="21" t="str">
        <f>IFERROR(__xludf.DUMMYFUNCTION("""COMPUTED_VALUE"""),"Oct")</f>
        <v>Oct</v>
      </c>
      <c r="C278" s="9">
        <f>IFERROR(__xludf.DUMMYFUNCTION("""COMPUTED_VALUE"""),43080.0)</f>
        <v>43080</v>
      </c>
      <c r="D278" s="23" t="str">
        <f>IFERROR(__xludf.DUMMYFUNCTION("""COMPUTED_VALUE"""),"Dec")</f>
        <v>Dec</v>
      </c>
      <c r="E278" s="21" t="str">
        <f>IFERROR(__xludf.DUMMYFUNCTION("""COMPUTED_VALUE"""),"2017")</f>
        <v>2017</v>
      </c>
      <c r="F278" s="22" t="str">
        <f>IFERROR(__xludf.DUMMYFUNCTION("""COMPUTED_VALUE"""),"First Class")</f>
        <v>First Class</v>
      </c>
      <c r="G278" s="22" t="str">
        <f>IFERROR(__xludf.DUMMYFUNCTION("""COMPUTED_VALUE"""),"Pamela")</f>
        <v>Pamela</v>
      </c>
      <c r="H278" s="22" t="str">
        <f>IFERROR(__xludf.DUMMYFUNCTION("""COMPUTED_VALUE"""),"Coakley")</f>
        <v>Coakley</v>
      </c>
      <c r="I278" s="22" t="str">
        <f>IFERROR(__xludf.DUMMYFUNCTION("""COMPUTED_VALUE"""),"Corporate")</f>
        <v>Corporate</v>
      </c>
      <c r="J278" s="22" t="str">
        <f>IFERROR(__xludf.DUMMYFUNCTION("""COMPUTED_VALUE"""),"San Francisco")</f>
        <v>San Francisco</v>
      </c>
      <c r="K278" s="22" t="str">
        <f>IFERROR(__xludf.DUMMYFUNCTION("""COMPUTED_VALUE"""),"California")</f>
        <v>California</v>
      </c>
      <c r="L278" s="22" t="str">
        <f>IFERROR(__xludf.DUMMYFUNCTION("""COMPUTED_VALUE"""),"West")</f>
        <v>West</v>
      </c>
      <c r="M278" s="22" t="str">
        <f>IFERROR(__xludf.DUMMYFUNCTION("""COMPUTED_VALUE"""),"Office Supplies")</f>
        <v>Office Supplies</v>
      </c>
      <c r="N278" s="18">
        <f>IFERROR(__xludf.DUMMYFUNCTION("""COMPUTED_VALUE"""),155.82)</f>
        <v>155.82</v>
      </c>
      <c r="O278" s="18">
        <f>IFERROR(__xludf.DUMMYFUNCTION("""COMPUTED_VALUE"""),155.11)</f>
        <v>155.11</v>
      </c>
      <c r="P278" s="22">
        <f>IFERROR(__xludf.DUMMYFUNCTION("""COMPUTED_VALUE"""),9.0)</f>
        <v>9</v>
      </c>
      <c r="Q278" s="18">
        <f>IFERROR(__xludf.DUMMYFUNCTION("""COMPUTED_VALUE"""),1402.3799999999999)</f>
        <v>1402.38</v>
      </c>
      <c r="R278" s="18">
        <f>IFERROR(__xludf.DUMMYFUNCTION("""COMPUTED_VALUE"""),1247.27)</f>
        <v>1247.27</v>
      </c>
    </row>
    <row r="279">
      <c r="A279" s="21">
        <f>IFERROR(__xludf.DUMMYFUNCTION("""COMPUTED_VALUE"""),43019.0)</f>
        <v>43019</v>
      </c>
      <c r="B279" s="21" t="str">
        <f>IFERROR(__xludf.DUMMYFUNCTION("""COMPUTED_VALUE"""),"Oct")</f>
        <v>Oct</v>
      </c>
      <c r="C279" s="9">
        <f>IFERROR(__xludf.DUMMYFUNCTION("""COMPUTED_VALUE"""),43080.0)</f>
        <v>43080</v>
      </c>
      <c r="D279" s="23" t="str">
        <f>IFERROR(__xludf.DUMMYFUNCTION("""COMPUTED_VALUE"""),"Dec")</f>
        <v>Dec</v>
      </c>
      <c r="E279" s="21" t="str">
        <f>IFERROR(__xludf.DUMMYFUNCTION("""COMPUTED_VALUE"""),"2017")</f>
        <v>2017</v>
      </c>
      <c r="F279" s="22" t="str">
        <f>IFERROR(__xludf.DUMMYFUNCTION("""COMPUTED_VALUE"""),"First Class")</f>
        <v>First Class</v>
      </c>
      <c r="G279" s="22" t="str">
        <f>IFERROR(__xludf.DUMMYFUNCTION("""COMPUTED_VALUE"""),"Pamela")</f>
        <v>Pamela</v>
      </c>
      <c r="H279" s="22" t="str">
        <f>IFERROR(__xludf.DUMMYFUNCTION("""COMPUTED_VALUE"""),"Coakley")</f>
        <v>Coakley</v>
      </c>
      <c r="I279" s="22" t="str">
        <f>IFERROR(__xludf.DUMMYFUNCTION("""COMPUTED_VALUE"""),"Corporate")</f>
        <v>Corporate</v>
      </c>
      <c r="J279" s="22" t="str">
        <f>IFERROR(__xludf.DUMMYFUNCTION("""COMPUTED_VALUE"""),"San Francisco")</f>
        <v>San Francisco</v>
      </c>
      <c r="K279" s="22" t="str">
        <f>IFERROR(__xludf.DUMMYFUNCTION("""COMPUTED_VALUE"""),"California")</f>
        <v>California</v>
      </c>
      <c r="L279" s="22" t="str">
        <f>IFERROR(__xludf.DUMMYFUNCTION("""COMPUTED_VALUE"""),"West")</f>
        <v>West</v>
      </c>
      <c r="M279" s="22" t="str">
        <f>IFERROR(__xludf.DUMMYFUNCTION("""COMPUTED_VALUE"""),"Office Supplies")</f>
        <v>Office Supplies</v>
      </c>
      <c r="N279" s="18">
        <f>IFERROR(__xludf.DUMMYFUNCTION("""COMPUTED_VALUE"""),70.008)</f>
        <v>70.008</v>
      </c>
      <c r="O279" s="18">
        <f>IFERROR(__xludf.DUMMYFUNCTION("""COMPUTED_VALUE"""),70.0)</f>
        <v>70</v>
      </c>
      <c r="P279" s="22">
        <f>IFERROR(__xludf.DUMMYFUNCTION("""COMPUTED_VALUE"""),9.0)</f>
        <v>9</v>
      </c>
      <c r="Q279" s="18">
        <f>IFERROR(__xludf.DUMMYFUNCTION("""COMPUTED_VALUE"""),630.072)</f>
        <v>630.072</v>
      </c>
      <c r="R279" s="18">
        <f>IFERROR(__xludf.DUMMYFUNCTION("""COMPUTED_VALUE"""),560.072)</f>
        <v>560.072</v>
      </c>
    </row>
    <row r="280">
      <c r="A280" s="21">
        <f>IFERROR(__xludf.DUMMYFUNCTION("""COMPUTED_VALUE"""),43358.0)</f>
        <v>43358</v>
      </c>
      <c r="B280" s="21" t="str">
        <f>IFERROR(__xludf.DUMMYFUNCTION("""COMPUTED_VALUE"""),"Sep")</f>
        <v>Sep</v>
      </c>
      <c r="C280" s="9">
        <f>IFERROR(__xludf.DUMMYFUNCTION("""COMPUTED_VALUE"""),43360.0)</f>
        <v>43360</v>
      </c>
      <c r="D280" s="23" t="str">
        <f>IFERROR(__xludf.DUMMYFUNCTION("""COMPUTED_VALUE"""),"Sep")</f>
        <v>Sep</v>
      </c>
      <c r="E280" s="21" t="str">
        <f>IFERROR(__xludf.DUMMYFUNCTION("""COMPUTED_VALUE"""),"2018")</f>
        <v>2018</v>
      </c>
      <c r="F280" s="22" t="str">
        <f>IFERROR(__xludf.DUMMYFUNCTION("""COMPUTED_VALUE"""),"First Class")</f>
        <v>First Class</v>
      </c>
      <c r="G280" s="22" t="str">
        <f>IFERROR(__xludf.DUMMYFUNCTION("""COMPUTED_VALUE"""),"Dave")</f>
        <v>Dave</v>
      </c>
      <c r="H280" s="22" t="str">
        <f>IFERROR(__xludf.DUMMYFUNCTION("""COMPUTED_VALUE"""),"Brooks")</f>
        <v>Brooks</v>
      </c>
      <c r="I280" s="22" t="str">
        <f>IFERROR(__xludf.DUMMYFUNCTION("""COMPUTED_VALUE"""),"Consumer")</f>
        <v>Consumer</v>
      </c>
      <c r="J280" s="22" t="str">
        <f>IFERROR(__xludf.DUMMYFUNCTION("""COMPUTED_VALUE"""),"Chicago")</f>
        <v>Chicago</v>
      </c>
      <c r="K280" s="22" t="str">
        <f>IFERROR(__xludf.DUMMYFUNCTION("""COMPUTED_VALUE"""),"Illinois")</f>
        <v>Illinois</v>
      </c>
      <c r="L280" s="22" t="str">
        <f>IFERROR(__xludf.DUMMYFUNCTION("""COMPUTED_VALUE"""),"Central")</f>
        <v>Central</v>
      </c>
      <c r="M280" s="22" t="str">
        <f>IFERROR(__xludf.DUMMYFUNCTION("""COMPUTED_VALUE"""),"Technology")</f>
        <v>Technology</v>
      </c>
      <c r="N280" s="18">
        <f>IFERROR(__xludf.DUMMYFUNCTION("""COMPUTED_VALUE"""),323.976)</f>
        <v>323.976</v>
      </c>
      <c r="O280" s="18">
        <f>IFERROR(__xludf.DUMMYFUNCTION("""COMPUTED_VALUE"""),323.14)</f>
        <v>323.14</v>
      </c>
      <c r="P280" s="22">
        <f>IFERROR(__xludf.DUMMYFUNCTION("""COMPUTED_VALUE"""),6.0)</f>
        <v>6</v>
      </c>
      <c r="Q280" s="18">
        <f>IFERROR(__xludf.DUMMYFUNCTION("""COMPUTED_VALUE"""),1943.856)</f>
        <v>1943.856</v>
      </c>
      <c r="R280" s="18">
        <f>IFERROR(__xludf.DUMMYFUNCTION("""COMPUTED_VALUE"""),1620.716)</f>
        <v>1620.716</v>
      </c>
    </row>
    <row r="281">
      <c r="A281" s="21">
        <f>IFERROR(__xludf.DUMMYFUNCTION("""COMPUTED_VALUE"""),42951.0)</f>
        <v>42951</v>
      </c>
      <c r="B281" s="21" t="str">
        <f>IFERROR(__xludf.DUMMYFUNCTION("""COMPUTED_VALUE"""),"Aug")</f>
        <v>Aug</v>
      </c>
      <c r="C281" s="9">
        <f>IFERROR(__xludf.DUMMYFUNCTION("""COMPUTED_VALUE"""),43073.0)</f>
        <v>43073</v>
      </c>
      <c r="D281" s="23" t="str">
        <f>IFERROR(__xludf.DUMMYFUNCTION("""COMPUTED_VALUE"""),"Dec")</f>
        <v>Dec</v>
      </c>
      <c r="E281" s="21" t="str">
        <f>IFERROR(__xludf.DUMMYFUNCTION("""COMPUTED_VALUE"""),"2017")</f>
        <v>2017</v>
      </c>
      <c r="F281" s="22" t="str">
        <f>IFERROR(__xludf.DUMMYFUNCTION("""COMPUTED_VALUE"""),"Standard Class")</f>
        <v>Standard Class</v>
      </c>
      <c r="G281" s="22" t="str">
        <f>IFERROR(__xludf.DUMMYFUNCTION("""COMPUTED_VALUE"""),"Logan")</f>
        <v>Logan</v>
      </c>
      <c r="H281" s="22" t="str">
        <f>IFERROR(__xludf.DUMMYFUNCTION("""COMPUTED_VALUE"""),"Currie")</f>
        <v>Currie</v>
      </c>
      <c r="I281" s="22" t="str">
        <f>IFERROR(__xludf.DUMMYFUNCTION("""COMPUTED_VALUE"""),"Consumer")</f>
        <v>Consumer</v>
      </c>
      <c r="J281" s="22" t="str">
        <f>IFERROR(__xludf.DUMMYFUNCTION("""COMPUTED_VALUE"""),"Los Angeles")</f>
        <v>Los Angeles</v>
      </c>
      <c r="K281" s="22" t="str">
        <f>IFERROR(__xludf.DUMMYFUNCTION("""COMPUTED_VALUE"""),"California")</f>
        <v>California</v>
      </c>
      <c r="L281" s="22" t="str">
        <f>IFERROR(__xludf.DUMMYFUNCTION("""COMPUTED_VALUE"""),"West")</f>
        <v>West</v>
      </c>
      <c r="M281" s="22" t="str">
        <f>IFERROR(__xludf.DUMMYFUNCTION("""COMPUTED_VALUE"""),"Office Supplies")</f>
        <v>Office Supplies</v>
      </c>
      <c r="N281" s="18">
        <f>IFERROR(__xludf.DUMMYFUNCTION("""COMPUTED_VALUE"""),64.96)</f>
        <v>64.96</v>
      </c>
      <c r="O281" s="18">
        <f>IFERROR(__xludf.DUMMYFUNCTION("""COMPUTED_VALUE"""),64.81)</f>
        <v>64.81</v>
      </c>
      <c r="P281" s="22">
        <f>IFERROR(__xludf.DUMMYFUNCTION("""COMPUTED_VALUE"""),9.0)</f>
        <v>9</v>
      </c>
      <c r="Q281" s="18">
        <f>IFERROR(__xludf.DUMMYFUNCTION("""COMPUTED_VALUE"""),584.64)</f>
        <v>584.64</v>
      </c>
      <c r="R281" s="18">
        <f>IFERROR(__xludf.DUMMYFUNCTION("""COMPUTED_VALUE"""),519.8299999999999)</f>
        <v>519.83</v>
      </c>
    </row>
    <row r="282">
      <c r="A282" s="21">
        <f>IFERROR(__xludf.DUMMYFUNCTION("""COMPUTED_VALUE"""),43140.0)</f>
        <v>43140</v>
      </c>
      <c r="B282" s="21" t="str">
        <f>IFERROR(__xludf.DUMMYFUNCTION("""COMPUTED_VALUE"""),"Feb")</f>
        <v>Feb</v>
      </c>
      <c r="C282" s="9">
        <f>IFERROR(__xludf.DUMMYFUNCTION("""COMPUTED_VALUE"""),43290.0)</f>
        <v>43290</v>
      </c>
      <c r="D282" s="23" t="str">
        <f>IFERROR(__xludf.DUMMYFUNCTION("""COMPUTED_VALUE"""),"Jul")</f>
        <v>Jul</v>
      </c>
      <c r="E282" s="21" t="str">
        <f>IFERROR(__xludf.DUMMYFUNCTION("""COMPUTED_VALUE"""),"2018")</f>
        <v>2018</v>
      </c>
      <c r="F282" s="22" t="str">
        <f>IFERROR(__xludf.DUMMYFUNCTION("""COMPUTED_VALUE"""),"Standard Class")</f>
        <v>Standard Class</v>
      </c>
      <c r="G282" s="22" t="str">
        <f>IFERROR(__xludf.DUMMYFUNCTION("""COMPUTED_VALUE"""),"Bill")</f>
        <v>Bill</v>
      </c>
      <c r="H282" s="22" t="str">
        <f>IFERROR(__xludf.DUMMYFUNCTION("""COMPUTED_VALUE"""),"Eplett")</f>
        <v>Eplett</v>
      </c>
      <c r="I282" s="22" t="str">
        <f>IFERROR(__xludf.DUMMYFUNCTION("""COMPUTED_VALUE"""),"Home Office")</f>
        <v>Home Office</v>
      </c>
      <c r="J282" s="22" t="str">
        <f>IFERROR(__xludf.DUMMYFUNCTION("""COMPUTED_VALUE"""),"Jackson")</f>
        <v>Jackson</v>
      </c>
      <c r="K282" s="22" t="str">
        <f>IFERROR(__xludf.DUMMYFUNCTION("""COMPUTED_VALUE"""),"Michigan")</f>
        <v>Michigan</v>
      </c>
      <c r="L282" s="22" t="str">
        <f>IFERROR(__xludf.DUMMYFUNCTION("""COMPUTED_VALUE"""),"Central")</f>
        <v>Central</v>
      </c>
      <c r="M282" s="22" t="str">
        <f>IFERROR(__xludf.DUMMYFUNCTION("""COMPUTED_VALUE"""),"Technology")</f>
        <v>Technology</v>
      </c>
      <c r="N282" s="18">
        <f>IFERROR(__xludf.DUMMYFUNCTION("""COMPUTED_VALUE"""),1199.8)</f>
        <v>1199.8</v>
      </c>
      <c r="O282" s="18">
        <f>IFERROR(__xludf.DUMMYFUNCTION("""COMPUTED_VALUE"""),1199.52)</f>
        <v>1199.52</v>
      </c>
      <c r="P282" s="22">
        <f>IFERROR(__xludf.DUMMYFUNCTION("""COMPUTED_VALUE"""),4.0)</f>
        <v>4</v>
      </c>
      <c r="Q282" s="18">
        <f>IFERROR(__xludf.DUMMYFUNCTION("""COMPUTED_VALUE"""),4799.2)</f>
        <v>4799.2</v>
      </c>
      <c r="R282" s="18">
        <f>IFERROR(__xludf.DUMMYFUNCTION("""COMPUTED_VALUE"""),3599.68)</f>
        <v>3599.68</v>
      </c>
    </row>
    <row r="283">
      <c r="A283" s="21">
        <f>IFERROR(__xludf.DUMMYFUNCTION("""COMPUTED_VALUE"""),43140.0)</f>
        <v>43140</v>
      </c>
      <c r="B283" s="21" t="str">
        <f>IFERROR(__xludf.DUMMYFUNCTION("""COMPUTED_VALUE"""),"Feb")</f>
        <v>Feb</v>
      </c>
      <c r="C283" s="9">
        <f>IFERROR(__xludf.DUMMYFUNCTION("""COMPUTED_VALUE"""),43290.0)</f>
        <v>43290</v>
      </c>
      <c r="D283" s="23" t="str">
        <f>IFERROR(__xludf.DUMMYFUNCTION("""COMPUTED_VALUE"""),"Jul")</f>
        <v>Jul</v>
      </c>
      <c r="E283" s="21" t="str">
        <f>IFERROR(__xludf.DUMMYFUNCTION("""COMPUTED_VALUE"""),"2018")</f>
        <v>2018</v>
      </c>
      <c r="F283" s="22" t="str">
        <f>IFERROR(__xludf.DUMMYFUNCTION("""COMPUTED_VALUE"""),"Standard Class")</f>
        <v>Standard Class</v>
      </c>
      <c r="G283" s="22" t="str">
        <f>IFERROR(__xludf.DUMMYFUNCTION("""COMPUTED_VALUE"""),"Bill")</f>
        <v>Bill</v>
      </c>
      <c r="H283" s="22" t="str">
        <f>IFERROR(__xludf.DUMMYFUNCTION("""COMPUTED_VALUE"""),"Eplett")</f>
        <v>Eplett</v>
      </c>
      <c r="I283" s="22" t="str">
        <f>IFERROR(__xludf.DUMMYFUNCTION("""COMPUTED_VALUE"""),"Home Office")</f>
        <v>Home Office</v>
      </c>
      <c r="J283" s="22" t="str">
        <f>IFERROR(__xludf.DUMMYFUNCTION("""COMPUTED_VALUE"""),"Jackson")</f>
        <v>Jackson</v>
      </c>
      <c r="K283" s="22" t="str">
        <f>IFERROR(__xludf.DUMMYFUNCTION("""COMPUTED_VALUE"""),"Michigan")</f>
        <v>Michigan</v>
      </c>
      <c r="L283" s="22" t="str">
        <f>IFERROR(__xludf.DUMMYFUNCTION("""COMPUTED_VALUE"""),"Central")</f>
        <v>Central</v>
      </c>
      <c r="M283" s="22" t="str">
        <f>IFERROR(__xludf.DUMMYFUNCTION("""COMPUTED_VALUE"""),"Technology")</f>
        <v>Technology</v>
      </c>
      <c r="N283" s="18">
        <f>IFERROR(__xludf.DUMMYFUNCTION("""COMPUTED_VALUE"""),1928.78)</f>
        <v>1928.78</v>
      </c>
      <c r="O283" s="18">
        <f>IFERROR(__xludf.DUMMYFUNCTION("""COMPUTED_VALUE"""),1928.37)</f>
        <v>1928.37</v>
      </c>
      <c r="P283" s="22">
        <f>IFERROR(__xludf.DUMMYFUNCTION("""COMPUTED_VALUE"""),4.0)</f>
        <v>4</v>
      </c>
      <c r="Q283" s="18">
        <f>IFERROR(__xludf.DUMMYFUNCTION("""COMPUTED_VALUE"""),7715.12)</f>
        <v>7715.12</v>
      </c>
      <c r="R283" s="18">
        <f>IFERROR(__xludf.DUMMYFUNCTION("""COMPUTED_VALUE"""),5786.75)</f>
        <v>5786.75</v>
      </c>
    </row>
    <row r="284">
      <c r="A284" s="21">
        <f>IFERROR(__xludf.DUMMYFUNCTION("""COMPUTED_VALUE"""),43140.0)</f>
        <v>43140</v>
      </c>
      <c r="B284" s="21" t="str">
        <f>IFERROR(__xludf.DUMMYFUNCTION("""COMPUTED_VALUE"""),"Feb")</f>
        <v>Feb</v>
      </c>
      <c r="C284" s="9">
        <f>IFERROR(__xludf.DUMMYFUNCTION("""COMPUTED_VALUE"""),43290.0)</f>
        <v>43290</v>
      </c>
      <c r="D284" s="23" t="str">
        <f>IFERROR(__xludf.DUMMYFUNCTION("""COMPUTED_VALUE"""),"Jul")</f>
        <v>Jul</v>
      </c>
      <c r="E284" s="21" t="str">
        <f>IFERROR(__xludf.DUMMYFUNCTION("""COMPUTED_VALUE"""),"2018")</f>
        <v>2018</v>
      </c>
      <c r="F284" s="22" t="str">
        <f>IFERROR(__xludf.DUMMYFUNCTION("""COMPUTED_VALUE"""),"Standard Class")</f>
        <v>Standard Class</v>
      </c>
      <c r="G284" s="22" t="str">
        <f>IFERROR(__xludf.DUMMYFUNCTION("""COMPUTED_VALUE"""),"Bill")</f>
        <v>Bill</v>
      </c>
      <c r="H284" s="22" t="str">
        <f>IFERROR(__xludf.DUMMYFUNCTION("""COMPUTED_VALUE"""),"Eplett")</f>
        <v>Eplett</v>
      </c>
      <c r="I284" s="22" t="str">
        <f>IFERROR(__xludf.DUMMYFUNCTION("""COMPUTED_VALUE"""),"Home Office")</f>
        <v>Home Office</v>
      </c>
      <c r="J284" s="22" t="str">
        <f>IFERROR(__xludf.DUMMYFUNCTION("""COMPUTED_VALUE"""),"Jackson")</f>
        <v>Jackson</v>
      </c>
      <c r="K284" s="22" t="str">
        <f>IFERROR(__xludf.DUMMYFUNCTION("""COMPUTED_VALUE"""),"Michigan")</f>
        <v>Michigan</v>
      </c>
      <c r="L284" s="22" t="str">
        <f>IFERROR(__xludf.DUMMYFUNCTION("""COMPUTED_VALUE"""),"Central")</f>
        <v>Central</v>
      </c>
      <c r="M284" s="22" t="str">
        <f>IFERROR(__xludf.DUMMYFUNCTION("""COMPUTED_VALUE"""),"Office Supplies")</f>
        <v>Office Supplies</v>
      </c>
      <c r="N284" s="18">
        <f>IFERROR(__xludf.DUMMYFUNCTION("""COMPUTED_VALUE"""),352.38)</f>
        <v>352.38</v>
      </c>
      <c r="O284" s="18">
        <f>IFERROR(__xludf.DUMMYFUNCTION("""COMPUTED_VALUE"""),352.29)</f>
        <v>352.29</v>
      </c>
      <c r="P284" s="22">
        <f>IFERROR(__xludf.DUMMYFUNCTION("""COMPUTED_VALUE"""),4.0)</f>
        <v>4</v>
      </c>
      <c r="Q284" s="18">
        <f>IFERROR(__xludf.DUMMYFUNCTION("""COMPUTED_VALUE"""),1409.52)</f>
        <v>1409.52</v>
      </c>
      <c r="R284" s="18">
        <f>IFERROR(__xludf.DUMMYFUNCTION("""COMPUTED_VALUE"""),1057.23)</f>
        <v>1057.23</v>
      </c>
    </row>
    <row r="285">
      <c r="A285" s="21">
        <f>IFERROR(__xludf.DUMMYFUNCTION("""COMPUTED_VALUE"""),43431.0)</f>
        <v>43431</v>
      </c>
      <c r="B285" s="21" t="str">
        <f>IFERROR(__xludf.DUMMYFUNCTION("""COMPUTED_VALUE"""),"Nov")</f>
        <v>Nov</v>
      </c>
      <c r="C285" s="9">
        <f>IFERROR(__xludf.DUMMYFUNCTION("""COMPUTED_VALUE"""),43433.0)</f>
        <v>43433</v>
      </c>
      <c r="D285" s="23" t="str">
        <f>IFERROR(__xludf.DUMMYFUNCTION("""COMPUTED_VALUE"""),"Nov")</f>
        <v>Nov</v>
      </c>
      <c r="E285" s="21" t="str">
        <f>IFERROR(__xludf.DUMMYFUNCTION("""COMPUTED_VALUE"""),"2018")</f>
        <v>2018</v>
      </c>
      <c r="F285" s="22" t="str">
        <f>IFERROR(__xludf.DUMMYFUNCTION("""COMPUTED_VALUE"""),"First Class")</f>
        <v>First Class</v>
      </c>
      <c r="G285" s="22" t="str">
        <f>IFERROR(__xludf.DUMMYFUNCTION("""COMPUTED_VALUE"""),"Brian")</f>
        <v>Brian</v>
      </c>
      <c r="H285" s="22" t="str">
        <f>IFERROR(__xludf.DUMMYFUNCTION("""COMPUTED_VALUE"""),"Moss")</f>
        <v>Moss</v>
      </c>
      <c r="I285" s="22" t="str">
        <f>IFERROR(__xludf.DUMMYFUNCTION("""COMPUTED_VALUE"""),"Corporate")</f>
        <v>Corporate</v>
      </c>
      <c r="J285" s="22" t="str">
        <f>IFERROR(__xludf.DUMMYFUNCTION("""COMPUTED_VALUE"""),"Milwaukee")</f>
        <v>Milwaukee</v>
      </c>
      <c r="K285" s="22" t="str">
        <f>IFERROR(__xludf.DUMMYFUNCTION("""COMPUTED_VALUE"""),"Wisconsin")</f>
        <v>Wisconsin</v>
      </c>
      <c r="L285" s="22" t="str">
        <f>IFERROR(__xludf.DUMMYFUNCTION("""COMPUTED_VALUE"""),"Central")</f>
        <v>Central</v>
      </c>
      <c r="M285" s="22" t="str">
        <f>IFERROR(__xludf.DUMMYFUNCTION("""COMPUTED_VALUE"""),"Technology")</f>
        <v>Technology</v>
      </c>
      <c r="N285" s="18">
        <f>IFERROR(__xludf.DUMMYFUNCTION("""COMPUTED_VALUE"""),143.73)</f>
        <v>143.73</v>
      </c>
      <c r="O285" s="18">
        <f>IFERROR(__xludf.DUMMYFUNCTION("""COMPUTED_VALUE"""),143.67)</f>
        <v>143.67</v>
      </c>
      <c r="P285" s="22">
        <f>IFERROR(__xludf.DUMMYFUNCTION("""COMPUTED_VALUE"""),5.0)</f>
        <v>5</v>
      </c>
      <c r="Q285" s="18">
        <f>IFERROR(__xludf.DUMMYFUNCTION("""COMPUTED_VALUE"""),718.65)</f>
        <v>718.65</v>
      </c>
      <c r="R285" s="18">
        <f>IFERROR(__xludf.DUMMYFUNCTION("""COMPUTED_VALUE"""),574.98)</f>
        <v>574.98</v>
      </c>
    </row>
    <row r="286">
      <c r="A286" s="21">
        <f>IFERROR(__xludf.DUMMYFUNCTION("""COMPUTED_VALUE"""),42170.0)</f>
        <v>42170</v>
      </c>
      <c r="B286" s="21" t="str">
        <f>IFERROR(__xludf.DUMMYFUNCTION("""COMPUTED_VALUE"""),"Jun")</f>
        <v>Jun</v>
      </c>
      <c r="C286" s="9">
        <f>IFERROR(__xludf.DUMMYFUNCTION("""COMPUTED_VALUE"""),42176.0)</f>
        <v>42176</v>
      </c>
      <c r="D286" s="23" t="str">
        <f>IFERROR(__xludf.DUMMYFUNCTION("""COMPUTED_VALUE"""),"Jun")</f>
        <v>Jun</v>
      </c>
      <c r="E286" s="21" t="str">
        <f>IFERROR(__xludf.DUMMYFUNCTION("""COMPUTED_VALUE"""),"2015")</f>
        <v>2015</v>
      </c>
      <c r="F286" s="22" t="str">
        <f>IFERROR(__xludf.DUMMYFUNCTION("""COMPUTED_VALUE"""),"Standard Class")</f>
        <v>Standard Class</v>
      </c>
      <c r="G286" s="22" t="str">
        <f>IFERROR(__xludf.DUMMYFUNCTION("""COMPUTED_VALUE"""),"Kelly")</f>
        <v>Kelly</v>
      </c>
      <c r="H286" s="22" t="str">
        <f>IFERROR(__xludf.DUMMYFUNCTION("""COMPUTED_VALUE"""),"Lampkin")</f>
        <v>Lampkin</v>
      </c>
      <c r="I286" s="22" t="str">
        <f>IFERROR(__xludf.DUMMYFUNCTION("""COMPUTED_VALUE"""),"Corporate")</f>
        <v>Corporate</v>
      </c>
      <c r="J286" s="22" t="str">
        <f>IFERROR(__xludf.DUMMYFUNCTION("""COMPUTED_VALUE"""),"San Antonio")</f>
        <v>San Antonio</v>
      </c>
      <c r="K286" s="22" t="str">
        <f>IFERROR(__xludf.DUMMYFUNCTION("""COMPUTED_VALUE"""),"Texas")</f>
        <v>Texas</v>
      </c>
      <c r="L286" s="22" t="str">
        <f>IFERROR(__xludf.DUMMYFUNCTION("""COMPUTED_VALUE"""),"Central")</f>
        <v>Central</v>
      </c>
      <c r="M286" s="22" t="str">
        <f>IFERROR(__xludf.DUMMYFUNCTION("""COMPUTED_VALUE"""),"Furniture")</f>
        <v>Furniture</v>
      </c>
      <c r="N286" s="18">
        <f>IFERROR(__xludf.DUMMYFUNCTION("""COMPUTED_VALUE"""),99.918)</f>
        <v>99.918</v>
      </c>
      <c r="O286" s="18">
        <f>IFERROR(__xludf.DUMMYFUNCTION("""COMPUTED_VALUE"""),99.41)</f>
        <v>99.41</v>
      </c>
      <c r="P286" s="22">
        <f>IFERROR(__xludf.DUMMYFUNCTION("""COMPUTED_VALUE"""),7.0)</f>
        <v>7</v>
      </c>
      <c r="Q286" s="18">
        <f>IFERROR(__xludf.DUMMYFUNCTION("""COMPUTED_VALUE"""),699.426)</f>
        <v>699.426</v>
      </c>
      <c r="R286" s="18">
        <f>IFERROR(__xludf.DUMMYFUNCTION("""COMPUTED_VALUE"""),600.0160000000001)</f>
        <v>600.016</v>
      </c>
    </row>
    <row r="287">
      <c r="A287" s="21">
        <f>IFERROR(__xludf.DUMMYFUNCTION("""COMPUTED_VALUE"""),42170.0)</f>
        <v>42170</v>
      </c>
      <c r="B287" s="21" t="str">
        <f>IFERROR(__xludf.DUMMYFUNCTION("""COMPUTED_VALUE"""),"Jun")</f>
        <v>Jun</v>
      </c>
      <c r="C287" s="9">
        <f>IFERROR(__xludf.DUMMYFUNCTION("""COMPUTED_VALUE"""),42176.0)</f>
        <v>42176</v>
      </c>
      <c r="D287" s="23" t="str">
        <f>IFERROR(__xludf.DUMMYFUNCTION("""COMPUTED_VALUE"""),"Jun")</f>
        <v>Jun</v>
      </c>
      <c r="E287" s="21" t="str">
        <f>IFERROR(__xludf.DUMMYFUNCTION("""COMPUTED_VALUE"""),"2015")</f>
        <v>2015</v>
      </c>
      <c r="F287" s="22" t="str">
        <f>IFERROR(__xludf.DUMMYFUNCTION("""COMPUTED_VALUE"""),"Standard Class")</f>
        <v>Standard Class</v>
      </c>
      <c r="G287" s="22" t="str">
        <f>IFERROR(__xludf.DUMMYFUNCTION("""COMPUTED_VALUE"""),"Kelly")</f>
        <v>Kelly</v>
      </c>
      <c r="H287" s="22" t="str">
        <f>IFERROR(__xludf.DUMMYFUNCTION("""COMPUTED_VALUE"""),"Lampkin")</f>
        <v>Lampkin</v>
      </c>
      <c r="I287" s="22" t="str">
        <f>IFERROR(__xludf.DUMMYFUNCTION("""COMPUTED_VALUE"""),"Corporate")</f>
        <v>Corporate</v>
      </c>
      <c r="J287" s="22" t="str">
        <f>IFERROR(__xludf.DUMMYFUNCTION("""COMPUTED_VALUE"""),"San Antonio")</f>
        <v>San Antonio</v>
      </c>
      <c r="K287" s="22" t="str">
        <f>IFERROR(__xludf.DUMMYFUNCTION("""COMPUTED_VALUE"""),"Texas")</f>
        <v>Texas</v>
      </c>
      <c r="L287" s="22" t="str">
        <f>IFERROR(__xludf.DUMMYFUNCTION("""COMPUTED_VALUE"""),"Central")</f>
        <v>Central</v>
      </c>
      <c r="M287" s="22" t="str">
        <f>IFERROR(__xludf.DUMMYFUNCTION("""COMPUTED_VALUE"""),"Furniture")</f>
        <v>Furniture</v>
      </c>
      <c r="N287" s="18">
        <f>IFERROR(__xludf.DUMMYFUNCTION("""COMPUTED_VALUE"""),797.944)</f>
        <v>797.944</v>
      </c>
      <c r="O287" s="18">
        <f>IFERROR(__xludf.DUMMYFUNCTION("""COMPUTED_VALUE"""),797.92)</f>
        <v>797.92</v>
      </c>
      <c r="P287" s="22">
        <f>IFERROR(__xludf.DUMMYFUNCTION("""COMPUTED_VALUE"""),7.0)</f>
        <v>7</v>
      </c>
      <c r="Q287" s="18">
        <f>IFERROR(__xludf.DUMMYFUNCTION("""COMPUTED_VALUE"""),5585.608)</f>
        <v>5585.608</v>
      </c>
      <c r="R287" s="18">
        <f>IFERROR(__xludf.DUMMYFUNCTION("""COMPUTED_VALUE"""),4787.688)</f>
        <v>4787.688</v>
      </c>
    </row>
    <row r="288">
      <c r="A288" s="21">
        <f>IFERROR(__xludf.DUMMYFUNCTION("""COMPUTED_VALUE"""),42858.0)</f>
        <v>42858</v>
      </c>
      <c r="B288" s="21" t="str">
        <f>IFERROR(__xludf.DUMMYFUNCTION("""COMPUTED_VALUE"""),"May")</f>
        <v>May</v>
      </c>
      <c r="C288" s="9">
        <f>IFERROR(__xludf.DUMMYFUNCTION("""COMPUTED_VALUE"""),43042.0)</f>
        <v>43042</v>
      </c>
      <c r="D288" s="23" t="str">
        <f>IFERROR(__xludf.DUMMYFUNCTION("""COMPUTED_VALUE"""),"Nov")</f>
        <v>Nov</v>
      </c>
      <c r="E288" s="21" t="str">
        <f>IFERROR(__xludf.DUMMYFUNCTION("""COMPUTED_VALUE"""),"2017")</f>
        <v>2017</v>
      </c>
      <c r="F288" s="22" t="str">
        <f>IFERROR(__xludf.DUMMYFUNCTION("""COMPUTED_VALUE"""),"Standard Class")</f>
        <v>Standard Class</v>
      </c>
      <c r="G288" s="22" t="str">
        <f>IFERROR(__xludf.DUMMYFUNCTION("""COMPUTED_VALUE"""),"Rob")</f>
        <v>Rob</v>
      </c>
      <c r="H288" s="22" t="str">
        <f>IFERROR(__xludf.DUMMYFUNCTION("""COMPUTED_VALUE"""),"Williams")</f>
        <v>Williams</v>
      </c>
      <c r="I288" s="22" t="str">
        <f>IFERROR(__xludf.DUMMYFUNCTION("""COMPUTED_VALUE"""),"Corporate")</f>
        <v>Corporate</v>
      </c>
      <c r="J288" s="22" t="str">
        <f>IFERROR(__xludf.DUMMYFUNCTION("""COMPUTED_VALUE"""),"Dallas")</f>
        <v>Dallas</v>
      </c>
      <c r="K288" s="22" t="str">
        <f>IFERROR(__xludf.DUMMYFUNCTION("""COMPUTED_VALUE"""),"Texas")</f>
        <v>Texas</v>
      </c>
      <c r="L288" s="22" t="str">
        <f>IFERROR(__xludf.DUMMYFUNCTION("""COMPUTED_VALUE"""),"Central")</f>
        <v>Central</v>
      </c>
      <c r="M288" s="22" t="str">
        <f>IFERROR(__xludf.DUMMYFUNCTION("""COMPUTED_VALUE"""),"Office Supplies")</f>
        <v>Office Supplies</v>
      </c>
      <c r="N288" s="18">
        <f>IFERROR(__xludf.DUMMYFUNCTION("""COMPUTED_VALUE"""),149.352)</f>
        <v>149.352</v>
      </c>
      <c r="O288" s="18">
        <f>IFERROR(__xludf.DUMMYFUNCTION("""COMPUTED_VALUE"""),148.95)</f>
        <v>148.95</v>
      </c>
      <c r="P288" s="22">
        <f>IFERROR(__xludf.DUMMYFUNCTION("""COMPUTED_VALUE"""),7.0)</f>
        <v>7</v>
      </c>
      <c r="Q288" s="18">
        <f>IFERROR(__xludf.DUMMYFUNCTION("""COMPUTED_VALUE"""),1045.464)</f>
        <v>1045.464</v>
      </c>
      <c r="R288" s="18">
        <f>IFERROR(__xludf.DUMMYFUNCTION("""COMPUTED_VALUE"""),896.5139999999999)</f>
        <v>896.514</v>
      </c>
    </row>
    <row r="289">
      <c r="A289" s="21">
        <f>IFERROR(__xludf.DUMMYFUNCTION("""COMPUTED_VALUE"""),43231.0)</f>
        <v>43231</v>
      </c>
      <c r="B289" s="21" t="str">
        <f>IFERROR(__xludf.DUMMYFUNCTION("""COMPUTED_VALUE"""),"May")</f>
        <v>May</v>
      </c>
      <c r="C289" s="9">
        <f>IFERROR(__xludf.DUMMYFUNCTION("""COMPUTED_VALUE"""),43262.0)</f>
        <v>43262</v>
      </c>
      <c r="D289" s="23" t="str">
        <f>IFERROR(__xludf.DUMMYFUNCTION("""COMPUTED_VALUE"""),"Jun")</f>
        <v>Jun</v>
      </c>
      <c r="E289" s="21" t="str">
        <f>IFERROR(__xludf.DUMMYFUNCTION("""COMPUTED_VALUE"""),"2018")</f>
        <v>2018</v>
      </c>
      <c r="F289" s="22" t="str">
        <f>IFERROR(__xludf.DUMMYFUNCTION("""COMPUTED_VALUE"""),"First Class")</f>
        <v>First Class</v>
      </c>
      <c r="G289" s="22" t="str">
        <f>IFERROR(__xludf.DUMMYFUNCTION("""COMPUTED_VALUE"""),"Ruben")</f>
        <v>Ruben</v>
      </c>
      <c r="H289" s="22" t="str">
        <f>IFERROR(__xludf.DUMMYFUNCTION("""COMPUTED_VALUE"""),"Ausman")</f>
        <v>Ausman</v>
      </c>
      <c r="I289" s="22" t="str">
        <f>IFERROR(__xludf.DUMMYFUNCTION("""COMPUTED_VALUE"""),"Corporate")</f>
        <v>Corporate</v>
      </c>
      <c r="J289" s="22" t="str">
        <f>IFERROR(__xludf.DUMMYFUNCTION("""COMPUTED_VALUE"""),"Farmington")</f>
        <v>Farmington</v>
      </c>
      <c r="K289" s="22" t="str">
        <f>IFERROR(__xludf.DUMMYFUNCTION("""COMPUTED_VALUE"""),"New Mexico")</f>
        <v>New Mexico</v>
      </c>
      <c r="L289" s="22" t="str">
        <f>IFERROR(__xludf.DUMMYFUNCTION("""COMPUTED_VALUE"""),"West")</f>
        <v>West</v>
      </c>
      <c r="M289" s="22" t="str">
        <f>IFERROR(__xludf.DUMMYFUNCTION("""COMPUTED_VALUE"""),"Technology")</f>
        <v>Technology</v>
      </c>
      <c r="N289" s="18">
        <f>IFERROR(__xludf.DUMMYFUNCTION("""COMPUTED_VALUE"""),159.99)</f>
        <v>159.99</v>
      </c>
      <c r="O289" s="18">
        <f>IFERROR(__xludf.DUMMYFUNCTION("""COMPUTED_VALUE"""),159.36)</f>
        <v>159.36</v>
      </c>
      <c r="P289" s="22">
        <f>IFERROR(__xludf.DUMMYFUNCTION("""COMPUTED_VALUE"""),8.0)</f>
        <v>8</v>
      </c>
      <c r="Q289" s="18">
        <f>IFERROR(__xludf.DUMMYFUNCTION("""COMPUTED_VALUE"""),1279.92)</f>
        <v>1279.92</v>
      </c>
      <c r="R289" s="18">
        <f>IFERROR(__xludf.DUMMYFUNCTION("""COMPUTED_VALUE"""),1120.56)</f>
        <v>1120.56</v>
      </c>
    </row>
    <row r="290">
      <c r="A290" s="21">
        <f>IFERROR(__xludf.DUMMYFUNCTION("""COMPUTED_VALUE"""),42717.0)</f>
        <v>42717</v>
      </c>
      <c r="B290" s="21" t="str">
        <f>IFERROR(__xludf.DUMMYFUNCTION("""COMPUTED_VALUE"""),"Dec")</f>
        <v>Dec</v>
      </c>
      <c r="C290" s="9">
        <f>IFERROR(__xludf.DUMMYFUNCTION("""COMPUTED_VALUE"""),42721.0)</f>
        <v>42721</v>
      </c>
      <c r="D290" s="23" t="str">
        <f>IFERROR(__xludf.DUMMYFUNCTION("""COMPUTED_VALUE"""),"Dec")</f>
        <v>Dec</v>
      </c>
      <c r="E290" s="21" t="str">
        <f>IFERROR(__xludf.DUMMYFUNCTION("""COMPUTED_VALUE"""),"2016")</f>
        <v>2016</v>
      </c>
      <c r="F290" s="22" t="str">
        <f>IFERROR(__xludf.DUMMYFUNCTION("""COMPUTED_VALUE"""),"Standard Class")</f>
        <v>Standard Class</v>
      </c>
      <c r="G290" s="22" t="str">
        <f>IFERROR(__xludf.DUMMYFUNCTION("""COMPUTED_VALUE"""),"Rachel")</f>
        <v>Rachel</v>
      </c>
      <c r="H290" s="22" t="str">
        <f>IFERROR(__xludf.DUMMYFUNCTION("""COMPUTED_VALUE"""),"Payne")</f>
        <v>Payne</v>
      </c>
      <c r="I290" s="22" t="str">
        <f>IFERROR(__xludf.DUMMYFUNCTION("""COMPUTED_VALUE"""),"Corporate")</f>
        <v>Corporate</v>
      </c>
      <c r="J290" s="22" t="str">
        <f>IFERROR(__xludf.DUMMYFUNCTION("""COMPUTED_VALUE"""),"Riverside")</f>
        <v>Riverside</v>
      </c>
      <c r="K290" s="22" t="str">
        <f>IFERROR(__xludf.DUMMYFUNCTION("""COMPUTED_VALUE"""),"California")</f>
        <v>California</v>
      </c>
      <c r="L290" s="22" t="str">
        <f>IFERROR(__xludf.DUMMYFUNCTION("""COMPUTED_VALUE"""),"West")</f>
        <v>West</v>
      </c>
      <c r="M290" s="22" t="str">
        <f>IFERROR(__xludf.DUMMYFUNCTION("""COMPUTED_VALUE"""),"Office Supplies")</f>
        <v>Office Supplies</v>
      </c>
      <c r="N290" s="18">
        <f>IFERROR(__xludf.DUMMYFUNCTION("""COMPUTED_VALUE"""),134.48)</f>
        <v>134.48</v>
      </c>
      <c r="O290" s="18">
        <f>IFERROR(__xludf.DUMMYFUNCTION("""COMPUTED_VALUE"""),134.18)</f>
        <v>134.18</v>
      </c>
      <c r="P290" s="22">
        <f>IFERROR(__xludf.DUMMYFUNCTION("""COMPUTED_VALUE"""),9.0)</f>
        <v>9</v>
      </c>
      <c r="Q290" s="18">
        <f>IFERROR(__xludf.DUMMYFUNCTION("""COMPUTED_VALUE"""),1210.32)</f>
        <v>1210.32</v>
      </c>
      <c r="R290" s="18">
        <f>IFERROR(__xludf.DUMMYFUNCTION("""COMPUTED_VALUE"""),1076.1399999999999)</f>
        <v>1076.14</v>
      </c>
    </row>
    <row r="291">
      <c r="A291" s="21">
        <f>IFERROR(__xludf.DUMMYFUNCTION("""COMPUTED_VALUE"""),43082.0)</f>
        <v>43082</v>
      </c>
      <c r="B291" s="21" t="str">
        <f>IFERROR(__xludf.DUMMYFUNCTION("""COMPUTED_VALUE"""),"Dec")</f>
        <v>Dec</v>
      </c>
      <c r="C291" s="9">
        <f>IFERROR(__xludf.DUMMYFUNCTION("""COMPUTED_VALUE"""),43089.0)</f>
        <v>43089</v>
      </c>
      <c r="D291" s="23" t="str">
        <f>IFERROR(__xludf.DUMMYFUNCTION("""COMPUTED_VALUE"""),"Dec")</f>
        <v>Dec</v>
      </c>
      <c r="E291" s="21" t="str">
        <f>IFERROR(__xludf.DUMMYFUNCTION("""COMPUTED_VALUE"""),"2017")</f>
        <v>2017</v>
      </c>
      <c r="F291" s="22" t="str">
        <f>IFERROR(__xludf.DUMMYFUNCTION("""COMPUTED_VALUE"""),"Standard Class")</f>
        <v>Standard Class</v>
      </c>
      <c r="G291" s="22" t="str">
        <f>IFERROR(__xludf.DUMMYFUNCTION("""COMPUTED_VALUE"""),"Rob")</f>
        <v>Rob</v>
      </c>
      <c r="H291" s="22" t="str">
        <f>IFERROR(__xludf.DUMMYFUNCTION("""COMPUTED_VALUE"""),"Williams")</f>
        <v>Williams</v>
      </c>
      <c r="I291" s="22" t="str">
        <f>IFERROR(__xludf.DUMMYFUNCTION("""COMPUTED_VALUE"""),"Corporate")</f>
        <v>Corporate</v>
      </c>
      <c r="J291" s="22" t="str">
        <f>IFERROR(__xludf.DUMMYFUNCTION("""COMPUTED_VALUE"""),"Torrance")</f>
        <v>Torrance</v>
      </c>
      <c r="K291" s="22" t="str">
        <f>IFERROR(__xludf.DUMMYFUNCTION("""COMPUTED_VALUE"""),"California")</f>
        <v>California</v>
      </c>
      <c r="L291" s="22" t="str">
        <f>IFERROR(__xludf.DUMMYFUNCTION("""COMPUTED_VALUE"""),"West")</f>
        <v>West</v>
      </c>
      <c r="M291" s="22" t="str">
        <f>IFERROR(__xludf.DUMMYFUNCTION("""COMPUTED_VALUE"""),"Furniture")</f>
        <v>Furniture</v>
      </c>
      <c r="N291" s="18">
        <f>IFERROR(__xludf.DUMMYFUNCTION("""COMPUTED_VALUE"""),1114.272)</f>
        <v>1114.272</v>
      </c>
      <c r="O291" s="18">
        <f>IFERROR(__xludf.DUMMYFUNCTION("""COMPUTED_VALUE"""),1113.48)</f>
        <v>1113.48</v>
      </c>
      <c r="P291" s="22">
        <f>IFERROR(__xludf.DUMMYFUNCTION("""COMPUTED_VALUE"""),9.0)</f>
        <v>9</v>
      </c>
      <c r="Q291" s="18">
        <f>IFERROR(__xludf.DUMMYFUNCTION("""COMPUTED_VALUE"""),10028.448)</f>
        <v>10028.448</v>
      </c>
      <c r="R291" s="18">
        <f>IFERROR(__xludf.DUMMYFUNCTION("""COMPUTED_VALUE"""),8914.968)</f>
        <v>8914.968</v>
      </c>
    </row>
    <row r="292">
      <c r="A292" s="21">
        <f>IFERROR(__xludf.DUMMYFUNCTION("""COMPUTED_VALUE"""),42519.0)</f>
        <v>42519</v>
      </c>
      <c r="B292" s="21" t="str">
        <f>IFERROR(__xludf.DUMMYFUNCTION("""COMPUTED_VALUE"""),"May")</f>
        <v>May</v>
      </c>
      <c r="C292" s="9">
        <f>IFERROR(__xludf.DUMMYFUNCTION("""COMPUTED_VALUE"""),42435.0)</f>
        <v>42435</v>
      </c>
      <c r="D292" s="23" t="str">
        <f>IFERROR(__xludf.DUMMYFUNCTION("""COMPUTED_VALUE"""),"Mar")</f>
        <v>Mar</v>
      </c>
      <c r="E292" s="21" t="str">
        <f>IFERROR(__xludf.DUMMYFUNCTION("""COMPUTED_VALUE"""),"2016")</f>
        <v>2016</v>
      </c>
      <c r="F292" s="22" t="str">
        <f>IFERROR(__xludf.DUMMYFUNCTION("""COMPUTED_VALUE"""),"Standard Class")</f>
        <v>Standard Class</v>
      </c>
      <c r="G292" s="22" t="str">
        <f>IFERROR(__xludf.DUMMYFUNCTION("""COMPUTED_VALUE"""),"John")</f>
        <v>John</v>
      </c>
      <c r="H292" s="22" t="str">
        <f>IFERROR(__xludf.DUMMYFUNCTION("""COMPUTED_VALUE"""),"Lucas")</f>
        <v>Lucas</v>
      </c>
      <c r="I292" s="22" t="str">
        <f>IFERROR(__xludf.DUMMYFUNCTION("""COMPUTED_VALUE"""),"Consumer")</f>
        <v>Consumer</v>
      </c>
      <c r="J292" s="22" t="str">
        <f>IFERROR(__xludf.DUMMYFUNCTION("""COMPUTED_VALUE"""),"Seattle")</f>
        <v>Seattle</v>
      </c>
      <c r="K292" s="22" t="str">
        <f>IFERROR(__xludf.DUMMYFUNCTION("""COMPUTED_VALUE"""),"Washington")</f>
        <v>Washington</v>
      </c>
      <c r="L292" s="22" t="str">
        <f>IFERROR(__xludf.DUMMYFUNCTION("""COMPUTED_VALUE"""),"West")</f>
        <v>West</v>
      </c>
      <c r="M292" s="22" t="str">
        <f>IFERROR(__xludf.DUMMYFUNCTION("""COMPUTED_VALUE"""),"Office Supplies")</f>
        <v>Office Supplies</v>
      </c>
      <c r="N292" s="18">
        <f>IFERROR(__xludf.DUMMYFUNCTION("""COMPUTED_VALUE"""),540.57)</f>
        <v>540.57</v>
      </c>
      <c r="O292" s="18">
        <f>IFERROR(__xludf.DUMMYFUNCTION("""COMPUTED_VALUE"""),539.8)</f>
        <v>539.8</v>
      </c>
      <c r="P292" s="22">
        <f>IFERROR(__xludf.DUMMYFUNCTION("""COMPUTED_VALUE"""),9.0)</f>
        <v>9</v>
      </c>
      <c r="Q292" s="18">
        <f>IFERROR(__xludf.DUMMYFUNCTION("""COMPUTED_VALUE"""),4865.13)</f>
        <v>4865.13</v>
      </c>
      <c r="R292" s="18">
        <f>IFERROR(__xludf.DUMMYFUNCTION("""COMPUTED_VALUE"""),4325.33)</f>
        <v>4325.33</v>
      </c>
    </row>
    <row r="293">
      <c r="A293" s="21">
        <f>IFERROR(__xludf.DUMMYFUNCTION("""COMPUTED_VALUE"""),42519.0)</f>
        <v>42519</v>
      </c>
      <c r="B293" s="21" t="str">
        <f>IFERROR(__xludf.DUMMYFUNCTION("""COMPUTED_VALUE"""),"May")</f>
        <v>May</v>
      </c>
      <c r="C293" s="9">
        <f>IFERROR(__xludf.DUMMYFUNCTION("""COMPUTED_VALUE"""),42435.0)</f>
        <v>42435</v>
      </c>
      <c r="D293" s="23" t="str">
        <f>IFERROR(__xludf.DUMMYFUNCTION("""COMPUTED_VALUE"""),"Mar")</f>
        <v>Mar</v>
      </c>
      <c r="E293" s="21" t="str">
        <f>IFERROR(__xludf.DUMMYFUNCTION("""COMPUTED_VALUE"""),"2016")</f>
        <v>2016</v>
      </c>
      <c r="F293" s="22" t="str">
        <f>IFERROR(__xludf.DUMMYFUNCTION("""COMPUTED_VALUE"""),"Standard Class")</f>
        <v>Standard Class</v>
      </c>
      <c r="G293" s="22" t="str">
        <f>IFERROR(__xludf.DUMMYFUNCTION("""COMPUTED_VALUE"""),"John")</f>
        <v>John</v>
      </c>
      <c r="H293" s="22" t="str">
        <f>IFERROR(__xludf.DUMMYFUNCTION("""COMPUTED_VALUE"""),"Lucas")</f>
        <v>Lucas</v>
      </c>
      <c r="I293" s="22" t="str">
        <f>IFERROR(__xludf.DUMMYFUNCTION("""COMPUTED_VALUE"""),"Consumer")</f>
        <v>Consumer</v>
      </c>
      <c r="J293" s="22" t="str">
        <f>IFERROR(__xludf.DUMMYFUNCTION("""COMPUTED_VALUE"""),"Seattle")</f>
        <v>Seattle</v>
      </c>
      <c r="K293" s="22" t="str">
        <f>IFERROR(__xludf.DUMMYFUNCTION("""COMPUTED_VALUE"""),"Washington")</f>
        <v>Washington</v>
      </c>
      <c r="L293" s="22" t="str">
        <f>IFERROR(__xludf.DUMMYFUNCTION("""COMPUTED_VALUE"""),"West")</f>
        <v>West</v>
      </c>
      <c r="M293" s="22" t="str">
        <f>IFERROR(__xludf.DUMMYFUNCTION("""COMPUTED_VALUE"""),"Office Supplies")</f>
        <v>Office Supplies</v>
      </c>
      <c r="N293" s="18">
        <f>IFERROR(__xludf.DUMMYFUNCTION("""COMPUTED_VALUE"""),167.76)</f>
        <v>167.76</v>
      </c>
      <c r="O293" s="18">
        <f>IFERROR(__xludf.DUMMYFUNCTION("""COMPUTED_VALUE"""),167.02)</f>
        <v>167.02</v>
      </c>
      <c r="P293" s="22">
        <f>IFERROR(__xludf.DUMMYFUNCTION("""COMPUTED_VALUE"""),9.0)</f>
        <v>9</v>
      </c>
      <c r="Q293" s="18">
        <f>IFERROR(__xludf.DUMMYFUNCTION("""COMPUTED_VALUE"""),1509.84)</f>
        <v>1509.84</v>
      </c>
      <c r="R293" s="18">
        <f>IFERROR(__xludf.DUMMYFUNCTION("""COMPUTED_VALUE"""),1342.82)</f>
        <v>1342.82</v>
      </c>
    </row>
    <row r="294">
      <c r="A294" s="21">
        <f>IFERROR(__xludf.DUMMYFUNCTION("""COMPUTED_VALUE"""),42577.0)</f>
        <v>42577</v>
      </c>
      <c r="B294" s="21" t="str">
        <f>IFERROR(__xludf.DUMMYFUNCTION("""COMPUTED_VALUE"""),"Jul")</f>
        <v>Jul</v>
      </c>
      <c r="C294" s="9">
        <f>IFERROR(__xludf.DUMMYFUNCTION("""COMPUTED_VALUE"""),42579.0)</f>
        <v>42579</v>
      </c>
      <c r="D294" s="23" t="str">
        <f>IFERROR(__xludf.DUMMYFUNCTION("""COMPUTED_VALUE"""),"Jul")</f>
        <v>Jul</v>
      </c>
      <c r="E294" s="21" t="str">
        <f>IFERROR(__xludf.DUMMYFUNCTION("""COMPUTED_VALUE"""),"2016")</f>
        <v>2016</v>
      </c>
      <c r="F294" s="22" t="str">
        <f>IFERROR(__xludf.DUMMYFUNCTION("""COMPUTED_VALUE"""),"First Class")</f>
        <v>First Class</v>
      </c>
      <c r="G294" s="22" t="str">
        <f>IFERROR(__xludf.DUMMYFUNCTION("""COMPUTED_VALUE"""),"Cynthia")</f>
        <v>Cynthia</v>
      </c>
      <c r="H294" s="22" t="str">
        <f>IFERROR(__xludf.DUMMYFUNCTION("""COMPUTED_VALUE"""),"Arntzen")</f>
        <v>Arntzen</v>
      </c>
      <c r="I294" s="22" t="str">
        <f>IFERROR(__xludf.DUMMYFUNCTION("""COMPUTED_VALUE"""),"Consumer")</f>
        <v>Consumer</v>
      </c>
      <c r="J294" s="22" t="str">
        <f>IFERROR(__xludf.DUMMYFUNCTION("""COMPUTED_VALUE"""),"Mesa")</f>
        <v>Mesa</v>
      </c>
      <c r="K294" s="22" t="str">
        <f>IFERROR(__xludf.DUMMYFUNCTION("""COMPUTED_VALUE"""),"Arizona")</f>
        <v>Arizona</v>
      </c>
      <c r="L294" s="22" t="str">
        <f>IFERROR(__xludf.DUMMYFUNCTION("""COMPUTED_VALUE"""),"West")</f>
        <v>West</v>
      </c>
      <c r="M294" s="22" t="str">
        <f>IFERROR(__xludf.DUMMYFUNCTION("""COMPUTED_VALUE"""),"Furniture")</f>
        <v>Furniture</v>
      </c>
      <c r="N294" s="18">
        <f>IFERROR(__xludf.DUMMYFUNCTION("""COMPUTED_VALUE"""),393.165)</f>
        <v>393.165</v>
      </c>
      <c r="O294" s="18">
        <f>IFERROR(__xludf.DUMMYFUNCTION("""COMPUTED_VALUE"""),392.86)</f>
        <v>392.86</v>
      </c>
      <c r="P294" s="22">
        <f>IFERROR(__xludf.DUMMYFUNCTION("""COMPUTED_VALUE"""),8.0)</f>
        <v>8</v>
      </c>
      <c r="Q294" s="18">
        <f>IFERROR(__xludf.DUMMYFUNCTION("""COMPUTED_VALUE"""),3145.32)</f>
        <v>3145.32</v>
      </c>
      <c r="R294" s="18">
        <f>IFERROR(__xludf.DUMMYFUNCTION("""COMPUTED_VALUE"""),2752.46)</f>
        <v>2752.46</v>
      </c>
    </row>
    <row r="295">
      <c r="A295" s="21">
        <f>IFERROR(__xludf.DUMMYFUNCTION("""COMPUTED_VALUE"""),42635.0)</f>
        <v>42635</v>
      </c>
      <c r="B295" s="21" t="str">
        <f>IFERROR(__xludf.DUMMYFUNCTION("""COMPUTED_VALUE"""),"Sep")</f>
        <v>Sep</v>
      </c>
      <c r="C295" s="9">
        <f>IFERROR(__xludf.DUMMYFUNCTION("""COMPUTED_VALUE"""),42635.0)</f>
        <v>42635</v>
      </c>
      <c r="D295" s="23" t="str">
        <f>IFERROR(__xludf.DUMMYFUNCTION("""COMPUTED_VALUE"""),"Sep")</f>
        <v>Sep</v>
      </c>
      <c r="E295" s="21" t="str">
        <f>IFERROR(__xludf.DUMMYFUNCTION("""COMPUTED_VALUE"""),"2016")</f>
        <v>2016</v>
      </c>
      <c r="F295" s="22" t="str">
        <f>IFERROR(__xludf.DUMMYFUNCTION("""COMPUTED_VALUE"""),"Same Day")</f>
        <v>Same Day</v>
      </c>
      <c r="G295" s="22" t="str">
        <f>IFERROR(__xludf.DUMMYFUNCTION("""COMPUTED_VALUE"""),"Daniel")</f>
        <v>Daniel</v>
      </c>
      <c r="H295" s="22" t="str">
        <f>IFERROR(__xludf.DUMMYFUNCTION("""COMPUTED_VALUE"""),"Lacy")</f>
        <v>Lacy</v>
      </c>
      <c r="I295" s="22" t="str">
        <f>IFERROR(__xludf.DUMMYFUNCTION("""COMPUTED_VALUE"""),"Consumer")</f>
        <v>Consumer</v>
      </c>
      <c r="J295" s="22" t="str">
        <f>IFERROR(__xludf.DUMMYFUNCTION("""COMPUTED_VALUE"""),"Oceanside")</f>
        <v>Oceanside</v>
      </c>
      <c r="K295" s="22" t="str">
        <f>IFERROR(__xludf.DUMMYFUNCTION("""COMPUTED_VALUE"""),"California")</f>
        <v>California</v>
      </c>
      <c r="L295" s="22" t="str">
        <f>IFERROR(__xludf.DUMMYFUNCTION("""COMPUTED_VALUE"""),"West")</f>
        <v>West</v>
      </c>
      <c r="M295" s="22" t="str">
        <f>IFERROR(__xludf.DUMMYFUNCTION("""COMPUTED_VALUE"""),"Furniture")</f>
        <v>Furniture</v>
      </c>
      <c r="N295" s="18">
        <f>IFERROR(__xludf.DUMMYFUNCTION("""COMPUTED_VALUE"""),204.6)</f>
        <v>204.6</v>
      </c>
      <c r="O295" s="18">
        <f>IFERROR(__xludf.DUMMYFUNCTION("""COMPUTED_VALUE"""),204.29)</f>
        <v>204.29</v>
      </c>
      <c r="P295" s="22">
        <f>IFERROR(__xludf.DUMMYFUNCTION("""COMPUTED_VALUE"""),9.0)</f>
        <v>9</v>
      </c>
      <c r="Q295" s="18">
        <f>IFERROR(__xludf.DUMMYFUNCTION("""COMPUTED_VALUE"""),1841.3999999999999)</f>
        <v>1841.4</v>
      </c>
      <c r="R295" s="18">
        <f>IFERROR(__xludf.DUMMYFUNCTION("""COMPUTED_VALUE"""),1637.11)</f>
        <v>1637.11</v>
      </c>
    </row>
    <row r="296">
      <c r="A296" s="21">
        <f>IFERROR(__xludf.DUMMYFUNCTION("""COMPUTED_VALUE"""),43418.0)</f>
        <v>43418</v>
      </c>
      <c r="B296" s="21" t="str">
        <f>IFERROR(__xludf.DUMMYFUNCTION("""COMPUTED_VALUE"""),"Nov")</f>
        <v>Nov</v>
      </c>
      <c r="C296" s="9">
        <f>IFERROR(__xludf.DUMMYFUNCTION("""COMPUTED_VALUE"""),43423.0)</f>
        <v>43423</v>
      </c>
      <c r="D296" s="23" t="str">
        <f>IFERROR(__xludf.DUMMYFUNCTION("""COMPUTED_VALUE"""),"Nov")</f>
        <v>Nov</v>
      </c>
      <c r="E296" s="21" t="str">
        <f>IFERROR(__xludf.DUMMYFUNCTION("""COMPUTED_VALUE"""),"2018")</f>
        <v>2018</v>
      </c>
      <c r="F296" s="22" t="str">
        <f>IFERROR(__xludf.DUMMYFUNCTION("""COMPUTED_VALUE"""),"Standard Class")</f>
        <v>Standard Class</v>
      </c>
      <c r="G296" s="22" t="str">
        <f>IFERROR(__xludf.DUMMYFUNCTION("""COMPUTED_VALUE"""),"Lindsay")</f>
        <v>Lindsay</v>
      </c>
      <c r="H296" s="22" t="str">
        <f>IFERROR(__xludf.DUMMYFUNCTION("""COMPUTED_VALUE"""),"Williams")</f>
        <v>Williams</v>
      </c>
      <c r="I296" s="22" t="str">
        <f>IFERROR(__xludf.DUMMYFUNCTION("""COMPUTED_VALUE"""),"Corporate")</f>
        <v>Corporate</v>
      </c>
      <c r="J296" s="22" t="str">
        <f>IFERROR(__xludf.DUMMYFUNCTION("""COMPUTED_VALUE"""),"San Francisco")</f>
        <v>San Francisco</v>
      </c>
      <c r="K296" s="22" t="str">
        <f>IFERROR(__xludf.DUMMYFUNCTION("""COMPUTED_VALUE"""),"California")</f>
        <v>California</v>
      </c>
      <c r="L296" s="22" t="str">
        <f>IFERROR(__xludf.DUMMYFUNCTION("""COMPUTED_VALUE"""),"West")</f>
        <v>West</v>
      </c>
      <c r="M296" s="22" t="str">
        <f>IFERROR(__xludf.DUMMYFUNCTION("""COMPUTED_VALUE"""),"Furniture")</f>
        <v>Furniture</v>
      </c>
      <c r="N296" s="18">
        <f>IFERROR(__xludf.DUMMYFUNCTION("""COMPUTED_VALUE"""),321.568)</f>
        <v>321.568</v>
      </c>
      <c r="O296" s="18">
        <f>IFERROR(__xludf.DUMMYFUNCTION("""COMPUTED_VALUE"""),321.44)</f>
        <v>321.44</v>
      </c>
      <c r="P296" s="22">
        <f>IFERROR(__xludf.DUMMYFUNCTION("""COMPUTED_VALUE"""),9.0)</f>
        <v>9</v>
      </c>
      <c r="Q296" s="18">
        <f>IFERROR(__xludf.DUMMYFUNCTION("""COMPUTED_VALUE"""),2894.112)</f>
        <v>2894.112</v>
      </c>
      <c r="R296" s="18">
        <f>IFERROR(__xludf.DUMMYFUNCTION("""COMPUTED_VALUE"""),2572.672)</f>
        <v>2572.672</v>
      </c>
    </row>
    <row r="297">
      <c r="A297" s="21">
        <f>IFERROR(__xludf.DUMMYFUNCTION("""COMPUTED_VALUE"""),43282.0)</f>
        <v>43282</v>
      </c>
      <c r="B297" s="21" t="str">
        <f>IFERROR(__xludf.DUMMYFUNCTION("""COMPUTED_VALUE"""),"Jul")</f>
        <v>Jul</v>
      </c>
      <c r="C297" s="9">
        <f>IFERROR(__xludf.DUMMYFUNCTION("""COMPUTED_VALUE"""),43374.0)</f>
        <v>43374</v>
      </c>
      <c r="D297" s="23" t="str">
        <f>IFERROR(__xludf.DUMMYFUNCTION("""COMPUTED_VALUE"""),"Oct")</f>
        <v>Oct</v>
      </c>
      <c r="E297" s="21" t="str">
        <f>IFERROR(__xludf.DUMMYFUNCTION("""COMPUTED_VALUE"""),"2018")</f>
        <v>2018</v>
      </c>
      <c r="F297" s="22" t="str">
        <f>IFERROR(__xludf.DUMMYFUNCTION("""COMPUTED_VALUE"""),"First Class")</f>
        <v>First Class</v>
      </c>
      <c r="G297" s="22" t="str">
        <f>IFERROR(__xludf.DUMMYFUNCTION("""COMPUTED_VALUE"""),"Bart")</f>
        <v>Bart</v>
      </c>
      <c r="H297" s="22" t="str">
        <f>IFERROR(__xludf.DUMMYFUNCTION("""COMPUTED_VALUE"""),"Watters")</f>
        <v>Watters</v>
      </c>
      <c r="I297" s="22" t="str">
        <f>IFERROR(__xludf.DUMMYFUNCTION("""COMPUTED_VALUE"""),"Corporate")</f>
        <v>Corporate</v>
      </c>
      <c r="J297" s="22" t="str">
        <f>IFERROR(__xludf.DUMMYFUNCTION("""COMPUTED_VALUE"""),"Detroit")</f>
        <v>Detroit</v>
      </c>
      <c r="K297" s="22" t="str">
        <f>IFERROR(__xludf.DUMMYFUNCTION("""COMPUTED_VALUE"""),"Michigan")</f>
        <v>Michigan</v>
      </c>
      <c r="L297" s="22" t="str">
        <f>IFERROR(__xludf.DUMMYFUNCTION("""COMPUTED_VALUE"""),"Central")</f>
        <v>Central</v>
      </c>
      <c r="M297" s="22" t="str">
        <f>IFERROR(__xludf.DUMMYFUNCTION("""COMPUTED_VALUE"""),"Technology")</f>
        <v>Technology</v>
      </c>
      <c r="N297" s="18">
        <f>IFERROR(__xludf.DUMMYFUNCTION("""COMPUTED_VALUE"""),3059.982)</f>
        <v>3059.982</v>
      </c>
      <c r="O297" s="18">
        <f>IFERROR(__xludf.DUMMYFUNCTION("""COMPUTED_VALUE"""),3059.46)</f>
        <v>3059.46</v>
      </c>
      <c r="P297" s="22">
        <f>IFERROR(__xludf.DUMMYFUNCTION("""COMPUTED_VALUE"""),4.0)</f>
        <v>4</v>
      </c>
      <c r="Q297" s="18">
        <f>IFERROR(__xludf.DUMMYFUNCTION("""COMPUTED_VALUE"""),12239.928)</f>
        <v>12239.928</v>
      </c>
      <c r="R297" s="18">
        <f>IFERROR(__xludf.DUMMYFUNCTION("""COMPUTED_VALUE"""),9180.468)</f>
        <v>9180.468</v>
      </c>
    </row>
    <row r="298">
      <c r="A298" s="21">
        <f>IFERROR(__xludf.DUMMYFUNCTION("""COMPUTED_VALUE"""),42319.0)</f>
        <v>42319</v>
      </c>
      <c r="B298" s="21" t="str">
        <f>IFERROR(__xludf.DUMMYFUNCTION("""COMPUTED_VALUE"""),"Nov")</f>
        <v>Nov</v>
      </c>
      <c r="C298" s="9">
        <f>IFERROR(__xludf.DUMMYFUNCTION("""COMPUTED_VALUE"""),42322.0)</f>
        <v>42322</v>
      </c>
      <c r="D298" s="23" t="str">
        <f>IFERROR(__xludf.DUMMYFUNCTION("""COMPUTED_VALUE"""),"Nov")</f>
        <v>Nov</v>
      </c>
      <c r="E298" s="21" t="str">
        <f>IFERROR(__xludf.DUMMYFUNCTION("""COMPUTED_VALUE"""),"2015")</f>
        <v>2015</v>
      </c>
      <c r="F298" s="22" t="str">
        <f>IFERROR(__xludf.DUMMYFUNCTION("""COMPUTED_VALUE"""),"Second Class")</f>
        <v>Second Class</v>
      </c>
      <c r="G298" s="22" t="str">
        <f>IFERROR(__xludf.DUMMYFUNCTION("""COMPUTED_VALUE"""),"Tracy")</f>
        <v>Tracy</v>
      </c>
      <c r="H298" s="22" t="str">
        <f>IFERROR(__xludf.DUMMYFUNCTION("""COMPUTED_VALUE"""),"Zic")</f>
        <v>Zic</v>
      </c>
      <c r="I298" s="22" t="str">
        <f>IFERROR(__xludf.DUMMYFUNCTION("""COMPUTED_VALUE"""),"Consumer")</f>
        <v>Consumer</v>
      </c>
      <c r="J298" s="22" t="str">
        <f>IFERROR(__xludf.DUMMYFUNCTION("""COMPUTED_VALUE"""),"Louisville")</f>
        <v>Louisville</v>
      </c>
      <c r="K298" s="22" t="str">
        <f>IFERROR(__xludf.DUMMYFUNCTION("""COMPUTED_VALUE"""),"Colorado")</f>
        <v>Colorado</v>
      </c>
      <c r="L298" s="22" t="str">
        <f>IFERROR(__xludf.DUMMYFUNCTION("""COMPUTED_VALUE"""),"West")</f>
        <v>West</v>
      </c>
      <c r="M298" s="22" t="str">
        <f>IFERROR(__xludf.DUMMYFUNCTION("""COMPUTED_VALUE"""),"Technology")</f>
        <v>Technology</v>
      </c>
      <c r="N298" s="18">
        <f>IFERROR(__xludf.DUMMYFUNCTION("""COMPUTED_VALUE"""),559.984)</f>
        <v>559.984</v>
      </c>
      <c r="O298" s="18">
        <f>IFERROR(__xludf.DUMMYFUNCTION("""COMPUTED_VALUE"""),559.5)</f>
        <v>559.5</v>
      </c>
      <c r="P298" s="22">
        <f>IFERROR(__xludf.DUMMYFUNCTION("""COMPUTED_VALUE"""),8.0)</f>
        <v>8</v>
      </c>
      <c r="Q298" s="18">
        <f>IFERROR(__xludf.DUMMYFUNCTION("""COMPUTED_VALUE"""),4479.872)</f>
        <v>4479.872</v>
      </c>
      <c r="R298" s="18">
        <f>IFERROR(__xludf.DUMMYFUNCTION("""COMPUTED_VALUE"""),3920.3720000000003)</f>
        <v>3920.372</v>
      </c>
    </row>
    <row r="299">
      <c r="A299" s="21">
        <f>IFERROR(__xludf.DUMMYFUNCTION("""COMPUTED_VALUE"""),42319.0)</f>
        <v>42319</v>
      </c>
      <c r="B299" s="21" t="str">
        <f>IFERROR(__xludf.DUMMYFUNCTION("""COMPUTED_VALUE"""),"Nov")</f>
        <v>Nov</v>
      </c>
      <c r="C299" s="9">
        <f>IFERROR(__xludf.DUMMYFUNCTION("""COMPUTED_VALUE"""),42322.0)</f>
        <v>42322</v>
      </c>
      <c r="D299" s="23" t="str">
        <f>IFERROR(__xludf.DUMMYFUNCTION("""COMPUTED_VALUE"""),"Nov")</f>
        <v>Nov</v>
      </c>
      <c r="E299" s="21" t="str">
        <f>IFERROR(__xludf.DUMMYFUNCTION("""COMPUTED_VALUE"""),"2015")</f>
        <v>2015</v>
      </c>
      <c r="F299" s="22" t="str">
        <f>IFERROR(__xludf.DUMMYFUNCTION("""COMPUTED_VALUE"""),"Second Class")</f>
        <v>Second Class</v>
      </c>
      <c r="G299" s="22" t="str">
        <f>IFERROR(__xludf.DUMMYFUNCTION("""COMPUTED_VALUE"""),"Tracy")</f>
        <v>Tracy</v>
      </c>
      <c r="H299" s="22" t="str">
        <f>IFERROR(__xludf.DUMMYFUNCTION("""COMPUTED_VALUE"""),"Zic")</f>
        <v>Zic</v>
      </c>
      <c r="I299" s="22" t="str">
        <f>IFERROR(__xludf.DUMMYFUNCTION("""COMPUTED_VALUE"""),"Consumer")</f>
        <v>Consumer</v>
      </c>
      <c r="J299" s="22" t="str">
        <f>IFERROR(__xludf.DUMMYFUNCTION("""COMPUTED_VALUE"""),"Louisville")</f>
        <v>Louisville</v>
      </c>
      <c r="K299" s="22" t="str">
        <f>IFERROR(__xludf.DUMMYFUNCTION("""COMPUTED_VALUE"""),"Colorado")</f>
        <v>Colorado</v>
      </c>
      <c r="L299" s="22" t="str">
        <f>IFERROR(__xludf.DUMMYFUNCTION("""COMPUTED_VALUE"""),"West")</f>
        <v>West</v>
      </c>
      <c r="M299" s="22" t="str">
        <f>IFERROR(__xludf.DUMMYFUNCTION("""COMPUTED_VALUE"""),"Furniture")</f>
        <v>Furniture</v>
      </c>
      <c r="N299" s="18">
        <f>IFERROR(__xludf.DUMMYFUNCTION("""COMPUTED_VALUE"""),603.92)</f>
        <v>603.92</v>
      </c>
      <c r="O299" s="18">
        <f>IFERROR(__xludf.DUMMYFUNCTION("""COMPUTED_VALUE"""),603.59)</f>
        <v>603.59</v>
      </c>
      <c r="P299" s="22">
        <f>IFERROR(__xludf.DUMMYFUNCTION("""COMPUTED_VALUE"""),8.0)</f>
        <v>8</v>
      </c>
      <c r="Q299" s="18">
        <f>IFERROR(__xludf.DUMMYFUNCTION("""COMPUTED_VALUE"""),4831.36)</f>
        <v>4831.36</v>
      </c>
      <c r="R299" s="18">
        <f>IFERROR(__xludf.DUMMYFUNCTION("""COMPUTED_VALUE"""),4227.7699999999995)</f>
        <v>4227.77</v>
      </c>
    </row>
    <row r="300">
      <c r="A300" s="21">
        <f>IFERROR(__xludf.DUMMYFUNCTION("""COMPUTED_VALUE"""),43372.0)</f>
        <v>43372</v>
      </c>
      <c r="B300" s="21" t="str">
        <f>IFERROR(__xludf.DUMMYFUNCTION("""COMPUTED_VALUE"""),"Sep")</f>
        <v>Sep</v>
      </c>
      <c r="C300" s="9">
        <f>IFERROR(__xludf.DUMMYFUNCTION("""COMPUTED_VALUE"""),43230.0)</f>
        <v>43230</v>
      </c>
      <c r="D300" s="23" t="str">
        <f>IFERROR(__xludf.DUMMYFUNCTION("""COMPUTED_VALUE"""),"May")</f>
        <v>May</v>
      </c>
      <c r="E300" s="21" t="str">
        <f>IFERROR(__xludf.DUMMYFUNCTION("""COMPUTED_VALUE"""),"2018")</f>
        <v>2018</v>
      </c>
      <c r="F300" s="22" t="str">
        <f>IFERROR(__xludf.DUMMYFUNCTION("""COMPUTED_VALUE"""),"Standard Class")</f>
        <v>Standard Class</v>
      </c>
      <c r="G300" s="22" t="str">
        <f>IFERROR(__xludf.DUMMYFUNCTION("""COMPUTED_VALUE"""),"Ann")</f>
        <v>Ann</v>
      </c>
      <c r="H300" s="22" t="str">
        <f>IFERROR(__xludf.DUMMYFUNCTION("""COMPUTED_VALUE"""),"Steele")</f>
        <v>Steele</v>
      </c>
      <c r="I300" s="22" t="str">
        <f>IFERROR(__xludf.DUMMYFUNCTION("""COMPUTED_VALUE"""),"Home Office")</f>
        <v>Home Office</v>
      </c>
      <c r="J300" s="22" t="str">
        <f>IFERROR(__xludf.DUMMYFUNCTION("""COMPUTED_VALUE"""),"Pasadena")</f>
        <v>Pasadena</v>
      </c>
      <c r="K300" s="22" t="str">
        <f>IFERROR(__xludf.DUMMYFUNCTION("""COMPUTED_VALUE"""),"Texas")</f>
        <v>Texas</v>
      </c>
      <c r="L300" s="22" t="str">
        <f>IFERROR(__xludf.DUMMYFUNCTION("""COMPUTED_VALUE"""),"Central")</f>
        <v>Central</v>
      </c>
      <c r="M300" s="22" t="str">
        <f>IFERROR(__xludf.DUMMYFUNCTION("""COMPUTED_VALUE"""),"Technology")</f>
        <v>Technology</v>
      </c>
      <c r="N300" s="18">
        <f>IFERROR(__xludf.DUMMYFUNCTION("""COMPUTED_VALUE"""),336.51)</f>
        <v>336.51</v>
      </c>
      <c r="O300" s="18">
        <f>IFERROR(__xludf.DUMMYFUNCTION("""COMPUTED_VALUE"""),336.1)</f>
        <v>336.1</v>
      </c>
      <c r="P300" s="22">
        <f>IFERROR(__xludf.DUMMYFUNCTION("""COMPUTED_VALUE"""),7.0)</f>
        <v>7</v>
      </c>
      <c r="Q300" s="18">
        <f>IFERROR(__xludf.DUMMYFUNCTION("""COMPUTED_VALUE"""),2355.5699999999997)</f>
        <v>2355.57</v>
      </c>
      <c r="R300" s="18">
        <f>IFERROR(__xludf.DUMMYFUNCTION("""COMPUTED_VALUE"""),2019.4699999999998)</f>
        <v>2019.47</v>
      </c>
    </row>
    <row r="301">
      <c r="A301" s="21">
        <f>IFERROR(__xludf.DUMMYFUNCTION("""COMPUTED_VALUE"""),42458.0)</f>
        <v>42458</v>
      </c>
      <c r="B301" s="21" t="str">
        <f>IFERROR(__xludf.DUMMYFUNCTION("""COMPUTED_VALUE"""),"Mar")</f>
        <v>Mar</v>
      </c>
      <c r="C301" s="9">
        <f>IFERROR(__xludf.DUMMYFUNCTION("""COMPUTED_VALUE"""),42460.0)</f>
        <v>42460</v>
      </c>
      <c r="D301" s="23" t="str">
        <f>IFERROR(__xludf.DUMMYFUNCTION("""COMPUTED_VALUE"""),"Mar")</f>
        <v>Mar</v>
      </c>
      <c r="E301" s="21" t="str">
        <f>IFERROR(__xludf.DUMMYFUNCTION("""COMPUTED_VALUE"""),"2016")</f>
        <v>2016</v>
      </c>
      <c r="F301" s="22" t="str">
        <f>IFERROR(__xludf.DUMMYFUNCTION("""COMPUTED_VALUE"""),"Second Class")</f>
        <v>Second Class</v>
      </c>
      <c r="G301" s="22" t="str">
        <f>IFERROR(__xludf.DUMMYFUNCTION("""COMPUTED_VALUE"""),"Sara")</f>
        <v>Sara</v>
      </c>
      <c r="H301" s="22" t="str">
        <f>IFERROR(__xludf.DUMMYFUNCTION("""COMPUTED_VALUE"""),"Luxemburg")</f>
        <v>Luxemburg</v>
      </c>
      <c r="I301" s="22" t="str">
        <f>IFERROR(__xludf.DUMMYFUNCTION("""COMPUTED_VALUE"""),"Home Office")</f>
        <v>Home Office</v>
      </c>
      <c r="J301" s="22" t="str">
        <f>IFERROR(__xludf.DUMMYFUNCTION("""COMPUTED_VALUE"""),"Jacksonville")</f>
        <v>Jacksonville</v>
      </c>
      <c r="K301" s="22" t="str">
        <f>IFERROR(__xludf.DUMMYFUNCTION("""COMPUTED_VALUE"""),"Florida")</f>
        <v>Florida</v>
      </c>
      <c r="L301" s="22" t="str">
        <f>IFERROR(__xludf.DUMMYFUNCTION("""COMPUTED_VALUE"""),"South")</f>
        <v>South</v>
      </c>
      <c r="M301" s="22" t="str">
        <f>IFERROR(__xludf.DUMMYFUNCTION("""COMPUTED_VALUE"""),"Furniture")</f>
        <v>Furniture</v>
      </c>
      <c r="N301" s="18">
        <f>IFERROR(__xludf.DUMMYFUNCTION("""COMPUTED_VALUE"""),1166.92)</f>
        <v>1166.92</v>
      </c>
      <c r="O301" s="18">
        <f>IFERROR(__xludf.DUMMYFUNCTION("""COMPUTED_VALUE"""),1166.52)</f>
        <v>1166.52</v>
      </c>
      <c r="P301" s="22">
        <f>IFERROR(__xludf.DUMMYFUNCTION("""COMPUTED_VALUE"""),3.0)</f>
        <v>3</v>
      </c>
      <c r="Q301" s="18">
        <f>IFERROR(__xludf.DUMMYFUNCTION("""COMPUTED_VALUE"""),3500.76)</f>
        <v>3500.76</v>
      </c>
      <c r="R301" s="18">
        <f>IFERROR(__xludf.DUMMYFUNCTION("""COMPUTED_VALUE"""),2334.2400000000002)</f>
        <v>2334.24</v>
      </c>
    </row>
    <row r="302">
      <c r="A302" s="21">
        <f>IFERROR(__xludf.DUMMYFUNCTION("""COMPUTED_VALUE"""),42973.0)</f>
        <v>42973</v>
      </c>
      <c r="B302" s="21" t="str">
        <f>IFERROR(__xludf.DUMMYFUNCTION("""COMPUTED_VALUE"""),"Aug")</f>
        <v>Aug</v>
      </c>
      <c r="C302" s="9">
        <f>IFERROR(__xludf.DUMMYFUNCTION("""COMPUTED_VALUE"""),42974.0)</f>
        <v>42974</v>
      </c>
      <c r="D302" s="23" t="str">
        <f>IFERROR(__xludf.DUMMYFUNCTION("""COMPUTED_VALUE"""),"Aug")</f>
        <v>Aug</v>
      </c>
      <c r="E302" s="21" t="str">
        <f>IFERROR(__xludf.DUMMYFUNCTION("""COMPUTED_VALUE"""),"2017")</f>
        <v>2017</v>
      </c>
      <c r="F302" s="22" t="str">
        <f>IFERROR(__xludf.DUMMYFUNCTION("""COMPUTED_VALUE"""),"First Class")</f>
        <v>First Class</v>
      </c>
      <c r="G302" s="22" t="str">
        <f>IFERROR(__xludf.DUMMYFUNCTION("""COMPUTED_VALUE"""),"Roland")</f>
        <v>Roland</v>
      </c>
      <c r="H302" s="22" t="str">
        <f>IFERROR(__xludf.DUMMYFUNCTION("""COMPUTED_VALUE"""),"Fjeld")</f>
        <v>Fjeld</v>
      </c>
      <c r="I302" s="22" t="str">
        <f>IFERROR(__xludf.DUMMYFUNCTION("""COMPUTED_VALUE"""),"Consumer")</f>
        <v>Consumer</v>
      </c>
      <c r="J302" s="22" t="str">
        <f>IFERROR(__xludf.DUMMYFUNCTION("""COMPUTED_VALUE"""),"San Jose")</f>
        <v>San Jose</v>
      </c>
      <c r="K302" s="22" t="str">
        <f>IFERROR(__xludf.DUMMYFUNCTION("""COMPUTED_VALUE"""),"California")</f>
        <v>California</v>
      </c>
      <c r="L302" s="22" t="str">
        <f>IFERROR(__xludf.DUMMYFUNCTION("""COMPUTED_VALUE"""),"West")</f>
        <v>West</v>
      </c>
      <c r="M302" s="22" t="str">
        <f>IFERROR(__xludf.DUMMYFUNCTION("""COMPUTED_VALUE"""),"Office Supplies")</f>
        <v>Office Supplies</v>
      </c>
      <c r="N302" s="18">
        <f>IFERROR(__xludf.DUMMYFUNCTION("""COMPUTED_VALUE"""),154.9)</f>
        <v>154.9</v>
      </c>
      <c r="O302" s="18">
        <f>IFERROR(__xludf.DUMMYFUNCTION("""COMPUTED_VALUE"""),154.33)</f>
        <v>154.33</v>
      </c>
      <c r="P302" s="22">
        <f>IFERROR(__xludf.DUMMYFUNCTION("""COMPUTED_VALUE"""),9.0)</f>
        <v>9</v>
      </c>
      <c r="Q302" s="18">
        <f>IFERROR(__xludf.DUMMYFUNCTION("""COMPUTED_VALUE"""),1394.1000000000001)</f>
        <v>1394.1</v>
      </c>
      <c r="R302" s="18">
        <f>IFERROR(__xludf.DUMMYFUNCTION("""COMPUTED_VALUE"""),1239.7700000000002)</f>
        <v>1239.77</v>
      </c>
    </row>
    <row r="303">
      <c r="A303" s="21">
        <f>IFERROR(__xludf.DUMMYFUNCTION("""COMPUTED_VALUE"""),42145.0)</f>
        <v>42145</v>
      </c>
      <c r="B303" s="21" t="str">
        <f>IFERROR(__xludf.DUMMYFUNCTION("""COMPUTED_VALUE"""),"May")</f>
        <v>May</v>
      </c>
      <c r="C303" s="9">
        <f>IFERROR(__xludf.DUMMYFUNCTION("""COMPUTED_VALUE"""),42149.0)</f>
        <v>42149</v>
      </c>
      <c r="D303" s="23" t="str">
        <f>IFERROR(__xludf.DUMMYFUNCTION("""COMPUTED_VALUE"""),"May")</f>
        <v>May</v>
      </c>
      <c r="E303" s="21" t="str">
        <f>IFERROR(__xludf.DUMMYFUNCTION("""COMPUTED_VALUE"""),"2015")</f>
        <v>2015</v>
      </c>
      <c r="F303" s="22" t="str">
        <f>IFERROR(__xludf.DUMMYFUNCTION("""COMPUTED_VALUE"""),"Standard Class")</f>
        <v>Standard Class</v>
      </c>
      <c r="G303" s="22" t="str">
        <f>IFERROR(__xludf.DUMMYFUNCTION("""COMPUTED_VALUE"""),"Mitch")</f>
        <v>Mitch</v>
      </c>
      <c r="H303" s="22" t="str">
        <f>IFERROR(__xludf.DUMMYFUNCTION("""COMPUTED_VALUE"""),"Willingham")</f>
        <v>Willingham</v>
      </c>
      <c r="I303" s="22" t="str">
        <f>IFERROR(__xludf.DUMMYFUNCTION("""COMPUTED_VALUE"""),"Corporate")</f>
        <v>Corporate</v>
      </c>
      <c r="J303" s="22" t="str">
        <f>IFERROR(__xludf.DUMMYFUNCTION("""COMPUTED_VALUE"""),"Virginia Beach")</f>
        <v>Virginia Beach</v>
      </c>
      <c r="K303" s="22" t="str">
        <f>IFERROR(__xludf.DUMMYFUNCTION("""COMPUTED_VALUE"""),"Virginia")</f>
        <v>Virginia</v>
      </c>
      <c r="L303" s="22" t="str">
        <f>IFERROR(__xludf.DUMMYFUNCTION("""COMPUTED_VALUE"""),"South")</f>
        <v>South</v>
      </c>
      <c r="M303" s="22" t="str">
        <f>IFERROR(__xludf.DUMMYFUNCTION("""COMPUTED_VALUE"""),"Office Supplies")</f>
        <v>Office Supplies</v>
      </c>
      <c r="N303" s="18">
        <f>IFERROR(__xludf.DUMMYFUNCTION("""COMPUTED_VALUE"""),2715.93)</f>
        <v>2715.93</v>
      </c>
      <c r="O303" s="18">
        <f>IFERROR(__xludf.DUMMYFUNCTION("""COMPUTED_VALUE"""),2715.43)</f>
        <v>2715.43</v>
      </c>
      <c r="P303" s="22">
        <f>IFERROR(__xludf.DUMMYFUNCTION("""COMPUTED_VALUE"""),2.0)</f>
        <v>2</v>
      </c>
      <c r="Q303" s="18">
        <f>IFERROR(__xludf.DUMMYFUNCTION("""COMPUTED_VALUE"""),5431.86)</f>
        <v>5431.86</v>
      </c>
      <c r="R303" s="18">
        <f>IFERROR(__xludf.DUMMYFUNCTION("""COMPUTED_VALUE"""),2716.43)</f>
        <v>2716.43</v>
      </c>
    </row>
    <row r="304">
      <c r="A304" s="21">
        <f>IFERROR(__xludf.DUMMYFUNCTION("""COMPUTED_VALUE"""),42145.0)</f>
        <v>42145</v>
      </c>
      <c r="B304" s="21" t="str">
        <f>IFERROR(__xludf.DUMMYFUNCTION("""COMPUTED_VALUE"""),"May")</f>
        <v>May</v>
      </c>
      <c r="C304" s="9">
        <f>IFERROR(__xludf.DUMMYFUNCTION("""COMPUTED_VALUE"""),42149.0)</f>
        <v>42149</v>
      </c>
      <c r="D304" s="23" t="str">
        <f>IFERROR(__xludf.DUMMYFUNCTION("""COMPUTED_VALUE"""),"May")</f>
        <v>May</v>
      </c>
      <c r="E304" s="21" t="str">
        <f>IFERROR(__xludf.DUMMYFUNCTION("""COMPUTED_VALUE"""),"2015")</f>
        <v>2015</v>
      </c>
      <c r="F304" s="22" t="str">
        <f>IFERROR(__xludf.DUMMYFUNCTION("""COMPUTED_VALUE"""),"Standard Class")</f>
        <v>Standard Class</v>
      </c>
      <c r="G304" s="22" t="str">
        <f>IFERROR(__xludf.DUMMYFUNCTION("""COMPUTED_VALUE"""),"Mitch")</f>
        <v>Mitch</v>
      </c>
      <c r="H304" s="22" t="str">
        <f>IFERROR(__xludf.DUMMYFUNCTION("""COMPUTED_VALUE"""),"Willingham")</f>
        <v>Willingham</v>
      </c>
      <c r="I304" s="22" t="str">
        <f>IFERROR(__xludf.DUMMYFUNCTION("""COMPUTED_VALUE"""),"Corporate")</f>
        <v>Corporate</v>
      </c>
      <c r="J304" s="22" t="str">
        <f>IFERROR(__xludf.DUMMYFUNCTION("""COMPUTED_VALUE"""),"Virginia Beach")</f>
        <v>Virginia Beach</v>
      </c>
      <c r="K304" s="22" t="str">
        <f>IFERROR(__xludf.DUMMYFUNCTION("""COMPUTED_VALUE"""),"Virginia")</f>
        <v>Virginia</v>
      </c>
      <c r="L304" s="22" t="str">
        <f>IFERROR(__xludf.DUMMYFUNCTION("""COMPUTED_VALUE"""),"South")</f>
        <v>South</v>
      </c>
      <c r="M304" s="22" t="str">
        <f>IFERROR(__xludf.DUMMYFUNCTION("""COMPUTED_VALUE"""),"Technology")</f>
        <v>Technology</v>
      </c>
      <c r="N304" s="18">
        <f>IFERROR(__xludf.DUMMYFUNCTION("""COMPUTED_VALUE"""),617.97)</f>
        <v>617.97</v>
      </c>
      <c r="O304" s="18">
        <f>IFERROR(__xludf.DUMMYFUNCTION("""COMPUTED_VALUE"""),617.11)</f>
        <v>617.11</v>
      </c>
      <c r="P304" s="22">
        <f>IFERROR(__xludf.DUMMYFUNCTION("""COMPUTED_VALUE"""),2.0)</f>
        <v>2</v>
      </c>
      <c r="Q304" s="18">
        <f>IFERROR(__xludf.DUMMYFUNCTION("""COMPUTED_VALUE"""),1235.94)</f>
        <v>1235.94</v>
      </c>
      <c r="R304" s="18">
        <f>IFERROR(__xludf.DUMMYFUNCTION("""COMPUTED_VALUE"""),618.83)</f>
        <v>618.83</v>
      </c>
    </row>
    <row r="305">
      <c r="A305" s="21">
        <f>IFERROR(__xludf.DUMMYFUNCTION("""COMPUTED_VALUE"""),42609.0)</f>
        <v>42609</v>
      </c>
      <c r="B305" s="21" t="str">
        <f>IFERROR(__xludf.DUMMYFUNCTION("""COMPUTED_VALUE"""),"Aug")</f>
        <v>Aug</v>
      </c>
      <c r="C305" s="9">
        <f>IFERROR(__xludf.DUMMYFUNCTION("""COMPUTED_VALUE"""),42613.0)</f>
        <v>42613</v>
      </c>
      <c r="D305" s="23" t="str">
        <f>IFERROR(__xludf.DUMMYFUNCTION("""COMPUTED_VALUE"""),"Aug")</f>
        <v>Aug</v>
      </c>
      <c r="E305" s="21" t="str">
        <f>IFERROR(__xludf.DUMMYFUNCTION("""COMPUTED_VALUE"""),"2016")</f>
        <v>2016</v>
      </c>
      <c r="F305" s="22" t="str">
        <f>IFERROR(__xludf.DUMMYFUNCTION("""COMPUTED_VALUE"""),"Standard Class")</f>
        <v>Standard Class</v>
      </c>
      <c r="G305" s="22" t="str">
        <f>IFERROR(__xludf.DUMMYFUNCTION("""COMPUTED_VALUE"""),"Ryan")</f>
        <v>Ryan</v>
      </c>
      <c r="H305" s="22" t="str">
        <f>IFERROR(__xludf.DUMMYFUNCTION("""COMPUTED_VALUE"""),"Akin")</f>
        <v>Akin</v>
      </c>
      <c r="I305" s="22" t="str">
        <f>IFERROR(__xludf.DUMMYFUNCTION("""COMPUTED_VALUE"""),"Consumer")</f>
        <v>Consumer</v>
      </c>
      <c r="J305" s="22" t="str">
        <f>IFERROR(__xludf.DUMMYFUNCTION("""COMPUTED_VALUE"""),"Murrieta")</f>
        <v>Murrieta</v>
      </c>
      <c r="K305" s="22" t="str">
        <f>IFERROR(__xludf.DUMMYFUNCTION("""COMPUTED_VALUE"""),"California")</f>
        <v>California</v>
      </c>
      <c r="L305" s="22" t="str">
        <f>IFERROR(__xludf.DUMMYFUNCTION("""COMPUTED_VALUE"""),"West")</f>
        <v>West</v>
      </c>
      <c r="M305" s="22" t="str">
        <f>IFERROR(__xludf.DUMMYFUNCTION("""COMPUTED_VALUE"""),"Office Supplies")</f>
        <v>Office Supplies</v>
      </c>
      <c r="N305" s="18">
        <f>IFERROR(__xludf.DUMMYFUNCTION("""COMPUTED_VALUE"""),484.65)</f>
        <v>484.65</v>
      </c>
      <c r="O305" s="18">
        <f>IFERROR(__xludf.DUMMYFUNCTION("""COMPUTED_VALUE"""),484.04)</f>
        <v>484.04</v>
      </c>
      <c r="P305" s="22">
        <f>IFERROR(__xludf.DUMMYFUNCTION("""COMPUTED_VALUE"""),9.0)</f>
        <v>9</v>
      </c>
      <c r="Q305" s="18">
        <f>IFERROR(__xludf.DUMMYFUNCTION("""COMPUTED_VALUE"""),4361.849999999999)</f>
        <v>4361.85</v>
      </c>
      <c r="R305" s="18">
        <f>IFERROR(__xludf.DUMMYFUNCTION("""COMPUTED_VALUE"""),3877.8099999999995)</f>
        <v>3877.81</v>
      </c>
    </row>
    <row r="306">
      <c r="A306" s="21">
        <f>IFERROR(__xludf.DUMMYFUNCTION("""COMPUTED_VALUE"""),42332.0)</f>
        <v>42332</v>
      </c>
      <c r="B306" s="21" t="str">
        <f>IFERROR(__xludf.DUMMYFUNCTION("""COMPUTED_VALUE"""),"Nov")</f>
        <v>Nov</v>
      </c>
      <c r="C306" s="9">
        <f>IFERROR(__xludf.DUMMYFUNCTION("""COMPUTED_VALUE"""),42334.0)</f>
        <v>42334</v>
      </c>
      <c r="D306" s="23" t="str">
        <f>IFERROR(__xludf.DUMMYFUNCTION("""COMPUTED_VALUE"""),"Nov")</f>
        <v>Nov</v>
      </c>
      <c r="E306" s="21" t="str">
        <f>IFERROR(__xludf.DUMMYFUNCTION("""COMPUTED_VALUE"""),"2015")</f>
        <v>2015</v>
      </c>
      <c r="F306" s="22" t="str">
        <f>IFERROR(__xludf.DUMMYFUNCTION("""COMPUTED_VALUE"""),"First Class")</f>
        <v>First Class</v>
      </c>
      <c r="G306" s="22" t="str">
        <f>IFERROR(__xludf.DUMMYFUNCTION("""COMPUTED_VALUE"""),"Vivek")</f>
        <v>Vivek</v>
      </c>
      <c r="H306" s="22" t="str">
        <f>IFERROR(__xludf.DUMMYFUNCTION("""COMPUTED_VALUE"""),"Gonzalez")</f>
        <v>Gonzalez</v>
      </c>
      <c r="I306" s="22" t="str">
        <f>IFERROR(__xludf.DUMMYFUNCTION("""COMPUTED_VALUE"""),"Consumer")</f>
        <v>Consumer</v>
      </c>
      <c r="J306" s="22" t="str">
        <f>IFERROR(__xludf.DUMMYFUNCTION("""COMPUTED_VALUE"""),"San Diego")</f>
        <v>San Diego</v>
      </c>
      <c r="K306" s="22" t="str">
        <f>IFERROR(__xludf.DUMMYFUNCTION("""COMPUTED_VALUE"""),"California")</f>
        <v>California</v>
      </c>
      <c r="L306" s="22" t="str">
        <f>IFERROR(__xludf.DUMMYFUNCTION("""COMPUTED_VALUE"""),"West")</f>
        <v>West</v>
      </c>
      <c r="M306" s="22" t="str">
        <f>IFERROR(__xludf.DUMMYFUNCTION("""COMPUTED_VALUE"""),"Furniture")</f>
        <v>Furniture</v>
      </c>
      <c r="N306" s="18">
        <f>IFERROR(__xludf.DUMMYFUNCTION("""COMPUTED_VALUE"""),151.72)</f>
        <v>151.72</v>
      </c>
      <c r="O306" s="18">
        <f>IFERROR(__xludf.DUMMYFUNCTION("""COMPUTED_VALUE"""),151.56)</f>
        <v>151.56</v>
      </c>
      <c r="P306" s="22">
        <f>IFERROR(__xludf.DUMMYFUNCTION("""COMPUTED_VALUE"""),9.0)</f>
        <v>9</v>
      </c>
      <c r="Q306" s="18">
        <f>IFERROR(__xludf.DUMMYFUNCTION("""COMPUTED_VALUE"""),1365.48)</f>
        <v>1365.48</v>
      </c>
      <c r="R306" s="18">
        <f>IFERROR(__xludf.DUMMYFUNCTION("""COMPUTED_VALUE"""),1213.92)</f>
        <v>1213.92</v>
      </c>
    </row>
    <row r="307">
      <c r="A307" s="21">
        <f>IFERROR(__xludf.DUMMYFUNCTION("""COMPUTED_VALUE"""),43268.0)</f>
        <v>43268</v>
      </c>
      <c r="B307" s="21" t="str">
        <f>IFERROR(__xludf.DUMMYFUNCTION("""COMPUTED_VALUE"""),"Jun")</f>
        <v>Jun</v>
      </c>
      <c r="C307" s="9">
        <f>IFERROR(__xludf.DUMMYFUNCTION("""COMPUTED_VALUE"""),43272.0)</f>
        <v>43272</v>
      </c>
      <c r="D307" s="23" t="str">
        <f>IFERROR(__xludf.DUMMYFUNCTION("""COMPUTED_VALUE"""),"Jun")</f>
        <v>Jun</v>
      </c>
      <c r="E307" s="21" t="str">
        <f>IFERROR(__xludf.DUMMYFUNCTION("""COMPUTED_VALUE"""),"2018")</f>
        <v>2018</v>
      </c>
      <c r="F307" s="22" t="str">
        <f>IFERROR(__xludf.DUMMYFUNCTION("""COMPUTED_VALUE"""),"Second Class")</f>
        <v>Second Class</v>
      </c>
      <c r="G307" s="22" t="str">
        <f>IFERROR(__xludf.DUMMYFUNCTION("""COMPUTED_VALUE"""),"Philip")</f>
        <v>Philip</v>
      </c>
      <c r="H307" s="22" t="str">
        <f>IFERROR(__xludf.DUMMYFUNCTION("""COMPUTED_VALUE"""),"Fox")</f>
        <v>Fox</v>
      </c>
      <c r="I307" s="22" t="str">
        <f>IFERROR(__xludf.DUMMYFUNCTION("""COMPUTED_VALUE"""),"Consumer")</f>
        <v>Consumer</v>
      </c>
      <c r="J307" s="22" t="str">
        <f>IFERROR(__xludf.DUMMYFUNCTION("""COMPUTED_VALUE"""),"Olympia")</f>
        <v>Olympia</v>
      </c>
      <c r="K307" s="22" t="str">
        <f>IFERROR(__xludf.DUMMYFUNCTION("""COMPUTED_VALUE"""),"Washington")</f>
        <v>Washington</v>
      </c>
      <c r="L307" s="22" t="str">
        <f>IFERROR(__xludf.DUMMYFUNCTION("""COMPUTED_VALUE"""),"West")</f>
        <v>West</v>
      </c>
      <c r="M307" s="22" t="str">
        <f>IFERROR(__xludf.DUMMYFUNCTION("""COMPUTED_VALUE"""),"Furniture")</f>
        <v>Furniture</v>
      </c>
      <c r="N307" s="18">
        <f>IFERROR(__xludf.DUMMYFUNCTION("""COMPUTED_VALUE"""),155.25)</f>
        <v>155.25</v>
      </c>
      <c r="O307" s="18">
        <f>IFERROR(__xludf.DUMMYFUNCTION("""COMPUTED_VALUE"""),155.14)</f>
        <v>155.14</v>
      </c>
      <c r="P307" s="22">
        <f>IFERROR(__xludf.DUMMYFUNCTION("""COMPUTED_VALUE"""),9.0)</f>
        <v>9</v>
      </c>
      <c r="Q307" s="18">
        <f>IFERROR(__xludf.DUMMYFUNCTION("""COMPUTED_VALUE"""),1397.25)</f>
        <v>1397.25</v>
      </c>
      <c r="R307" s="18">
        <f>IFERROR(__xludf.DUMMYFUNCTION("""COMPUTED_VALUE"""),1242.1100000000001)</f>
        <v>1242.11</v>
      </c>
    </row>
    <row r="308">
      <c r="A308" s="21">
        <f>IFERROR(__xludf.DUMMYFUNCTION("""COMPUTED_VALUE"""),42725.0)</f>
        <v>42725</v>
      </c>
      <c r="B308" s="21" t="str">
        <f>IFERROR(__xludf.DUMMYFUNCTION("""COMPUTED_VALUE"""),"Dec")</f>
        <v>Dec</v>
      </c>
      <c r="C308" s="9">
        <f>IFERROR(__xludf.DUMMYFUNCTION("""COMPUTED_VALUE"""),42728.0)</f>
        <v>42728</v>
      </c>
      <c r="D308" s="23" t="str">
        <f>IFERROR(__xludf.DUMMYFUNCTION("""COMPUTED_VALUE"""),"Dec")</f>
        <v>Dec</v>
      </c>
      <c r="E308" s="21" t="str">
        <f>IFERROR(__xludf.DUMMYFUNCTION("""COMPUTED_VALUE"""),"2016")</f>
        <v>2016</v>
      </c>
      <c r="F308" s="22" t="str">
        <f>IFERROR(__xludf.DUMMYFUNCTION("""COMPUTED_VALUE"""),"Second Class")</f>
        <v>Second Class</v>
      </c>
      <c r="G308" s="22" t="str">
        <f>IFERROR(__xludf.DUMMYFUNCTION("""COMPUTED_VALUE"""),"John")</f>
        <v>John</v>
      </c>
      <c r="H308" s="22" t="str">
        <f>IFERROR(__xludf.DUMMYFUNCTION("""COMPUTED_VALUE"""),"Stevenson")</f>
        <v>Stevenson</v>
      </c>
      <c r="I308" s="22" t="str">
        <f>IFERROR(__xludf.DUMMYFUNCTION("""COMPUTED_VALUE"""),"Consumer")</f>
        <v>Consumer</v>
      </c>
      <c r="J308" s="22" t="str">
        <f>IFERROR(__xludf.DUMMYFUNCTION("""COMPUTED_VALUE"""),"Seattle")</f>
        <v>Seattle</v>
      </c>
      <c r="K308" s="22" t="str">
        <f>IFERROR(__xludf.DUMMYFUNCTION("""COMPUTED_VALUE"""),"Washington")</f>
        <v>Washington</v>
      </c>
      <c r="L308" s="22" t="str">
        <f>IFERROR(__xludf.DUMMYFUNCTION("""COMPUTED_VALUE"""),"West")</f>
        <v>West</v>
      </c>
      <c r="M308" s="22" t="str">
        <f>IFERROR(__xludf.DUMMYFUNCTION("""COMPUTED_VALUE"""),"Furniture")</f>
        <v>Furniture</v>
      </c>
      <c r="N308" s="18">
        <f>IFERROR(__xludf.DUMMYFUNCTION("""COMPUTED_VALUE"""),1618.37)</f>
        <v>1618.37</v>
      </c>
      <c r="O308" s="18">
        <f>IFERROR(__xludf.DUMMYFUNCTION("""COMPUTED_VALUE"""),1618.18)</f>
        <v>1618.18</v>
      </c>
      <c r="P308" s="22">
        <f>IFERROR(__xludf.DUMMYFUNCTION("""COMPUTED_VALUE"""),9.0)</f>
        <v>9</v>
      </c>
      <c r="Q308" s="18">
        <f>IFERROR(__xludf.DUMMYFUNCTION("""COMPUTED_VALUE"""),14565.329999999998)</f>
        <v>14565.33</v>
      </c>
      <c r="R308" s="18">
        <f>IFERROR(__xludf.DUMMYFUNCTION("""COMPUTED_VALUE"""),12947.149999999998)</f>
        <v>12947.15</v>
      </c>
    </row>
    <row r="309">
      <c r="A309" s="21">
        <f>IFERROR(__xludf.DUMMYFUNCTION("""COMPUTED_VALUE"""),42725.0)</f>
        <v>42725</v>
      </c>
      <c r="B309" s="21" t="str">
        <f>IFERROR(__xludf.DUMMYFUNCTION("""COMPUTED_VALUE"""),"Dec")</f>
        <v>Dec</v>
      </c>
      <c r="C309" s="9">
        <f>IFERROR(__xludf.DUMMYFUNCTION("""COMPUTED_VALUE"""),42728.0)</f>
        <v>42728</v>
      </c>
      <c r="D309" s="23" t="str">
        <f>IFERROR(__xludf.DUMMYFUNCTION("""COMPUTED_VALUE"""),"Dec")</f>
        <v>Dec</v>
      </c>
      <c r="E309" s="21" t="str">
        <f>IFERROR(__xludf.DUMMYFUNCTION("""COMPUTED_VALUE"""),"2016")</f>
        <v>2016</v>
      </c>
      <c r="F309" s="22" t="str">
        <f>IFERROR(__xludf.DUMMYFUNCTION("""COMPUTED_VALUE"""),"Second Class")</f>
        <v>Second Class</v>
      </c>
      <c r="G309" s="22" t="str">
        <f>IFERROR(__xludf.DUMMYFUNCTION("""COMPUTED_VALUE"""),"John")</f>
        <v>John</v>
      </c>
      <c r="H309" s="22" t="str">
        <f>IFERROR(__xludf.DUMMYFUNCTION("""COMPUTED_VALUE"""),"Stevenson")</f>
        <v>Stevenson</v>
      </c>
      <c r="I309" s="22" t="str">
        <f>IFERROR(__xludf.DUMMYFUNCTION("""COMPUTED_VALUE"""),"Consumer")</f>
        <v>Consumer</v>
      </c>
      <c r="J309" s="22" t="str">
        <f>IFERROR(__xludf.DUMMYFUNCTION("""COMPUTED_VALUE"""),"Seattle")</f>
        <v>Seattle</v>
      </c>
      <c r="K309" s="22" t="str">
        <f>IFERROR(__xludf.DUMMYFUNCTION("""COMPUTED_VALUE"""),"Washington")</f>
        <v>Washington</v>
      </c>
      <c r="L309" s="22" t="str">
        <f>IFERROR(__xludf.DUMMYFUNCTION("""COMPUTED_VALUE"""),"West")</f>
        <v>West</v>
      </c>
      <c r="M309" s="22" t="str">
        <f>IFERROR(__xludf.DUMMYFUNCTION("""COMPUTED_VALUE"""),"Technology")</f>
        <v>Technology</v>
      </c>
      <c r="N309" s="18">
        <f>IFERROR(__xludf.DUMMYFUNCTION("""COMPUTED_VALUE"""),99.6)</f>
        <v>99.6</v>
      </c>
      <c r="O309" s="18">
        <f>IFERROR(__xludf.DUMMYFUNCTION("""COMPUTED_VALUE"""),98.63)</f>
        <v>98.63</v>
      </c>
      <c r="P309" s="22">
        <f>IFERROR(__xludf.DUMMYFUNCTION("""COMPUTED_VALUE"""),9.0)</f>
        <v>9</v>
      </c>
      <c r="Q309" s="18">
        <f>IFERROR(__xludf.DUMMYFUNCTION("""COMPUTED_VALUE"""),896.4)</f>
        <v>896.4</v>
      </c>
      <c r="R309" s="18">
        <f>IFERROR(__xludf.DUMMYFUNCTION("""COMPUTED_VALUE"""),797.77)</f>
        <v>797.77</v>
      </c>
    </row>
    <row r="310">
      <c r="A310" s="21">
        <f>IFERROR(__xludf.DUMMYFUNCTION("""COMPUTED_VALUE"""),42487.0)</f>
        <v>42487</v>
      </c>
      <c r="B310" s="21" t="str">
        <f>IFERROR(__xludf.DUMMYFUNCTION("""COMPUTED_VALUE"""),"Apr")</f>
        <v>Apr</v>
      </c>
      <c r="C310" s="9">
        <f>IFERROR(__xludf.DUMMYFUNCTION("""COMPUTED_VALUE"""),42434.0)</f>
        <v>42434</v>
      </c>
      <c r="D310" s="23" t="str">
        <f>IFERROR(__xludf.DUMMYFUNCTION("""COMPUTED_VALUE"""),"Mar")</f>
        <v>Mar</v>
      </c>
      <c r="E310" s="21" t="str">
        <f>IFERROR(__xludf.DUMMYFUNCTION("""COMPUTED_VALUE"""),"2016")</f>
        <v>2016</v>
      </c>
      <c r="F310" s="22" t="str">
        <f>IFERROR(__xludf.DUMMYFUNCTION("""COMPUTED_VALUE"""),"Standard Class")</f>
        <v>Standard Class</v>
      </c>
      <c r="G310" s="22" t="str">
        <f>IFERROR(__xludf.DUMMYFUNCTION("""COMPUTED_VALUE"""),"Greg")</f>
        <v>Greg</v>
      </c>
      <c r="H310" s="22" t="str">
        <f>IFERROR(__xludf.DUMMYFUNCTION("""COMPUTED_VALUE"""),"Tran")</f>
        <v>Tran</v>
      </c>
      <c r="I310" s="22" t="str">
        <f>IFERROR(__xludf.DUMMYFUNCTION("""COMPUTED_VALUE"""),"Consumer")</f>
        <v>Consumer</v>
      </c>
      <c r="J310" s="22" t="str">
        <f>IFERROR(__xludf.DUMMYFUNCTION("""COMPUTED_VALUE"""),"Washington")</f>
        <v>Washington</v>
      </c>
      <c r="K310" s="22" t="str">
        <f>IFERROR(__xludf.DUMMYFUNCTION("""COMPUTED_VALUE"""),"District Of Columbia")</f>
        <v>District Of Columbia</v>
      </c>
      <c r="L310" s="22" t="str">
        <f>IFERROR(__xludf.DUMMYFUNCTION("""COMPUTED_VALUE"""),"East")</f>
        <v>East</v>
      </c>
      <c r="M310" s="22" t="str">
        <f>IFERROR(__xludf.DUMMYFUNCTION("""COMPUTED_VALUE"""),"Furniture")</f>
        <v>Furniture</v>
      </c>
      <c r="N310" s="18">
        <f>IFERROR(__xludf.DUMMYFUNCTION("""COMPUTED_VALUE"""),1267.53)</f>
        <v>1267.53</v>
      </c>
      <c r="O310" s="18">
        <f>IFERROR(__xludf.DUMMYFUNCTION("""COMPUTED_VALUE"""),1267.26)</f>
        <v>1267.26</v>
      </c>
      <c r="P310" s="22">
        <f>IFERROR(__xludf.DUMMYFUNCTION("""COMPUTED_VALUE"""),2.0)</f>
        <v>2</v>
      </c>
      <c r="Q310" s="18">
        <f>IFERROR(__xludf.DUMMYFUNCTION("""COMPUTED_VALUE"""),2535.06)</f>
        <v>2535.06</v>
      </c>
      <c r="R310" s="18">
        <f>IFERROR(__xludf.DUMMYFUNCTION("""COMPUTED_VALUE"""),1267.8)</f>
        <v>1267.8</v>
      </c>
    </row>
    <row r="311">
      <c r="A311" s="21">
        <f>IFERROR(__xludf.DUMMYFUNCTION("""COMPUTED_VALUE"""),42487.0)</f>
        <v>42487</v>
      </c>
      <c r="B311" s="21" t="str">
        <f>IFERROR(__xludf.DUMMYFUNCTION("""COMPUTED_VALUE"""),"Apr")</f>
        <v>Apr</v>
      </c>
      <c r="C311" s="9">
        <f>IFERROR(__xludf.DUMMYFUNCTION("""COMPUTED_VALUE"""),42434.0)</f>
        <v>42434</v>
      </c>
      <c r="D311" s="23" t="str">
        <f>IFERROR(__xludf.DUMMYFUNCTION("""COMPUTED_VALUE"""),"Mar")</f>
        <v>Mar</v>
      </c>
      <c r="E311" s="21" t="str">
        <f>IFERROR(__xludf.DUMMYFUNCTION("""COMPUTED_VALUE"""),"2016")</f>
        <v>2016</v>
      </c>
      <c r="F311" s="22" t="str">
        <f>IFERROR(__xludf.DUMMYFUNCTION("""COMPUTED_VALUE"""),"Standard Class")</f>
        <v>Standard Class</v>
      </c>
      <c r="G311" s="22" t="str">
        <f>IFERROR(__xludf.DUMMYFUNCTION("""COMPUTED_VALUE"""),"Greg")</f>
        <v>Greg</v>
      </c>
      <c r="H311" s="22" t="str">
        <f>IFERROR(__xludf.DUMMYFUNCTION("""COMPUTED_VALUE"""),"Tran")</f>
        <v>Tran</v>
      </c>
      <c r="I311" s="22" t="str">
        <f>IFERROR(__xludf.DUMMYFUNCTION("""COMPUTED_VALUE"""),"Consumer")</f>
        <v>Consumer</v>
      </c>
      <c r="J311" s="22" t="str">
        <f>IFERROR(__xludf.DUMMYFUNCTION("""COMPUTED_VALUE"""),"Washington")</f>
        <v>Washington</v>
      </c>
      <c r="K311" s="22" t="str">
        <f>IFERROR(__xludf.DUMMYFUNCTION("""COMPUTED_VALUE"""),"District Of Columbia")</f>
        <v>District Of Columbia</v>
      </c>
      <c r="L311" s="22" t="str">
        <f>IFERROR(__xludf.DUMMYFUNCTION("""COMPUTED_VALUE"""),"East")</f>
        <v>East</v>
      </c>
      <c r="M311" s="22" t="str">
        <f>IFERROR(__xludf.DUMMYFUNCTION("""COMPUTED_VALUE"""),"Technology")</f>
        <v>Technology</v>
      </c>
      <c r="N311" s="18">
        <f>IFERROR(__xludf.DUMMYFUNCTION("""COMPUTED_VALUE"""),1379.92)</f>
        <v>1379.92</v>
      </c>
      <c r="O311" s="18">
        <f>IFERROR(__xludf.DUMMYFUNCTION("""COMPUTED_VALUE"""),1379.42)</f>
        <v>1379.42</v>
      </c>
      <c r="P311" s="22">
        <f>IFERROR(__xludf.DUMMYFUNCTION("""COMPUTED_VALUE"""),2.0)</f>
        <v>2</v>
      </c>
      <c r="Q311" s="18">
        <f>IFERROR(__xludf.DUMMYFUNCTION("""COMPUTED_VALUE"""),2759.84)</f>
        <v>2759.84</v>
      </c>
      <c r="R311" s="18">
        <f>IFERROR(__xludf.DUMMYFUNCTION("""COMPUTED_VALUE"""),1380.42)</f>
        <v>1380.42</v>
      </c>
    </row>
    <row r="312">
      <c r="A312" s="21">
        <f>IFERROR(__xludf.DUMMYFUNCTION("""COMPUTED_VALUE"""),42315.0)</f>
        <v>42315</v>
      </c>
      <c r="B312" s="21" t="str">
        <f>IFERROR(__xludf.DUMMYFUNCTION("""COMPUTED_VALUE"""),"Nov")</f>
        <v>Nov</v>
      </c>
      <c r="C312" s="9">
        <f>IFERROR(__xludf.DUMMYFUNCTION("""COMPUTED_VALUE"""),42200.0)</f>
        <v>42200</v>
      </c>
      <c r="D312" s="23" t="str">
        <f>IFERROR(__xludf.DUMMYFUNCTION("""COMPUTED_VALUE"""),"Jul")</f>
        <v>Jul</v>
      </c>
      <c r="E312" s="21" t="str">
        <f>IFERROR(__xludf.DUMMYFUNCTION("""COMPUTED_VALUE"""),"2015")</f>
        <v>2015</v>
      </c>
      <c r="F312" s="22" t="str">
        <f>IFERROR(__xludf.DUMMYFUNCTION("""COMPUTED_VALUE"""),"Standard Class")</f>
        <v>Standard Class</v>
      </c>
      <c r="G312" s="22" t="str">
        <f>IFERROR(__xludf.DUMMYFUNCTION("""COMPUTED_VALUE"""),"Laura")</f>
        <v>Laura</v>
      </c>
      <c r="H312" s="22" t="str">
        <f>IFERROR(__xludf.DUMMYFUNCTION("""COMPUTED_VALUE"""),"Armstrong")</f>
        <v>Armstrong</v>
      </c>
      <c r="I312" s="22" t="str">
        <f>IFERROR(__xludf.DUMMYFUNCTION("""COMPUTED_VALUE"""),"Corporate")</f>
        <v>Corporate</v>
      </c>
      <c r="J312" s="22" t="str">
        <f>IFERROR(__xludf.DUMMYFUNCTION("""COMPUTED_VALUE"""),"Hackensack")</f>
        <v>Hackensack</v>
      </c>
      <c r="K312" s="22" t="str">
        <f>IFERROR(__xludf.DUMMYFUNCTION("""COMPUTED_VALUE"""),"New Jersey")</f>
        <v>New Jersey</v>
      </c>
      <c r="L312" s="22" t="str">
        <f>IFERROR(__xludf.DUMMYFUNCTION("""COMPUTED_VALUE"""),"East")</f>
        <v>East</v>
      </c>
      <c r="M312" s="22" t="str">
        <f>IFERROR(__xludf.DUMMYFUNCTION("""COMPUTED_VALUE"""),"Office Supplies")</f>
        <v>Office Supplies</v>
      </c>
      <c r="N312" s="18">
        <f>IFERROR(__xludf.DUMMYFUNCTION("""COMPUTED_VALUE"""),177.2)</f>
        <v>177.2</v>
      </c>
      <c r="O312" s="18">
        <f>IFERROR(__xludf.DUMMYFUNCTION("""COMPUTED_VALUE"""),176.99)</f>
        <v>176.99</v>
      </c>
      <c r="P312" s="22">
        <f>IFERROR(__xludf.DUMMYFUNCTION("""COMPUTED_VALUE"""),7.0)</f>
        <v>7</v>
      </c>
      <c r="Q312" s="18">
        <f>IFERROR(__xludf.DUMMYFUNCTION("""COMPUTED_VALUE"""),1240.3999999999999)</f>
        <v>1240.4</v>
      </c>
      <c r="R312" s="18">
        <f>IFERROR(__xludf.DUMMYFUNCTION("""COMPUTED_VALUE"""),1063.4099999999999)</f>
        <v>1063.41</v>
      </c>
    </row>
    <row r="313">
      <c r="A313" s="21">
        <f>IFERROR(__xludf.DUMMYFUNCTION("""COMPUTED_VALUE"""),42315.0)</f>
        <v>42315</v>
      </c>
      <c r="B313" s="21" t="str">
        <f>IFERROR(__xludf.DUMMYFUNCTION("""COMPUTED_VALUE"""),"Nov")</f>
        <v>Nov</v>
      </c>
      <c r="C313" s="9">
        <f>IFERROR(__xludf.DUMMYFUNCTION("""COMPUTED_VALUE"""),42200.0)</f>
        <v>42200</v>
      </c>
      <c r="D313" s="23" t="str">
        <f>IFERROR(__xludf.DUMMYFUNCTION("""COMPUTED_VALUE"""),"Jul")</f>
        <v>Jul</v>
      </c>
      <c r="E313" s="21" t="str">
        <f>IFERROR(__xludf.DUMMYFUNCTION("""COMPUTED_VALUE"""),"2015")</f>
        <v>2015</v>
      </c>
      <c r="F313" s="22" t="str">
        <f>IFERROR(__xludf.DUMMYFUNCTION("""COMPUTED_VALUE"""),"Standard Class")</f>
        <v>Standard Class</v>
      </c>
      <c r="G313" s="22" t="str">
        <f>IFERROR(__xludf.DUMMYFUNCTION("""COMPUTED_VALUE"""),"Laura")</f>
        <v>Laura</v>
      </c>
      <c r="H313" s="22" t="str">
        <f>IFERROR(__xludf.DUMMYFUNCTION("""COMPUTED_VALUE"""),"Armstrong")</f>
        <v>Armstrong</v>
      </c>
      <c r="I313" s="22" t="str">
        <f>IFERROR(__xludf.DUMMYFUNCTION("""COMPUTED_VALUE"""),"Corporate")</f>
        <v>Corporate</v>
      </c>
      <c r="J313" s="22" t="str">
        <f>IFERROR(__xludf.DUMMYFUNCTION("""COMPUTED_VALUE"""),"Hackensack")</f>
        <v>Hackensack</v>
      </c>
      <c r="K313" s="22" t="str">
        <f>IFERROR(__xludf.DUMMYFUNCTION("""COMPUTED_VALUE"""),"New Jersey")</f>
        <v>New Jersey</v>
      </c>
      <c r="L313" s="22" t="str">
        <f>IFERROR(__xludf.DUMMYFUNCTION("""COMPUTED_VALUE"""),"East")</f>
        <v>East</v>
      </c>
      <c r="M313" s="22" t="str">
        <f>IFERROR(__xludf.DUMMYFUNCTION("""COMPUTED_VALUE"""),"Technology")</f>
        <v>Technology</v>
      </c>
      <c r="N313" s="18">
        <f>IFERROR(__xludf.DUMMYFUNCTION("""COMPUTED_VALUE"""),197.97)</f>
        <v>197.97</v>
      </c>
      <c r="O313" s="18">
        <f>IFERROR(__xludf.DUMMYFUNCTION("""COMPUTED_VALUE"""),197.65)</f>
        <v>197.65</v>
      </c>
      <c r="P313" s="22">
        <f>IFERROR(__xludf.DUMMYFUNCTION("""COMPUTED_VALUE"""),7.0)</f>
        <v>7</v>
      </c>
      <c r="Q313" s="18">
        <f>IFERROR(__xludf.DUMMYFUNCTION("""COMPUTED_VALUE"""),1385.79)</f>
        <v>1385.79</v>
      </c>
      <c r="R313" s="18">
        <f>IFERROR(__xludf.DUMMYFUNCTION("""COMPUTED_VALUE"""),1188.1399999999999)</f>
        <v>1188.14</v>
      </c>
    </row>
    <row r="314">
      <c r="A314" s="21">
        <f>IFERROR(__xludf.DUMMYFUNCTION("""COMPUTED_VALUE"""),42315.0)</f>
        <v>42315</v>
      </c>
      <c r="B314" s="21" t="str">
        <f>IFERROR(__xludf.DUMMYFUNCTION("""COMPUTED_VALUE"""),"Nov")</f>
        <v>Nov</v>
      </c>
      <c r="C314" s="9">
        <f>IFERROR(__xludf.DUMMYFUNCTION("""COMPUTED_VALUE"""),42200.0)</f>
        <v>42200</v>
      </c>
      <c r="D314" s="23" t="str">
        <f>IFERROR(__xludf.DUMMYFUNCTION("""COMPUTED_VALUE"""),"Jul")</f>
        <v>Jul</v>
      </c>
      <c r="E314" s="21" t="str">
        <f>IFERROR(__xludf.DUMMYFUNCTION("""COMPUTED_VALUE"""),"2015")</f>
        <v>2015</v>
      </c>
      <c r="F314" s="22" t="str">
        <f>IFERROR(__xludf.DUMMYFUNCTION("""COMPUTED_VALUE"""),"Standard Class")</f>
        <v>Standard Class</v>
      </c>
      <c r="G314" s="22" t="str">
        <f>IFERROR(__xludf.DUMMYFUNCTION("""COMPUTED_VALUE"""),"Laura")</f>
        <v>Laura</v>
      </c>
      <c r="H314" s="22" t="str">
        <f>IFERROR(__xludf.DUMMYFUNCTION("""COMPUTED_VALUE"""),"Armstrong")</f>
        <v>Armstrong</v>
      </c>
      <c r="I314" s="22" t="str">
        <f>IFERROR(__xludf.DUMMYFUNCTION("""COMPUTED_VALUE"""),"Corporate")</f>
        <v>Corporate</v>
      </c>
      <c r="J314" s="22" t="str">
        <f>IFERROR(__xludf.DUMMYFUNCTION("""COMPUTED_VALUE"""),"Hackensack")</f>
        <v>Hackensack</v>
      </c>
      <c r="K314" s="22" t="str">
        <f>IFERROR(__xludf.DUMMYFUNCTION("""COMPUTED_VALUE"""),"New Jersey")</f>
        <v>New Jersey</v>
      </c>
      <c r="L314" s="22" t="str">
        <f>IFERROR(__xludf.DUMMYFUNCTION("""COMPUTED_VALUE"""),"East")</f>
        <v>East</v>
      </c>
      <c r="M314" s="22" t="str">
        <f>IFERROR(__xludf.DUMMYFUNCTION("""COMPUTED_VALUE"""),"Furniture")</f>
        <v>Furniture</v>
      </c>
      <c r="N314" s="18">
        <f>IFERROR(__xludf.DUMMYFUNCTION("""COMPUTED_VALUE"""),854.94)</f>
        <v>854.94</v>
      </c>
      <c r="O314" s="18">
        <f>IFERROR(__xludf.DUMMYFUNCTION("""COMPUTED_VALUE"""),854.7)</f>
        <v>854.7</v>
      </c>
      <c r="P314" s="22">
        <f>IFERROR(__xludf.DUMMYFUNCTION("""COMPUTED_VALUE"""),7.0)</f>
        <v>7</v>
      </c>
      <c r="Q314" s="18">
        <f>IFERROR(__xludf.DUMMYFUNCTION("""COMPUTED_VALUE"""),5984.58)</f>
        <v>5984.58</v>
      </c>
      <c r="R314" s="18">
        <f>IFERROR(__xludf.DUMMYFUNCTION("""COMPUTED_VALUE"""),5129.88)</f>
        <v>5129.88</v>
      </c>
    </row>
    <row r="315">
      <c r="A315" s="21">
        <f>IFERROR(__xludf.DUMMYFUNCTION("""COMPUTED_VALUE"""),42315.0)</f>
        <v>42315</v>
      </c>
      <c r="B315" s="21" t="str">
        <f>IFERROR(__xludf.DUMMYFUNCTION("""COMPUTED_VALUE"""),"Nov")</f>
        <v>Nov</v>
      </c>
      <c r="C315" s="9">
        <f>IFERROR(__xludf.DUMMYFUNCTION("""COMPUTED_VALUE"""),42200.0)</f>
        <v>42200</v>
      </c>
      <c r="D315" s="23" t="str">
        <f>IFERROR(__xludf.DUMMYFUNCTION("""COMPUTED_VALUE"""),"Jul")</f>
        <v>Jul</v>
      </c>
      <c r="E315" s="21" t="str">
        <f>IFERROR(__xludf.DUMMYFUNCTION("""COMPUTED_VALUE"""),"2015")</f>
        <v>2015</v>
      </c>
      <c r="F315" s="22" t="str">
        <f>IFERROR(__xludf.DUMMYFUNCTION("""COMPUTED_VALUE"""),"Standard Class")</f>
        <v>Standard Class</v>
      </c>
      <c r="G315" s="22" t="str">
        <f>IFERROR(__xludf.DUMMYFUNCTION("""COMPUTED_VALUE"""),"Laura")</f>
        <v>Laura</v>
      </c>
      <c r="H315" s="22" t="str">
        <f>IFERROR(__xludf.DUMMYFUNCTION("""COMPUTED_VALUE"""),"Armstrong")</f>
        <v>Armstrong</v>
      </c>
      <c r="I315" s="22" t="str">
        <f>IFERROR(__xludf.DUMMYFUNCTION("""COMPUTED_VALUE"""),"Corporate")</f>
        <v>Corporate</v>
      </c>
      <c r="J315" s="22" t="str">
        <f>IFERROR(__xludf.DUMMYFUNCTION("""COMPUTED_VALUE"""),"Hackensack")</f>
        <v>Hackensack</v>
      </c>
      <c r="K315" s="22" t="str">
        <f>IFERROR(__xludf.DUMMYFUNCTION("""COMPUTED_VALUE"""),"New Jersey")</f>
        <v>New Jersey</v>
      </c>
      <c r="L315" s="22" t="str">
        <f>IFERROR(__xludf.DUMMYFUNCTION("""COMPUTED_VALUE"""),"East")</f>
        <v>East</v>
      </c>
      <c r="M315" s="22" t="str">
        <f>IFERROR(__xludf.DUMMYFUNCTION("""COMPUTED_VALUE"""),"Furniture")</f>
        <v>Furniture</v>
      </c>
      <c r="N315" s="18">
        <f>IFERROR(__xludf.DUMMYFUNCTION("""COMPUTED_VALUE"""),124.11)</f>
        <v>124.11</v>
      </c>
      <c r="O315" s="18">
        <f>IFERROR(__xludf.DUMMYFUNCTION("""COMPUTED_VALUE"""),123.48)</f>
        <v>123.48</v>
      </c>
      <c r="P315" s="22">
        <f>IFERROR(__xludf.DUMMYFUNCTION("""COMPUTED_VALUE"""),7.0)</f>
        <v>7</v>
      </c>
      <c r="Q315" s="18">
        <f>IFERROR(__xludf.DUMMYFUNCTION("""COMPUTED_VALUE"""),868.77)</f>
        <v>868.77</v>
      </c>
      <c r="R315" s="18">
        <f>IFERROR(__xludf.DUMMYFUNCTION("""COMPUTED_VALUE"""),745.29)</f>
        <v>745.29</v>
      </c>
    </row>
    <row r="316">
      <c r="A316" s="21">
        <f>IFERROR(__xludf.DUMMYFUNCTION("""COMPUTED_VALUE"""),42814.0)</f>
        <v>42814</v>
      </c>
      <c r="B316" s="21" t="str">
        <f>IFERROR(__xludf.DUMMYFUNCTION("""COMPUTED_VALUE"""),"Mar")</f>
        <v>Mar</v>
      </c>
      <c r="C316" s="9">
        <f>IFERROR(__xludf.DUMMYFUNCTION("""COMPUTED_VALUE"""),42818.0)</f>
        <v>42818</v>
      </c>
      <c r="D316" s="23" t="str">
        <f>IFERROR(__xludf.DUMMYFUNCTION("""COMPUTED_VALUE"""),"Mar")</f>
        <v>Mar</v>
      </c>
      <c r="E316" s="21" t="str">
        <f>IFERROR(__xludf.DUMMYFUNCTION("""COMPUTED_VALUE"""),"2017")</f>
        <v>2017</v>
      </c>
      <c r="F316" s="22" t="str">
        <f>IFERROR(__xludf.DUMMYFUNCTION("""COMPUTED_VALUE"""),"Standard Class")</f>
        <v>Standard Class</v>
      </c>
      <c r="G316" s="22" t="str">
        <f>IFERROR(__xludf.DUMMYFUNCTION("""COMPUTED_VALUE"""),"Robert")</f>
        <v>Robert</v>
      </c>
      <c r="H316" s="22" t="str">
        <f>IFERROR(__xludf.DUMMYFUNCTION("""COMPUTED_VALUE"""),"Dilbeck")</f>
        <v>Dilbeck</v>
      </c>
      <c r="I316" s="22" t="str">
        <f>IFERROR(__xludf.DUMMYFUNCTION("""COMPUTED_VALUE"""),"Home Office")</f>
        <v>Home Office</v>
      </c>
      <c r="J316" s="22" t="str">
        <f>IFERROR(__xludf.DUMMYFUNCTION("""COMPUTED_VALUE"""),"Saint Peters")</f>
        <v>Saint Peters</v>
      </c>
      <c r="K316" s="22" t="str">
        <f>IFERROR(__xludf.DUMMYFUNCTION("""COMPUTED_VALUE"""),"Missouri")</f>
        <v>Missouri</v>
      </c>
      <c r="L316" s="22" t="str">
        <f>IFERROR(__xludf.DUMMYFUNCTION("""COMPUTED_VALUE"""),"Central")</f>
        <v>Central</v>
      </c>
      <c r="M316" s="22" t="str">
        <f>IFERROR(__xludf.DUMMYFUNCTION("""COMPUTED_VALUE"""),"Furniture")</f>
        <v>Furniture</v>
      </c>
      <c r="N316" s="18">
        <f>IFERROR(__xludf.DUMMYFUNCTION("""COMPUTED_VALUE"""),697.16)</f>
        <v>697.16</v>
      </c>
      <c r="O316" s="18">
        <f>IFERROR(__xludf.DUMMYFUNCTION("""COMPUTED_VALUE"""),697.14)</f>
        <v>697.14</v>
      </c>
      <c r="P316" s="22">
        <f>IFERROR(__xludf.DUMMYFUNCTION("""COMPUTED_VALUE"""),6.0)</f>
        <v>6</v>
      </c>
      <c r="Q316" s="18">
        <f>IFERROR(__xludf.DUMMYFUNCTION("""COMPUTED_VALUE"""),4182.96)</f>
        <v>4182.96</v>
      </c>
      <c r="R316" s="18">
        <f>IFERROR(__xludf.DUMMYFUNCTION("""COMPUTED_VALUE"""),3485.82)</f>
        <v>3485.82</v>
      </c>
    </row>
    <row r="317">
      <c r="A317" s="21">
        <f>IFERROR(__xludf.DUMMYFUNCTION("""COMPUTED_VALUE"""),43444.0)</f>
        <v>43444</v>
      </c>
      <c r="B317" s="21" t="str">
        <f>IFERROR(__xludf.DUMMYFUNCTION("""COMPUTED_VALUE"""),"Dec")</f>
        <v>Dec</v>
      </c>
      <c r="C317" s="9">
        <f>IFERROR(__xludf.DUMMYFUNCTION("""COMPUTED_VALUE"""),43389.0)</f>
        <v>43389</v>
      </c>
      <c r="D317" s="23" t="str">
        <f>IFERROR(__xludf.DUMMYFUNCTION("""COMPUTED_VALUE"""),"Oct")</f>
        <v>Oct</v>
      </c>
      <c r="E317" s="21" t="str">
        <f>IFERROR(__xludf.DUMMYFUNCTION("""COMPUTED_VALUE"""),"2018")</f>
        <v>2018</v>
      </c>
      <c r="F317" s="22" t="str">
        <f>IFERROR(__xludf.DUMMYFUNCTION("""COMPUTED_VALUE"""),"Standard Class")</f>
        <v>Standard Class</v>
      </c>
      <c r="G317" s="22" t="str">
        <f>IFERROR(__xludf.DUMMYFUNCTION("""COMPUTED_VALUE"""),"Steve")</f>
        <v>Steve</v>
      </c>
      <c r="H317" s="22" t="str">
        <f>IFERROR(__xludf.DUMMYFUNCTION("""COMPUTED_VALUE"""),"Nguyen")</f>
        <v>Nguyen</v>
      </c>
      <c r="I317" s="22" t="str">
        <f>IFERROR(__xludf.DUMMYFUNCTION("""COMPUTED_VALUE"""),"Home Office")</f>
        <v>Home Office</v>
      </c>
      <c r="J317" s="22" t="str">
        <f>IFERROR(__xludf.DUMMYFUNCTION("""COMPUTED_VALUE"""),"Rockford")</f>
        <v>Rockford</v>
      </c>
      <c r="K317" s="22" t="str">
        <f>IFERROR(__xludf.DUMMYFUNCTION("""COMPUTED_VALUE"""),"Illinois")</f>
        <v>Illinois</v>
      </c>
      <c r="L317" s="22" t="str">
        <f>IFERROR(__xludf.DUMMYFUNCTION("""COMPUTED_VALUE"""),"Central")</f>
        <v>Central</v>
      </c>
      <c r="M317" s="22" t="str">
        <f>IFERROR(__xludf.DUMMYFUNCTION("""COMPUTED_VALUE"""),"Furniture")</f>
        <v>Furniture</v>
      </c>
      <c r="N317" s="18">
        <f>IFERROR(__xludf.DUMMYFUNCTION("""COMPUTED_VALUE"""),254.604)</f>
        <v>254.604</v>
      </c>
      <c r="O317" s="18">
        <f>IFERROR(__xludf.DUMMYFUNCTION("""COMPUTED_VALUE"""),254.22)</f>
        <v>254.22</v>
      </c>
      <c r="P317" s="22">
        <f>IFERROR(__xludf.DUMMYFUNCTION("""COMPUTED_VALUE"""),6.0)</f>
        <v>6</v>
      </c>
      <c r="Q317" s="18">
        <f>IFERROR(__xludf.DUMMYFUNCTION("""COMPUTED_VALUE"""),1527.624)</f>
        <v>1527.624</v>
      </c>
      <c r="R317" s="18">
        <f>IFERROR(__xludf.DUMMYFUNCTION("""COMPUTED_VALUE"""),1273.404)</f>
        <v>1273.404</v>
      </c>
    </row>
    <row r="318">
      <c r="A318" s="21">
        <f>IFERROR(__xludf.DUMMYFUNCTION("""COMPUTED_VALUE"""),42950.0)</f>
        <v>42950</v>
      </c>
      <c r="B318" s="21" t="str">
        <f>IFERROR(__xludf.DUMMYFUNCTION("""COMPUTED_VALUE"""),"Aug")</f>
        <v>Aug</v>
      </c>
      <c r="C318" s="9">
        <f>IFERROR(__xludf.DUMMYFUNCTION("""COMPUTED_VALUE"""),42807.0)</f>
        <v>42807</v>
      </c>
      <c r="D318" s="23" t="str">
        <f>IFERROR(__xludf.DUMMYFUNCTION("""COMPUTED_VALUE"""),"Mar")</f>
        <v>Mar</v>
      </c>
      <c r="E318" s="21" t="str">
        <f>IFERROR(__xludf.DUMMYFUNCTION("""COMPUTED_VALUE"""),"2017")</f>
        <v>2017</v>
      </c>
      <c r="F318" s="22" t="str">
        <f>IFERROR(__xludf.DUMMYFUNCTION("""COMPUTED_VALUE"""),"Standard Class")</f>
        <v>Standard Class</v>
      </c>
      <c r="G318" s="22" t="str">
        <f>IFERROR(__xludf.DUMMYFUNCTION("""COMPUTED_VALUE"""),"Zuschuss")</f>
        <v>Zuschuss</v>
      </c>
      <c r="H318" s="22" t="str">
        <f>IFERROR(__xludf.DUMMYFUNCTION("""COMPUTED_VALUE"""),"Carroll")</f>
        <v>Carroll</v>
      </c>
      <c r="I318" s="22" t="str">
        <f>IFERROR(__xludf.DUMMYFUNCTION("""COMPUTED_VALUE"""),"Consumer")</f>
        <v>Consumer</v>
      </c>
      <c r="J318" s="22" t="str">
        <f>IFERROR(__xludf.DUMMYFUNCTION("""COMPUTED_VALUE"""),"Miami")</f>
        <v>Miami</v>
      </c>
      <c r="K318" s="22" t="str">
        <f>IFERROR(__xludf.DUMMYFUNCTION("""COMPUTED_VALUE"""),"Florida")</f>
        <v>Florida</v>
      </c>
      <c r="L318" s="22" t="str">
        <f>IFERROR(__xludf.DUMMYFUNCTION("""COMPUTED_VALUE"""),"South")</f>
        <v>South</v>
      </c>
      <c r="M318" s="22" t="str">
        <f>IFERROR(__xludf.DUMMYFUNCTION("""COMPUTED_VALUE"""),"Technology")</f>
        <v>Technology</v>
      </c>
      <c r="N318" s="18">
        <f>IFERROR(__xludf.DUMMYFUNCTION("""COMPUTED_VALUE"""),1363.96)</f>
        <v>1363.96</v>
      </c>
      <c r="O318" s="18">
        <f>IFERROR(__xludf.DUMMYFUNCTION("""COMPUTED_VALUE"""),1363.84)</f>
        <v>1363.84</v>
      </c>
      <c r="P318" s="22">
        <f>IFERROR(__xludf.DUMMYFUNCTION("""COMPUTED_VALUE"""),3.0)</f>
        <v>3</v>
      </c>
      <c r="Q318" s="18">
        <f>IFERROR(__xludf.DUMMYFUNCTION("""COMPUTED_VALUE"""),4091.88)</f>
        <v>4091.88</v>
      </c>
      <c r="R318" s="18">
        <f>IFERROR(__xludf.DUMMYFUNCTION("""COMPUTED_VALUE"""),2728.04)</f>
        <v>2728.04</v>
      </c>
    </row>
    <row r="319">
      <c r="A319" s="21">
        <f>IFERROR(__xludf.DUMMYFUNCTION("""COMPUTED_VALUE"""),42151.0)</f>
        <v>42151</v>
      </c>
      <c r="B319" s="21" t="str">
        <f>IFERROR(__xludf.DUMMYFUNCTION("""COMPUTED_VALUE"""),"May")</f>
        <v>May</v>
      </c>
      <c r="C319" s="9">
        <f>IFERROR(__xludf.DUMMYFUNCTION("""COMPUTED_VALUE"""),42010.0)</f>
        <v>42010</v>
      </c>
      <c r="D319" s="23" t="str">
        <f>IFERROR(__xludf.DUMMYFUNCTION("""COMPUTED_VALUE"""),"Jan")</f>
        <v>Jan</v>
      </c>
      <c r="E319" s="21" t="str">
        <f>IFERROR(__xludf.DUMMYFUNCTION("""COMPUTED_VALUE"""),"2015")</f>
        <v>2015</v>
      </c>
      <c r="F319" s="22" t="str">
        <f>IFERROR(__xludf.DUMMYFUNCTION("""COMPUTED_VALUE"""),"Second Class")</f>
        <v>Second Class</v>
      </c>
      <c r="G319" s="22" t="str">
        <f>IFERROR(__xludf.DUMMYFUNCTION("""COMPUTED_VALUE"""),"Lena")</f>
        <v>Lena</v>
      </c>
      <c r="H319" s="22" t="str">
        <f>IFERROR(__xludf.DUMMYFUNCTION("""COMPUTED_VALUE"""),"Creighton")</f>
        <v>Creighton</v>
      </c>
      <c r="I319" s="22" t="str">
        <f>IFERROR(__xludf.DUMMYFUNCTION("""COMPUTED_VALUE"""),"Consumer")</f>
        <v>Consumer</v>
      </c>
      <c r="J319" s="22" t="str">
        <f>IFERROR(__xludf.DUMMYFUNCTION("""COMPUTED_VALUE"""),"San Francisco")</f>
        <v>San Francisco</v>
      </c>
      <c r="K319" s="22" t="str">
        <f>IFERROR(__xludf.DUMMYFUNCTION("""COMPUTED_VALUE"""),"California")</f>
        <v>California</v>
      </c>
      <c r="L319" s="22" t="str">
        <f>IFERROR(__xludf.DUMMYFUNCTION("""COMPUTED_VALUE"""),"West")</f>
        <v>West</v>
      </c>
      <c r="M319" s="22" t="str">
        <f>IFERROR(__xludf.DUMMYFUNCTION("""COMPUTED_VALUE"""),"Technology")</f>
        <v>Technology</v>
      </c>
      <c r="N319" s="18">
        <f>IFERROR(__xludf.DUMMYFUNCTION("""COMPUTED_VALUE"""),1113.504)</f>
        <v>1113.504</v>
      </c>
      <c r="O319" s="18">
        <f>IFERROR(__xludf.DUMMYFUNCTION("""COMPUTED_VALUE"""),1113.45)</f>
        <v>1113.45</v>
      </c>
      <c r="P319" s="22">
        <f>IFERROR(__xludf.DUMMYFUNCTION("""COMPUTED_VALUE"""),9.0)</f>
        <v>9</v>
      </c>
      <c r="Q319" s="18">
        <f>IFERROR(__xludf.DUMMYFUNCTION("""COMPUTED_VALUE"""),10021.536)</f>
        <v>10021.536</v>
      </c>
      <c r="R319" s="18">
        <f>IFERROR(__xludf.DUMMYFUNCTION("""COMPUTED_VALUE"""),8908.086)</f>
        <v>8908.086</v>
      </c>
    </row>
    <row r="320">
      <c r="A320" s="21">
        <f>IFERROR(__xludf.DUMMYFUNCTION("""COMPUTED_VALUE"""),42151.0)</f>
        <v>42151</v>
      </c>
      <c r="B320" s="21" t="str">
        <f>IFERROR(__xludf.DUMMYFUNCTION("""COMPUTED_VALUE"""),"May")</f>
        <v>May</v>
      </c>
      <c r="C320" s="9">
        <f>IFERROR(__xludf.DUMMYFUNCTION("""COMPUTED_VALUE"""),42010.0)</f>
        <v>42010</v>
      </c>
      <c r="D320" s="23" t="str">
        <f>IFERROR(__xludf.DUMMYFUNCTION("""COMPUTED_VALUE"""),"Jan")</f>
        <v>Jan</v>
      </c>
      <c r="E320" s="21" t="str">
        <f>IFERROR(__xludf.DUMMYFUNCTION("""COMPUTED_VALUE"""),"2015")</f>
        <v>2015</v>
      </c>
      <c r="F320" s="22" t="str">
        <f>IFERROR(__xludf.DUMMYFUNCTION("""COMPUTED_VALUE"""),"Second Class")</f>
        <v>Second Class</v>
      </c>
      <c r="G320" s="22" t="str">
        <f>IFERROR(__xludf.DUMMYFUNCTION("""COMPUTED_VALUE"""),"Lena")</f>
        <v>Lena</v>
      </c>
      <c r="H320" s="22" t="str">
        <f>IFERROR(__xludf.DUMMYFUNCTION("""COMPUTED_VALUE"""),"Creighton")</f>
        <v>Creighton</v>
      </c>
      <c r="I320" s="22" t="str">
        <f>IFERROR(__xludf.DUMMYFUNCTION("""COMPUTED_VALUE"""),"Consumer")</f>
        <v>Consumer</v>
      </c>
      <c r="J320" s="22" t="str">
        <f>IFERROR(__xludf.DUMMYFUNCTION("""COMPUTED_VALUE"""),"San Francisco")</f>
        <v>San Francisco</v>
      </c>
      <c r="K320" s="22" t="str">
        <f>IFERROR(__xludf.DUMMYFUNCTION("""COMPUTED_VALUE"""),"California")</f>
        <v>California</v>
      </c>
      <c r="L320" s="22" t="str">
        <f>IFERROR(__xludf.DUMMYFUNCTION("""COMPUTED_VALUE"""),"West")</f>
        <v>West</v>
      </c>
      <c r="M320" s="22" t="str">
        <f>IFERROR(__xludf.DUMMYFUNCTION("""COMPUTED_VALUE"""),"Technology")</f>
        <v>Technology</v>
      </c>
      <c r="N320" s="18">
        <f>IFERROR(__xludf.DUMMYFUNCTION("""COMPUTED_VALUE"""),99.99)</f>
        <v>99.99</v>
      </c>
      <c r="O320" s="18">
        <f>IFERROR(__xludf.DUMMYFUNCTION("""COMPUTED_VALUE"""),99.38)</f>
        <v>99.38</v>
      </c>
      <c r="P320" s="22">
        <f>IFERROR(__xludf.DUMMYFUNCTION("""COMPUTED_VALUE"""),9.0)</f>
        <v>9</v>
      </c>
      <c r="Q320" s="18">
        <f>IFERROR(__xludf.DUMMYFUNCTION("""COMPUTED_VALUE"""),899.91)</f>
        <v>899.91</v>
      </c>
      <c r="R320" s="18">
        <f>IFERROR(__xludf.DUMMYFUNCTION("""COMPUTED_VALUE"""),800.53)</f>
        <v>800.53</v>
      </c>
    </row>
    <row r="321">
      <c r="A321" s="21">
        <f>IFERROR(__xludf.DUMMYFUNCTION("""COMPUTED_VALUE"""),43385.0)</f>
        <v>43385</v>
      </c>
      <c r="B321" s="21" t="str">
        <f>IFERROR(__xludf.DUMMYFUNCTION("""COMPUTED_VALUE"""),"Oct")</f>
        <v>Oct</v>
      </c>
      <c r="C321" s="9">
        <f>IFERROR(__xludf.DUMMYFUNCTION("""COMPUTED_VALUE"""),43451.0)</f>
        <v>43451</v>
      </c>
      <c r="D321" s="23" t="str">
        <f>IFERROR(__xludf.DUMMYFUNCTION("""COMPUTED_VALUE"""),"Dec")</f>
        <v>Dec</v>
      </c>
      <c r="E321" s="21" t="str">
        <f>IFERROR(__xludf.DUMMYFUNCTION("""COMPUTED_VALUE"""),"2018")</f>
        <v>2018</v>
      </c>
      <c r="F321" s="22" t="str">
        <f>IFERROR(__xludf.DUMMYFUNCTION("""COMPUTED_VALUE"""),"Standard Class")</f>
        <v>Standard Class</v>
      </c>
      <c r="G321" s="22" t="str">
        <f>IFERROR(__xludf.DUMMYFUNCTION("""COMPUTED_VALUE"""),"Ben")</f>
        <v>Ben</v>
      </c>
      <c r="H321" s="22" t="str">
        <f>IFERROR(__xludf.DUMMYFUNCTION("""COMPUTED_VALUE"""),"Peterman")</f>
        <v>Peterman</v>
      </c>
      <c r="I321" s="22" t="str">
        <f>IFERROR(__xludf.DUMMYFUNCTION("""COMPUTED_VALUE"""),"Corporate")</f>
        <v>Corporate</v>
      </c>
      <c r="J321" s="22" t="str">
        <f>IFERROR(__xludf.DUMMYFUNCTION("""COMPUTED_VALUE"""),"San Diego")</f>
        <v>San Diego</v>
      </c>
      <c r="K321" s="22" t="str">
        <f>IFERROR(__xludf.DUMMYFUNCTION("""COMPUTED_VALUE"""),"California")</f>
        <v>California</v>
      </c>
      <c r="L321" s="22" t="str">
        <f>IFERROR(__xludf.DUMMYFUNCTION("""COMPUTED_VALUE"""),"West")</f>
        <v>West</v>
      </c>
      <c r="M321" s="22" t="str">
        <f>IFERROR(__xludf.DUMMYFUNCTION("""COMPUTED_VALUE"""),"Office Supplies")</f>
        <v>Office Supplies</v>
      </c>
      <c r="N321" s="18">
        <f>IFERROR(__xludf.DUMMYFUNCTION("""COMPUTED_VALUE"""),65.568)</f>
        <v>65.568</v>
      </c>
      <c r="O321" s="18">
        <f>IFERROR(__xludf.DUMMYFUNCTION("""COMPUTED_VALUE"""),65.56)</f>
        <v>65.56</v>
      </c>
      <c r="P321" s="22">
        <f>IFERROR(__xludf.DUMMYFUNCTION("""COMPUTED_VALUE"""),9.0)</f>
        <v>9</v>
      </c>
      <c r="Q321" s="18">
        <f>IFERROR(__xludf.DUMMYFUNCTION("""COMPUTED_VALUE"""),590.112)</f>
        <v>590.112</v>
      </c>
      <c r="R321" s="18">
        <f>IFERROR(__xludf.DUMMYFUNCTION("""COMPUTED_VALUE"""),524.5519999999999)</f>
        <v>524.552</v>
      </c>
    </row>
    <row r="322">
      <c r="A322" s="21">
        <f>IFERROR(__xludf.DUMMYFUNCTION("""COMPUTED_VALUE"""),42452.0)</f>
        <v>42452</v>
      </c>
      <c r="B322" s="21" t="str">
        <f>IFERROR(__xludf.DUMMYFUNCTION("""COMPUTED_VALUE"""),"Mar")</f>
        <v>Mar</v>
      </c>
      <c r="C322" s="9">
        <f>IFERROR(__xludf.DUMMYFUNCTION("""COMPUTED_VALUE"""),42458.0)</f>
        <v>42458</v>
      </c>
      <c r="D322" s="23" t="str">
        <f>IFERROR(__xludf.DUMMYFUNCTION("""COMPUTED_VALUE"""),"Mar")</f>
        <v>Mar</v>
      </c>
      <c r="E322" s="21" t="str">
        <f>IFERROR(__xludf.DUMMYFUNCTION("""COMPUTED_VALUE"""),"2016")</f>
        <v>2016</v>
      </c>
      <c r="F322" s="22" t="str">
        <f>IFERROR(__xludf.DUMMYFUNCTION("""COMPUTED_VALUE"""),"Standard Class")</f>
        <v>Standard Class</v>
      </c>
      <c r="G322" s="22" t="str">
        <f>IFERROR(__xludf.DUMMYFUNCTION("""COMPUTED_VALUE"""),"Julia")</f>
        <v>Julia</v>
      </c>
      <c r="H322" s="22" t="str">
        <f>IFERROR(__xludf.DUMMYFUNCTION("""COMPUTED_VALUE"""),"Dunbar")</f>
        <v>Dunbar</v>
      </c>
      <c r="I322" s="22" t="str">
        <f>IFERROR(__xludf.DUMMYFUNCTION("""COMPUTED_VALUE"""),"Consumer")</f>
        <v>Consumer</v>
      </c>
      <c r="J322" s="22" t="str">
        <f>IFERROR(__xludf.DUMMYFUNCTION("""COMPUTED_VALUE"""),"Houston")</f>
        <v>Houston</v>
      </c>
      <c r="K322" s="22" t="str">
        <f>IFERROR(__xludf.DUMMYFUNCTION("""COMPUTED_VALUE"""),"Texas")</f>
        <v>Texas</v>
      </c>
      <c r="L322" s="22" t="str">
        <f>IFERROR(__xludf.DUMMYFUNCTION("""COMPUTED_VALUE"""),"Central")</f>
        <v>Central</v>
      </c>
      <c r="M322" s="22" t="str">
        <f>IFERROR(__xludf.DUMMYFUNCTION("""COMPUTED_VALUE"""),"Furniture")</f>
        <v>Furniture</v>
      </c>
      <c r="N322" s="18">
        <f>IFERROR(__xludf.DUMMYFUNCTION("""COMPUTED_VALUE"""),107.772)</f>
        <v>107.772</v>
      </c>
      <c r="O322" s="18">
        <f>IFERROR(__xludf.DUMMYFUNCTION("""COMPUTED_VALUE"""),107.11)</f>
        <v>107.11</v>
      </c>
      <c r="P322" s="22">
        <f>IFERROR(__xludf.DUMMYFUNCTION("""COMPUTED_VALUE"""),7.0)</f>
        <v>7</v>
      </c>
      <c r="Q322" s="18">
        <f>IFERROR(__xludf.DUMMYFUNCTION("""COMPUTED_VALUE"""),754.404)</f>
        <v>754.404</v>
      </c>
      <c r="R322" s="18">
        <f>IFERROR(__xludf.DUMMYFUNCTION("""COMPUTED_VALUE"""),647.294)</f>
        <v>647.294</v>
      </c>
    </row>
    <row r="323">
      <c r="A323" s="21">
        <f>IFERROR(__xludf.DUMMYFUNCTION("""COMPUTED_VALUE"""),42745.0)</f>
        <v>42745</v>
      </c>
      <c r="B323" s="21" t="str">
        <f>IFERROR(__xludf.DUMMYFUNCTION("""COMPUTED_VALUE"""),"Jan")</f>
        <v>Jan</v>
      </c>
      <c r="C323" s="9">
        <f>IFERROR(__xludf.DUMMYFUNCTION("""COMPUTED_VALUE"""),42776.0)</f>
        <v>42776</v>
      </c>
      <c r="D323" s="23" t="str">
        <f>IFERROR(__xludf.DUMMYFUNCTION("""COMPUTED_VALUE"""),"Feb")</f>
        <v>Feb</v>
      </c>
      <c r="E323" s="21" t="str">
        <f>IFERROR(__xludf.DUMMYFUNCTION("""COMPUTED_VALUE"""),"2017")</f>
        <v>2017</v>
      </c>
      <c r="F323" s="22" t="str">
        <f>IFERROR(__xludf.DUMMYFUNCTION("""COMPUTED_VALUE"""),"First Class")</f>
        <v>First Class</v>
      </c>
      <c r="G323" s="22" t="str">
        <f>IFERROR(__xludf.DUMMYFUNCTION("""COMPUTED_VALUE"""),"Brian")</f>
        <v>Brian</v>
      </c>
      <c r="H323" s="22" t="str">
        <f>IFERROR(__xludf.DUMMYFUNCTION("""COMPUTED_VALUE"""),"DeCherney")</f>
        <v>DeCherney</v>
      </c>
      <c r="I323" s="22" t="str">
        <f>IFERROR(__xludf.DUMMYFUNCTION("""COMPUTED_VALUE"""),"Consumer")</f>
        <v>Consumer</v>
      </c>
      <c r="J323" s="22" t="str">
        <f>IFERROR(__xludf.DUMMYFUNCTION("""COMPUTED_VALUE"""),"San Francisco")</f>
        <v>San Francisco</v>
      </c>
      <c r="K323" s="22" t="str">
        <f>IFERROR(__xludf.DUMMYFUNCTION("""COMPUTED_VALUE"""),"California")</f>
        <v>California</v>
      </c>
      <c r="L323" s="22" t="str">
        <f>IFERROR(__xludf.DUMMYFUNCTION("""COMPUTED_VALUE"""),"West")</f>
        <v>West</v>
      </c>
      <c r="M323" s="22" t="str">
        <f>IFERROR(__xludf.DUMMYFUNCTION("""COMPUTED_VALUE"""),"Furniture")</f>
        <v>Furniture</v>
      </c>
      <c r="N323" s="18">
        <f>IFERROR(__xludf.DUMMYFUNCTION("""COMPUTED_VALUE"""),194.848)</f>
        <v>194.848</v>
      </c>
      <c r="O323" s="18">
        <f>IFERROR(__xludf.DUMMYFUNCTION("""COMPUTED_VALUE"""),194.79)</f>
        <v>194.79</v>
      </c>
      <c r="P323" s="22">
        <f>IFERROR(__xludf.DUMMYFUNCTION("""COMPUTED_VALUE"""),9.0)</f>
        <v>9</v>
      </c>
      <c r="Q323" s="18">
        <f>IFERROR(__xludf.DUMMYFUNCTION("""COMPUTED_VALUE"""),1753.632)</f>
        <v>1753.632</v>
      </c>
      <c r="R323" s="18">
        <f>IFERROR(__xludf.DUMMYFUNCTION("""COMPUTED_VALUE"""),1558.842)</f>
        <v>1558.842</v>
      </c>
    </row>
    <row r="324">
      <c r="A324" s="21">
        <f>IFERROR(__xludf.DUMMYFUNCTION("""COMPUTED_VALUE"""),43366.0)</f>
        <v>43366</v>
      </c>
      <c r="B324" s="21" t="str">
        <f>IFERROR(__xludf.DUMMYFUNCTION("""COMPUTED_VALUE"""),"Sep")</f>
        <v>Sep</v>
      </c>
      <c r="C324" s="9">
        <f>IFERROR(__xludf.DUMMYFUNCTION("""COMPUTED_VALUE"""),43368.0)</f>
        <v>43368</v>
      </c>
      <c r="D324" s="23" t="str">
        <f>IFERROR(__xludf.DUMMYFUNCTION("""COMPUTED_VALUE"""),"Sep")</f>
        <v>Sep</v>
      </c>
      <c r="E324" s="21" t="str">
        <f>IFERROR(__xludf.DUMMYFUNCTION("""COMPUTED_VALUE"""),"2018")</f>
        <v>2018</v>
      </c>
      <c r="F324" s="22" t="str">
        <f>IFERROR(__xludf.DUMMYFUNCTION("""COMPUTED_VALUE"""),"Second Class")</f>
        <v>Second Class</v>
      </c>
      <c r="G324" s="22" t="str">
        <f>IFERROR(__xludf.DUMMYFUNCTION("""COMPUTED_VALUE"""),"Don")</f>
        <v>Don</v>
      </c>
      <c r="H324" s="22" t="str">
        <f>IFERROR(__xludf.DUMMYFUNCTION("""COMPUTED_VALUE"""),"Weiss")</f>
        <v>Weiss</v>
      </c>
      <c r="I324" s="22" t="str">
        <f>IFERROR(__xludf.DUMMYFUNCTION("""COMPUTED_VALUE"""),"Consumer")</f>
        <v>Consumer</v>
      </c>
      <c r="J324" s="22" t="str">
        <f>IFERROR(__xludf.DUMMYFUNCTION("""COMPUTED_VALUE"""),"Seattle")</f>
        <v>Seattle</v>
      </c>
      <c r="K324" s="22" t="str">
        <f>IFERROR(__xludf.DUMMYFUNCTION("""COMPUTED_VALUE"""),"Washington")</f>
        <v>Washington</v>
      </c>
      <c r="L324" s="22" t="str">
        <f>IFERROR(__xludf.DUMMYFUNCTION("""COMPUTED_VALUE"""),"West")</f>
        <v>West</v>
      </c>
      <c r="M324" s="22" t="str">
        <f>IFERROR(__xludf.DUMMYFUNCTION("""COMPUTED_VALUE"""),"Office Supplies")</f>
        <v>Office Supplies</v>
      </c>
      <c r="N324" s="18">
        <f>IFERROR(__xludf.DUMMYFUNCTION("""COMPUTED_VALUE"""),119.96)</f>
        <v>119.96</v>
      </c>
      <c r="O324" s="18">
        <f>IFERROR(__xludf.DUMMYFUNCTION("""COMPUTED_VALUE"""),119.86)</f>
        <v>119.86</v>
      </c>
      <c r="P324" s="22">
        <f>IFERROR(__xludf.DUMMYFUNCTION("""COMPUTED_VALUE"""),9.0)</f>
        <v>9</v>
      </c>
      <c r="Q324" s="18">
        <f>IFERROR(__xludf.DUMMYFUNCTION("""COMPUTED_VALUE"""),1079.6399999999999)</f>
        <v>1079.64</v>
      </c>
      <c r="R324" s="18">
        <f>IFERROR(__xludf.DUMMYFUNCTION("""COMPUTED_VALUE"""),959.7799999999999)</f>
        <v>959.78</v>
      </c>
    </row>
    <row r="325">
      <c r="A325" s="21">
        <f>IFERROR(__xludf.DUMMYFUNCTION("""COMPUTED_VALUE"""),42703.0)</f>
        <v>42703</v>
      </c>
      <c r="B325" s="21" t="str">
        <f>IFERROR(__xludf.DUMMYFUNCTION("""COMPUTED_VALUE"""),"Nov")</f>
        <v>Nov</v>
      </c>
      <c r="C325" s="9">
        <f>IFERROR(__xludf.DUMMYFUNCTION("""COMPUTED_VALUE"""),42472.0)</f>
        <v>42472</v>
      </c>
      <c r="D325" s="23" t="str">
        <f>IFERROR(__xludf.DUMMYFUNCTION("""COMPUTED_VALUE"""),"Apr")</f>
        <v>Apr</v>
      </c>
      <c r="E325" s="21" t="str">
        <f>IFERROR(__xludf.DUMMYFUNCTION("""COMPUTED_VALUE"""),"2016")</f>
        <v>2016</v>
      </c>
      <c r="F325" s="22" t="str">
        <f>IFERROR(__xludf.DUMMYFUNCTION("""COMPUTED_VALUE"""),"Standard Class")</f>
        <v>Standard Class</v>
      </c>
      <c r="G325" s="22" t="str">
        <f>IFERROR(__xludf.DUMMYFUNCTION("""COMPUTED_VALUE"""),"Bill")</f>
        <v>Bill</v>
      </c>
      <c r="H325" s="22" t="str">
        <f>IFERROR(__xludf.DUMMYFUNCTION("""COMPUTED_VALUE"""),"Tyler")</f>
        <v>Tyler</v>
      </c>
      <c r="I325" s="22" t="str">
        <f>IFERROR(__xludf.DUMMYFUNCTION("""COMPUTED_VALUE"""),"Corporate")</f>
        <v>Corporate</v>
      </c>
      <c r="J325" s="22" t="str">
        <f>IFERROR(__xludf.DUMMYFUNCTION("""COMPUTED_VALUE"""),"Detroit")</f>
        <v>Detroit</v>
      </c>
      <c r="K325" s="22" t="str">
        <f>IFERROR(__xludf.DUMMYFUNCTION("""COMPUTED_VALUE"""),"Michigan")</f>
        <v>Michigan</v>
      </c>
      <c r="L325" s="22" t="str">
        <f>IFERROR(__xludf.DUMMYFUNCTION("""COMPUTED_VALUE"""),"Central")</f>
        <v>Central</v>
      </c>
      <c r="M325" s="22" t="str">
        <f>IFERROR(__xludf.DUMMYFUNCTION("""COMPUTED_VALUE"""),"Furniture")</f>
        <v>Furniture</v>
      </c>
      <c r="N325" s="18">
        <f>IFERROR(__xludf.DUMMYFUNCTION("""COMPUTED_VALUE"""),1106.91)</f>
        <v>1106.91</v>
      </c>
      <c r="O325" s="18">
        <f>IFERROR(__xludf.DUMMYFUNCTION("""COMPUTED_VALUE"""),1106.48)</f>
        <v>1106.48</v>
      </c>
      <c r="P325" s="22">
        <f>IFERROR(__xludf.DUMMYFUNCTION("""COMPUTED_VALUE"""),4.0)</f>
        <v>4</v>
      </c>
      <c r="Q325" s="18">
        <f>IFERROR(__xludf.DUMMYFUNCTION("""COMPUTED_VALUE"""),4427.64)</f>
        <v>4427.64</v>
      </c>
      <c r="R325" s="18">
        <f>IFERROR(__xludf.DUMMYFUNCTION("""COMPUTED_VALUE"""),3321.1600000000003)</f>
        <v>3321.16</v>
      </c>
    </row>
    <row r="326">
      <c r="A326" s="21">
        <f>IFERROR(__xludf.DUMMYFUNCTION("""COMPUTED_VALUE"""),42962.0)</f>
        <v>42962</v>
      </c>
      <c r="B326" s="21" t="str">
        <f>IFERROR(__xludf.DUMMYFUNCTION("""COMPUTED_VALUE"""),"Aug")</f>
        <v>Aug</v>
      </c>
      <c r="C326" s="9">
        <f>IFERROR(__xludf.DUMMYFUNCTION("""COMPUTED_VALUE"""),42967.0)</f>
        <v>42967</v>
      </c>
      <c r="D326" s="23" t="str">
        <f>IFERROR(__xludf.DUMMYFUNCTION("""COMPUTED_VALUE"""),"Aug")</f>
        <v>Aug</v>
      </c>
      <c r="E326" s="21" t="str">
        <f>IFERROR(__xludf.DUMMYFUNCTION("""COMPUTED_VALUE"""),"2017")</f>
        <v>2017</v>
      </c>
      <c r="F326" s="22" t="str">
        <f>IFERROR(__xludf.DUMMYFUNCTION("""COMPUTED_VALUE"""),"Second Class")</f>
        <v>Second Class</v>
      </c>
      <c r="G326" s="22" t="str">
        <f>IFERROR(__xludf.DUMMYFUNCTION("""COMPUTED_VALUE"""),"Craig")</f>
        <v>Craig</v>
      </c>
      <c r="H326" s="22" t="str">
        <f>IFERROR(__xludf.DUMMYFUNCTION("""COMPUTED_VALUE"""),"Yedwab")</f>
        <v>Yedwab</v>
      </c>
      <c r="I326" s="22" t="str">
        <f>IFERROR(__xludf.DUMMYFUNCTION("""COMPUTED_VALUE"""),"Corporate")</f>
        <v>Corporate</v>
      </c>
      <c r="J326" s="22" t="str">
        <f>IFERROR(__xludf.DUMMYFUNCTION("""COMPUTED_VALUE"""),"Oakland")</f>
        <v>Oakland</v>
      </c>
      <c r="K326" s="22" t="str">
        <f>IFERROR(__xludf.DUMMYFUNCTION("""COMPUTED_VALUE"""),"California")</f>
        <v>California</v>
      </c>
      <c r="L326" s="22" t="str">
        <f>IFERROR(__xludf.DUMMYFUNCTION("""COMPUTED_VALUE"""),"West")</f>
        <v>West</v>
      </c>
      <c r="M326" s="22" t="str">
        <f>IFERROR(__xludf.DUMMYFUNCTION("""COMPUTED_VALUE"""),"Technology")</f>
        <v>Technology</v>
      </c>
      <c r="N326" s="18">
        <f>IFERROR(__xludf.DUMMYFUNCTION("""COMPUTED_VALUE"""),71.976)</f>
        <v>71.976</v>
      </c>
      <c r="O326" s="18">
        <f>IFERROR(__xludf.DUMMYFUNCTION("""COMPUTED_VALUE"""),71.17)</f>
        <v>71.17</v>
      </c>
      <c r="P326" s="22">
        <f>IFERROR(__xludf.DUMMYFUNCTION("""COMPUTED_VALUE"""),9.0)</f>
        <v>9</v>
      </c>
      <c r="Q326" s="18">
        <f>IFERROR(__xludf.DUMMYFUNCTION("""COMPUTED_VALUE"""),647.784)</f>
        <v>647.784</v>
      </c>
      <c r="R326" s="18">
        <f>IFERROR(__xludf.DUMMYFUNCTION("""COMPUTED_VALUE"""),576.614)</f>
        <v>576.614</v>
      </c>
    </row>
    <row r="327">
      <c r="A327" s="21">
        <f>IFERROR(__xludf.DUMMYFUNCTION("""COMPUTED_VALUE"""),42533.0)</f>
        <v>42533</v>
      </c>
      <c r="B327" s="21" t="str">
        <f>IFERROR(__xludf.DUMMYFUNCTION("""COMPUTED_VALUE"""),"Jun")</f>
        <v>Jun</v>
      </c>
      <c r="C327" s="9">
        <f>IFERROR(__xludf.DUMMYFUNCTION("""COMPUTED_VALUE"""),42717.0)</f>
        <v>42717</v>
      </c>
      <c r="D327" s="23" t="str">
        <f>IFERROR(__xludf.DUMMYFUNCTION("""COMPUTED_VALUE"""),"Dec")</f>
        <v>Dec</v>
      </c>
      <c r="E327" s="21" t="str">
        <f>IFERROR(__xludf.DUMMYFUNCTION("""COMPUTED_VALUE"""),"2016")</f>
        <v>2016</v>
      </c>
      <c r="F327" s="22" t="str">
        <f>IFERROR(__xludf.DUMMYFUNCTION("""COMPUTED_VALUE"""),"Standard Class")</f>
        <v>Standard Class</v>
      </c>
      <c r="G327" s="22" t="str">
        <f>IFERROR(__xludf.DUMMYFUNCTION("""COMPUTED_VALUE"""),"Naresj")</f>
        <v>Naresj</v>
      </c>
      <c r="H327" s="22" t="str">
        <f>IFERROR(__xludf.DUMMYFUNCTION("""COMPUTED_VALUE"""),"Patel")</f>
        <v>Patel</v>
      </c>
      <c r="I327" s="22" t="str">
        <f>IFERROR(__xludf.DUMMYFUNCTION("""COMPUTED_VALUE"""),"Consumer")</f>
        <v>Consumer</v>
      </c>
      <c r="J327" s="22" t="str">
        <f>IFERROR(__xludf.DUMMYFUNCTION("""COMPUTED_VALUE"""),"San Diego")</f>
        <v>San Diego</v>
      </c>
      <c r="K327" s="22" t="str">
        <f>IFERROR(__xludf.DUMMYFUNCTION("""COMPUTED_VALUE"""),"California")</f>
        <v>California</v>
      </c>
      <c r="L327" s="22" t="str">
        <f>IFERROR(__xludf.DUMMYFUNCTION("""COMPUTED_VALUE"""),"West")</f>
        <v>West</v>
      </c>
      <c r="M327" s="22" t="str">
        <f>IFERROR(__xludf.DUMMYFUNCTION("""COMPUTED_VALUE"""),"Office Supplies")</f>
        <v>Office Supplies</v>
      </c>
      <c r="N327" s="18">
        <f>IFERROR(__xludf.DUMMYFUNCTION("""COMPUTED_VALUE"""),120.15)</f>
        <v>120.15</v>
      </c>
      <c r="O327" s="18">
        <f>IFERROR(__xludf.DUMMYFUNCTION("""COMPUTED_VALUE"""),119.85)</f>
        <v>119.85</v>
      </c>
      <c r="P327" s="22">
        <f>IFERROR(__xludf.DUMMYFUNCTION("""COMPUTED_VALUE"""),9.0)</f>
        <v>9</v>
      </c>
      <c r="Q327" s="18">
        <f>IFERROR(__xludf.DUMMYFUNCTION("""COMPUTED_VALUE"""),1081.3500000000001)</f>
        <v>1081.35</v>
      </c>
      <c r="R327" s="18">
        <f>IFERROR(__xludf.DUMMYFUNCTION("""COMPUTED_VALUE"""),961.5000000000001)</f>
        <v>961.5</v>
      </c>
    </row>
    <row r="328">
      <c r="A328" s="21">
        <f>IFERROR(__xludf.DUMMYFUNCTION("""COMPUTED_VALUE"""),42533.0)</f>
        <v>42533</v>
      </c>
      <c r="B328" s="21" t="str">
        <f>IFERROR(__xludf.DUMMYFUNCTION("""COMPUTED_VALUE"""),"Jun")</f>
        <v>Jun</v>
      </c>
      <c r="C328" s="9">
        <f>IFERROR(__xludf.DUMMYFUNCTION("""COMPUTED_VALUE"""),42717.0)</f>
        <v>42717</v>
      </c>
      <c r="D328" s="23" t="str">
        <f>IFERROR(__xludf.DUMMYFUNCTION("""COMPUTED_VALUE"""),"Dec")</f>
        <v>Dec</v>
      </c>
      <c r="E328" s="21" t="str">
        <f>IFERROR(__xludf.DUMMYFUNCTION("""COMPUTED_VALUE"""),"2016")</f>
        <v>2016</v>
      </c>
      <c r="F328" s="22" t="str">
        <f>IFERROR(__xludf.DUMMYFUNCTION("""COMPUTED_VALUE"""),"Standard Class")</f>
        <v>Standard Class</v>
      </c>
      <c r="G328" s="22" t="str">
        <f>IFERROR(__xludf.DUMMYFUNCTION("""COMPUTED_VALUE"""),"Naresj")</f>
        <v>Naresj</v>
      </c>
      <c r="H328" s="22" t="str">
        <f>IFERROR(__xludf.DUMMYFUNCTION("""COMPUTED_VALUE"""),"Patel")</f>
        <v>Patel</v>
      </c>
      <c r="I328" s="22" t="str">
        <f>IFERROR(__xludf.DUMMYFUNCTION("""COMPUTED_VALUE"""),"Consumer")</f>
        <v>Consumer</v>
      </c>
      <c r="J328" s="22" t="str">
        <f>IFERROR(__xludf.DUMMYFUNCTION("""COMPUTED_VALUE"""),"San Diego")</f>
        <v>San Diego</v>
      </c>
      <c r="K328" s="22" t="str">
        <f>IFERROR(__xludf.DUMMYFUNCTION("""COMPUTED_VALUE"""),"California")</f>
        <v>California</v>
      </c>
      <c r="L328" s="22" t="str">
        <f>IFERROR(__xludf.DUMMYFUNCTION("""COMPUTED_VALUE"""),"West")</f>
        <v>West</v>
      </c>
      <c r="M328" s="22" t="str">
        <f>IFERROR(__xludf.DUMMYFUNCTION("""COMPUTED_VALUE"""),"Technology")</f>
        <v>Technology</v>
      </c>
      <c r="N328" s="18">
        <f>IFERROR(__xludf.DUMMYFUNCTION("""COMPUTED_VALUE"""),219.184)</f>
        <v>219.184</v>
      </c>
      <c r="O328" s="18">
        <f>IFERROR(__xludf.DUMMYFUNCTION("""COMPUTED_VALUE"""),218.69)</f>
        <v>218.69</v>
      </c>
      <c r="P328" s="22">
        <f>IFERROR(__xludf.DUMMYFUNCTION("""COMPUTED_VALUE"""),9.0)</f>
        <v>9</v>
      </c>
      <c r="Q328" s="18">
        <f>IFERROR(__xludf.DUMMYFUNCTION("""COMPUTED_VALUE"""),1972.656)</f>
        <v>1972.656</v>
      </c>
      <c r="R328" s="18">
        <f>IFERROR(__xludf.DUMMYFUNCTION("""COMPUTED_VALUE"""),1753.966)</f>
        <v>1753.966</v>
      </c>
    </row>
    <row r="329">
      <c r="A329" s="21">
        <f>IFERROR(__xludf.DUMMYFUNCTION("""COMPUTED_VALUE"""),42180.0)</f>
        <v>42180</v>
      </c>
      <c r="B329" s="21" t="str">
        <f>IFERROR(__xludf.DUMMYFUNCTION("""COMPUTED_VALUE"""),"Jun")</f>
        <v>Jun</v>
      </c>
      <c r="C329" s="9">
        <f>IFERROR(__xludf.DUMMYFUNCTION("""COMPUTED_VALUE"""),42183.0)</f>
        <v>42183</v>
      </c>
      <c r="D329" s="23" t="str">
        <f>IFERROR(__xludf.DUMMYFUNCTION("""COMPUTED_VALUE"""),"Jun")</f>
        <v>Jun</v>
      </c>
      <c r="E329" s="21" t="str">
        <f>IFERROR(__xludf.DUMMYFUNCTION("""COMPUTED_VALUE"""),"2015")</f>
        <v>2015</v>
      </c>
      <c r="F329" s="22" t="str">
        <f>IFERROR(__xludf.DUMMYFUNCTION("""COMPUTED_VALUE"""),"First Class")</f>
        <v>First Class</v>
      </c>
      <c r="G329" s="22" t="str">
        <f>IFERROR(__xludf.DUMMYFUNCTION("""COMPUTED_VALUE"""),"Noel")</f>
        <v>Noel</v>
      </c>
      <c r="H329" s="22" t="str">
        <f>IFERROR(__xludf.DUMMYFUNCTION("""COMPUTED_VALUE"""),"Staavos")</f>
        <v>Staavos</v>
      </c>
      <c r="I329" s="22" t="str">
        <f>IFERROR(__xludf.DUMMYFUNCTION("""COMPUTED_VALUE"""),"Corporate")</f>
        <v>Corporate</v>
      </c>
      <c r="J329" s="22" t="str">
        <f>IFERROR(__xludf.DUMMYFUNCTION("""COMPUTED_VALUE"""),"Los Angeles")</f>
        <v>Los Angeles</v>
      </c>
      <c r="K329" s="22" t="str">
        <f>IFERROR(__xludf.DUMMYFUNCTION("""COMPUTED_VALUE"""),"California")</f>
        <v>California</v>
      </c>
      <c r="L329" s="22" t="str">
        <f>IFERROR(__xludf.DUMMYFUNCTION("""COMPUTED_VALUE"""),"West")</f>
        <v>West</v>
      </c>
      <c r="M329" s="22" t="str">
        <f>IFERROR(__xludf.DUMMYFUNCTION("""COMPUTED_VALUE"""),"Furniture")</f>
        <v>Furniture</v>
      </c>
      <c r="N329" s="18">
        <f>IFERROR(__xludf.DUMMYFUNCTION("""COMPUTED_VALUE"""),447.84)</f>
        <v>447.84</v>
      </c>
      <c r="O329" s="18">
        <f>IFERROR(__xludf.DUMMYFUNCTION("""COMPUTED_VALUE"""),447.43)</f>
        <v>447.43</v>
      </c>
      <c r="P329" s="22">
        <f>IFERROR(__xludf.DUMMYFUNCTION("""COMPUTED_VALUE"""),9.0)</f>
        <v>9</v>
      </c>
      <c r="Q329" s="18">
        <f>IFERROR(__xludf.DUMMYFUNCTION("""COMPUTED_VALUE"""),4030.56)</f>
        <v>4030.56</v>
      </c>
      <c r="R329" s="18">
        <f>IFERROR(__xludf.DUMMYFUNCTION("""COMPUTED_VALUE"""),3583.13)</f>
        <v>3583.13</v>
      </c>
    </row>
    <row r="330">
      <c r="A330" s="21">
        <f>IFERROR(__xludf.DUMMYFUNCTION("""COMPUTED_VALUE"""),43058.0)</f>
        <v>43058</v>
      </c>
      <c r="B330" s="21" t="str">
        <f>IFERROR(__xludf.DUMMYFUNCTION("""COMPUTED_VALUE"""),"Nov")</f>
        <v>Nov</v>
      </c>
      <c r="C330" s="9">
        <f>IFERROR(__xludf.DUMMYFUNCTION("""COMPUTED_VALUE"""),43063.0)</f>
        <v>43063</v>
      </c>
      <c r="D330" s="23" t="str">
        <f>IFERROR(__xludf.DUMMYFUNCTION("""COMPUTED_VALUE"""),"Nov")</f>
        <v>Nov</v>
      </c>
      <c r="E330" s="21" t="str">
        <f>IFERROR(__xludf.DUMMYFUNCTION("""COMPUTED_VALUE"""),"2017")</f>
        <v>2017</v>
      </c>
      <c r="F330" s="22" t="str">
        <f>IFERROR(__xludf.DUMMYFUNCTION("""COMPUTED_VALUE"""),"Standard Class")</f>
        <v>Standard Class</v>
      </c>
      <c r="G330" s="22" t="str">
        <f>IFERROR(__xludf.DUMMYFUNCTION("""COMPUTED_VALUE"""),"Eric")</f>
        <v>Eric</v>
      </c>
      <c r="H330" s="22" t="str">
        <f>IFERROR(__xludf.DUMMYFUNCTION("""COMPUTED_VALUE"""),"Hoffmann")</f>
        <v>Hoffmann</v>
      </c>
      <c r="I330" s="22" t="str">
        <f>IFERROR(__xludf.DUMMYFUNCTION("""COMPUTED_VALUE"""),"Consumer")</f>
        <v>Consumer</v>
      </c>
      <c r="J330" s="22" t="str">
        <f>IFERROR(__xludf.DUMMYFUNCTION("""COMPUTED_VALUE"""),"Houston")</f>
        <v>Houston</v>
      </c>
      <c r="K330" s="22" t="str">
        <f>IFERROR(__xludf.DUMMYFUNCTION("""COMPUTED_VALUE"""),"Texas")</f>
        <v>Texas</v>
      </c>
      <c r="L330" s="22" t="str">
        <f>IFERROR(__xludf.DUMMYFUNCTION("""COMPUTED_VALUE"""),"Central")</f>
        <v>Central</v>
      </c>
      <c r="M330" s="22" t="str">
        <f>IFERROR(__xludf.DUMMYFUNCTION("""COMPUTED_VALUE"""),"Office Supplies")</f>
        <v>Office Supplies</v>
      </c>
      <c r="N330" s="18">
        <f>IFERROR(__xludf.DUMMYFUNCTION("""COMPUTED_VALUE"""),100.704)</f>
        <v>100.704</v>
      </c>
      <c r="O330" s="18">
        <f>IFERROR(__xludf.DUMMYFUNCTION("""COMPUTED_VALUE"""),100.68)</f>
        <v>100.68</v>
      </c>
      <c r="P330" s="22">
        <f>IFERROR(__xludf.DUMMYFUNCTION("""COMPUTED_VALUE"""),7.0)</f>
        <v>7</v>
      </c>
      <c r="Q330" s="18">
        <f>IFERROR(__xludf.DUMMYFUNCTION("""COMPUTED_VALUE"""),704.928)</f>
        <v>704.928</v>
      </c>
      <c r="R330" s="18">
        <f>IFERROR(__xludf.DUMMYFUNCTION("""COMPUTED_VALUE"""),604.248)</f>
        <v>604.248</v>
      </c>
    </row>
    <row r="331">
      <c r="A331" s="21">
        <f>IFERROR(__xludf.DUMMYFUNCTION("""COMPUTED_VALUE"""),43452.0)</f>
        <v>43452</v>
      </c>
      <c r="B331" s="21" t="str">
        <f>IFERROR(__xludf.DUMMYFUNCTION("""COMPUTED_VALUE"""),"Dec")</f>
        <v>Dec</v>
      </c>
      <c r="C331" s="9">
        <f>IFERROR(__xludf.DUMMYFUNCTION("""COMPUTED_VALUE"""),43457.0)</f>
        <v>43457</v>
      </c>
      <c r="D331" s="23" t="str">
        <f>IFERROR(__xludf.DUMMYFUNCTION("""COMPUTED_VALUE"""),"Dec")</f>
        <v>Dec</v>
      </c>
      <c r="E331" s="21" t="str">
        <f>IFERROR(__xludf.DUMMYFUNCTION("""COMPUTED_VALUE"""),"2018")</f>
        <v>2018</v>
      </c>
      <c r="F331" s="22" t="str">
        <f>IFERROR(__xludf.DUMMYFUNCTION("""COMPUTED_VALUE"""),"Second Class")</f>
        <v>Second Class</v>
      </c>
      <c r="G331" s="22" t="str">
        <f>IFERROR(__xludf.DUMMYFUNCTION("""COMPUTED_VALUE"""),"Russell")</f>
        <v>Russell</v>
      </c>
      <c r="H331" s="22" t="str">
        <f>IFERROR(__xludf.DUMMYFUNCTION("""COMPUTED_VALUE"""),"Applegate")</f>
        <v>Applegate</v>
      </c>
      <c r="I331" s="22" t="str">
        <f>IFERROR(__xludf.DUMMYFUNCTION("""COMPUTED_VALUE"""),"Consumer")</f>
        <v>Consumer</v>
      </c>
      <c r="J331" s="22" t="str">
        <f>IFERROR(__xludf.DUMMYFUNCTION("""COMPUTED_VALUE"""),"Encinitas")</f>
        <v>Encinitas</v>
      </c>
      <c r="K331" s="22" t="str">
        <f>IFERROR(__xludf.DUMMYFUNCTION("""COMPUTED_VALUE"""),"California")</f>
        <v>California</v>
      </c>
      <c r="L331" s="22" t="str">
        <f>IFERROR(__xludf.DUMMYFUNCTION("""COMPUTED_VALUE"""),"West")</f>
        <v>West</v>
      </c>
      <c r="M331" s="22" t="str">
        <f>IFERROR(__xludf.DUMMYFUNCTION("""COMPUTED_VALUE"""),"Furniture")</f>
        <v>Furniture</v>
      </c>
      <c r="N331" s="18">
        <f>IFERROR(__xludf.DUMMYFUNCTION("""COMPUTED_VALUE"""),119.833)</f>
        <v>119.833</v>
      </c>
      <c r="O331" s="18">
        <f>IFERROR(__xludf.DUMMYFUNCTION("""COMPUTED_VALUE"""),119.49)</f>
        <v>119.49</v>
      </c>
      <c r="P331" s="22">
        <f>IFERROR(__xludf.DUMMYFUNCTION("""COMPUTED_VALUE"""),9.0)</f>
        <v>9</v>
      </c>
      <c r="Q331" s="18">
        <f>IFERROR(__xludf.DUMMYFUNCTION("""COMPUTED_VALUE"""),1078.497)</f>
        <v>1078.497</v>
      </c>
      <c r="R331" s="18">
        <f>IFERROR(__xludf.DUMMYFUNCTION("""COMPUTED_VALUE"""),959.0070000000001)</f>
        <v>959.007</v>
      </c>
    </row>
    <row r="332">
      <c r="A332" s="21">
        <f>IFERROR(__xludf.DUMMYFUNCTION("""COMPUTED_VALUE"""),43452.0)</f>
        <v>43452</v>
      </c>
      <c r="B332" s="21" t="str">
        <f>IFERROR(__xludf.DUMMYFUNCTION("""COMPUTED_VALUE"""),"Dec")</f>
        <v>Dec</v>
      </c>
      <c r="C332" s="9">
        <f>IFERROR(__xludf.DUMMYFUNCTION("""COMPUTED_VALUE"""),43457.0)</f>
        <v>43457</v>
      </c>
      <c r="D332" s="23" t="str">
        <f>IFERROR(__xludf.DUMMYFUNCTION("""COMPUTED_VALUE"""),"Dec")</f>
        <v>Dec</v>
      </c>
      <c r="E332" s="21" t="str">
        <f>IFERROR(__xludf.DUMMYFUNCTION("""COMPUTED_VALUE"""),"2018")</f>
        <v>2018</v>
      </c>
      <c r="F332" s="22" t="str">
        <f>IFERROR(__xludf.DUMMYFUNCTION("""COMPUTED_VALUE"""),"Second Class")</f>
        <v>Second Class</v>
      </c>
      <c r="G332" s="22" t="str">
        <f>IFERROR(__xludf.DUMMYFUNCTION("""COMPUTED_VALUE"""),"Russell")</f>
        <v>Russell</v>
      </c>
      <c r="H332" s="22" t="str">
        <f>IFERROR(__xludf.DUMMYFUNCTION("""COMPUTED_VALUE"""),"Applegate")</f>
        <v>Applegate</v>
      </c>
      <c r="I332" s="22" t="str">
        <f>IFERROR(__xludf.DUMMYFUNCTION("""COMPUTED_VALUE"""),"Consumer")</f>
        <v>Consumer</v>
      </c>
      <c r="J332" s="22" t="str">
        <f>IFERROR(__xludf.DUMMYFUNCTION("""COMPUTED_VALUE"""),"Encinitas")</f>
        <v>Encinitas</v>
      </c>
      <c r="K332" s="22" t="str">
        <f>IFERROR(__xludf.DUMMYFUNCTION("""COMPUTED_VALUE"""),"California")</f>
        <v>California</v>
      </c>
      <c r="L332" s="22" t="str">
        <f>IFERROR(__xludf.DUMMYFUNCTION("""COMPUTED_VALUE"""),"West")</f>
        <v>West</v>
      </c>
      <c r="M332" s="22" t="str">
        <f>IFERROR(__xludf.DUMMYFUNCTION("""COMPUTED_VALUE"""),"Technology")</f>
        <v>Technology</v>
      </c>
      <c r="N332" s="18">
        <f>IFERROR(__xludf.DUMMYFUNCTION("""COMPUTED_VALUE"""),119.98)</f>
        <v>119.98</v>
      </c>
      <c r="O332" s="18">
        <f>IFERROR(__xludf.DUMMYFUNCTION("""COMPUTED_VALUE"""),119.77)</f>
        <v>119.77</v>
      </c>
      <c r="P332" s="22">
        <f>IFERROR(__xludf.DUMMYFUNCTION("""COMPUTED_VALUE"""),9.0)</f>
        <v>9</v>
      </c>
      <c r="Q332" s="18">
        <f>IFERROR(__xludf.DUMMYFUNCTION("""COMPUTED_VALUE"""),1079.82)</f>
        <v>1079.82</v>
      </c>
      <c r="R332" s="18">
        <f>IFERROR(__xludf.DUMMYFUNCTION("""COMPUTED_VALUE"""),960.05)</f>
        <v>960.05</v>
      </c>
    </row>
    <row r="333">
      <c r="A333" s="21">
        <f>IFERROR(__xludf.DUMMYFUNCTION("""COMPUTED_VALUE"""),42469.0)</f>
        <v>42469</v>
      </c>
      <c r="B333" s="21" t="str">
        <f>IFERROR(__xludf.DUMMYFUNCTION("""COMPUTED_VALUE"""),"Apr")</f>
        <v>Apr</v>
      </c>
      <c r="C333" s="9">
        <f>IFERROR(__xludf.DUMMYFUNCTION("""COMPUTED_VALUE"""),42591.0)</f>
        <v>42591</v>
      </c>
      <c r="D333" s="23" t="str">
        <f>IFERROR(__xludf.DUMMYFUNCTION("""COMPUTED_VALUE"""),"Aug")</f>
        <v>Aug</v>
      </c>
      <c r="E333" s="21" t="str">
        <f>IFERROR(__xludf.DUMMYFUNCTION("""COMPUTED_VALUE"""),"2016")</f>
        <v>2016</v>
      </c>
      <c r="F333" s="22" t="str">
        <f>IFERROR(__xludf.DUMMYFUNCTION("""COMPUTED_VALUE"""),"Standard Class")</f>
        <v>Standard Class</v>
      </c>
      <c r="G333" s="22" t="str">
        <f>IFERROR(__xludf.DUMMYFUNCTION("""COMPUTED_VALUE"""),"Christine")</f>
        <v>Christine</v>
      </c>
      <c r="H333" s="22" t="str">
        <f>IFERROR(__xludf.DUMMYFUNCTION("""COMPUTED_VALUE"""),"Sundaresam")</f>
        <v>Sundaresam</v>
      </c>
      <c r="I333" s="22" t="str">
        <f>IFERROR(__xludf.DUMMYFUNCTION("""COMPUTED_VALUE"""),"Consumer")</f>
        <v>Consumer</v>
      </c>
      <c r="J333" s="22" t="str">
        <f>IFERROR(__xludf.DUMMYFUNCTION("""COMPUTED_VALUE"""),"Roswell")</f>
        <v>Roswell</v>
      </c>
      <c r="K333" s="22" t="str">
        <f>IFERROR(__xludf.DUMMYFUNCTION("""COMPUTED_VALUE"""),"Georgia")</f>
        <v>Georgia</v>
      </c>
      <c r="L333" s="22" t="str">
        <f>IFERROR(__xludf.DUMMYFUNCTION("""COMPUTED_VALUE"""),"South")</f>
        <v>South</v>
      </c>
      <c r="M333" s="22" t="str">
        <f>IFERROR(__xludf.DUMMYFUNCTION("""COMPUTED_VALUE"""),"Office Supplies")</f>
        <v>Office Supplies</v>
      </c>
      <c r="N333" s="18">
        <f>IFERROR(__xludf.DUMMYFUNCTION("""COMPUTED_VALUE"""),279.9)</f>
        <v>279.9</v>
      </c>
      <c r="O333" s="18">
        <f>IFERROR(__xludf.DUMMYFUNCTION("""COMPUTED_VALUE"""),279.45)</f>
        <v>279.45</v>
      </c>
      <c r="P333" s="22">
        <f>IFERROR(__xludf.DUMMYFUNCTION("""COMPUTED_VALUE"""),3.0)</f>
        <v>3</v>
      </c>
      <c r="Q333" s="18">
        <f>IFERROR(__xludf.DUMMYFUNCTION("""COMPUTED_VALUE"""),839.6999999999999)</f>
        <v>839.7</v>
      </c>
      <c r="R333" s="18">
        <f>IFERROR(__xludf.DUMMYFUNCTION("""COMPUTED_VALUE"""),560.25)</f>
        <v>560.25</v>
      </c>
    </row>
    <row r="334">
      <c r="A334" s="21">
        <f>IFERROR(__xludf.DUMMYFUNCTION("""COMPUTED_VALUE"""),42469.0)</f>
        <v>42469</v>
      </c>
      <c r="B334" s="21" t="str">
        <f>IFERROR(__xludf.DUMMYFUNCTION("""COMPUTED_VALUE"""),"Apr")</f>
        <v>Apr</v>
      </c>
      <c r="C334" s="9">
        <f>IFERROR(__xludf.DUMMYFUNCTION("""COMPUTED_VALUE"""),42591.0)</f>
        <v>42591</v>
      </c>
      <c r="D334" s="23" t="str">
        <f>IFERROR(__xludf.DUMMYFUNCTION("""COMPUTED_VALUE"""),"Aug")</f>
        <v>Aug</v>
      </c>
      <c r="E334" s="21" t="str">
        <f>IFERROR(__xludf.DUMMYFUNCTION("""COMPUTED_VALUE"""),"2016")</f>
        <v>2016</v>
      </c>
      <c r="F334" s="22" t="str">
        <f>IFERROR(__xludf.DUMMYFUNCTION("""COMPUTED_VALUE"""),"Standard Class")</f>
        <v>Standard Class</v>
      </c>
      <c r="G334" s="22" t="str">
        <f>IFERROR(__xludf.DUMMYFUNCTION("""COMPUTED_VALUE"""),"Christine")</f>
        <v>Christine</v>
      </c>
      <c r="H334" s="22" t="str">
        <f>IFERROR(__xludf.DUMMYFUNCTION("""COMPUTED_VALUE"""),"Sundaresam")</f>
        <v>Sundaresam</v>
      </c>
      <c r="I334" s="22" t="str">
        <f>IFERROR(__xludf.DUMMYFUNCTION("""COMPUTED_VALUE"""),"Consumer")</f>
        <v>Consumer</v>
      </c>
      <c r="J334" s="22" t="str">
        <f>IFERROR(__xludf.DUMMYFUNCTION("""COMPUTED_VALUE"""),"Roswell")</f>
        <v>Roswell</v>
      </c>
      <c r="K334" s="22" t="str">
        <f>IFERROR(__xludf.DUMMYFUNCTION("""COMPUTED_VALUE"""),"Georgia")</f>
        <v>Georgia</v>
      </c>
      <c r="L334" s="22" t="str">
        <f>IFERROR(__xludf.DUMMYFUNCTION("""COMPUTED_VALUE"""),"South")</f>
        <v>South</v>
      </c>
      <c r="M334" s="22" t="str">
        <f>IFERROR(__xludf.DUMMYFUNCTION("""COMPUTED_VALUE"""),"Technology")</f>
        <v>Technology</v>
      </c>
      <c r="N334" s="18">
        <f>IFERROR(__xludf.DUMMYFUNCTION("""COMPUTED_VALUE"""),619.95)</f>
        <v>619.95</v>
      </c>
      <c r="O334" s="18">
        <f>IFERROR(__xludf.DUMMYFUNCTION("""COMPUTED_VALUE"""),619.12)</f>
        <v>619.12</v>
      </c>
      <c r="P334" s="22">
        <f>IFERROR(__xludf.DUMMYFUNCTION("""COMPUTED_VALUE"""),3.0)</f>
        <v>3</v>
      </c>
      <c r="Q334" s="18">
        <f>IFERROR(__xludf.DUMMYFUNCTION("""COMPUTED_VALUE"""),1859.8500000000001)</f>
        <v>1859.85</v>
      </c>
      <c r="R334" s="18">
        <f>IFERROR(__xludf.DUMMYFUNCTION("""COMPUTED_VALUE"""),1240.73)</f>
        <v>1240.73</v>
      </c>
    </row>
    <row r="335">
      <c r="A335" s="21">
        <f>IFERROR(__xludf.DUMMYFUNCTION("""COMPUTED_VALUE"""),42024.0)</f>
        <v>42024</v>
      </c>
      <c r="B335" s="21" t="str">
        <f>IFERROR(__xludf.DUMMYFUNCTION("""COMPUTED_VALUE"""),"Jan")</f>
        <v>Jan</v>
      </c>
      <c r="C335" s="9">
        <f>IFERROR(__xludf.DUMMYFUNCTION("""COMPUTED_VALUE"""),42030.0)</f>
        <v>42030</v>
      </c>
      <c r="D335" s="23" t="str">
        <f>IFERROR(__xludf.DUMMYFUNCTION("""COMPUTED_VALUE"""),"Jan")</f>
        <v>Jan</v>
      </c>
      <c r="E335" s="21" t="str">
        <f>IFERROR(__xludf.DUMMYFUNCTION("""COMPUTED_VALUE"""),"2015")</f>
        <v>2015</v>
      </c>
      <c r="F335" s="22" t="str">
        <f>IFERROR(__xludf.DUMMYFUNCTION("""COMPUTED_VALUE"""),"Standard Class")</f>
        <v>Standard Class</v>
      </c>
      <c r="G335" s="22" t="str">
        <f>IFERROR(__xludf.DUMMYFUNCTION("""COMPUTED_VALUE"""),"Hunter")</f>
        <v>Hunter</v>
      </c>
      <c r="H335" s="22" t="str">
        <f>IFERROR(__xludf.DUMMYFUNCTION("""COMPUTED_VALUE"""),"Lopez")</f>
        <v>Lopez</v>
      </c>
      <c r="I335" s="22" t="str">
        <f>IFERROR(__xludf.DUMMYFUNCTION("""COMPUTED_VALUE"""),"Consumer")</f>
        <v>Consumer</v>
      </c>
      <c r="J335" s="22" t="str">
        <f>IFERROR(__xludf.DUMMYFUNCTION("""COMPUTED_VALUE"""),"Jonesboro")</f>
        <v>Jonesboro</v>
      </c>
      <c r="K335" s="22" t="str">
        <f>IFERROR(__xludf.DUMMYFUNCTION("""COMPUTED_VALUE"""),"Arkansas")</f>
        <v>Arkansas</v>
      </c>
      <c r="L335" s="22" t="str">
        <f>IFERROR(__xludf.DUMMYFUNCTION("""COMPUTED_VALUE"""),"South")</f>
        <v>South</v>
      </c>
      <c r="M335" s="22" t="str">
        <f>IFERROR(__xludf.DUMMYFUNCTION("""COMPUTED_VALUE"""),"Technology")</f>
        <v>Technology</v>
      </c>
      <c r="N335" s="18">
        <f>IFERROR(__xludf.DUMMYFUNCTION("""COMPUTED_VALUE"""),699.93)</f>
        <v>699.93</v>
      </c>
      <c r="O335" s="18">
        <f>IFERROR(__xludf.DUMMYFUNCTION("""COMPUTED_VALUE"""),699.67)</f>
        <v>699.67</v>
      </c>
      <c r="P335" s="22">
        <f>IFERROR(__xludf.DUMMYFUNCTION("""COMPUTED_VALUE"""),7.0)</f>
        <v>7</v>
      </c>
      <c r="Q335" s="18">
        <f>IFERROR(__xludf.DUMMYFUNCTION("""COMPUTED_VALUE"""),4899.509999999999)</f>
        <v>4899.51</v>
      </c>
      <c r="R335" s="18">
        <f>IFERROR(__xludf.DUMMYFUNCTION("""COMPUTED_VALUE"""),4199.839999999999)</f>
        <v>4199.84</v>
      </c>
    </row>
    <row r="336">
      <c r="A336" s="21">
        <f>IFERROR(__xludf.DUMMYFUNCTION("""COMPUTED_VALUE"""),42024.0)</f>
        <v>42024</v>
      </c>
      <c r="B336" s="21" t="str">
        <f>IFERROR(__xludf.DUMMYFUNCTION("""COMPUTED_VALUE"""),"Jan")</f>
        <v>Jan</v>
      </c>
      <c r="C336" s="9">
        <f>IFERROR(__xludf.DUMMYFUNCTION("""COMPUTED_VALUE"""),42030.0)</f>
        <v>42030</v>
      </c>
      <c r="D336" s="23" t="str">
        <f>IFERROR(__xludf.DUMMYFUNCTION("""COMPUTED_VALUE"""),"Jan")</f>
        <v>Jan</v>
      </c>
      <c r="E336" s="21" t="str">
        <f>IFERROR(__xludf.DUMMYFUNCTION("""COMPUTED_VALUE"""),"2015")</f>
        <v>2015</v>
      </c>
      <c r="F336" s="22" t="str">
        <f>IFERROR(__xludf.DUMMYFUNCTION("""COMPUTED_VALUE"""),"Standard Class")</f>
        <v>Standard Class</v>
      </c>
      <c r="G336" s="22" t="str">
        <f>IFERROR(__xludf.DUMMYFUNCTION("""COMPUTED_VALUE"""),"Hunter")</f>
        <v>Hunter</v>
      </c>
      <c r="H336" s="22" t="str">
        <f>IFERROR(__xludf.DUMMYFUNCTION("""COMPUTED_VALUE"""),"Lopez")</f>
        <v>Lopez</v>
      </c>
      <c r="I336" s="22" t="str">
        <f>IFERROR(__xludf.DUMMYFUNCTION("""COMPUTED_VALUE"""),"Consumer")</f>
        <v>Consumer</v>
      </c>
      <c r="J336" s="22" t="str">
        <f>IFERROR(__xludf.DUMMYFUNCTION("""COMPUTED_VALUE"""),"Jonesboro")</f>
        <v>Jonesboro</v>
      </c>
      <c r="K336" s="22" t="str">
        <f>IFERROR(__xludf.DUMMYFUNCTION("""COMPUTED_VALUE"""),"Arkansas")</f>
        <v>Arkansas</v>
      </c>
      <c r="L336" s="22" t="str">
        <f>IFERROR(__xludf.DUMMYFUNCTION("""COMPUTED_VALUE"""),"South")</f>
        <v>South</v>
      </c>
      <c r="M336" s="22" t="str">
        <f>IFERROR(__xludf.DUMMYFUNCTION("""COMPUTED_VALUE"""),"Furniture")</f>
        <v>Furniture</v>
      </c>
      <c r="N336" s="18">
        <f>IFERROR(__xludf.DUMMYFUNCTION("""COMPUTED_VALUE"""),1067.94)</f>
        <v>1067.94</v>
      </c>
      <c r="O336" s="18">
        <f>IFERROR(__xludf.DUMMYFUNCTION("""COMPUTED_VALUE"""),1067.08)</f>
        <v>1067.08</v>
      </c>
      <c r="P336" s="22">
        <f>IFERROR(__xludf.DUMMYFUNCTION("""COMPUTED_VALUE"""),7.0)</f>
        <v>7</v>
      </c>
      <c r="Q336" s="18">
        <f>IFERROR(__xludf.DUMMYFUNCTION("""COMPUTED_VALUE"""),7475.58)</f>
        <v>7475.58</v>
      </c>
      <c r="R336" s="18">
        <f>IFERROR(__xludf.DUMMYFUNCTION("""COMPUTED_VALUE"""),6408.5)</f>
        <v>6408.5</v>
      </c>
    </row>
    <row r="337">
      <c r="A337" s="21">
        <f>IFERROR(__xludf.DUMMYFUNCTION("""COMPUTED_VALUE"""),43080.0)</f>
        <v>43080</v>
      </c>
      <c r="B337" s="21" t="str">
        <f>IFERROR(__xludf.DUMMYFUNCTION("""COMPUTED_VALUE"""),"Dec")</f>
        <v>Dec</v>
      </c>
      <c r="C337" s="9">
        <f>IFERROR(__xludf.DUMMYFUNCTION("""COMPUTED_VALUE"""),43054.0)</f>
        <v>43054</v>
      </c>
      <c r="D337" s="23" t="str">
        <f>IFERROR(__xludf.DUMMYFUNCTION("""COMPUTED_VALUE"""),"Nov")</f>
        <v>Nov</v>
      </c>
      <c r="E337" s="21" t="str">
        <f>IFERROR(__xludf.DUMMYFUNCTION("""COMPUTED_VALUE"""),"2017")</f>
        <v>2017</v>
      </c>
      <c r="F337" s="22" t="str">
        <f>IFERROR(__xludf.DUMMYFUNCTION("""COMPUTED_VALUE"""),"Second Class")</f>
        <v>Second Class</v>
      </c>
      <c r="G337" s="22" t="str">
        <f>IFERROR(__xludf.DUMMYFUNCTION("""COMPUTED_VALUE"""),"Frank")</f>
        <v>Frank</v>
      </c>
      <c r="H337" s="22" t="str">
        <f>IFERROR(__xludf.DUMMYFUNCTION("""COMPUTED_VALUE"""),"Hawley")</f>
        <v>Hawley</v>
      </c>
      <c r="I337" s="22" t="str">
        <f>IFERROR(__xludf.DUMMYFUNCTION("""COMPUTED_VALUE"""),"Corporate")</f>
        <v>Corporate</v>
      </c>
      <c r="J337" s="22" t="str">
        <f>IFERROR(__xludf.DUMMYFUNCTION("""COMPUTED_VALUE"""),"La Porte")</f>
        <v>La Porte</v>
      </c>
      <c r="K337" s="22" t="str">
        <f>IFERROR(__xludf.DUMMYFUNCTION("""COMPUTED_VALUE"""),"Indiana")</f>
        <v>Indiana</v>
      </c>
      <c r="L337" s="22" t="str">
        <f>IFERROR(__xludf.DUMMYFUNCTION("""COMPUTED_VALUE"""),"Central")</f>
        <v>Central</v>
      </c>
      <c r="M337" s="22" t="str">
        <f>IFERROR(__xludf.DUMMYFUNCTION("""COMPUTED_VALUE"""),"Office Supplies")</f>
        <v>Office Supplies</v>
      </c>
      <c r="N337" s="18">
        <f>IFERROR(__xludf.DUMMYFUNCTION("""COMPUTED_VALUE"""),287.52)</f>
        <v>287.52</v>
      </c>
      <c r="O337" s="18">
        <f>IFERROR(__xludf.DUMMYFUNCTION("""COMPUTED_VALUE"""),287.48)</f>
        <v>287.48</v>
      </c>
      <c r="P337" s="22">
        <f>IFERROR(__xludf.DUMMYFUNCTION("""COMPUTED_VALUE"""),4.0)</f>
        <v>4</v>
      </c>
      <c r="Q337" s="18">
        <f>IFERROR(__xludf.DUMMYFUNCTION("""COMPUTED_VALUE"""),1150.08)</f>
        <v>1150.08</v>
      </c>
      <c r="R337" s="18">
        <f>IFERROR(__xludf.DUMMYFUNCTION("""COMPUTED_VALUE"""),862.5999999999999)</f>
        <v>862.6</v>
      </c>
    </row>
    <row r="338">
      <c r="A338" s="21">
        <f>IFERROR(__xludf.DUMMYFUNCTION("""COMPUTED_VALUE"""),42276.0)</f>
        <v>42276</v>
      </c>
      <c r="B338" s="21" t="str">
        <f>IFERROR(__xludf.DUMMYFUNCTION("""COMPUTED_VALUE"""),"Sep")</f>
        <v>Sep</v>
      </c>
      <c r="C338" s="9">
        <f>IFERROR(__xludf.DUMMYFUNCTION("""COMPUTED_VALUE"""),42073.0)</f>
        <v>42073</v>
      </c>
      <c r="D338" s="23" t="str">
        <f>IFERROR(__xludf.DUMMYFUNCTION("""COMPUTED_VALUE"""),"Mar")</f>
        <v>Mar</v>
      </c>
      <c r="E338" s="21" t="str">
        <f>IFERROR(__xludf.DUMMYFUNCTION("""COMPUTED_VALUE"""),"2015")</f>
        <v>2015</v>
      </c>
      <c r="F338" s="22" t="str">
        <f>IFERROR(__xludf.DUMMYFUNCTION("""COMPUTED_VALUE"""),"Standard Class")</f>
        <v>Standard Class</v>
      </c>
      <c r="G338" s="22" t="str">
        <f>IFERROR(__xludf.DUMMYFUNCTION("""COMPUTED_VALUE"""),"Arthur")</f>
        <v>Arthur</v>
      </c>
      <c r="H338" s="22" t="str">
        <f>IFERROR(__xludf.DUMMYFUNCTION("""COMPUTED_VALUE"""),"Prichep")</f>
        <v>Prichep</v>
      </c>
      <c r="I338" s="22" t="str">
        <f>IFERROR(__xludf.DUMMYFUNCTION("""COMPUTED_VALUE"""),"Consumer")</f>
        <v>Consumer</v>
      </c>
      <c r="J338" s="22" t="str">
        <f>IFERROR(__xludf.DUMMYFUNCTION("""COMPUTED_VALUE"""),"Los Angeles")</f>
        <v>Los Angeles</v>
      </c>
      <c r="K338" s="22" t="str">
        <f>IFERROR(__xludf.DUMMYFUNCTION("""COMPUTED_VALUE"""),"California")</f>
        <v>California</v>
      </c>
      <c r="L338" s="22" t="str">
        <f>IFERROR(__xludf.DUMMYFUNCTION("""COMPUTED_VALUE"""),"West")</f>
        <v>West</v>
      </c>
      <c r="M338" s="22" t="str">
        <f>IFERROR(__xludf.DUMMYFUNCTION("""COMPUTED_VALUE"""),"Furniture")</f>
        <v>Furniture</v>
      </c>
      <c r="N338" s="18">
        <f>IFERROR(__xludf.DUMMYFUNCTION("""COMPUTED_VALUE"""),204.6)</f>
        <v>204.6</v>
      </c>
      <c r="O338" s="18">
        <f>IFERROR(__xludf.DUMMYFUNCTION("""COMPUTED_VALUE"""),203.77)</f>
        <v>203.77</v>
      </c>
      <c r="P338" s="22">
        <f>IFERROR(__xludf.DUMMYFUNCTION("""COMPUTED_VALUE"""),9.0)</f>
        <v>9</v>
      </c>
      <c r="Q338" s="18">
        <f>IFERROR(__xludf.DUMMYFUNCTION("""COMPUTED_VALUE"""),1841.3999999999999)</f>
        <v>1841.4</v>
      </c>
      <c r="R338" s="18">
        <f>IFERROR(__xludf.DUMMYFUNCTION("""COMPUTED_VALUE"""),1637.6299999999999)</f>
        <v>1637.63</v>
      </c>
    </row>
    <row r="339">
      <c r="A339" s="21">
        <f>IFERROR(__xludf.DUMMYFUNCTION("""COMPUTED_VALUE"""),42276.0)</f>
        <v>42276</v>
      </c>
      <c r="B339" s="21" t="str">
        <f>IFERROR(__xludf.DUMMYFUNCTION("""COMPUTED_VALUE"""),"Sep")</f>
        <v>Sep</v>
      </c>
      <c r="C339" s="9">
        <f>IFERROR(__xludf.DUMMYFUNCTION("""COMPUTED_VALUE"""),42073.0)</f>
        <v>42073</v>
      </c>
      <c r="D339" s="23" t="str">
        <f>IFERROR(__xludf.DUMMYFUNCTION("""COMPUTED_VALUE"""),"Mar")</f>
        <v>Mar</v>
      </c>
      <c r="E339" s="21" t="str">
        <f>IFERROR(__xludf.DUMMYFUNCTION("""COMPUTED_VALUE"""),"2015")</f>
        <v>2015</v>
      </c>
      <c r="F339" s="22" t="str">
        <f>IFERROR(__xludf.DUMMYFUNCTION("""COMPUTED_VALUE"""),"Standard Class")</f>
        <v>Standard Class</v>
      </c>
      <c r="G339" s="22" t="str">
        <f>IFERROR(__xludf.DUMMYFUNCTION("""COMPUTED_VALUE"""),"Arthur")</f>
        <v>Arthur</v>
      </c>
      <c r="H339" s="22" t="str">
        <f>IFERROR(__xludf.DUMMYFUNCTION("""COMPUTED_VALUE"""),"Prichep")</f>
        <v>Prichep</v>
      </c>
      <c r="I339" s="22" t="str">
        <f>IFERROR(__xludf.DUMMYFUNCTION("""COMPUTED_VALUE"""),"Consumer")</f>
        <v>Consumer</v>
      </c>
      <c r="J339" s="22" t="str">
        <f>IFERROR(__xludf.DUMMYFUNCTION("""COMPUTED_VALUE"""),"Los Angeles")</f>
        <v>Los Angeles</v>
      </c>
      <c r="K339" s="22" t="str">
        <f>IFERROR(__xludf.DUMMYFUNCTION("""COMPUTED_VALUE"""),"California")</f>
        <v>California</v>
      </c>
      <c r="L339" s="22" t="str">
        <f>IFERROR(__xludf.DUMMYFUNCTION("""COMPUTED_VALUE"""),"West")</f>
        <v>West</v>
      </c>
      <c r="M339" s="22" t="str">
        <f>IFERROR(__xludf.DUMMYFUNCTION("""COMPUTED_VALUE"""),"Technology")</f>
        <v>Technology</v>
      </c>
      <c r="N339" s="18">
        <f>IFERROR(__xludf.DUMMYFUNCTION("""COMPUTED_VALUE"""),686.32)</f>
        <v>686.32</v>
      </c>
      <c r="O339" s="18">
        <f>IFERROR(__xludf.DUMMYFUNCTION("""COMPUTED_VALUE"""),685.34)</f>
        <v>685.34</v>
      </c>
      <c r="P339" s="22">
        <f>IFERROR(__xludf.DUMMYFUNCTION("""COMPUTED_VALUE"""),9.0)</f>
        <v>9</v>
      </c>
      <c r="Q339" s="18">
        <f>IFERROR(__xludf.DUMMYFUNCTION("""COMPUTED_VALUE"""),6176.88)</f>
        <v>6176.88</v>
      </c>
      <c r="R339" s="18">
        <f>IFERROR(__xludf.DUMMYFUNCTION("""COMPUTED_VALUE"""),5491.54)</f>
        <v>5491.54</v>
      </c>
    </row>
    <row r="340">
      <c r="A340" s="21">
        <f>IFERROR(__xludf.DUMMYFUNCTION("""COMPUTED_VALUE"""),42464.0)</f>
        <v>42464</v>
      </c>
      <c r="B340" s="21" t="str">
        <f>IFERROR(__xludf.DUMMYFUNCTION("""COMPUTED_VALUE"""),"Apr")</f>
        <v>Apr</v>
      </c>
      <c r="C340" s="9">
        <f>IFERROR(__xludf.DUMMYFUNCTION("""COMPUTED_VALUE"""),42464.0)</f>
        <v>42464</v>
      </c>
      <c r="D340" s="23" t="str">
        <f>IFERROR(__xludf.DUMMYFUNCTION("""COMPUTED_VALUE"""),"Apr")</f>
        <v>Apr</v>
      </c>
      <c r="E340" s="21" t="str">
        <f>IFERROR(__xludf.DUMMYFUNCTION("""COMPUTED_VALUE"""),"2016")</f>
        <v>2016</v>
      </c>
      <c r="F340" s="22" t="str">
        <f>IFERROR(__xludf.DUMMYFUNCTION("""COMPUTED_VALUE"""),"Same Day")</f>
        <v>Same Day</v>
      </c>
      <c r="G340" s="22" t="str">
        <f>IFERROR(__xludf.DUMMYFUNCTION("""COMPUTED_VALUE"""),"Nat")</f>
        <v>Nat</v>
      </c>
      <c r="H340" s="22" t="str">
        <f>IFERROR(__xludf.DUMMYFUNCTION("""COMPUTED_VALUE"""),"Carroll")</f>
        <v>Carroll</v>
      </c>
      <c r="I340" s="22" t="str">
        <f>IFERROR(__xludf.DUMMYFUNCTION("""COMPUTED_VALUE"""),"Consumer")</f>
        <v>Consumer</v>
      </c>
      <c r="J340" s="22" t="str">
        <f>IFERROR(__xludf.DUMMYFUNCTION("""COMPUTED_VALUE"""),"Lansing")</f>
        <v>Lansing</v>
      </c>
      <c r="K340" s="22" t="str">
        <f>IFERROR(__xludf.DUMMYFUNCTION("""COMPUTED_VALUE"""),"Michigan")</f>
        <v>Michigan</v>
      </c>
      <c r="L340" s="22" t="str">
        <f>IFERROR(__xludf.DUMMYFUNCTION("""COMPUTED_VALUE"""),"Central")</f>
        <v>Central</v>
      </c>
      <c r="M340" s="22" t="str">
        <f>IFERROR(__xludf.DUMMYFUNCTION("""COMPUTED_VALUE"""),"Office Supplies")</f>
        <v>Office Supplies</v>
      </c>
      <c r="N340" s="18">
        <f>IFERROR(__xludf.DUMMYFUNCTION("""COMPUTED_VALUE"""),644.076)</f>
        <v>644.076</v>
      </c>
      <c r="O340" s="18">
        <f>IFERROR(__xludf.DUMMYFUNCTION("""COMPUTED_VALUE"""),643.51)</f>
        <v>643.51</v>
      </c>
      <c r="P340" s="22">
        <f>IFERROR(__xludf.DUMMYFUNCTION("""COMPUTED_VALUE"""),4.0)</f>
        <v>4</v>
      </c>
      <c r="Q340" s="18">
        <f>IFERROR(__xludf.DUMMYFUNCTION("""COMPUTED_VALUE"""),2576.304)</f>
        <v>2576.304</v>
      </c>
      <c r="R340" s="18">
        <f>IFERROR(__xludf.DUMMYFUNCTION("""COMPUTED_VALUE"""),1932.794)</f>
        <v>1932.794</v>
      </c>
    </row>
    <row r="341">
      <c r="A341" s="21">
        <f>IFERROR(__xludf.DUMMYFUNCTION("""COMPUTED_VALUE"""),42464.0)</f>
        <v>42464</v>
      </c>
      <c r="B341" s="21" t="str">
        <f>IFERROR(__xludf.DUMMYFUNCTION("""COMPUTED_VALUE"""),"Apr")</f>
        <v>Apr</v>
      </c>
      <c r="C341" s="9">
        <f>IFERROR(__xludf.DUMMYFUNCTION("""COMPUTED_VALUE"""),42464.0)</f>
        <v>42464</v>
      </c>
      <c r="D341" s="23" t="str">
        <f>IFERROR(__xludf.DUMMYFUNCTION("""COMPUTED_VALUE"""),"Apr")</f>
        <v>Apr</v>
      </c>
      <c r="E341" s="21" t="str">
        <f>IFERROR(__xludf.DUMMYFUNCTION("""COMPUTED_VALUE"""),"2016")</f>
        <v>2016</v>
      </c>
      <c r="F341" s="22" t="str">
        <f>IFERROR(__xludf.DUMMYFUNCTION("""COMPUTED_VALUE"""),"Same Day")</f>
        <v>Same Day</v>
      </c>
      <c r="G341" s="22" t="str">
        <f>IFERROR(__xludf.DUMMYFUNCTION("""COMPUTED_VALUE"""),"Nat")</f>
        <v>Nat</v>
      </c>
      <c r="H341" s="22" t="str">
        <f>IFERROR(__xludf.DUMMYFUNCTION("""COMPUTED_VALUE"""),"Carroll")</f>
        <v>Carroll</v>
      </c>
      <c r="I341" s="22" t="str">
        <f>IFERROR(__xludf.DUMMYFUNCTION("""COMPUTED_VALUE"""),"Consumer")</f>
        <v>Consumer</v>
      </c>
      <c r="J341" s="22" t="str">
        <f>IFERROR(__xludf.DUMMYFUNCTION("""COMPUTED_VALUE"""),"Lansing")</f>
        <v>Lansing</v>
      </c>
      <c r="K341" s="22" t="str">
        <f>IFERROR(__xludf.DUMMYFUNCTION("""COMPUTED_VALUE"""),"Michigan")</f>
        <v>Michigan</v>
      </c>
      <c r="L341" s="22" t="str">
        <f>IFERROR(__xludf.DUMMYFUNCTION("""COMPUTED_VALUE"""),"Central")</f>
        <v>Central</v>
      </c>
      <c r="M341" s="22" t="str">
        <f>IFERROR(__xludf.DUMMYFUNCTION("""COMPUTED_VALUE"""),"Technology")</f>
        <v>Technology</v>
      </c>
      <c r="N341" s="18">
        <f>IFERROR(__xludf.DUMMYFUNCTION("""COMPUTED_VALUE"""),599.98)</f>
        <v>599.98</v>
      </c>
      <c r="O341" s="18">
        <f>IFERROR(__xludf.DUMMYFUNCTION("""COMPUTED_VALUE"""),599.61)</f>
        <v>599.61</v>
      </c>
      <c r="P341" s="22">
        <f>IFERROR(__xludf.DUMMYFUNCTION("""COMPUTED_VALUE"""),4.0)</f>
        <v>4</v>
      </c>
      <c r="Q341" s="18">
        <f>IFERROR(__xludf.DUMMYFUNCTION("""COMPUTED_VALUE"""),2399.92)</f>
        <v>2399.92</v>
      </c>
      <c r="R341" s="18">
        <f>IFERROR(__xludf.DUMMYFUNCTION("""COMPUTED_VALUE"""),1800.31)</f>
        <v>1800.31</v>
      </c>
    </row>
    <row r="342">
      <c r="A342" s="21">
        <f>IFERROR(__xludf.DUMMYFUNCTION("""COMPUTED_VALUE"""),43100.0)</f>
        <v>43100</v>
      </c>
      <c r="B342" s="21" t="str">
        <f>IFERROR(__xludf.DUMMYFUNCTION("""COMPUTED_VALUE"""),"Dec")</f>
        <v>Dec</v>
      </c>
      <c r="C342" s="9">
        <f>IFERROR(__xludf.DUMMYFUNCTION("""COMPUTED_VALUE"""),43252.0)</f>
        <v>43252</v>
      </c>
      <c r="D342" s="23" t="str">
        <f>IFERROR(__xludf.DUMMYFUNCTION("""COMPUTED_VALUE"""),"Jun")</f>
        <v>Jun</v>
      </c>
      <c r="E342" s="21" t="str">
        <f>IFERROR(__xludf.DUMMYFUNCTION("""COMPUTED_VALUE"""),"2018")</f>
        <v>2018</v>
      </c>
      <c r="F342" s="22" t="str">
        <f>IFERROR(__xludf.DUMMYFUNCTION("""COMPUTED_VALUE"""),"Standard Class")</f>
        <v>Standard Class</v>
      </c>
      <c r="G342" s="22" t="str">
        <f>IFERROR(__xludf.DUMMYFUNCTION("""COMPUTED_VALUE"""),"Kelly")</f>
        <v>Kelly</v>
      </c>
      <c r="H342" s="22" t="str">
        <f>IFERROR(__xludf.DUMMYFUNCTION("""COMPUTED_VALUE"""),"Lampkin")</f>
        <v>Lampkin</v>
      </c>
      <c r="I342" s="22" t="str">
        <f>IFERROR(__xludf.DUMMYFUNCTION("""COMPUTED_VALUE"""),"Corporate")</f>
        <v>Corporate</v>
      </c>
      <c r="J342" s="22" t="str">
        <f>IFERROR(__xludf.DUMMYFUNCTION("""COMPUTED_VALUE"""),"Reno")</f>
        <v>Reno</v>
      </c>
      <c r="K342" s="22" t="str">
        <f>IFERROR(__xludf.DUMMYFUNCTION("""COMPUTED_VALUE"""),"Nevada")</f>
        <v>Nevada</v>
      </c>
      <c r="L342" s="22" t="str">
        <f>IFERROR(__xludf.DUMMYFUNCTION("""COMPUTED_VALUE"""),"West")</f>
        <v>West</v>
      </c>
      <c r="M342" s="22" t="str">
        <f>IFERROR(__xludf.DUMMYFUNCTION("""COMPUTED_VALUE"""),"Office Supplies")</f>
        <v>Office Supplies</v>
      </c>
      <c r="N342" s="18">
        <f>IFERROR(__xludf.DUMMYFUNCTION("""COMPUTED_VALUE"""),159.768)</f>
        <v>159.768</v>
      </c>
      <c r="O342" s="18">
        <f>IFERROR(__xludf.DUMMYFUNCTION("""COMPUTED_VALUE"""),158.89)</f>
        <v>158.89</v>
      </c>
      <c r="P342" s="22">
        <f>IFERROR(__xludf.DUMMYFUNCTION("""COMPUTED_VALUE"""),8.0)</f>
        <v>8</v>
      </c>
      <c r="Q342" s="18">
        <f>IFERROR(__xludf.DUMMYFUNCTION("""COMPUTED_VALUE"""),1278.144)</f>
        <v>1278.144</v>
      </c>
      <c r="R342" s="18">
        <f>IFERROR(__xludf.DUMMYFUNCTION("""COMPUTED_VALUE"""),1119.254)</f>
        <v>1119.254</v>
      </c>
    </row>
    <row r="343">
      <c r="A343" s="21">
        <f>IFERROR(__xludf.DUMMYFUNCTION("""COMPUTED_VALUE"""),42358.0)</f>
        <v>42358</v>
      </c>
      <c r="B343" s="21" t="str">
        <f>IFERROR(__xludf.DUMMYFUNCTION("""COMPUTED_VALUE"""),"Dec")</f>
        <v>Dec</v>
      </c>
      <c r="C343" s="9">
        <f>IFERROR(__xludf.DUMMYFUNCTION("""COMPUTED_VALUE"""),42359.0)</f>
        <v>42359</v>
      </c>
      <c r="D343" s="23" t="str">
        <f>IFERROR(__xludf.DUMMYFUNCTION("""COMPUTED_VALUE"""),"Dec")</f>
        <v>Dec</v>
      </c>
      <c r="E343" s="21" t="str">
        <f>IFERROR(__xludf.DUMMYFUNCTION("""COMPUTED_VALUE"""),"2015")</f>
        <v>2015</v>
      </c>
      <c r="F343" s="22" t="str">
        <f>IFERROR(__xludf.DUMMYFUNCTION("""COMPUTED_VALUE"""),"First Class")</f>
        <v>First Class</v>
      </c>
      <c r="G343" s="22" t="str">
        <f>IFERROR(__xludf.DUMMYFUNCTION("""COMPUTED_VALUE"""),"Penelope")</f>
        <v>Penelope</v>
      </c>
      <c r="H343" s="22" t="str">
        <f>IFERROR(__xludf.DUMMYFUNCTION("""COMPUTED_VALUE"""),"Sewall")</f>
        <v>Sewall</v>
      </c>
      <c r="I343" s="22" t="str">
        <f>IFERROR(__xludf.DUMMYFUNCTION("""COMPUTED_VALUE"""),"Home Office")</f>
        <v>Home Office</v>
      </c>
      <c r="J343" s="22" t="str">
        <f>IFERROR(__xludf.DUMMYFUNCTION("""COMPUTED_VALUE"""),"Harrisonburg")</f>
        <v>Harrisonburg</v>
      </c>
      <c r="K343" s="22" t="str">
        <f>IFERROR(__xludf.DUMMYFUNCTION("""COMPUTED_VALUE"""),"Virginia")</f>
        <v>Virginia</v>
      </c>
      <c r="L343" s="22" t="str">
        <f>IFERROR(__xludf.DUMMYFUNCTION("""COMPUTED_VALUE"""),"South")</f>
        <v>South</v>
      </c>
      <c r="M343" s="22" t="str">
        <f>IFERROR(__xludf.DUMMYFUNCTION("""COMPUTED_VALUE"""),"Furniture")</f>
        <v>Furniture</v>
      </c>
      <c r="N343" s="18">
        <f>IFERROR(__xludf.DUMMYFUNCTION("""COMPUTED_VALUE"""),2244.48)</f>
        <v>2244.48</v>
      </c>
      <c r="O343" s="18">
        <f>IFERROR(__xludf.DUMMYFUNCTION("""COMPUTED_VALUE"""),2244.2)</f>
        <v>2244.2</v>
      </c>
      <c r="P343" s="22">
        <f>IFERROR(__xludf.DUMMYFUNCTION("""COMPUTED_VALUE"""),2.0)</f>
        <v>2</v>
      </c>
      <c r="Q343" s="18">
        <f>IFERROR(__xludf.DUMMYFUNCTION("""COMPUTED_VALUE"""),4488.96)</f>
        <v>4488.96</v>
      </c>
      <c r="R343" s="18">
        <f>IFERROR(__xludf.DUMMYFUNCTION("""COMPUTED_VALUE"""),2244.76)</f>
        <v>2244.76</v>
      </c>
    </row>
    <row r="344">
      <c r="A344" s="21">
        <f>IFERROR(__xludf.DUMMYFUNCTION("""COMPUTED_VALUE"""),42773.0)</f>
        <v>42773</v>
      </c>
      <c r="B344" s="21" t="str">
        <f>IFERROR(__xludf.DUMMYFUNCTION("""COMPUTED_VALUE"""),"Feb")</f>
        <v>Feb</v>
      </c>
      <c r="C344" s="9">
        <f>IFERROR(__xludf.DUMMYFUNCTION("""COMPUTED_VALUE"""),42923.0)</f>
        <v>42923</v>
      </c>
      <c r="D344" s="23" t="str">
        <f>IFERROR(__xludf.DUMMYFUNCTION("""COMPUTED_VALUE"""),"Jul")</f>
        <v>Jul</v>
      </c>
      <c r="E344" s="21" t="str">
        <f>IFERROR(__xludf.DUMMYFUNCTION("""COMPUTED_VALUE"""),"2017")</f>
        <v>2017</v>
      </c>
      <c r="F344" s="22" t="str">
        <f>IFERROR(__xludf.DUMMYFUNCTION("""COMPUTED_VALUE"""),"Second Class")</f>
        <v>Second Class</v>
      </c>
      <c r="G344" s="22" t="str">
        <f>IFERROR(__xludf.DUMMYFUNCTION("""COMPUTED_VALUE"""),"George")</f>
        <v>George</v>
      </c>
      <c r="H344" s="22" t="str">
        <f>IFERROR(__xludf.DUMMYFUNCTION("""COMPUTED_VALUE"""),"Bell")</f>
        <v>Bell</v>
      </c>
      <c r="I344" s="22" t="str">
        <f>IFERROR(__xludf.DUMMYFUNCTION("""COMPUTED_VALUE"""),"Corporate")</f>
        <v>Corporate</v>
      </c>
      <c r="J344" s="22" t="str">
        <f>IFERROR(__xludf.DUMMYFUNCTION("""COMPUTED_VALUE"""),"Los Angeles")</f>
        <v>Los Angeles</v>
      </c>
      <c r="K344" s="22" t="str">
        <f>IFERROR(__xludf.DUMMYFUNCTION("""COMPUTED_VALUE"""),"California")</f>
        <v>California</v>
      </c>
      <c r="L344" s="22" t="str">
        <f>IFERROR(__xludf.DUMMYFUNCTION("""COMPUTED_VALUE"""),"West")</f>
        <v>West</v>
      </c>
      <c r="M344" s="22" t="str">
        <f>IFERROR(__xludf.DUMMYFUNCTION("""COMPUTED_VALUE"""),"Furniture")</f>
        <v>Furniture</v>
      </c>
      <c r="N344" s="18">
        <f>IFERROR(__xludf.DUMMYFUNCTION("""COMPUTED_VALUE"""),195.184)</f>
        <v>195.184</v>
      </c>
      <c r="O344" s="18">
        <f>IFERROR(__xludf.DUMMYFUNCTION("""COMPUTED_VALUE"""),195.02)</f>
        <v>195.02</v>
      </c>
      <c r="P344" s="22">
        <f>IFERROR(__xludf.DUMMYFUNCTION("""COMPUTED_VALUE"""),9.0)</f>
        <v>9</v>
      </c>
      <c r="Q344" s="18">
        <f>IFERROR(__xludf.DUMMYFUNCTION("""COMPUTED_VALUE"""),1756.656)</f>
        <v>1756.656</v>
      </c>
      <c r="R344" s="18">
        <f>IFERROR(__xludf.DUMMYFUNCTION("""COMPUTED_VALUE"""),1561.636)</f>
        <v>1561.636</v>
      </c>
    </row>
    <row r="345">
      <c r="A345" s="21">
        <f>IFERROR(__xludf.DUMMYFUNCTION("""COMPUTED_VALUE"""),43280.0)</f>
        <v>43280</v>
      </c>
      <c r="B345" s="21" t="str">
        <f>IFERROR(__xludf.DUMMYFUNCTION("""COMPUTED_VALUE"""),"Jun")</f>
        <v>Jun</v>
      </c>
      <c r="C345" s="9">
        <f>IFERROR(__xludf.DUMMYFUNCTION("""COMPUTED_VALUE"""),43197.0)</f>
        <v>43197</v>
      </c>
      <c r="D345" s="23" t="str">
        <f>IFERROR(__xludf.DUMMYFUNCTION("""COMPUTED_VALUE"""),"Apr")</f>
        <v>Apr</v>
      </c>
      <c r="E345" s="21" t="str">
        <f>IFERROR(__xludf.DUMMYFUNCTION("""COMPUTED_VALUE"""),"2018")</f>
        <v>2018</v>
      </c>
      <c r="F345" s="22" t="str">
        <f>IFERROR(__xludf.DUMMYFUNCTION("""COMPUTED_VALUE"""),"Standard Class")</f>
        <v>Standard Class</v>
      </c>
      <c r="G345" s="22" t="str">
        <f>IFERROR(__xludf.DUMMYFUNCTION("""COMPUTED_VALUE"""),"Alex")</f>
        <v>Alex</v>
      </c>
      <c r="H345" s="22" t="str">
        <f>IFERROR(__xludf.DUMMYFUNCTION("""COMPUTED_VALUE"""),"Avila")</f>
        <v>Avila</v>
      </c>
      <c r="I345" s="22" t="str">
        <f>IFERROR(__xludf.DUMMYFUNCTION("""COMPUTED_VALUE"""),"Consumer")</f>
        <v>Consumer</v>
      </c>
      <c r="J345" s="22" t="str">
        <f>IFERROR(__xludf.DUMMYFUNCTION("""COMPUTED_VALUE"""),"Minneapolis")</f>
        <v>Minneapolis</v>
      </c>
      <c r="K345" s="22" t="str">
        <f>IFERROR(__xludf.DUMMYFUNCTION("""COMPUTED_VALUE"""),"Minnesota")</f>
        <v>Minnesota</v>
      </c>
      <c r="L345" s="22" t="str">
        <f>IFERROR(__xludf.DUMMYFUNCTION("""COMPUTED_VALUE"""),"Central")</f>
        <v>Central</v>
      </c>
      <c r="M345" s="22" t="str">
        <f>IFERROR(__xludf.DUMMYFUNCTION("""COMPUTED_VALUE"""),"Office Supplies")</f>
        <v>Office Supplies</v>
      </c>
      <c r="N345" s="18">
        <f>IFERROR(__xludf.DUMMYFUNCTION("""COMPUTED_VALUE"""),362.94)</f>
        <v>362.94</v>
      </c>
      <c r="O345" s="18">
        <f>IFERROR(__xludf.DUMMYFUNCTION("""COMPUTED_VALUE"""),362.7)</f>
        <v>362.7</v>
      </c>
      <c r="P345" s="22">
        <f>IFERROR(__xludf.DUMMYFUNCTION("""COMPUTED_VALUE"""),5.0)</f>
        <v>5</v>
      </c>
      <c r="Q345" s="18">
        <f>IFERROR(__xludf.DUMMYFUNCTION("""COMPUTED_VALUE"""),1814.7)</f>
        <v>1814.7</v>
      </c>
      <c r="R345" s="18">
        <f>IFERROR(__xludf.DUMMYFUNCTION("""COMPUTED_VALUE"""),1452.0)</f>
        <v>1452</v>
      </c>
    </row>
    <row r="346">
      <c r="A346" s="21">
        <f>IFERROR(__xludf.DUMMYFUNCTION("""COMPUTED_VALUE"""),42411.0)</f>
        <v>42411</v>
      </c>
      <c r="B346" s="21" t="str">
        <f>IFERROR(__xludf.DUMMYFUNCTION("""COMPUTED_VALUE"""),"Feb")</f>
        <v>Feb</v>
      </c>
      <c r="C346" s="9">
        <f>IFERROR(__xludf.DUMMYFUNCTION("""COMPUTED_VALUE"""),42411.0)</f>
        <v>42411</v>
      </c>
      <c r="D346" s="23" t="str">
        <f>IFERROR(__xludf.DUMMYFUNCTION("""COMPUTED_VALUE"""),"Feb")</f>
        <v>Feb</v>
      </c>
      <c r="E346" s="21" t="str">
        <f>IFERROR(__xludf.DUMMYFUNCTION("""COMPUTED_VALUE"""),"2016")</f>
        <v>2016</v>
      </c>
      <c r="F346" s="22" t="str">
        <f>IFERROR(__xludf.DUMMYFUNCTION("""COMPUTED_VALUE"""),"Same Day")</f>
        <v>Same Day</v>
      </c>
      <c r="G346" s="22" t="str">
        <f>IFERROR(__xludf.DUMMYFUNCTION("""COMPUTED_VALUE"""),"Kelly")</f>
        <v>Kelly</v>
      </c>
      <c r="H346" s="22" t="str">
        <f>IFERROR(__xludf.DUMMYFUNCTION("""COMPUTED_VALUE"""),"Collister")</f>
        <v>Collister</v>
      </c>
      <c r="I346" s="22" t="str">
        <f>IFERROR(__xludf.DUMMYFUNCTION("""COMPUTED_VALUE"""),"Consumer")</f>
        <v>Consumer</v>
      </c>
      <c r="J346" s="22" t="str">
        <f>IFERROR(__xludf.DUMMYFUNCTION("""COMPUTED_VALUE"""),"Seattle")</f>
        <v>Seattle</v>
      </c>
      <c r="K346" s="22" t="str">
        <f>IFERROR(__xludf.DUMMYFUNCTION("""COMPUTED_VALUE"""),"Washington")</f>
        <v>Washington</v>
      </c>
      <c r="L346" s="22" t="str">
        <f>IFERROR(__xludf.DUMMYFUNCTION("""COMPUTED_VALUE"""),"West")</f>
        <v>West</v>
      </c>
      <c r="M346" s="22" t="str">
        <f>IFERROR(__xludf.DUMMYFUNCTION("""COMPUTED_VALUE"""),"Technology")</f>
        <v>Technology</v>
      </c>
      <c r="N346" s="18">
        <f>IFERROR(__xludf.DUMMYFUNCTION("""COMPUTED_VALUE"""),447.93)</f>
        <v>447.93</v>
      </c>
      <c r="O346" s="18">
        <f>IFERROR(__xludf.DUMMYFUNCTION("""COMPUTED_VALUE"""),447.17)</f>
        <v>447.17</v>
      </c>
      <c r="P346" s="22">
        <f>IFERROR(__xludf.DUMMYFUNCTION("""COMPUTED_VALUE"""),9.0)</f>
        <v>9</v>
      </c>
      <c r="Q346" s="18">
        <f>IFERROR(__xludf.DUMMYFUNCTION("""COMPUTED_VALUE"""),4031.37)</f>
        <v>4031.37</v>
      </c>
      <c r="R346" s="18">
        <f>IFERROR(__xludf.DUMMYFUNCTION("""COMPUTED_VALUE"""),3584.2)</f>
        <v>3584.2</v>
      </c>
    </row>
    <row r="347">
      <c r="A347" s="21">
        <f>IFERROR(__xludf.DUMMYFUNCTION("""COMPUTED_VALUE"""),42849.0)</f>
        <v>42849</v>
      </c>
      <c r="B347" s="21" t="str">
        <f>IFERROR(__xludf.DUMMYFUNCTION("""COMPUTED_VALUE"""),"Apr")</f>
        <v>Apr</v>
      </c>
      <c r="C347" s="9">
        <f>IFERROR(__xludf.DUMMYFUNCTION("""COMPUTED_VALUE"""),42852.0)</f>
        <v>42852</v>
      </c>
      <c r="D347" s="23" t="str">
        <f>IFERROR(__xludf.DUMMYFUNCTION("""COMPUTED_VALUE"""),"Apr")</f>
        <v>Apr</v>
      </c>
      <c r="E347" s="21" t="str">
        <f>IFERROR(__xludf.DUMMYFUNCTION("""COMPUTED_VALUE"""),"2017")</f>
        <v>2017</v>
      </c>
      <c r="F347" s="22" t="str">
        <f>IFERROR(__xludf.DUMMYFUNCTION("""COMPUTED_VALUE"""),"Second Class")</f>
        <v>Second Class</v>
      </c>
      <c r="G347" s="22" t="str">
        <f>IFERROR(__xludf.DUMMYFUNCTION("""COMPUTED_VALUE"""),"Cathy")</f>
        <v>Cathy</v>
      </c>
      <c r="H347" s="22" t="str">
        <f>IFERROR(__xludf.DUMMYFUNCTION("""COMPUTED_VALUE"""),"Armstrong")</f>
        <v>Armstrong</v>
      </c>
      <c r="I347" s="22" t="str">
        <f>IFERROR(__xludf.DUMMYFUNCTION("""COMPUTED_VALUE"""),"Home Office")</f>
        <v>Home Office</v>
      </c>
      <c r="J347" s="22" t="str">
        <f>IFERROR(__xludf.DUMMYFUNCTION("""COMPUTED_VALUE"""),"Houston")</f>
        <v>Houston</v>
      </c>
      <c r="K347" s="22" t="str">
        <f>IFERROR(__xludf.DUMMYFUNCTION("""COMPUTED_VALUE"""),"Texas")</f>
        <v>Texas</v>
      </c>
      <c r="L347" s="22" t="str">
        <f>IFERROR(__xludf.DUMMYFUNCTION("""COMPUTED_VALUE"""),"Central")</f>
        <v>Central</v>
      </c>
      <c r="M347" s="22" t="str">
        <f>IFERROR(__xludf.DUMMYFUNCTION("""COMPUTED_VALUE"""),"Technology")</f>
        <v>Technology</v>
      </c>
      <c r="N347" s="18">
        <f>IFERROR(__xludf.DUMMYFUNCTION("""COMPUTED_VALUE"""),258.696)</f>
        <v>258.696</v>
      </c>
      <c r="O347" s="18">
        <f>IFERROR(__xludf.DUMMYFUNCTION("""COMPUTED_VALUE"""),257.79)</f>
        <v>257.79</v>
      </c>
      <c r="P347" s="22">
        <f>IFERROR(__xludf.DUMMYFUNCTION("""COMPUTED_VALUE"""),7.0)</f>
        <v>7</v>
      </c>
      <c r="Q347" s="18">
        <f>IFERROR(__xludf.DUMMYFUNCTION("""COMPUTED_VALUE"""),1810.8720000000003)</f>
        <v>1810.872</v>
      </c>
      <c r="R347" s="18">
        <f>IFERROR(__xludf.DUMMYFUNCTION("""COMPUTED_VALUE"""),1553.0820000000003)</f>
        <v>1553.082</v>
      </c>
    </row>
    <row r="348">
      <c r="A348" s="21">
        <f>IFERROR(__xludf.DUMMYFUNCTION("""COMPUTED_VALUE"""),42176.0)</f>
        <v>42176</v>
      </c>
      <c r="B348" s="21" t="str">
        <f>IFERROR(__xludf.DUMMYFUNCTION("""COMPUTED_VALUE"""),"Jun")</f>
        <v>Jun</v>
      </c>
      <c r="C348" s="9">
        <f>IFERROR(__xludf.DUMMYFUNCTION("""COMPUTED_VALUE"""),42180.0)</f>
        <v>42180</v>
      </c>
      <c r="D348" s="23" t="str">
        <f>IFERROR(__xludf.DUMMYFUNCTION("""COMPUTED_VALUE"""),"Jun")</f>
        <v>Jun</v>
      </c>
      <c r="E348" s="21" t="str">
        <f>IFERROR(__xludf.DUMMYFUNCTION("""COMPUTED_VALUE"""),"2015")</f>
        <v>2015</v>
      </c>
      <c r="F348" s="22" t="str">
        <f>IFERROR(__xludf.DUMMYFUNCTION("""COMPUTED_VALUE"""),"Standard Class")</f>
        <v>Standard Class</v>
      </c>
      <c r="G348" s="22" t="str">
        <f>IFERROR(__xludf.DUMMYFUNCTION("""COMPUTED_VALUE"""),"Dave")</f>
        <v>Dave</v>
      </c>
      <c r="H348" s="22" t="str">
        <f>IFERROR(__xludf.DUMMYFUNCTION("""COMPUTED_VALUE"""),"Brooks")</f>
        <v>Brooks</v>
      </c>
      <c r="I348" s="22" t="str">
        <f>IFERROR(__xludf.DUMMYFUNCTION("""COMPUTED_VALUE"""),"Consumer")</f>
        <v>Consumer</v>
      </c>
      <c r="J348" s="22" t="str">
        <f>IFERROR(__xludf.DUMMYFUNCTION("""COMPUTED_VALUE"""),"Lakewood")</f>
        <v>Lakewood</v>
      </c>
      <c r="K348" s="22" t="str">
        <f>IFERROR(__xludf.DUMMYFUNCTION("""COMPUTED_VALUE"""),"New Jersey")</f>
        <v>New Jersey</v>
      </c>
      <c r="L348" s="22" t="str">
        <f>IFERROR(__xludf.DUMMYFUNCTION("""COMPUTED_VALUE"""),"East")</f>
        <v>East</v>
      </c>
      <c r="M348" s="22" t="str">
        <f>IFERROR(__xludf.DUMMYFUNCTION("""COMPUTED_VALUE"""),"Technology")</f>
        <v>Technology</v>
      </c>
      <c r="N348" s="18">
        <f>IFERROR(__xludf.DUMMYFUNCTION("""COMPUTED_VALUE"""),1322.93)</f>
        <v>1322.93</v>
      </c>
      <c r="O348" s="18">
        <f>IFERROR(__xludf.DUMMYFUNCTION("""COMPUTED_VALUE"""),1322.42)</f>
        <v>1322.42</v>
      </c>
      <c r="P348" s="22">
        <f>IFERROR(__xludf.DUMMYFUNCTION("""COMPUTED_VALUE"""),8.0)</f>
        <v>8</v>
      </c>
      <c r="Q348" s="18">
        <f>IFERROR(__xludf.DUMMYFUNCTION("""COMPUTED_VALUE"""),10583.44)</f>
        <v>10583.44</v>
      </c>
      <c r="R348" s="18">
        <f>IFERROR(__xludf.DUMMYFUNCTION("""COMPUTED_VALUE"""),9261.02)</f>
        <v>9261.02</v>
      </c>
    </row>
    <row r="349">
      <c r="A349" s="21">
        <f>IFERROR(__xludf.DUMMYFUNCTION("""COMPUTED_VALUE"""),42332.0)</f>
        <v>42332</v>
      </c>
      <c r="B349" s="21" t="str">
        <f>IFERROR(__xludf.DUMMYFUNCTION("""COMPUTED_VALUE"""),"Nov")</f>
        <v>Nov</v>
      </c>
      <c r="C349" s="9">
        <f>IFERROR(__xludf.DUMMYFUNCTION("""COMPUTED_VALUE"""),42338.0)</f>
        <v>42338</v>
      </c>
      <c r="D349" s="23" t="str">
        <f>IFERROR(__xludf.DUMMYFUNCTION("""COMPUTED_VALUE"""),"Nov")</f>
        <v>Nov</v>
      </c>
      <c r="E349" s="21" t="str">
        <f>IFERROR(__xludf.DUMMYFUNCTION("""COMPUTED_VALUE"""),"2015")</f>
        <v>2015</v>
      </c>
      <c r="F349" s="22" t="str">
        <f>IFERROR(__xludf.DUMMYFUNCTION("""COMPUTED_VALUE"""),"Standard Class")</f>
        <v>Standard Class</v>
      </c>
      <c r="G349" s="22" t="str">
        <f>IFERROR(__xludf.DUMMYFUNCTION("""COMPUTED_VALUE"""),"Harold")</f>
        <v>Harold</v>
      </c>
      <c r="H349" s="22" t="str">
        <f>IFERROR(__xludf.DUMMYFUNCTION("""COMPUTED_VALUE"""),"Ryan")</f>
        <v>Ryan</v>
      </c>
      <c r="I349" s="22" t="str">
        <f>IFERROR(__xludf.DUMMYFUNCTION("""COMPUTED_VALUE"""),"Corporate")</f>
        <v>Corporate</v>
      </c>
      <c r="J349" s="22" t="str">
        <f>IFERROR(__xludf.DUMMYFUNCTION("""COMPUTED_VALUE"""),"Seattle")</f>
        <v>Seattle</v>
      </c>
      <c r="K349" s="22" t="str">
        <f>IFERROR(__xludf.DUMMYFUNCTION("""COMPUTED_VALUE"""),"Washington")</f>
        <v>Washington</v>
      </c>
      <c r="L349" s="22" t="str">
        <f>IFERROR(__xludf.DUMMYFUNCTION("""COMPUTED_VALUE"""),"West")</f>
        <v>West</v>
      </c>
      <c r="M349" s="22" t="str">
        <f>IFERROR(__xludf.DUMMYFUNCTION("""COMPUTED_VALUE"""),"Office Supplies")</f>
        <v>Office Supplies</v>
      </c>
      <c r="N349" s="18">
        <f>IFERROR(__xludf.DUMMYFUNCTION("""COMPUTED_VALUE"""),485.88)</f>
        <v>485.88</v>
      </c>
      <c r="O349" s="18">
        <f>IFERROR(__xludf.DUMMYFUNCTION("""COMPUTED_VALUE"""),485.56)</f>
        <v>485.56</v>
      </c>
      <c r="P349" s="22">
        <f>IFERROR(__xludf.DUMMYFUNCTION("""COMPUTED_VALUE"""),9.0)</f>
        <v>9</v>
      </c>
      <c r="Q349" s="18">
        <f>IFERROR(__xludf.DUMMYFUNCTION("""COMPUTED_VALUE"""),4372.92)</f>
        <v>4372.92</v>
      </c>
      <c r="R349" s="18">
        <f>IFERROR(__xludf.DUMMYFUNCTION("""COMPUTED_VALUE"""),3887.36)</f>
        <v>3887.36</v>
      </c>
    </row>
    <row r="350">
      <c r="A350" s="21">
        <f>IFERROR(__xludf.DUMMYFUNCTION("""COMPUTED_VALUE"""),42332.0)</f>
        <v>42332</v>
      </c>
      <c r="B350" s="21" t="str">
        <f>IFERROR(__xludf.DUMMYFUNCTION("""COMPUTED_VALUE"""),"Nov")</f>
        <v>Nov</v>
      </c>
      <c r="C350" s="9">
        <f>IFERROR(__xludf.DUMMYFUNCTION("""COMPUTED_VALUE"""),42338.0)</f>
        <v>42338</v>
      </c>
      <c r="D350" s="23" t="str">
        <f>IFERROR(__xludf.DUMMYFUNCTION("""COMPUTED_VALUE"""),"Nov")</f>
        <v>Nov</v>
      </c>
      <c r="E350" s="21" t="str">
        <f>IFERROR(__xludf.DUMMYFUNCTION("""COMPUTED_VALUE"""),"2015")</f>
        <v>2015</v>
      </c>
      <c r="F350" s="22" t="str">
        <f>IFERROR(__xludf.DUMMYFUNCTION("""COMPUTED_VALUE"""),"Standard Class")</f>
        <v>Standard Class</v>
      </c>
      <c r="G350" s="22" t="str">
        <f>IFERROR(__xludf.DUMMYFUNCTION("""COMPUTED_VALUE"""),"Harold")</f>
        <v>Harold</v>
      </c>
      <c r="H350" s="22" t="str">
        <f>IFERROR(__xludf.DUMMYFUNCTION("""COMPUTED_VALUE"""),"Ryan")</f>
        <v>Ryan</v>
      </c>
      <c r="I350" s="22" t="str">
        <f>IFERROR(__xludf.DUMMYFUNCTION("""COMPUTED_VALUE"""),"Corporate")</f>
        <v>Corporate</v>
      </c>
      <c r="J350" s="22" t="str">
        <f>IFERROR(__xludf.DUMMYFUNCTION("""COMPUTED_VALUE"""),"Seattle")</f>
        <v>Seattle</v>
      </c>
      <c r="K350" s="22" t="str">
        <f>IFERROR(__xludf.DUMMYFUNCTION("""COMPUTED_VALUE"""),"Washington")</f>
        <v>Washington</v>
      </c>
      <c r="L350" s="22" t="str">
        <f>IFERROR(__xludf.DUMMYFUNCTION("""COMPUTED_VALUE"""),"West")</f>
        <v>West</v>
      </c>
      <c r="M350" s="22" t="str">
        <f>IFERROR(__xludf.DUMMYFUNCTION("""COMPUTED_VALUE"""),"Office Supplies")</f>
        <v>Office Supplies</v>
      </c>
      <c r="N350" s="18">
        <f>IFERROR(__xludf.DUMMYFUNCTION("""COMPUTED_VALUE"""),197.58)</f>
        <v>197.58</v>
      </c>
      <c r="O350" s="18">
        <f>IFERROR(__xludf.DUMMYFUNCTION("""COMPUTED_VALUE"""),197.53)</f>
        <v>197.53</v>
      </c>
      <c r="P350" s="22">
        <f>IFERROR(__xludf.DUMMYFUNCTION("""COMPUTED_VALUE"""),9.0)</f>
        <v>9</v>
      </c>
      <c r="Q350" s="18">
        <f>IFERROR(__xludf.DUMMYFUNCTION("""COMPUTED_VALUE"""),1778.22)</f>
        <v>1778.22</v>
      </c>
      <c r="R350" s="18">
        <f>IFERROR(__xludf.DUMMYFUNCTION("""COMPUTED_VALUE"""),1580.69)</f>
        <v>1580.69</v>
      </c>
    </row>
    <row r="351">
      <c r="A351" s="21">
        <f>IFERROR(__xludf.DUMMYFUNCTION("""COMPUTED_VALUE"""),43157.0)</f>
        <v>43157</v>
      </c>
      <c r="B351" s="21" t="str">
        <f>IFERROR(__xludf.DUMMYFUNCTION("""COMPUTED_VALUE"""),"Feb")</f>
        <v>Feb</v>
      </c>
      <c r="C351" s="9">
        <f>IFERROR(__xludf.DUMMYFUNCTION("""COMPUTED_VALUE"""),43159.0)</f>
        <v>43159</v>
      </c>
      <c r="D351" s="23" t="str">
        <f>IFERROR(__xludf.DUMMYFUNCTION("""COMPUTED_VALUE"""),"Feb")</f>
        <v>Feb</v>
      </c>
      <c r="E351" s="21" t="str">
        <f>IFERROR(__xludf.DUMMYFUNCTION("""COMPUTED_VALUE"""),"2018")</f>
        <v>2018</v>
      </c>
      <c r="F351" s="22" t="str">
        <f>IFERROR(__xludf.DUMMYFUNCTION("""COMPUTED_VALUE"""),"Second Class")</f>
        <v>Second Class</v>
      </c>
      <c r="G351" s="22" t="str">
        <f>IFERROR(__xludf.DUMMYFUNCTION("""COMPUTED_VALUE"""),"Bradley")</f>
        <v>Bradley</v>
      </c>
      <c r="H351" s="22" t="str">
        <f>IFERROR(__xludf.DUMMYFUNCTION("""COMPUTED_VALUE"""),"Talbott")</f>
        <v>Talbott</v>
      </c>
      <c r="I351" s="22" t="str">
        <f>IFERROR(__xludf.DUMMYFUNCTION("""COMPUTED_VALUE"""),"Home Office")</f>
        <v>Home Office</v>
      </c>
      <c r="J351" s="22" t="str">
        <f>IFERROR(__xludf.DUMMYFUNCTION("""COMPUTED_VALUE"""),"Los Angeles")</f>
        <v>Los Angeles</v>
      </c>
      <c r="K351" s="22" t="str">
        <f>IFERROR(__xludf.DUMMYFUNCTION("""COMPUTED_VALUE"""),"California")</f>
        <v>California</v>
      </c>
      <c r="L351" s="22" t="str">
        <f>IFERROR(__xludf.DUMMYFUNCTION("""COMPUTED_VALUE"""),"West")</f>
        <v>West</v>
      </c>
      <c r="M351" s="22" t="str">
        <f>IFERROR(__xludf.DUMMYFUNCTION("""COMPUTED_VALUE"""),"Office Supplies")</f>
        <v>Office Supplies</v>
      </c>
      <c r="N351" s="18">
        <f>IFERROR(__xludf.DUMMYFUNCTION("""COMPUTED_VALUE"""),81.92)</f>
        <v>81.92</v>
      </c>
      <c r="O351" s="18">
        <f>IFERROR(__xludf.DUMMYFUNCTION("""COMPUTED_VALUE"""),81.69)</f>
        <v>81.69</v>
      </c>
      <c r="P351" s="22">
        <f>IFERROR(__xludf.DUMMYFUNCTION("""COMPUTED_VALUE"""),9.0)</f>
        <v>9</v>
      </c>
      <c r="Q351" s="18">
        <f>IFERROR(__xludf.DUMMYFUNCTION("""COMPUTED_VALUE"""),737.28)</f>
        <v>737.28</v>
      </c>
      <c r="R351" s="18">
        <f>IFERROR(__xludf.DUMMYFUNCTION("""COMPUTED_VALUE"""),655.5899999999999)</f>
        <v>655.59</v>
      </c>
    </row>
    <row r="352">
      <c r="A352" s="21">
        <f>IFERROR(__xludf.DUMMYFUNCTION("""COMPUTED_VALUE"""),43157.0)</f>
        <v>43157</v>
      </c>
      <c r="B352" s="21" t="str">
        <f>IFERROR(__xludf.DUMMYFUNCTION("""COMPUTED_VALUE"""),"Feb")</f>
        <v>Feb</v>
      </c>
      <c r="C352" s="9">
        <f>IFERROR(__xludf.DUMMYFUNCTION("""COMPUTED_VALUE"""),43159.0)</f>
        <v>43159</v>
      </c>
      <c r="D352" s="23" t="str">
        <f>IFERROR(__xludf.DUMMYFUNCTION("""COMPUTED_VALUE"""),"Feb")</f>
        <v>Feb</v>
      </c>
      <c r="E352" s="21" t="str">
        <f>IFERROR(__xludf.DUMMYFUNCTION("""COMPUTED_VALUE"""),"2018")</f>
        <v>2018</v>
      </c>
      <c r="F352" s="22" t="str">
        <f>IFERROR(__xludf.DUMMYFUNCTION("""COMPUTED_VALUE"""),"Second Class")</f>
        <v>Second Class</v>
      </c>
      <c r="G352" s="22" t="str">
        <f>IFERROR(__xludf.DUMMYFUNCTION("""COMPUTED_VALUE"""),"Bradley")</f>
        <v>Bradley</v>
      </c>
      <c r="H352" s="22" t="str">
        <f>IFERROR(__xludf.DUMMYFUNCTION("""COMPUTED_VALUE"""),"Talbott")</f>
        <v>Talbott</v>
      </c>
      <c r="I352" s="22" t="str">
        <f>IFERROR(__xludf.DUMMYFUNCTION("""COMPUTED_VALUE"""),"Home Office")</f>
        <v>Home Office</v>
      </c>
      <c r="J352" s="22" t="str">
        <f>IFERROR(__xludf.DUMMYFUNCTION("""COMPUTED_VALUE"""),"Los Angeles")</f>
        <v>Los Angeles</v>
      </c>
      <c r="K352" s="22" t="str">
        <f>IFERROR(__xludf.DUMMYFUNCTION("""COMPUTED_VALUE"""),"California")</f>
        <v>California</v>
      </c>
      <c r="L352" s="22" t="str">
        <f>IFERROR(__xludf.DUMMYFUNCTION("""COMPUTED_VALUE"""),"West")</f>
        <v>West</v>
      </c>
      <c r="M352" s="22" t="str">
        <f>IFERROR(__xludf.DUMMYFUNCTION("""COMPUTED_VALUE"""),"Technology")</f>
        <v>Technology</v>
      </c>
      <c r="N352" s="18">
        <f>IFERROR(__xludf.DUMMYFUNCTION("""COMPUTED_VALUE"""),889.536)</f>
        <v>889.536</v>
      </c>
      <c r="O352" s="18">
        <f>IFERROR(__xludf.DUMMYFUNCTION("""COMPUTED_VALUE"""),889.08)</f>
        <v>889.08</v>
      </c>
      <c r="P352" s="22">
        <f>IFERROR(__xludf.DUMMYFUNCTION("""COMPUTED_VALUE"""),9.0)</f>
        <v>9</v>
      </c>
      <c r="Q352" s="18">
        <f>IFERROR(__xludf.DUMMYFUNCTION("""COMPUTED_VALUE"""),8005.824)</f>
        <v>8005.824</v>
      </c>
      <c r="R352" s="18">
        <f>IFERROR(__xludf.DUMMYFUNCTION("""COMPUTED_VALUE"""),7116.744)</f>
        <v>7116.744</v>
      </c>
    </row>
    <row r="353">
      <c r="A353" s="21">
        <f>IFERROR(__xludf.DUMMYFUNCTION("""COMPUTED_VALUE"""),43157.0)</f>
        <v>43157</v>
      </c>
      <c r="B353" s="21" t="str">
        <f>IFERROR(__xludf.DUMMYFUNCTION("""COMPUTED_VALUE"""),"Feb")</f>
        <v>Feb</v>
      </c>
      <c r="C353" s="9">
        <f>IFERROR(__xludf.DUMMYFUNCTION("""COMPUTED_VALUE"""),43159.0)</f>
        <v>43159</v>
      </c>
      <c r="D353" s="23" t="str">
        <f>IFERROR(__xludf.DUMMYFUNCTION("""COMPUTED_VALUE"""),"Feb")</f>
        <v>Feb</v>
      </c>
      <c r="E353" s="21" t="str">
        <f>IFERROR(__xludf.DUMMYFUNCTION("""COMPUTED_VALUE"""),"2018")</f>
        <v>2018</v>
      </c>
      <c r="F353" s="22" t="str">
        <f>IFERROR(__xludf.DUMMYFUNCTION("""COMPUTED_VALUE"""),"Second Class")</f>
        <v>Second Class</v>
      </c>
      <c r="G353" s="22" t="str">
        <f>IFERROR(__xludf.DUMMYFUNCTION("""COMPUTED_VALUE"""),"Bradley")</f>
        <v>Bradley</v>
      </c>
      <c r="H353" s="22" t="str">
        <f>IFERROR(__xludf.DUMMYFUNCTION("""COMPUTED_VALUE"""),"Talbott")</f>
        <v>Talbott</v>
      </c>
      <c r="I353" s="22" t="str">
        <f>IFERROR(__xludf.DUMMYFUNCTION("""COMPUTED_VALUE"""),"Home Office")</f>
        <v>Home Office</v>
      </c>
      <c r="J353" s="22" t="str">
        <f>IFERROR(__xludf.DUMMYFUNCTION("""COMPUTED_VALUE"""),"Los Angeles")</f>
        <v>Los Angeles</v>
      </c>
      <c r="K353" s="22" t="str">
        <f>IFERROR(__xludf.DUMMYFUNCTION("""COMPUTED_VALUE"""),"California")</f>
        <v>California</v>
      </c>
      <c r="L353" s="22" t="str">
        <f>IFERROR(__xludf.DUMMYFUNCTION("""COMPUTED_VALUE"""),"West")</f>
        <v>West</v>
      </c>
      <c r="M353" s="22" t="str">
        <f>IFERROR(__xludf.DUMMYFUNCTION("""COMPUTED_VALUE"""),"Furniture")</f>
        <v>Furniture</v>
      </c>
      <c r="N353" s="18">
        <f>IFERROR(__xludf.DUMMYFUNCTION("""COMPUTED_VALUE"""),892.224)</f>
        <v>892.224</v>
      </c>
      <c r="O353" s="18">
        <f>IFERROR(__xludf.DUMMYFUNCTION("""COMPUTED_VALUE"""),891.53)</f>
        <v>891.53</v>
      </c>
      <c r="P353" s="22">
        <f>IFERROR(__xludf.DUMMYFUNCTION("""COMPUTED_VALUE"""),9.0)</f>
        <v>9</v>
      </c>
      <c r="Q353" s="18">
        <f>IFERROR(__xludf.DUMMYFUNCTION("""COMPUTED_VALUE"""),8030.0160000000005)</f>
        <v>8030.016</v>
      </c>
      <c r="R353" s="18">
        <f>IFERROR(__xludf.DUMMYFUNCTION("""COMPUTED_VALUE"""),7138.486000000001)</f>
        <v>7138.486</v>
      </c>
    </row>
    <row r="354">
      <c r="A354" s="21">
        <f>IFERROR(__xludf.DUMMYFUNCTION("""COMPUTED_VALUE"""),43157.0)</f>
        <v>43157</v>
      </c>
      <c r="B354" s="21" t="str">
        <f>IFERROR(__xludf.DUMMYFUNCTION("""COMPUTED_VALUE"""),"Feb")</f>
        <v>Feb</v>
      </c>
      <c r="C354" s="9">
        <f>IFERROR(__xludf.DUMMYFUNCTION("""COMPUTED_VALUE"""),43159.0)</f>
        <v>43159</v>
      </c>
      <c r="D354" s="23" t="str">
        <f>IFERROR(__xludf.DUMMYFUNCTION("""COMPUTED_VALUE"""),"Feb")</f>
        <v>Feb</v>
      </c>
      <c r="E354" s="21" t="str">
        <f>IFERROR(__xludf.DUMMYFUNCTION("""COMPUTED_VALUE"""),"2018")</f>
        <v>2018</v>
      </c>
      <c r="F354" s="22" t="str">
        <f>IFERROR(__xludf.DUMMYFUNCTION("""COMPUTED_VALUE"""),"Second Class")</f>
        <v>Second Class</v>
      </c>
      <c r="G354" s="22" t="str">
        <f>IFERROR(__xludf.DUMMYFUNCTION("""COMPUTED_VALUE"""),"Bradley")</f>
        <v>Bradley</v>
      </c>
      <c r="H354" s="22" t="str">
        <f>IFERROR(__xludf.DUMMYFUNCTION("""COMPUTED_VALUE"""),"Talbott")</f>
        <v>Talbott</v>
      </c>
      <c r="I354" s="22" t="str">
        <f>IFERROR(__xludf.DUMMYFUNCTION("""COMPUTED_VALUE"""),"Home Office")</f>
        <v>Home Office</v>
      </c>
      <c r="J354" s="22" t="str">
        <f>IFERROR(__xludf.DUMMYFUNCTION("""COMPUTED_VALUE"""),"Los Angeles")</f>
        <v>Los Angeles</v>
      </c>
      <c r="K354" s="22" t="str">
        <f>IFERROR(__xludf.DUMMYFUNCTION("""COMPUTED_VALUE"""),"California")</f>
        <v>California</v>
      </c>
      <c r="L354" s="22" t="str">
        <f>IFERROR(__xludf.DUMMYFUNCTION("""COMPUTED_VALUE"""),"West")</f>
        <v>West</v>
      </c>
      <c r="M354" s="22" t="str">
        <f>IFERROR(__xludf.DUMMYFUNCTION("""COMPUTED_VALUE"""),"Office Supplies")</f>
        <v>Office Supplies</v>
      </c>
      <c r="N354" s="18">
        <f>IFERROR(__xludf.DUMMYFUNCTION("""COMPUTED_VALUE"""),223.92)</f>
        <v>223.92</v>
      </c>
      <c r="O354" s="18">
        <f>IFERROR(__xludf.DUMMYFUNCTION("""COMPUTED_VALUE"""),223.32)</f>
        <v>223.32</v>
      </c>
      <c r="P354" s="22">
        <f>IFERROR(__xludf.DUMMYFUNCTION("""COMPUTED_VALUE"""),9.0)</f>
        <v>9</v>
      </c>
      <c r="Q354" s="18">
        <f>IFERROR(__xludf.DUMMYFUNCTION("""COMPUTED_VALUE"""),2015.28)</f>
        <v>2015.28</v>
      </c>
      <c r="R354" s="18">
        <f>IFERROR(__xludf.DUMMYFUNCTION("""COMPUTED_VALUE"""),1791.96)</f>
        <v>1791.96</v>
      </c>
    </row>
    <row r="355">
      <c r="A355" s="21">
        <f>IFERROR(__xludf.DUMMYFUNCTION("""COMPUTED_VALUE"""),42951.0)</f>
        <v>42951</v>
      </c>
      <c r="B355" s="21" t="str">
        <f>IFERROR(__xludf.DUMMYFUNCTION("""COMPUTED_VALUE"""),"Aug")</f>
        <v>Aug</v>
      </c>
      <c r="C355" s="9">
        <f>IFERROR(__xludf.DUMMYFUNCTION("""COMPUTED_VALUE"""),43073.0)</f>
        <v>43073</v>
      </c>
      <c r="D355" s="23" t="str">
        <f>IFERROR(__xludf.DUMMYFUNCTION("""COMPUTED_VALUE"""),"Dec")</f>
        <v>Dec</v>
      </c>
      <c r="E355" s="21" t="str">
        <f>IFERROR(__xludf.DUMMYFUNCTION("""COMPUTED_VALUE"""),"2017")</f>
        <v>2017</v>
      </c>
      <c r="F355" s="22" t="str">
        <f>IFERROR(__xludf.DUMMYFUNCTION("""COMPUTED_VALUE"""),"Standard Class")</f>
        <v>Standard Class</v>
      </c>
      <c r="G355" s="22" t="str">
        <f>IFERROR(__xludf.DUMMYFUNCTION("""COMPUTED_VALUE"""),"Zuschuss")</f>
        <v>Zuschuss</v>
      </c>
      <c r="H355" s="22" t="str">
        <f>IFERROR(__xludf.DUMMYFUNCTION("""COMPUTED_VALUE"""),"Carroll")</f>
        <v>Carroll</v>
      </c>
      <c r="I355" s="22" t="str">
        <f>IFERROR(__xludf.DUMMYFUNCTION("""COMPUTED_VALUE"""),"Consumer")</f>
        <v>Consumer</v>
      </c>
      <c r="J355" s="22" t="str">
        <f>IFERROR(__xludf.DUMMYFUNCTION("""COMPUTED_VALUE"""),"Houston")</f>
        <v>Houston</v>
      </c>
      <c r="K355" s="22" t="str">
        <f>IFERROR(__xludf.DUMMYFUNCTION("""COMPUTED_VALUE"""),"Texas")</f>
        <v>Texas</v>
      </c>
      <c r="L355" s="22" t="str">
        <f>IFERROR(__xludf.DUMMYFUNCTION("""COMPUTED_VALUE"""),"Central")</f>
        <v>Central</v>
      </c>
      <c r="M355" s="22" t="str">
        <f>IFERROR(__xludf.DUMMYFUNCTION("""COMPUTED_VALUE"""),"Technology")</f>
        <v>Technology</v>
      </c>
      <c r="N355" s="18">
        <f>IFERROR(__xludf.DUMMYFUNCTION("""COMPUTED_VALUE"""),431.928)</f>
        <v>431.928</v>
      </c>
      <c r="O355" s="18">
        <f>IFERROR(__xludf.DUMMYFUNCTION("""COMPUTED_VALUE"""),431.21)</f>
        <v>431.21</v>
      </c>
      <c r="P355" s="22">
        <f>IFERROR(__xludf.DUMMYFUNCTION("""COMPUTED_VALUE"""),7.0)</f>
        <v>7</v>
      </c>
      <c r="Q355" s="18">
        <f>IFERROR(__xludf.DUMMYFUNCTION("""COMPUTED_VALUE"""),3023.496)</f>
        <v>3023.496</v>
      </c>
      <c r="R355" s="18">
        <f>IFERROR(__xludf.DUMMYFUNCTION("""COMPUTED_VALUE"""),2592.286)</f>
        <v>2592.286</v>
      </c>
    </row>
    <row r="356">
      <c r="A356" s="21">
        <f>IFERROR(__xludf.DUMMYFUNCTION("""COMPUTED_VALUE"""),42951.0)</f>
        <v>42951</v>
      </c>
      <c r="B356" s="21" t="str">
        <f>IFERROR(__xludf.DUMMYFUNCTION("""COMPUTED_VALUE"""),"Aug")</f>
        <v>Aug</v>
      </c>
      <c r="C356" s="9">
        <f>IFERROR(__xludf.DUMMYFUNCTION("""COMPUTED_VALUE"""),43073.0)</f>
        <v>43073</v>
      </c>
      <c r="D356" s="23" t="str">
        <f>IFERROR(__xludf.DUMMYFUNCTION("""COMPUTED_VALUE"""),"Dec")</f>
        <v>Dec</v>
      </c>
      <c r="E356" s="21" t="str">
        <f>IFERROR(__xludf.DUMMYFUNCTION("""COMPUTED_VALUE"""),"2017")</f>
        <v>2017</v>
      </c>
      <c r="F356" s="22" t="str">
        <f>IFERROR(__xludf.DUMMYFUNCTION("""COMPUTED_VALUE"""),"Standard Class")</f>
        <v>Standard Class</v>
      </c>
      <c r="G356" s="22" t="str">
        <f>IFERROR(__xludf.DUMMYFUNCTION("""COMPUTED_VALUE"""),"Zuschuss")</f>
        <v>Zuschuss</v>
      </c>
      <c r="H356" s="22" t="str">
        <f>IFERROR(__xludf.DUMMYFUNCTION("""COMPUTED_VALUE"""),"Carroll")</f>
        <v>Carroll</v>
      </c>
      <c r="I356" s="22" t="str">
        <f>IFERROR(__xludf.DUMMYFUNCTION("""COMPUTED_VALUE"""),"Consumer")</f>
        <v>Consumer</v>
      </c>
      <c r="J356" s="22" t="str">
        <f>IFERROR(__xludf.DUMMYFUNCTION("""COMPUTED_VALUE"""),"Houston")</f>
        <v>Houston</v>
      </c>
      <c r="K356" s="22" t="str">
        <f>IFERROR(__xludf.DUMMYFUNCTION("""COMPUTED_VALUE"""),"Texas")</f>
        <v>Texas</v>
      </c>
      <c r="L356" s="22" t="str">
        <f>IFERROR(__xludf.DUMMYFUNCTION("""COMPUTED_VALUE"""),"Central")</f>
        <v>Central</v>
      </c>
      <c r="M356" s="22" t="str">
        <f>IFERROR(__xludf.DUMMYFUNCTION("""COMPUTED_VALUE"""),"Furniture")</f>
        <v>Furniture</v>
      </c>
      <c r="N356" s="18">
        <f>IFERROR(__xludf.DUMMYFUNCTION("""COMPUTED_VALUE"""),95.984)</f>
        <v>95.984</v>
      </c>
      <c r="O356" s="18">
        <f>IFERROR(__xludf.DUMMYFUNCTION("""COMPUTED_VALUE"""),95.48)</f>
        <v>95.48</v>
      </c>
      <c r="P356" s="22">
        <f>IFERROR(__xludf.DUMMYFUNCTION("""COMPUTED_VALUE"""),7.0)</f>
        <v>7</v>
      </c>
      <c r="Q356" s="18">
        <f>IFERROR(__xludf.DUMMYFUNCTION("""COMPUTED_VALUE"""),671.8879999999999)</f>
        <v>671.888</v>
      </c>
      <c r="R356" s="18">
        <f>IFERROR(__xludf.DUMMYFUNCTION("""COMPUTED_VALUE"""),576.4079999999999)</f>
        <v>576.408</v>
      </c>
    </row>
    <row r="357">
      <c r="A357" s="21">
        <f>IFERROR(__xludf.DUMMYFUNCTION("""COMPUTED_VALUE"""),42951.0)</f>
        <v>42951</v>
      </c>
      <c r="B357" s="21" t="str">
        <f>IFERROR(__xludf.DUMMYFUNCTION("""COMPUTED_VALUE"""),"Aug")</f>
        <v>Aug</v>
      </c>
      <c r="C357" s="9">
        <f>IFERROR(__xludf.DUMMYFUNCTION("""COMPUTED_VALUE"""),43073.0)</f>
        <v>43073</v>
      </c>
      <c r="D357" s="23" t="str">
        <f>IFERROR(__xludf.DUMMYFUNCTION("""COMPUTED_VALUE"""),"Dec")</f>
        <v>Dec</v>
      </c>
      <c r="E357" s="21" t="str">
        <f>IFERROR(__xludf.DUMMYFUNCTION("""COMPUTED_VALUE"""),"2017")</f>
        <v>2017</v>
      </c>
      <c r="F357" s="22" t="str">
        <f>IFERROR(__xludf.DUMMYFUNCTION("""COMPUTED_VALUE"""),"Standard Class")</f>
        <v>Standard Class</v>
      </c>
      <c r="G357" s="22" t="str">
        <f>IFERROR(__xludf.DUMMYFUNCTION("""COMPUTED_VALUE"""),"Zuschuss")</f>
        <v>Zuschuss</v>
      </c>
      <c r="H357" s="22" t="str">
        <f>IFERROR(__xludf.DUMMYFUNCTION("""COMPUTED_VALUE"""),"Carroll")</f>
        <v>Carroll</v>
      </c>
      <c r="I357" s="22" t="str">
        <f>IFERROR(__xludf.DUMMYFUNCTION("""COMPUTED_VALUE"""),"Consumer")</f>
        <v>Consumer</v>
      </c>
      <c r="J357" s="22" t="str">
        <f>IFERROR(__xludf.DUMMYFUNCTION("""COMPUTED_VALUE"""),"Houston")</f>
        <v>Houston</v>
      </c>
      <c r="K357" s="22" t="str">
        <f>IFERROR(__xludf.DUMMYFUNCTION("""COMPUTED_VALUE"""),"Texas")</f>
        <v>Texas</v>
      </c>
      <c r="L357" s="22" t="str">
        <f>IFERROR(__xludf.DUMMYFUNCTION("""COMPUTED_VALUE"""),"Central")</f>
        <v>Central</v>
      </c>
      <c r="M357" s="22" t="str">
        <f>IFERROR(__xludf.DUMMYFUNCTION("""COMPUTED_VALUE"""),"Office Supplies")</f>
        <v>Office Supplies</v>
      </c>
      <c r="N357" s="18">
        <f>IFERROR(__xludf.DUMMYFUNCTION("""COMPUTED_VALUE"""),1088.792)</f>
        <v>1088.792</v>
      </c>
      <c r="O357" s="18">
        <f>IFERROR(__xludf.DUMMYFUNCTION("""COMPUTED_VALUE"""),1088.07)</f>
        <v>1088.07</v>
      </c>
      <c r="P357" s="22">
        <f>IFERROR(__xludf.DUMMYFUNCTION("""COMPUTED_VALUE"""),7.0)</f>
        <v>7</v>
      </c>
      <c r="Q357" s="18">
        <f>IFERROR(__xludf.DUMMYFUNCTION("""COMPUTED_VALUE"""),7621.544)</f>
        <v>7621.544</v>
      </c>
      <c r="R357" s="18">
        <f>IFERROR(__xludf.DUMMYFUNCTION("""COMPUTED_VALUE"""),6533.474)</f>
        <v>6533.474</v>
      </c>
    </row>
    <row r="358">
      <c r="A358" s="21">
        <f>IFERROR(__xludf.DUMMYFUNCTION("""COMPUTED_VALUE"""),42934.0)</f>
        <v>42934</v>
      </c>
      <c r="B358" s="21" t="str">
        <f>IFERROR(__xludf.DUMMYFUNCTION("""COMPUTED_VALUE"""),"Jul")</f>
        <v>Jul</v>
      </c>
      <c r="C358" s="9">
        <f>IFERROR(__xludf.DUMMYFUNCTION("""COMPUTED_VALUE"""),42940.0)</f>
        <v>42940</v>
      </c>
      <c r="D358" s="23" t="str">
        <f>IFERROR(__xludf.DUMMYFUNCTION("""COMPUTED_VALUE"""),"Jul")</f>
        <v>Jul</v>
      </c>
      <c r="E358" s="21" t="str">
        <f>IFERROR(__xludf.DUMMYFUNCTION("""COMPUTED_VALUE"""),"2017")</f>
        <v>2017</v>
      </c>
      <c r="F358" s="22" t="str">
        <f>IFERROR(__xludf.DUMMYFUNCTION("""COMPUTED_VALUE"""),"Standard Class")</f>
        <v>Standard Class</v>
      </c>
      <c r="G358" s="22" t="str">
        <f>IFERROR(__xludf.DUMMYFUNCTION("""COMPUTED_VALUE"""),"Linda")</f>
        <v>Linda</v>
      </c>
      <c r="H358" s="22" t="str">
        <f>IFERROR(__xludf.DUMMYFUNCTION("""COMPUTED_VALUE"""),"Southworth")</f>
        <v>Southworth</v>
      </c>
      <c r="I358" s="22" t="str">
        <f>IFERROR(__xludf.DUMMYFUNCTION("""COMPUTED_VALUE"""),"Corporate")</f>
        <v>Corporate</v>
      </c>
      <c r="J358" s="22" t="str">
        <f>IFERROR(__xludf.DUMMYFUNCTION("""COMPUTED_VALUE"""),"Denver")</f>
        <v>Denver</v>
      </c>
      <c r="K358" s="22" t="str">
        <f>IFERROR(__xludf.DUMMYFUNCTION("""COMPUTED_VALUE"""),"Colorado")</f>
        <v>Colorado</v>
      </c>
      <c r="L358" s="22" t="str">
        <f>IFERROR(__xludf.DUMMYFUNCTION("""COMPUTED_VALUE"""),"West")</f>
        <v>West</v>
      </c>
      <c r="M358" s="22" t="str">
        <f>IFERROR(__xludf.DUMMYFUNCTION("""COMPUTED_VALUE"""),"Furniture")</f>
        <v>Furniture</v>
      </c>
      <c r="N358" s="18">
        <f>IFERROR(__xludf.DUMMYFUNCTION("""COMPUTED_VALUE"""),544.008)</f>
        <v>544.008</v>
      </c>
      <c r="O358" s="18">
        <f>IFERROR(__xludf.DUMMYFUNCTION("""COMPUTED_VALUE"""),543.35)</f>
        <v>543.35</v>
      </c>
      <c r="P358" s="22">
        <f>IFERROR(__xludf.DUMMYFUNCTION("""COMPUTED_VALUE"""),8.0)</f>
        <v>8</v>
      </c>
      <c r="Q358" s="18">
        <f>IFERROR(__xludf.DUMMYFUNCTION("""COMPUTED_VALUE"""),4352.064)</f>
        <v>4352.064</v>
      </c>
      <c r="R358" s="18">
        <f>IFERROR(__xludf.DUMMYFUNCTION("""COMPUTED_VALUE"""),3808.7140000000004)</f>
        <v>3808.714</v>
      </c>
    </row>
    <row r="359">
      <c r="A359" s="21">
        <f>IFERROR(__xludf.DUMMYFUNCTION("""COMPUTED_VALUE"""),42934.0)</f>
        <v>42934</v>
      </c>
      <c r="B359" s="21" t="str">
        <f>IFERROR(__xludf.DUMMYFUNCTION("""COMPUTED_VALUE"""),"Jul")</f>
        <v>Jul</v>
      </c>
      <c r="C359" s="9">
        <f>IFERROR(__xludf.DUMMYFUNCTION("""COMPUTED_VALUE"""),42940.0)</f>
        <v>42940</v>
      </c>
      <c r="D359" s="23" t="str">
        <f>IFERROR(__xludf.DUMMYFUNCTION("""COMPUTED_VALUE"""),"Jul")</f>
        <v>Jul</v>
      </c>
      <c r="E359" s="21" t="str">
        <f>IFERROR(__xludf.DUMMYFUNCTION("""COMPUTED_VALUE"""),"2017")</f>
        <v>2017</v>
      </c>
      <c r="F359" s="22" t="str">
        <f>IFERROR(__xludf.DUMMYFUNCTION("""COMPUTED_VALUE"""),"Standard Class")</f>
        <v>Standard Class</v>
      </c>
      <c r="G359" s="22" t="str">
        <f>IFERROR(__xludf.DUMMYFUNCTION("""COMPUTED_VALUE"""),"Linda")</f>
        <v>Linda</v>
      </c>
      <c r="H359" s="22" t="str">
        <f>IFERROR(__xludf.DUMMYFUNCTION("""COMPUTED_VALUE"""),"Southworth")</f>
        <v>Southworth</v>
      </c>
      <c r="I359" s="22" t="str">
        <f>IFERROR(__xludf.DUMMYFUNCTION("""COMPUTED_VALUE"""),"Corporate")</f>
        <v>Corporate</v>
      </c>
      <c r="J359" s="22" t="str">
        <f>IFERROR(__xludf.DUMMYFUNCTION("""COMPUTED_VALUE"""),"Denver")</f>
        <v>Denver</v>
      </c>
      <c r="K359" s="22" t="str">
        <f>IFERROR(__xludf.DUMMYFUNCTION("""COMPUTED_VALUE"""),"Colorado")</f>
        <v>Colorado</v>
      </c>
      <c r="L359" s="22" t="str">
        <f>IFERROR(__xludf.DUMMYFUNCTION("""COMPUTED_VALUE"""),"West")</f>
        <v>West</v>
      </c>
      <c r="M359" s="22" t="str">
        <f>IFERROR(__xludf.DUMMYFUNCTION("""COMPUTED_VALUE"""),"Furniture")</f>
        <v>Furniture</v>
      </c>
      <c r="N359" s="18">
        <f>IFERROR(__xludf.DUMMYFUNCTION("""COMPUTED_VALUE"""),854.352)</f>
        <v>854.352</v>
      </c>
      <c r="O359" s="18">
        <f>IFERROR(__xludf.DUMMYFUNCTION("""COMPUTED_VALUE"""),853.99)</f>
        <v>853.99</v>
      </c>
      <c r="P359" s="22">
        <f>IFERROR(__xludf.DUMMYFUNCTION("""COMPUTED_VALUE"""),8.0)</f>
        <v>8</v>
      </c>
      <c r="Q359" s="18">
        <f>IFERROR(__xludf.DUMMYFUNCTION("""COMPUTED_VALUE"""),6834.816)</f>
        <v>6834.816</v>
      </c>
      <c r="R359" s="18">
        <f>IFERROR(__xludf.DUMMYFUNCTION("""COMPUTED_VALUE"""),5980.826)</f>
        <v>5980.826</v>
      </c>
    </row>
    <row r="360">
      <c r="A360" s="21">
        <f>IFERROR(__xludf.DUMMYFUNCTION("""COMPUTED_VALUE"""),42934.0)</f>
        <v>42934</v>
      </c>
      <c r="B360" s="21" t="str">
        <f>IFERROR(__xludf.DUMMYFUNCTION("""COMPUTED_VALUE"""),"Jul")</f>
        <v>Jul</v>
      </c>
      <c r="C360" s="9">
        <f>IFERROR(__xludf.DUMMYFUNCTION("""COMPUTED_VALUE"""),42940.0)</f>
        <v>42940</v>
      </c>
      <c r="D360" s="23" t="str">
        <f>IFERROR(__xludf.DUMMYFUNCTION("""COMPUTED_VALUE"""),"Jul")</f>
        <v>Jul</v>
      </c>
      <c r="E360" s="21" t="str">
        <f>IFERROR(__xludf.DUMMYFUNCTION("""COMPUTED_VALUE"""),"2017")</f>
        <v>2017</v>
      </c>
      <c r="F360" s="22" t="str">
        <f>IFERROR(__xludf.DUMMYFUNCTION("""COMPUTED_VALUE"""),"Standard Class")</f>
        <v>Standard Class</v>
      </c>
      <c r="G360" s="22" t="str">
        <f>IFERROR(__xludf.DUMMYFUNCTION("""COMPUTED_VALUE"""),"Linda")</f>
        <v>Linda</v>
      </c>
      <c r="H360" s="22" t="str">
        <f>IFERROR(__xludf.DUMMYFUNCTION("""COMPUTED_VALUE"""),"Southworth")</f>
        <v>Southworth</v>
      </c>
      <c r="I360" s="22" t="str">
        <f>IFERROR(__xludf.DUMMYFUNCTION("""COMPUTED_VALUE"""),"Corporate")</f>
        <v>Corporate</v>
      </c>
      <c r="J360" s="22" t="str">
        <f>IFERROR(__xludf.DUMMYFUNCTION("""COMPUTED_VALUE"""),"Denver")</f>
        <v>Denver</v>
      </c>
      <c r="K360" s="22" t="str">
        <f>IFERROR(__xludf.DUMMYFUNCTION("""COMPUTED_VALUE"""),"Colorado")</f>
        <v>Colorado</v>
      </c>
      <c r="L360" s="22" t="str">
        <f>IFERROR(__xludf.DUMMYFUNCTION("""COMPUTED_VALUE"""),"West")</f>
        <v>West</v>
      </c>
      <c r="M360" s="22" t="str">
        <f>IFERROR(__xludf.DUMMYFUNCTION("""COMPUTED_VALUE"""),"Office Supplies")</f>
        <v>Office Supplies</v>
      </c>
      <c r="N360" s="18">
        <f>IFERROR(__xludf.DUMMYFUNCTION("""COMPUTED_VALUE"""),593.568)</f>
        <v>593.568</v>
      </c>
      <c r="O360" s="18">
        <f>IFERROR(__xludf.DUMMYFUNCTION("""COMPUTED_VALUE"""),593.18)</f>
        <v>593.18</v>
      </c>
      <c r="P360" s="22">
        <f>IFERROR(__xludf.DUMMYFUNCTION("""COMPUTED_VALUE"""),8.0)</f>
        <v>8</v>
      </c>
      <c r="Q360" s="18">
        <f>IFERROR(__xludf.DUMMYFUNCTION("""COMPUTED_VALUE"""),4748.544)</f>
        <v>4748.544</v>
      </c>
      <c r="R360" s="18">
        <f>IFERROR(__xludf.DUMMYFUNCTION("""COMPUTED_VALUE"""),4155.364)</f>
        <v>4155.364</v>
      </c>
    </row>
    <row r="361">
      <c r="A361" s="21">
        <f>IFERROR(__xludf.DUMMYFUNCTION("""COMPUTED_VALUE"""),42934.0)</f>
        <v>42934</v>
      </c>
      <c r="B361" s="21" t="str">
        <f>IFERROR(__xludf.DUMMYFUNCTION("""COMPUTED_VALUE"""),"Jul")</f>
        <v>Jul</v>
      </c>
      <c r="C361" s="9">
        <f>IFERROR(__xludf.DUMMYFUNCTION("""COMPUTED_VALUE"""),42940.0)</f>
        <v>42940</v>
      </c>
      <c r="D361" s="23" t="str">
        <f>IFERROR(__xludf.DUMMYFUNCTION("""COMPUTED_VALUE"""),"Jul")</f>
        <v>Jul</v>
      </c>
      <c r="E361" s="21" t="str">
        <f>IFERROR(__xludf.DUMMYFUNCTION("""COMPUTED_VALUE"""),"2017")</f>
        <v>2017</v>
      </c>
      <c r="F361" s="22" t="str">
        <f>IFERROR(__xludf.DUMMYFUNCTION("""COMPUTED_VALUE"""),"Standard Class")</f>
        <v>Standard Class</v>
      </c>
      <c r="G361" s="22" t="str">
        <f>IFERROR(__xludf.DUMMYFUNCTION("""COMPUTED_VALUE"""),"Linda")</f>
        <v>Linda</v>
      </c>
      <c r="H361" s="22" t="str">
        <f>IFERROR(__xludf.DUMMYFUNCTION("""COMPUTED_VALUE"""),"Southworth")</f>
        <v>Southworth</v>
      </c>
      <c r="I361" s="22" t="str">
        <f>IFERROR(__xludf.DUMMYFUNCTION("""COMPUTED_VALUE"""),"Corporate")</f>
        <v>Corporate</v>
      </c>
      <c r="J361" s="22" t="str">
        <f>IFERROR(__xludf.DUMMYFUNCTION("""COMPUTED_VALUE"""),"Denver")</f>
        <v>Denver</v>
      </c>
      <c r="K361" s="22" t="str">
        <f>IFERROR(__xludf.DUMMYFUNCTION("""COMPUTED_VALUE"""),"Colorado")</f>
        <v>Colorado</v>
      </c>
      <c r="L361" s="22" t="str">
        <f>IFERROR(__xludf.DUMMYFUNCTION("""COMPUTED_VALUE"""),"West")</f>
        <v>West</v>
      </c>
      <c r="M361" s="22" t="str">
        <f>IFERROR(__xludf.DUMMYFUNCTION("""COMPUTED_VALUE"""),"Office Supplies")</f>
        <v>Office Supplies</v>
      </c>
      <c r="N361" s="18">
        <f>IFERROR(__xludf.DUMMYFUNCTION("""COMPUTED_VALUE"""),338.04)</f>
        <v>338.04</v>
      </c>
      <c r="O361" s="18">
        <f>IFERROR(__xludf.DUMMYFUNCTION("""COMPUTED_VALUE"""),337.21)</f>
        <v>337.21</v>
      </c>
      <c r="P361" s="22">
        <f>IFERROR(__xludf.DUMMYFUNCTION("""COMPUTED_VALUE"""),8.0)</f>
        <v>8</v>
      </c>
      <c r="Q361" s="18">
        <f>IFERROR(__xludf.DUMMYFUNCTION("""COMPUTED_VALUE"""),2704.32)</f>
        <v>2704.32</v>
      </c>
      <c r="R361" s="18">
        <f>IFERROR(__xludf.DUMMYFUNCTION("""COMPUTED_VALUE"""),2367.11)</f>
        <v>2367.11</v>
      </c>
    </row>
    <row r="362">
      <c r="A362" s="21">
        <f>IFERROR(__xludf.DUMMYFUNCTION("""COMPUTED_VALUE"""),42345.0)</f>
        <v>42345</v>
      </c>
      <c r="B362" s="21" t="str">
        <f>IFERROR(__xludf.DUMMYFUNCTION("""COMPUTED_VALUE"""),"Dec")</f>
        <v>Dec</v>
      </c>
      <c r="C362" s="9">
        <f>IFERROR(__xludf.DUMMYFUNCTION("""COMPUTED_VALUE"""),42201.0)</f>
        <v>42201</v>
      </c>
      <c r="D362" s="23" t="str">
        <f>IFERROR(__xludf.DUMMYFUNCTION("""COMPUTED_VALUE"""),"Jul")</f>
        <v>Jul</v>
      </c>
      <c r="E362" s="21" t="str">
        <f>IFERROR(__xludf.DUMMYFUNCTION("""COMPUTED_VALUE"""),"2015")</f>
        <v>2015</v>
      </c>
      <c r="F362" s="22" t="str">
        <f>IFERROR(__xludf.DUMMYFUNCTION("""COMPUTED_VALUE"""),"Standard Class")</f>
        <v>Standard Class</v>
      </c>
      <c r="G362" s="22" t="str">
        <f>IFERROR(__xludf.DUMMYFUNCTION("""COMPUTED_VALUE"""),"Ben")</f>
        <v>Ben</v>
      </c>
      <c r="H362" s="22" t="str">
        <f>IFERROR(__xludf.DUMMYFUNCTION("""COMPUTED_VALUE"""),"Ferrer")</f>
        <v>Ferrer</v>
      </c>
      <c r="I362" s="22" t="str">
        <f>IFERROR(__xludf.DUMMYFUNCTION("""COMPUTED_VALUE"""),"Home Office")</f>
        <v>Home Office</v>
      </c>
      <c r="J362" s="22" t="str">
        <f>IFERROR(__xludf.DUMMYFUNCTION("""COMPUTED_VALUE"""),"Los Angeles")</f>
        <v>Los Angeles</v>
      </c>
      <c r="K362" s="22" t="str">
        <f>IFERROR(__xludf.DUMMYFUNCTION("""COMPUTED_VALUE"""),"California")</f>
        <v>California</v>
      </c>
      <c r="L362" s="22" t="str">
        <f>IFERROR(__xludf.DUMMYFUNCTION("""COMPUTED_VALUE"""),"West")</f>
        <v>West</v>
      </c>
      <c r="M362" s="22" t="str">
        <f>IFERROR(__xludf.DUMMYFUNCTION("""COMPUTED_VALUE"""),"Office Supplies")</f>
        <v>Office Supplies</v>
      </c>
      <c r="N362" s="18">
        <f>IFERROR(__xludf.DUMMYFUNCTION("""COMPUTED_VALUE"""),249.75)</f>
        <v>249.75</v>
      </c>
      <c r="O362" s="18">
        <f>IFERROR(__xludf.DUMMYFUNCTION("""COMPUTED_VALUE"""),249.31)</f>
        <v>249.31</v>
      </c>
      <c r="P362" s="22">
        <f>IFERROR(__xludf.DUMMYFUNCTION("""COMPUTED_VALUE"""),9.0)</f>
        <v>9</v>
      </c>
      <c r="Q362" s="18">
        <f>IFERROR(__xludf.DUMMYFUNCTION("""COMPUTED_VALUE"""),2247.75)</f>
        <v>2247.75</v>
      </c>
      <c r="R362" s="18">
        <f>IFERROR(__xludf.DUMMYFUNCTION("""COMPUTED_VALUE"""),1998.44)</f>
        <v>1998.44</v>
      </c>
    </row>
    <row r="363">
      <c r="A363" s="21">
        <f>IFERROR(__xludf.DUMMYFUNCTION("""COMPUTED_VALUE"""),42345.0)</f>
        <v>42345</v>
      </c>
      <c r="B363" s="21" t="str">
        <f>IFERROR(__xludf.DUMMYFUNCTION("""COMPUTED_VALUE"""),"Dec")</f>
        <v>Dec</v>
      </c>
      <c r="C363" s="9">
        <f>IFERROR(__xludf.DUMMYFUNCTION("""COMPUTED_VALUE"""),42201.0)</f>
        <v>42201</v>
      </c>
      <c r="D363" s="23" t="str">
        <f>IFERROR(__xludf.DUMMYFUNCTION("""COMPUTED_VALUE"""),"Jul")</f>
        <v>Jul</v>
      </c>
      <c r="E363" s="21" t="str">
        <f>IFERROR(__xludf.DUMMYFUNCTION("""COMPUTED_VALUE"""),"2015")</f>
        <v>2015</v>
      </c>
      <c r="F363" s="22" t="str">
        <f>IFERROR(__xludf.DUMMYFUNCTION("""COMPUTED_VALUE"""),"Standard Class")</f>
        <v>Standard Class</v>
      </c>
      <c r="G363" s="22" t="str">
        <f>IFERROR(__xludf.DUMMYFUNCTION("""COMPUTED_VALUE"""),"Ben")</f>
        <v>Ben</v>
      </c>
      <c r="H363" s="22" t="str">
        <f>IFERROR(__xludf.DUMMYFUNCTION("""COMPUTED_VALUE"""),"Ferrer")</f>
        <v>Ferrer</v>
      </c>
      <c r="I363" s="22" t="str">
        <f>IFERROR(__xludf.DUMMYFUNCTION("""COMPUTED_VALUE"""),"Home Office")</f>
        <v>Home Office</v>
      </c>
      <c r="J363" s="22" t="str">
        <f>IFERROR(__xludf.DUMMYFUNCTION("""COMPUTED_VALUE"""),"Los Angeles")</f>
        <v>Los Angeles</v>
      </c>
      <c r="K363" s="22" t="str">
        <f>IFERROR(__xludf.DUMMYFUNCTION("""COMPUTED_VALUE"""),"California")</f>
        <v>California</v>
      </c>
      <c r="L363" s="22" t="str">
        <f>IFERROR(__xludf.DUMMYFUNCTION("""COMPUTED_VALUE"""),"West")</f>
        <v>West</v>
      </c>
      <c r="M363" s="22" t="str">
        <f>IFERROR(__xludf.DUMMYFUNCTION("""COMPUTED_VALUE"""),"Technology")</f>
        <v>Technology</v>
      </c>
      <c r="N363" s="18">
        <f>IFERROR(__xludf.DUMMYFUNCTION("""COMPUTED_VALUE"""),255.936)</f>
        <v>255.936</v>
      </c>
      <c r="O363" s="18">
        <f>IFERROR(__xludf.DUMMYFUNCTION("""COMPUTED_VALUE"""),255.44)</f>
        <v>255.44</v>
      </c>
      <c r="P363" s="22">
        <f>IFERROR(__xludf.DUMMYFUNCTION("""COMPUTED_VALUE"""),9.0)</f>
        <v>9</v>
      </c>
      <c r="Q363" s="18">
        <f>IFERROR(__xludf.DUMMYFUNCTION("""COMPUTED_VALUE"""),2303.424)</f>
        <v>2303.424</v>
      </c>
      <c r="R363" s="18">
        <f>IFERROR(__xludf.DUMMYFUNCTION("""COMPUTED_VALUE"""),2047.984)</f>
        <v>2047.984</v>
      </c>
    </row>
    <row r="364">
      <c r="A364" s="21">
        <f>IFERROR(__xludf.DUMMYFUNCTION("""COMPUTED_VALUE"""),42885.0)</f>
        <v>42885</v>
      </c>
      <c r="B364" s="21" t="str">
        <f>IFERROR(__xludf.DUMMYFUNCTION("""COMPUTED_VALUE"""),"May")</f>
        <v>May</v>
      </c>
      <c r="C364" s="9">
        <f>IFERROR(__xludf.DUMMYFUNCTION("""COMPUTED_VALUE"""),42741.0)</f>
        <v>42741</v>
      </c>
      <c r="D364" s="23" t="str">
        <f>IFERROR(__xludf.DUMMYFUNCTION("""COMPUTED_VALUE"""),"Jan")</f>
        <v>Jan</v>
      </c>
      <c r="E364" s="21" t="str">
        <f>IFERROR(__xludf.DUMMYFUNCTION("""COMPUTED_VALUE"""),"2017")</f>
        <v>2017</v>
      </c>
      <c r="F364" s="22" t="str">
        <f>IFERROR(__xludf.DUMMYFUNCTION("""COMPUTED_VALUE"""),"First Class")</f>
        <v>First Class</v>
      </c>
      <c r="G364" s="22" t="str">
        <f>IFERROR(__xludf.DUMMYFUNCTION("""COMPUTED_VALUE"""),"Brooke")</f>
        <v>Brooke</v>
      </c>
      <c r="H364" s="22" t="str">
        <f>IFERROR(__xludf.DUMMYFUNCTION("""COMPUTED_VALUE"""),"Gillingham")</f>
        <v>Gillingham</v>
      </c>
      <c r="I364" s="22" t="str">
        <f>IFERROR(__xludf.DUMMYFUNCTION("""COMPUTED_VALUE"""),"Corporate")</f>
        <v>Corporate</v>
      </c>
      <c r="J364" s="22" t="str">
        <f>IFERROR(__xludf.DUMMYFUNCTION("""COMPUTED_VALUE"""),"Cincinnati")</f>
        <v>Cincinnati</v>
      </c>
      <c r="K364" s="22" t="str">
        <f>IFERROR(__xludf.DUMMYFUNCTION("""COMPUTED_VALUE"""),"Ohio")</f>
        <v>Ohio</v>
      </c>
      <c r="L364" s="22" t="str">
        <f>IFERROR(__xludf.DUMMYFUNCTION("""COMPUTED_VALUE"""),"East")</f>
        <v>East</v>
      </c>
      <c r="M364" s="22" t="str">
        <f>IFERROR(__xludf.DUMMYFUNCTION("""COMPUTED_VALUE"""),"Technology")</f>
        <v>Technology</v>
      </c>
      <c r="N364" s="18">
        <f>IFERROR(__xludf.DUMMYFUNCTION("""COMPUTED_VALUE"""),839.988)</f>
        <v>839.988</v>
      </c>
      <c r="O364" s="18">
        <f>IFERROR(__xludf.DUMMYFUNCTION("""COMPUTED_VALUE"""),839.61)</f>
        <v>839.61</v>
      </c>
      <c r="P364" s="22">
        <f>IFERROR(__xludf.DUMMYFUNCTION("""COMPUTED_VALUE"""),4.0)</f>
        <v>4</v>
      </c>
      <c r="Q364" s="18">
        <f>IFERROR(__xludf.DUMMYFUNCTION("""COMPUTED_VALUE"""),3359.952)</f>
        <v>3359.952</v>
      </c>
      <c r="R364" s="18">
        <f>IFERROR(__xludf.DUMMYFUNCTION("""COMPUTED_VALUE"""),2520.342)</f>
        <v>2520.342</v>
      </c>
    </row>
    <row r="365">
      <c r="A365" s="21">
        <f>IFERROR(__xludf.DUMMYFUNCTION("""COMPUTED_VALUE"""),42350.0)</f>
        <v>42350</v>
      </c>
      <c r="B365" s="21" t="str">
        <f>IFERROR(__xludf.DUMMYFUNCTION("""COMPUTED_VALUE"""),"Dec")</f>
        <v>Dec</v>
      </c>
      <c r="C365" s="9">
        <f>IFERROR(__xludf.DUMMYFUNCTION("""COMPUTED_VALUE"""),42352.0)</f>
        <v>42352</v>
      </c>
      <c r="D365" s="23" t="str">
        <f>IFERROR(__xludf.DUMMYFUNCTION("""COMPUTED_VALUE"""),"Dec")</f>
        <v>Dec</v>
      </c>
      <c r="E365" s="21" t="str">
        <f>IFERROR(__xludf.DUMMYFUNCTION("""COMPUTED_VALUE"""),"2015")</f>
        <v>2015</v>
      </c>
      <c r="F365" s="22" t="str">
        <f>IFERROR(__xludf.DUMMYFUNCTION("""COMPUTED_VALUE"""),"Second Class")</f>
        <v>Second Class</v>
      </c>
      <c r="G365" s="22" t="str">
        <f>IFERROR(__xludf.DUMMYFUNCTION("""COMPUTED_VALUE"""),"Nora")</f>
        <v>Nora</v>
      </c>
      <c r="H365" s="22" t="str">
        <f>IFERROR(__xludf.DUMMYFUNCTION("""COMPUTED_VALUE"""),"Preis")</f>
        <v>Preis</v>
      </c>
      <c r="I365" s="22" t="str">
        <f>IFERROR(__xludf.DUMMYFUNCTION("""COMPUTED_VALUE"""),"Consumer")</f>
        <v>Consumer</v>
      </c>
      <c r="J365" s="22" t="str">
        <f>IFERROR(__xludf.DUMMYFUNCTION("""COMPUTED_VALUE"""),"Fresno")</f>
        <v>Fresno</v>
      </c>
      <c r="K365" s="22" t="str">
        <f>IFERROR(__xludf.DUMMYFUNCTION("""COMPUTED_VALUE"""),"California")</f>
        <v>California</v>
      </c>
      <c r="L365" s="22" t="str">
        <f>IFERROR(__xludf.DUMMYFUNCTION("""COMPUTED_VALUE"""),"West")</f>
        <v>West</v>
      </c>
      <c r="M365" s="22" t="str">
        <f>IFERROR(__xludf.DUMMYFUNCTION("""COMPUTED_VALUE"""),"Furniture")</f>
        <v>Furniture</v>
      </c>
      <c r="N365" s="18">
        <f>IFERROR(__xludf.DUMMYFUNCTION("""COMPUTED_VALUE"""),764.688)</f>
        <v>764.688</v>
      </c>
      <c r="O365" s="18">
        <f>IFERROR(__xludf.DUMMYFUNCTION("""COMPUTED_VALUE"""),764.45)</f>
        <v>764.45</v>
      </c>
      <c r="P365" s="22">
        <f>IFERROR(__xludf.DUMMYFUNCTION("""COMPUTED_VALUE"""),9.0)</f>
        <v>9</v>
      </c>
      <c r="Q365" s="18">
        <f>IFERROR(__xludf.DUMMYFUNCTION("""COMPUTED_VALUE"""),6882.192)</f>
        <v>6882.192</v>
      </c>
      <c r="R365" s="18">
        <f>IFERROR(__xludf.DUMMYFUNCTION("""COMPUTED_VALUE"""),6117.742)</f>
        <v>6117.742</v>
      </c>
    </row>
    <row r="366">
      <c r="A366" s="21">
        <f>IFERROR(__xludf.DUMMYFUNCTION("""COMPUTED_VALUE"""),42350.0)</f>
        <v>42350</v>
      </c>
      <c r="B366" s="21" t="str">
        <f>IFERROR(__xludf.DUMMYFUNCTION("""COMPUTED_VALUE"""),"Dec")</f>
        <v>Dec</v>
      </c>
      <c r="C366" s="9">
        <f>IFERROR(__xludf.DUMMYFUNCTION("""COMPUTED_VALUE"""),42352.0)</f>
        <v>42352</v>
      </c>
      <c r="D366" s="23" t="str">
        <f>IFERROR(__xludf.DUMMYFUNCTION("""COMPUTED_VALUE"""),"Dec")</f>
        <v>Dec</v>
      </c>
      <c r="E366" s="21" t="str">
        <f>IFERROR(__xludf.DUMMYFUNCTION("""COMPUTED_VALUE"""),"2015")</f>
        <v>2015</v>
      </c>
      <c r="F366" s="22" t="str">
        <f>IFERROR(__xludf.DUMMYFUNCTION("""COMPUTED_VALUE"""),"Second Class")</f>
        <v>Second Class</v>
      </c>
      <c r="G366" s="22" t="str">
        <f>IFERROR(__xludf.DUMMYFUNCTION("""COMPUTED_VALUE"""),"Nora")</f>
        <v>Nora</v>
      </c>
      <c r="H366" s="22" t="str">
        <f>IFERROR(__xludf.DUMMYFUNCTION("""COMPUTED_VALUE"""),"Preis")</f>
        <v>Preis</v>
      </c>
      <c r="I366" s="22" t="str">
        <f>IFERROR(__xludf.DUMMYFUNCTION("""COMPUTED_VALUE"""),"Consumer")</f>
        <v>Consumer</v>
      </c>
      <c r="J366" s="22" t="str">
        <f>IFERROR(__xludf.DUMMYFUNCTION("""COMPUTED_VALUE"""),"Fresno")</f>
        <v>Fresno</v>
      </c>
      <c r="K366" s="22" t="str">
        <f>IFERROR(__xludf.DUMMYFUNCTION("""COMPUTED_VALUE"""),"California")</f>
        <v>California</v>
      </c>
      <c r="L366" s="22" t="str">
        <f>IFERROR(__xludf.DUMMYFUNCTION("""COMPUTED_VALUE"""),"West")</f>
        <v>West</v>
      </c>
      <c r="M366" s="22" t="str">
        <f>IFERROR(__xludf.DUMMYFUNCTION("""COMPUTED_VALUE"""),"Furniture")</f>
        <v>Furniture</v>
      </c>
      <c r="N366" s="18">
        <f>IFERROR(__xludf.DUMMYFUNCTION("""COMPUTED_VALUE"""),3610.848)</f>
        <v>3610.848</v>
      </c>
      <c r="O366" s="18">
        <f>IFERROR(__xludf.DUMMYFUNCTION("""COMPUTED_VALUE"""),3610.76)</f>
        <v>3610.76</v>
      </c>
      <c r="P366" s="22">
        <f>IFERROR(__xludf.DUMMYFUNCTION("""COMPUTED_VALUE"""),9.0)</f>
        <v>9</v>
      </c>
      <c r="Q366" s="18">
        <f>IFERROR(__xludf.DUMMYFUNCTION("""COMPUTED_VALUE"""),32497.631999999998)</f>
        <v>32497.632</v>
      </c>
      <c r="R366" s="18">
        <f>IFERROR(__xludf.DUMMYFUNCTION("""COMPUTED_VALUE"""),28886.871999999996)</f>
        <v>28886.872</v>
      </c>
    </row>
    <row r="367">
      <c r="A367" s="21">
        <f>IFERROR(__xludf.DUMMYFUNCTION("""COMPUTED_VALUE"""),42350.0)</f>
        <v>42350</v>
      </c>
      <c r="B367" s="21" t="str">
        <f>IFERROR(__xludf.DUMMYFUNCTION("""COMPUTED_VALUE"""),"Dec")</f>
        <v>Dec</v>
      </c>
      <c r="C367" s="9">
        <f>IFERROR(__xludf.DUMMYFUNCTION("""COMPUTED_VALUE"""),42352.0)</f>
        <v>42352</v>
      </c>
      <c r="D367" s="23" t="str">
        <f>IFERROR(__xludf.DUMMYFUNCTION("""COMPUTED_VALUE"""),"Dec")</f>
        <v>Dec</v>
      </c>
      <c r="E367" s="21" t="str">
        <f>IFERROR(__xludf.DUMMYFUNCTION("""COMPUTED_VALUE"""),"2015")</f>
        <v>2015</v>
      </c>
      <c r="F367" s="22" t="str">
        <f>IFERROR(__xludf.DUMMYFUNCTION("""COMPUTED_VALUE"""),"Second Class")</f>
        <v>Second Class</v>
      </c>
      <c r="G367" s="22" t="str">
        <f>IFERROR(__xludf.DUMMYFUNCTION("""COMPUTED_VALUE"""),"Nora")</f>
        <v>Nora</v>
      </c>
      <c r="H367" s="22" t="str">
        <f>IFERROR(__xludf.DUMMYFUNCTION("""COMPUTED_VALUE"""),"Preis")</f>
        <v>Preis</v>
      </c>
      <c r="I367" s="22" t="str">
        <f>IFERROR(__xludf.DUMMYFUNCTION("""COMPUTED_VALUE"""),"Consumer")</f>
        <v>Consumer</v>
      </c>
      <c r="J367" s="22" t="str">
        <f>IFERROR(__xludf.DUMMYFUNCTION("""COMPUTED_VALUE"""),"Fresno")</f>
        <v>Fresno</v>
      </c>
      <c r="K367" s="22" t="str">
        <f>IFERROR(__xludf.DUMMYFUNCTION("""COMPUTED_VALUE"""),"California")</f>
        <v>California</v>
      </c>
      <c r="L367" s="22" t="str">
        <f>IFERROR(__xludf.DUMMYFUNCTION("""COMPUTED_VALUE"""),"West")</f>
        <v>West</v>
      </c>
      <c r="M367" s="22" t="str">
        <f>IFERROR(__xludf.DUMMYFUNCTION("""COMPUTED_VALUE"""),"Furniture")</f>
        <v>Furniture</v>
      </c>
      <c r="N367" s="18">
        <f>IFERROR(__xludf.DUMMYFUNCTION("""COMPUTED_VALUE"""),254.9745)</f>
        <v>254.9745</v>
      </c>
      <c r="O367" s="18">
        <f>IFERROR(__xludf.DUMMYFUNCTION("""COMPUTED_VALUE"""),254.54)</f>
        <v>254.54</v>
      </c>
      <c r="P367" s="22">
        <f>IFERROR(__xludf.DUMMYFUNCTION("""COMPUTED_VALUE"""),9.0)</f>
        <v>9</v>
      </c>
      <c r="Q367" s="18">
        <f>IFERROR(__xludf.DUMMYFUNCTION("""COMPUTED_VALUE"""),2294.7705)</f>
        <v>2294.7705</v>
      </c>
      <c r="R367" s="18">
        <f>IFERROR(__xludf.DUMMYFUNCTION("""COMPUTED_VALUE"""),2040.2305000000001)</f>
        <v>2040.2305</v>
      </c>
    </row>
    <row r="368">
      <c r="A368" s="21">
        <f>IFERROR(__xludf.DUMMYFUNCTION("""COMPUTED_VALUE"""),42467.0)</f>
        <v>42467</v>
      </c>
      <c r="B368" s="21" t="str">
        <f>IFERROR(__xludf.DUMMYFUNCTION("""COMPUTED_VALUE"""),"Apr")</f>
        <v>Apr</v>
      </c>
      <c r="C368" s="9">
        <f>IFERROR(__xludf.DUMMYFUNCTION("""COMPUTED_VALUE"""),42620.0)</f>
        <v>42620</v>
      </c>
      <c r="D368" s="23" t="str">
        <f>IFERROR(__xludf.DUMMYFUNCTION("""COMPUTED_VALUE"""),"Sep")</f>
        <v>Sep</v>
      </c>
      <c r="E368" s="21" t="str">
        <f>IFERROR(__xludf.DUMMYFUNCTION("""COMPUTED_VALUE"""),"2016")</f>
        <v>2016</v>
      </c>
      <c r="F368" s="22" t="str">
        <f>IFERROR(__xludf.DUMMYFUNCTION("""COMPUTED_VALUE"""),"Standard Class")</f>
        <v>Standard Class</v>
      </c>
      <c r="G368" s="22" t="str">
        <f>IFERROR(__xludf.DUMMYFUNCTION("""COMPUTED_VALUE"""),"Irene")</f>
        <v>Irene</v>
      </c>
      <c r="H368" s="22" t="str">
        <f>IFERROR(__xludf.DUMMYFUNCTION("""COMPUTED_VALUE"""),"Maddox")</f>
        <v>Maddox</v>
      </c>
      <c r="I368" s="22" t="str">
        <f>IFERROR(__xludf.DUMMYFUNCTION("""COMPUTED_VALUE"""),"Consumer")</f>
        <v>Consumer</v>
      </c>
      <c r="J368" s="22" t="str">
        <f>IFERROR(__xludf.DUMMYFUNCTION("""COMPUTED_VALUE"""),"Milwaukee")</f>
        <v>Milwaukee</v>
      </c>
      <c r="K368" s="22" t="str">
        <f>IFERROR(__xludf.DUMMYFUNCTION("""COMPUTED_VALUE"""),"Wisconsin")</f>
        <v>Wisconsin</v>
      </c>
      <c r="L368" s="22" t="str">
        <f>IFERROR(__xludf.DUMMYFUNCTION("""COMPUTED_VALUE"""),"Central")</f>
        <v>Central</v>
      </c>
      <c r="M368" s="22" t="str">
        <f>IFERROR(__xludf.DUMMYFUNCTION("""COMPUTED_VALUE"""),"Technology")</f>
        <v>Technology</v>
      </c>
      <c r="N368" s="18">
        <f>IFERROR(__xludf.DUMMYFUNCTION("""COMPUTED_VALUE"""),1099.96)</f>
        <v>1099.96</v>
      </c>
      <c r="O368" s="18">
        <f>IFERROR(__xludf.DUMMYFUNCTION("""COMPUTED_VALUE"""),1099.13)</f>
        <v>1099.13</v>
      </c>
      <c r="P368" s="22">
        <f>IFERROR(__xludf.DUMMYFUNCTION("""COMPUTED_VALUE"""),5.0)</f>
        <v>5</v>
      </c>
      <c r="Q368" s="18">
        <f>IFERROR(__xludf.DUMMYFUNCTION("""COMPUTED_VALUE"""),5499.8)</f>
        <v>5499.8</v>
      </c>
      <c r="R368" s="18">
        <f>IFERROR(__xludf.DUMMYFUNCTION("""COMPUTED_VALUE"""),4400.67)</f>
        <v>4400.67</v>
      </c>
    </row>
    <row r="369">
      <c r="A369" s="21">
        <f>IFERROR(__xludf.DUMMYFUNCTION("""COMPUTED_VALUE"""),43093.0)</f>
        <v>43093</v>
      </c>
      <c r="B369" s="21" t="str">
        <f>IFERROR(__xludf.DUMMYFUNCTION("""COMPUTED_VALUE"""),"Dec")</f>
        <v>Dec</v>
      </c>
      <c r="C369" s="9">
        <f>IFERROR(__xludf.DUMMYFUNCTION("""COMPUTED_VALUE"""),43097.0)</f>
        <v>43097</v>
      </c>
      <c r="D369" s="23" t="str">
        <f>IFERROR(__xludf.DUMMYFUNCTION("""COMPUTED_VALUE"""),"Dec")</f>
        <v>Dec</v>
      </c>
      <c r="E369" s="21" t="str">
        <f>IFERROR(__xludf.DUMMYFUNCTION("""COMPUTED_VALUE"""),"2017")</f>
        <v>2017</v>
      </c>
      <c r="F369" s="22" t="str">
        <f>IFERROR(__xludf.DUMMYFUNCTION("""COMPUTED_VALUE"""),"Second Class")</f>
        <v>Second Class</v>
      </c>
      <c r="G369" s="22" t="str">
        <f>IFERROR(__xludf.DUMMYFUNCTION("""COMPUTED_VALUE"""),"Ross")</f>
        <v>Ross</v>
      </c>
      <c r="H369" s="22" t="str">
        <f>IFERROR(__xludf.DUMMYFUNCTION("""COMPUTED_VALUE"""),"Baird")</f>
        <v>Baird</v>
      </c>
      <c r="I369" s="22" t="str">
        <f>IFERROR(__xludf.DUMMYFUNCTION("""COMPUTED_VALUE"""),"Home Office")</f>
        <v>Home Office</v>
      </c>
      <c r="J369" s="22" t="str">
        <f>IFERROR(__xludf.DUMMYFUNCTION("""COMPUTED_VALUE"""),"Charlotte")</f>
        <v>Charlotte</v>
      </c>
      <c r="K369" s="22" t="str">
        <f>IFERROR(__xludf.DUMMYFUNCTION("""COMPUTED_VALUE"""),"North Carolina")</f>
        <v>North Carolina</v>
      </c>
      <c r="L369" s="22" t="str">
        <f>IFERROR(__xludf.DUMMYFUNCTION("""COMPUTED_VALUE"""),"South")</f>
        <v>South</v>
      </c>
      <c r="M369" s="22" t="str">
        <f>IFERROR(__xludf.DUMMYFUNCTION("""COMPUTED_VALUE"""),"Office Supplies")</f>
        <v>Office Supplies</v>
      </c>
      <c r="N369" s="18">
        <f>IFERROR(__xludf.DUMMYFUNCTION("""COMPUTED_VALUE"""),540.048)</f>
        <v>540.048</v>
      </c>
      <c r="O369" s="18">
        <f>IFERROR(__xludf.DUMMYFUNCTION("""COMPUTED_VALUE"""),539.46)</f>
        <v>539.46</v>
      </c>
      <c r="P369" s="22">
        <f>IFERROR(__xludf.DUMMYFUNCTION("""COMPUTED_VALUE"""),2.0)</f>
        <v>2</v>
      </c>
      <c r="Q369" s="18">
        <f>IFERROR(__xludf.DUMMYFUNCTION("""COMPUTED_VALUE"""),1080.096)</f>
        <v>1080.096</v>
      </c>
      <c r="R369" s="18">
        <f>IFERROR(__xludf.DUMMYFUNCTION("""COMPUTED_VALUE"""),540.636)</f>
        <v>540.636</v>
      </c>
    </row>
    <row r="370">
      <c r="A370" s="21">
        <f>IFERROR(__xludf.DUMMYFUNCTION("""COMPUTED_VALUE"""),43396.0)</f>
        <v>43396</v>
      </c>
      <c r="B370" s="21" t="str">
        <f>IFERROR(__xludf.DUMMYFUNCTION("""COMPUTED_VALUE"""),"Oct")</f>
        <v>Oct</v>
      </c>
      <c r="C370" s="9">
        <f>IFERROR(__xludf.DUMMYFUNCTION("""COMPUTED_VALUE"""),43400.0)</f>
        <v>43400</v>
      </c>
      <c r="D370" s="23" t="str">
        <f>IFERROR(__xludf.DUMMYFUNCTION("""COMPUTED_VALUE"""),"Oct")</f>
        <v>Oct</v>
      </c>
      <c r="E370" s="21" t="str">
        <f>IFERROR(__xludf.DUMMYFUNCTION("""COMPUTED_VALUE"""),"2018")</f>
        <v>2018</v>
      </c>
      <c r="F370" s="22" t="str">
        <f>IFERROR(__xludf.DUMMYFUNCTION("""COMPUTED_VALUE"""),"Standard Class")</f>
        <v>Standard Class</v>
      </c>
      <c r="G370" s="22" t="str">
        <f>IFERROR(__xludf.DUMMYFUNCTION("""COMPUTED_VALUE"""),"Jocasta")</f>
        <v>Jocasta</v>
      </c>
      <c r="H370" s="22" t="str">
        <f>IFERROR(__xludf.DUMMYFUNCTION("""COMPUTED_VALUE"""),"Rupert")</f>
        <v>Rupert</v>
      </c>
      <c r="I370" s="22" t="str">
        <f>IFERROR(__xludf.DUMMYFUNCTION("""COMPUTED_VALUE"""),"Consumer")</f>
        <v>Consumer</v>
      </c>
      <c r="J370" s="22" t="str">
        <f>IFERROR(__xludf.DUMMYFUNCTION("""COMPUTED_VALUE"""),"Jacksonville")</f>
        <v>Jacksonville</v>
      </c>
      <c r="K370" s="22" t="str">
        <f>IFERROR(__xludf.DUMMYFUNCTION("""COMPUTED_VALUE"""),"Florida")</f>
        <v>Florida</v>
      </c>
      <c r="L370" s="22" t="str">
        <f>IFERROR(__xludf.DUMMYFUNCTION("""COMPUTED_VALUE"""),"South")</f>
        <v>South</v>
      </c>
      <c r="M370" s="22" t="str">
        <f>IFERROR(__xludf.DUMMYFUNCTION("""COMPUTED_VALUE"""),"Technology")</f>
        <v>Technology</v>
      </c>
      <c r="N370" s="18">
        <f>IFERROR(__xludf.DUMMYFUNCTION("""COMPUTED_VALUE"""),863.88)</f>
        <v>863.88</v>
      </c>
      <c r="O370" s="18">
        <f>IFERROR(__xludf.DUMMYFUNCTION("""COMPUTED_VALUE"""),863.17)</f>
        <v>863.17</v>
      </c>
      <c r="P370" s="22">
        <f>IFERROR(__xludf.DUMMYFUNCTION("""COMPUTED_VALUE"""),3.0)</f>
        <v>3</v>
      </c>
      <c r="Q370" s="18">
        <f>IFERROR(__xludf.DUMMYFUNCTION("""COMPUTED_VALUE"""),2591.64)</f>
        <v>2591.64</v>
      </c>
      <c r="R370" s="18">
        <f>IFERROR(__xludf.DUMMYFUNCTION("""COMPUTED_VALUE"""),1728.4699999999998)</f>
        <v>1728.47</v>
      </c>
    </row>
    <row r="371">
      <c r="A371" s="21">
        <f>IFERROR(__xludf.DUMMYFUNCTION("""COMPUTED_VALUE"""),42362.0)</f>
        <v>42362</v>
      </c>
      <c r="B371" s="21" t="str">
        <f>IFERROR(__xludf.DUMMYFUNCTION("""COMPUTED_VALUE"""),"Dec")</f>
        <v>Dec</v>
      </c>
      <c r="C371" s="9">
        <f>IFERROR(__xludf.DUMMYFUNCTION("""COMPUTED_VALUE"""),42367.0)</f>
        <v>42367</v>
      </c>
      <c r="D371" s="23" t="str">
        <f>IFERROR(__xludf.DUMMYFUNCTION("""COMPUTED_VALUE"""),"Dec")</f>
        <v>Dec</v>
      </c>
      <c r="E371" s="21" t="str">
        <f>IFERROR(__xludf.DUMMYFUNCTION("""COMPUTED_VALUE"""),"2015")</f>
        <v>2015</v>
      </c>
      <c r="F371" s="22" t="str">
        <f>IFERROR(__xludf.DUMMYFUNCTION("""COMPUTED_VALUE"""),"Standard Class")</f>
        <v>Standard Class</v>
      </c>
      <c r="G371" s="22" t="str">
        <f>IFERROR(__xludf.DUMMYFUNCTION("""COMPUTED_VALUE"""),"Julie")</f>
        <v>Julie</v>
      </c>
      <c r="H371" s="22" t="str">
        <f>IFERROR(__xludf.DUMMYFUNCTION("""COMPUTED_VALUE"""),"Creighton")</f>
        <v>Creighton</v>
      </c>
      <c r="I371" s="22" t="str">
        <f>IFERROR(__xludf.DUMMYFUNCTION("""COMPUTED_VALUE"""),"Corporate")</f>
        <v>Corporate</v>
      </c>
      <c r="J371" s="22" t="str">
        <f>IFERROR(__xludf.DUMMYFUNCTION("""COMPUTED_VALUE"""),"Los Angeles")</f>
        <v>Los Angeles</v>
      </c>
      <c r="K371" s="22" t="str">
        <f>IFERROR(__xludf.DUMMYFUNCTION("""COMPUTED_VALUE"""),"California")</f>
        <v>California</v>
      </c>
      <c r="L371" s="22" t="str">
        <f>IFERROR(__xludf.DUMMYFUNCTION("""COMPUTED_VALUE"""),"West")</f>
        <v>West</v>
      </c>
      <c r="M371" s="22" t="str">
        <f>IFERROR(__xludf.DUMMYFUNCTION("""COMPUTED_VALUE"""),"Office Supplies")</f>
        <v>Office Supplies</v>
      </c>
      <c r="N371" s="18">
        <f>IFERROR(__xludf.DUMMYFUNCTION("""COMPUTED_VALUE"""),142.86)</f>
        <v>142.86</v>
      </c>
      <c r="O371" s="18">
        <f>IFERROR(__xludf.DUMMYFUNCTION("""COMPUTED_VALUE"""),142.19)</f>
        <v>142.19</v>
      </c>
      <c r="P371" s="22">
        <f>IFERROR(__xludf.DUMMYFUNCTION("""COMPUTED_VALUE"""),9.0)</f>
        <v>9</v>
      </c>
      <c r="Q371" s="18">
        <f>IFERROR(__xludf.DUMMYFUNCTION("""COMPUTED_VALUE"""),1285.7400000000002)</f>
        <v>1285.74</v>
      </c>
      <c r="R371" s="18">
        <f>IFERROR(__xludf.DUMMYFUNCTION("""COMPUTED_VALUE"""),1143.5500000000002)</f>
        <v>1143.55</v>
      </c>
    </row>
    <row r="372">
      <c r="A372" s="21">
        <f>IFERROR(__xludf.DUMMYFUNCTION("""COMPUTED_VALUE"""),42362.0)</f>
        <v>42362</v>
      </c>
      <c r="B372" s="21" t="str">
        <f>IFERROR(__xludf.DUMMYFUNCTION("""COMPUTED_VALUE"""),"Dec")</f>
        <v>Dec</v>
      </c>
      <c r="C372" s="9">
        <f>IFERROR(__xludf.DUMMYFUNCTION("""COMPUTED_VALUE"""),42367.0)</f>
        <v>42367</v>
      </c>
      <c r="D372" s="23" t="str">
        <f>IFERROR(__xludf.DUMMYFUNCTION("""COMPUTED_VALUE"""),"Dec")</f>
        <v>Dec</v>
      </c>
      <c r="E372" s="21" t="str">
        <f>IFERROR(__xludf.DUMMYFUNCTION("""COMPUTED_VALUE"""),"2015")</f>
        <v>2015</v>
      </c>
      <c r="F372" s="22" t="str">
        <f>IFERROR(__xludf.DUMMYFUNCTION("""COMPUTED_VALUE"""),"Standard Class")</f>
        <v>Standard Class</v>
      </c>
      <c r="G372" s="22" t="str">
        <f>IFERROR(__xludf.DUMMYFUNCTION("""COMPUTED_VALUE"""),"Julie")</f>
        <v>Julie</v>
      </c>
      <c r="H372" s="22" t="str">
        <f>IFERROR(__xludf.DUMMYFUNCTION("""COMPUTED_VALUE"""),"Creighton")</f>
        <v>Creighton</v>
      </c>
      <c r="I372" s="22" t="str">
        <f>IFERROR(__xludf.DUMMYFUNCTION("""COMPUTED_VALUE"""),"Corporate")</f>
        <v>Corporate</v>
      </c>
      <c r="J372" s="22" t="str">
        <f>IFERROR(__xludf.DUMMYFUNCTION("""COMPUTED_VALUE"""),"Los Angeles")</f>
        <v>Los Angeles</v>
      </c>
      <c r="K372" s="22" t="str">
        <f>IFERROR(__xludf.DUMMYFUNCTION("""COMPUTED_VALUE"""),"California")</f>
        <v>California</v>
      </c>
      <c r="L372" s="22" t="str">
        <f>IFERROR(__xludf.DUMMYFUNCTION("""COMPUTED_VALUE"""),"West")</f>
        <v>West</v>
      </c>
      <c r="M372" s="22" t="str">
        <f>IFERROR(__xludf.DUMMYFUNCTION("""COMPUTED_VALUE"""),"Furniture")</f>
        <v>Furniture</v>
      </c>
      <c r="N372" s="18">
        <f>IFERROR(__xludf.DUMMYFUNCTION("""COMPUTED_VALUE"""),292.272)</f>
        <v>292.272</v>
      </c>
      <c r="O372" s="18">
        <f>IFERROR(__xludf.DUMMYFUNCTION("""COMPUTED_VALUE"""),291.82)</f>
        <v>291.82</v>
      </c>
      <c r="P372" s="22">
        <f>IFERROR(__xludf.DUMMYFUNCTION("""COMPUTED_VALUE"""),9.0)</f>
        <v>9</v>
      </c>
      <c r="Q372" s="18">
        <f>IFERROR(__xludf.DUMMYFUNCTION("""COMPUTED_VALUE"""),2630.448)</f>
        <v>2630.448</v>
      </c>
      <c r="R372" s="18">
        <f>IFERROR(__xludf.DUMMYFUNCTION("""COMPUTED_VALUE"""),2338.6279999999997)</f>
        <v>2338.628</v>
      </c>
    </row>
    <row r="373">
      <c r="A373" s="21">
        <f>IFERROR(__xludf.DUMMYFUNCTION("""COMPUTED_VALUE"""),42846.0)</f>
        <v>42846</v>
      </c>
      <c r="B373" s="21" t="str">
        <f>IFERROR(__xludf.DUMMYFUNCTION("""COMPUTED_VALUE"""),"Apr")</f>
        <v>Apr</v>
      </c>
      <c r="C373" s="9">
        <f>IFERROR(__xludf.DUMMYFUNCTION("""COMPUTED_VALUE"""),42851.0)</f>
        <v>42851</v>
      </c>
      <c r="D373" s="23" t="str">
        <f>IFERROR(__xludf.DUMMYFUNCTION("""COMPUTED_VALUE"""),"Apr")</f>
        <v>Apr</v>
      </c>
      <c r="E373" s="21" t="str">
        <f>IFERROR(__xludf.DUMMYFUNCTION("""COMPUTED_VALUE"""),"2017")</f>
        <v>2017</v>
      </c>
      <c r="F373" s="22" t="str">
        <f>IFERROR(__xludf.DUMMYFUNCTION("""COMPUTED_VALUE"""),"Standard Class")</f>
        <v>Standard Class</v>
      </c>
      <c r="G373" s="22" t="str">
        <f>IFERROR(__xludf.DUMMYFUNCTION("""COMPUTED_VALUE"""),"Sibella")</f>
        <v>Sibella</v>
      </c>
      <c r="H373" s="22" t="str">
        <f>IFERROR(__xludf.DUMMYFUNCTION("""COMPUTED_VALUE"""),"Parks")</f>
        <v>Parks</v>
      </c>
      <c r="I373" s="22" t="str">
        <f>IFERROR(__xludf.DUMMYFUNCTION("""COMPUTED_VALUE"""),"Corporate")</f>
        <v>Corporate</v>
      </c>
      <c r="J373" s="22" t="str">
        <f>IFERROR(__xludf.DUMMYFUNCTION("""COMPUTED_VALUE"""),"Chicago")</f>
        <v>Chicago</v>
      </c>
      <c r="K373" s="22" t="str">
        <f>IFERROR(__xludf.DUMMYFUNCTION("""COMPUTED_VALUE"""),"Illinois")</f>
        <v>Illinois</v>
      </c>
      <c r="L373" s="22" t="str">
        <f>IFERROR(__xludf.DUMMYFUNCTION("""COMPUTED_VALUE"""),"Central")</f>
        <v>Central</v>
      </c>
      <c r="M373" s="22" t="str">
        <f>IFERROR(__xludf.DUMMYFUNCTION("""COMPUTED_VALUE"""),"Office Supplies")</f>
        <v>Office Supplies</v>
      </c>
      <c r="N373" s="18">
        <f>IFERROR(__xludf.DUMMYFUNCTION("""COMPUTED_VALUE"""),102.336)</f>
        <v>102.336</v>
      </c>
      <c r="O373" s="18">
        <f>IFERROR(__xludf.DUMMYFUNCTION("""COMPUTED_VALUE"""),102.03)</f>
        <v>102.03</v>
      </c>
      <c r="P373" s="22">
        <f>IFERROR(__xludf.DUMMYFUNCTION("""COMPUTED_VALUE"""),6.0)</f>
        <v>6</v>
      </c>
      <c r="Q373" s="18">
        <f>IFERROR(__xludf.DUMMYFUNCTION("""COMPUTED_VALUE"""),614.016)</f>
        <v>614.016</v>
      </c>
      <c r="R373" s="18">
        <f>IFERROR(__xludf.DUMMYFUNCTION("""COMPUTED_VALUE"""),511.986)</f>
        <v>511.986</v>
      </c>
    </row>
    <row r="374">
      <c r="A374" s="21">
        <f>IFERROR(__xludf.DUMMYFUNCTION("""COMPUTED_VALUE"""),42881.0)</f>
        <v>42881</v>
      </c>
      <c r="B374" s="21" t="str">
        <f>IFERROR(__xludf.DUMMYFUNCTION("""COMPUTED_VALUE"""),"May")</f>
        <v>May</v>
      </c>
      <c r="C374" s="9">
        <f>IFERROR(__xludf.DUMMYFUNCTION("""COMPUTED_VALUE"""),42881.0)</f>
        <v>42881</v>
      </c>
      <c r="D374" s="23" t="str">
        <f>IFERROR(__xludf.DUMMYFUNCTION("""COMPUTED_VALUE"""),"May")</f>
        <v>May</v>
      </c>
      <c r="E374" s="21" t="str">
        <f>IFERROR(__xludf.DUMMYFUNCTION("""COMPUTED_VALUE"""),"2017")</f>
        <v>2017</v>
      </c>
      <c r="F374" s="22" t="str">
        <f>IFERROR(__xludf.DUMMYFUNCTION("""COMPUTED_VALUE"""),"Same Day")</f>
        <v>Same Day</v>
      </c>
      <c r="G374" s="22" t="str">
        <f>IFERROR(__xludf.DUMMYFUNCTION("""COMPUTED_VALUE"""),"Maurice")</f>
        <v>Maurice</v>
      </c>
      <c r="H374" s="22" t="str">
        <f>IFERROR(__xludf.DUMMYFUNCTION("""COMPUTED_VALUE"""),"Satty")</f>
        <v>Satty</v>
      </c>
      <c r="I374" s="22" t="str">
        <f>IFERROR(__xludf.DUMMYFUNCTION("""COMPUTED_VALUE"""),"Consumer")</f>
        <v>Consumer</v>
      </c>
      <c r="J374" s="22" t="str">
        <f>IFERROR(__xludf.DUMMYFUNCTION("""COMPUTED_VALUE"""),"Fort Worth")</f>
        <v>Fort Worth</v>
      </c>
      <c r="K374" s="22" t="str">
        <f>IFERROR(__xludf.DUMMYFUNCTION("""COMPUTED_VALUE"""),"Texas")</f>
        <v>Texas</v>
      </c>
      <c r="L374" s="22" t="str">
        <f>IFERROR(__xludf.DUMMYFUNCTION("""COMPUTED_VALUE"""),"Central")</f>
        <v>Central</v>
      </c>
      <c r="M374" s="22" t="str">
        <f>IFERROR(__xludf.DUMMYFUNCTION("""COMPUTED_VALUE"""),"Furniture")</f>
        <v>Furniture</v>
      </c>
      <c r="N374" s="18">
        <f>IFERROR(__xludf.DUMMYFUNCTION("""COMPUTED_VALUE"""),388.43)</f>
        <v>388.43</v>
      </c>
      <c r="O374" s="18">
        <f>IFERROR(__xludf.DUMMYFUNCTION("""COMPUTED_VALUE"""),388.36)</f>
        <v>388.36</v>
      </c>
      <c r="P374" s="22">
        <f>IFERROR(__xludf.DUMMYFUNCTION("""COMPUTED_VALUE"""),7.0)</f>
        <v>7</v>
      </c>
      <c r="Q374" s="18">
        <f>IFERROR(__xludf.DUMMYFUNCTION("""COMPUTED_VALUE"""),2719.01)</f>
        <v>2719.01</v>
      </c>
      <c r="R374" s="18">
        <f>IFERROR(__xludf.DUMMYFUNCTION("""COMPUTED_VALUE"""),2330.65)</f>
        <v>2330.65</v>
      </c>
    </row>
    <row r="375">
      <c r="A375" s="21">
        <f>IFERROR(__xludf.DUMMYFUNCTION("""COMPUTED_VALUE"""),42771.0)</f>
        <v>42771</v>
      </c>
      <c r="B375" s="21" t="str">
        <f>IFERROR(__xludf.DUMMYFUNCTION("""COMPUTED_VALUE"""),"Feb")</f>
        <v>Feb</v>
      </c>
      <c r="C375" s="9">
        <f>IFERROR(__xludf.DUMMYFUNCTION("""COMPUTED_VALUE"""),42921.0)</f>
        <v>42921</v>
      </c>
      <c r="D375" s="23" t="str">
        <f>IFERROR(__xludf.DUMMYFUNCTION("""COMPUTED_VALUE"""),"Jul")</f>
        <v>Jul</v>
      </c>
      <c r="E375" s="21" t="str">
        <f>IFERROR(__xludf.DUMMYFUNCTION("""COMPUTED_VALUE"""),"2017")</f>
        <v>2017</v>
      </c>
      <c r="F375" s="22" t="str">
        <f>IFERROR(__xludf.DUMMYFUNCTION("""COMPUTED_VALUE"""),"Standard Class")</f>
        <v>Standard Class</v>
      </c>
      <c r="G375" s="22" t="str">
        <f>IFERROR(__xludf.DUMMYFUNCTION("""COMPUTED_VALUE"""),"Bryan")</f>
        <v>Bryan</v>
      </c>
      <c r="H375" s="22" t="str">
        <f>IFERROR(__xludf.DUMMYFUNCTION("""COMPUTED_VALUE"""),"Davis")</f>
        <v>Davis</v>
      </c>
      <c r="I375" s="22" t="str">
        <f>IFERROR(__xludf.DUMMYFUNCTION("""COMPUTED_VALUE"""),"Consumer")</f>
        <v>Consumer</v>
      </c>
      <c r="J375" s="22" t="str">
        <f>IFERROR(__xludf.DUMMYFUNCTION("""COMPUTED_VALUE"""),"Houston")</f>
        <v>Houston</v>
      </c>
      <c r="K375" s="22" t="str">
        <f>IFERROR(__xludf.DUMMYFUNCTION("""COMPUTED_VALUE"""),"Texas")</f>
        <v>Texas</v>
      </c>
      <c r="L375" s="22" t="str">
        <f>IFERROR(__xludf.DUMMYFUNCTION("""COMPUTED_VALUE"""),"Central")</f>
        <v>Central</v>
      </c>
      <c r="M375" s="22" t="str">
        <f>IFERROR(__xludf.DUMMYFUNCTION("""COMPUTED_VALUE"""),"Office Supplies")</f>
        <v>Office Supplies</v>
      </c>
      <c r="N375" s="18">
        <f>IFERROR(__xludf.DUMMYFUNCTION("""COMPUTED_VALUE"""),86.352)</f>
        <v>86.352</v>
      </c>
      <c r="O375" s="18">
        <f>IFERROR(__xludf.DUMMYFUNCTION("""COMPUTED_VALUE"""),85.45)</f>
        <v>85.45</v>
      </c>
      <c r="P375" s="22">
        <f>IFERROR(__xludf.DUMMYFUNCTION("""COMPUTED_VALUE"""),7.0)</f>
        <v>7</v>
      </c>
      <c r="Q375" s="18">
        <f>IFERROR(__xludf.DUMMYFUNCTION("""COMPUTED_VALUE"""),604.464)</f>
        <v>604.464</v>
      </c>
      <c r="R375" s="18">
        <f>IFERROR(__xludf.DUMMYFUNCTION("""COMPUTED_VALUE"""),519.014)</f>
        <v>519.014</v>
      </c>
    </row>
    <row r="376">
      <c r="A376" s="21">
        <f>IFERROR(__xludf.DUMMYFUNCTION("""COMPUTED_VALUE"""),42864.0)</f>
        <v>42864</v>
      </c>
      <c r="B376" s="21" t="str">
        <f>IFERROR(__xludf.DUMMYFUNCTION("""COMPUTED_VALUE"""),"May")</f>
        <v>May</v>
      </c>
      <c r="C376" s="9">
        <f>IFERROR(__xludf.DUMMYFUNCTION("""COMPUTED_VALUE"""),42895.0)</f>
        <v>42895</v>
      </c>
      <c r="D376" s="23" t="str">
        <f>IFERROR(__xludf.DUMMYFUNCTION("""COMPUTED_VALUE"""),"Jun")</f>
        <v>Jun</v>
      </c>
      <c r="E376" s="21" t="str">
        <f>IFERROR(__xludf.DUMMYFUNCTION("""COMPUTED_VALUE"""),"2017")</f>
        <v>2017</v>
      </c>
      <c r="F376" s="22" t="str">
        <f>IFERROR(__xludf.DUMMYFUNCTION("""COMPUTED_VALUE"""),"First Class")</f>
        <v>First Class</v>
      </c>
      <c r="G376" s="22" t="str">
        <f>IFERROR(__xludf.DUMMYFUNCTION("""COMPUTED_VALUE"""),"Toby")</f>
        <v>Toby</v>
      </c>
      <c r="H376" s="22" t="str">
        <f>IFERROR(__xludf.DUMMYFUNCTION("""COMPUTED_VALUE"""),"Ritter")</f>
        <v>Ritter</v>
      </c>
      <c r="I376" s="22" t="str">
        <f>IFERROR(__xludf.DUMMYFUNCTION("""COMPUTED_VALUE"""),"Consumer")</f>
        <v>Consumer</v>
      </c>
      <c r="J376" s="22" t="str">
        <f>IFERROR(__xludf.DUMMYFUNCTION("""COMPUTED_VALUE"""),"Cedar Rapids")</f>
        <v>Cedar Rapids</v>
      </c>
      <c r="K376" s="22" t="str">
        <f>IFERROR(__xludf.DUMMYFUNCTION("""COMPUTED_VALUE"""),"Iowa")</f>
        <v>Iowa</v>
      </c>
      <c r="L376" s="22" t="str">
        <f>IFERROR(__xludf.DUMMYFUNCTION("""COMPUTED_VALUE"""),"Central")</f>
        <v>Central</v>
      </c>
      <c r="M376" s="22" t="str">
        <f>IFERROR(__xludf.DUMMYFUNCTION("""COMPUTED_VALUE"""),"Technology")</f>
        <v>Technology</v>
      </c>
      <c r="N376" s="18">
        <f>IFERROR(__xludf.DUMMYFUNCTION("""COMPUTED_VALUE"""),278.4)</f>
        <v>278.4</v>
      </c>
      <c r="O376" s="18">
        <f>IFERROR(__xludf.DUMMYFUNCTION("""COMPUTED_VALUE"""),278.21)</f>
        <v>278.21</v>
      </c>
      <c r="P376" s="22">
        <f>IFERROR(__xludf.DUMMYFUNCTION("""COMPUTED_VALUE"""),5.0)</f>
        <v>5</v>
      </c>
      <c r="Q376" s="18">
        <f>IFERROR(__xludf.DUMMYFUNCTION("""COMPUTED_VALUE"""),1392.0)</f>
        <v>1392</v>
      </c>
      <c r="R376" s="18">
        <f>IFERROR(__xludf.DUMMYFUNCTION("""COMPUTED_VALUE"""),1113.79)</f>
        <v>1113.79</v>
      </c>
    </row>
    <row r="377">
      <c r="A377" s="21">
        <f>IFERROR(__xludf.DUMMYFUNCTION("""COMPUTED_VALUE"""),43347.0)</f>
        <v>43347</v>
      </c>
      <c r="B377" s="21" t="str">
        <f>IFERROR(__xludf.DUMMYFUNCTION("""COMPUTED_VALUE"""),"Sep")</f>
        <v>Sep</v>
      </c>
      <c r="C377" s="9">
        <f>IFERROR(__xludf.DUMMYFUNCTION("""COMPUTED_VALUE"""),43408.0)</f>
        <v>43408</v>
      </c>
      <c r="D377" s="23" t="str">
        <f>IFERROR(__xludf.DUMMYFUNCTION("""COMPUTED_VALUE"""),"Nov")</f>
        <v>Nov</v>
      </c>
      <c r="E377" s="21" t="str">
        <f>IFERROR(__xludf.DUMMYFUNCTION("""COMPUTED_VALUE"""),"2018")</f>
        <v>2018</v>
      </c>
      <c r="F377" s="22" t="str">
        <f>IFERROR(__xludf.DUMMYFUNCTION("""COMPUTED_VALUE"""),"First Class")</f>
        <v>First Class</v>
      </c>
      <c r="G377" s="22" t="str">
        <f>IFERROR(__xludf.DUMMYFUNCTION("""COMPUTED_VALUE"""),"Susan")</f>
        <v>Susan</v>
      </c>
      <c r="H377" s="22" t="str">
        <f>IFERROR(__xludf.DUMMYFUNCTION("""COMPUTED_VALUE"""),"Ann Reed")</f>
        <v>Ann Reed</v>
      </c>
      <c r="I377" s="22" t="str">
        <f>IFERROR(__xludf.DUMMYFUNCTION("""COMPUTED_VALUE"""),"Consumer")</f>
        <v>Consumer</v>
      </c>
      <c r="J377" s="22" t="str">
        <f>IFERROR(__xludf.DUMMYFUNCTION("""COMPUTED_VALUE"""),"Jacksonville")</f>
        <v>Jacksonville</v>
      </c>
      <c r="K377" s="22" t="str">
        <f>IFERROR(__xludf.DUMMYFUNCTION("""COMPUTED_VALUE"""),"Florida")</f>
        <v>Florida</v>
      </c>
      <c r="L377" s="22" t="str">
        <f>IFERROR(__xludf.DUMMYFUNCTION("""COMPUTED_VALUE"""),"South")</f>
        <v>South</v>
      </c>
      <c r="M377" s="22" t="str">
        <f>IFERROR(__xludf.DUMMYFUNCTION("""COMPUTED_VALUE"""),"Office Supplies")</f>
        <v>Office Supplies</v>
      </c>
      <c r="N377" s="18">
        <f>IFERROR(__xludf.DUMMYFUNCTION("""COMPUTED_VALUE"""),251.64)</f>
        <v>251.64</v>
      </c>
      <c r="O377" s="18">
        <f>IFERROR(__xludf.DUMMYFUNCTION("""COMPUTED_VALUE"""),251.01)</f>
        <v>251.01</v>
      </c>
      <c r="P377" s="22">
        <f>IFERROR(__xludf.DUMMYFUNCTION("""COMPUTED_VALUE"""),3.0)</f>
        <v>3</v>
      </c>
      <c r="Q377" s="18">
        <f>IFERROR(__xludf.DUMMYFUNCTION("""COMPUTED_VALUE"""),754.92)</f>
        <v>754.92</v>
      </c>
      <c r="R377" s="18">
        <f>IFERROR(__xludf.DUMMYFUNCTION("""COMPUTED_VALUE"""),503.90999999999997)</f>
        <v>503.91</v>
      </c>
    </row>
    <row r="378">
      <c r="A378" s="21">
        <f>IFERROR(__xludf.DUMMYFUNCTION("""COMPUTED_VALUE"""),42609.0)</f>
        <v>42609</v>
      </c>
      <c r="B378" s="21" t="str">
        <f>IFERROR(__xludf.DUMMYFUNCTION("""COMPUTED_VALUE"""),"Aug")</f>
        <v>Aug</v>
      </c>
      <c r="C378" s="9">
        <f>IFERROR(__xludf.DUMMYFUNCTION("""COMPUTED_VALUE"""),42378.0)</f>
        <v>42378</v>
      </c>
      <c r="D378" s="23" t="str">
        <f>IFERROR(__xludf.DUMMYFUNCTION("""COMPUTED_VALUE"""),"Jan")</f>
        <v>Jan</v>
      </c>
      <c r="E378" s="21" t="str">
        <f>IFERROR(__xludf.DUMMYFUNCTION("""COMPUTED_VALUE"""),"2016")</f>
        <v>2016</v>
      </c>
      <c r="F378" s="22" t="str">
        <f>IFERROR(__xludf.DUMMYFUNCTION("""COMPUTED_VALUE"""),"Standard Class")</f>
        <v>Standard Class</v>
      </c>
      <c r="G378" s="22" t="str">
        <f>IFERROR(__xludf.DUMMYFUNCTION("""COMPUTED_VALUE"""),"Philip")</f>
        <v>Philip</v>
      </c>
      <c r="H378" s="22" t="str">
        <f>IFERROR(__xludf.DUMMYFUNCTION("""COMPUTED_VALUE"""),"Fox")</f>
        <v>Fox</v>
      </c>
      <c r="I378" s="22" t="str">
        <f>IFERROR(__xludf.DUMMYFUNCTION("""COMPUTED_VALUE"""),"Consumer")</f>
        <v>Consumer</v>
      </c>
      <c r="J378" s="22" t="str">
        <f>IFERROR(__xludf.DUMMYFUNCTION("""COMPUTED_VALUE"""),"San Diego")</f>
        <v>San Diego</v>
      </c>
      <c r="K378" s="22" t="str">
        <f>IFERROR(__xludf.DUMMYFUNCTION("""COMPUTED_VALUE"""),"California")</f>
        <v>California</v>
      </c>
      <c r="L378" s="22" t="str">
        <f>IFERROR(__xludf.DUMMYFUNCTION("""COMPUTED_VALUE"""),"West")</f>
        <v>West</v>
      </c>
      <c r="M378" s="22" t="str">
        <f>IFERROR(__xludf.DUMMYFUNCTION("""COMPUTED_VALUE"""),"Office Supplies")</f>
        <v>Office Supplies</v>
      </c>
      <c r="N378" s="18">
        <f>IFERROR(__xludf.DUMMYFUNCTION("""COMPUTED_VALUE"""),114.2)</f>
        <v>114.2</v>
      </c>
      <c r="O378" s="18">
        <f>IFERROR(__xludf.DUMMYFUNCTION("""COMPUTED_VALUE"""),113.35)</f>
        <v>113.35</v>
      </c>
      <c r="P378" s="22">
        <f>IFERROR(__xludf.DUMMYFUNCTION("""COMPUTED_VALUE"""),9.0)</f>
        <v>9</v>
      </c>
      <c r="Q378" s="18">
        <f>IFERROR(__xludf.DUMMYFUNCTION("""COMPUTED_VALUE"""),1027.8)</f>
        <v>1027.8</v>
      </c>
      <c r="R378" s="18">
        <f>IFERROR(__xludf.DUMMYFUNCTION("""COMPUTED_VALUE"""),914.4499999999999)</f>
        <v>914.45</v>
      </c>
    </row>
    <row r="379">
      <c r="A379" s="21">
        <f>IFERROR(__xludf.DUMMYFUNCTION("""COMPUTED_VALUE"""),42515.0)</f>
        <v>42515</v>
      </c>
      <c r="B379" s="21" t="str">
        <f>IFERROR(__xludf.DUMMYFUNCTION("""COMPUTED_VALUE"""),"May")</f>
        <v>May</v>
      </c>
      <c r="C379" s="9">
        <f>IFERROR(__xludf.DUMMYFUNCTION("""COMPUTED_VALUE"""),42519.0)</f>
        <v>42519</v>
      </c>
      <c r="D379" s="23" t="str">
        <f>IFERROR(__xludf.DUMMYFUNCTION("""COMPUTED_VALUE"""),"May")</f>
        <v>May</v>
      </c>
      <c r="E379" s="21" t="str">
        <f>IFERROR(__xludf.DUMMYFUNCTION("""COMPUTED_VALUE"""),"2016")</f>
        <v>2016</v>
      </c>
      <c r="F379" s="22" t="str">
        <f>IFERROR(__xludf.DUMMYFUNCTION("""COMPUTED_VALUE"""),"Standard Class")</f>
        <v>Standard Class</v>
      </c>
      <c r="G379" s="22" t="str">
        <f>IFERROR(__xludf.DUMMYFUNCTION("""COMPUTED_VALUE"""),"Justin")</f>
        <v>Justin</v>
      </c>
      <c r="H379" s="22" t="str">
        <f>IFERROR(__xludf.DUMMYFUNCTION("""COMPUTED_VALUE"""),"Hirsh")</f>
        <v>Hirsh</v>
      </c>
      <c r="I379" s="22" t="str">
        <f>IFERROR(__xludf.DUMMYFUNCTION("""COMPUTED_VALUE"""),"Consumer")</f>
        <v>Consumer</v>
      </c>
      <c r="J379" s="22" t="str">
        <f>IFERROR(__xludf.DUMMYFUNCTION("""COMPUTED_VALUE"""),"Pueblo")</f>
        <v>Pueblo</v>
      </c>
      <c r="K379" s="22" t="str">
        <f>IFERROR(__xludf.DUMMYFUNCTION("""COMPUTED_VALUE"""),"Colorado")</f>
        <v>Colorado</v>
      </c>
      <c r="L379" s="22" t="str">
        <f>IFERROR(__xludf.DUMMYFUNCTION("""COMPUTED_VALUE"""),"West")</f>
        <v>West</v>
      </c>
      <c r="M379" s="22" t="str">
        <f>IFERROR(__xludf.DUMMYFUNCTION("""COMPUTED_VALUE"""),"Office Supplies")</f>
        <v>Office Supplies</v>
      </c>
      <c r="N379" s="18">
        <f>IFERROR(__xludf.DUMMYFUNCTION("""COMPUTED_VALUE"""),845.728)</f>
        <v>845.728</v>
      </c>
      <c r="O379" s="18">
        <f>IFERROR(__xludf.DUMMYFUNCTION("""COMPUTED_VALUE"""),844.99)</f>
        <v>844.99</v>
      </c>
      <c r="P379" s="22">
        <f>IFERROR(__xludf.DUMMYFUNCTION("""COMPUTED_VALUE"""),8.0)</f>
        <v>8</v>
      </c>
      <c r="Q379" s="18">
        <f>IFERROR(__xludf.DUMMYFUNCTION("""COMPUTED_VALUE"""),6765.824)</f>
        <v>6765.824</v>
      </c>
      <c r="R379" s="18">
        <f>IFERROR(__xludf.DUMMYFUNCTION("""COMPUTED_VALUE"""),5920.834)</f>
        <v>5920.834</v>
      </c>
    </row>
    <row r="380">
      <c r="A380" s="21">
        <f>IFERROR(__xludf.DUMMYFUNCTION("""COMPUTED_VALUE"""),43092.0)</f>
        <v>43092</v>
      </c>
      <c r="B380" s="21" t="str">
        <f>IFERROR(__xludf.DUMMYFUNCTION("""COMPUTED_VALUE"""),"Dec")</f>
        <v>Dec</v>
      </c>
      <c r="C380" s="9">
        <f>IFERROR(__xludf.DUMMYFUNCTION("""COMPUTED_VALUE"""),43094.0)</f>
        <v>43094</v>
      </c>
      <c r="D380" s="23" t="str">
        <f>IFERROR(__xludf.DUMMYFUNCTION("""COMPUTED_VALUE"""),"Dec")</f>
        <v>Dec</v>
      </c>
      <c r="E380" s="21" t="str">
        <f>IFERROR(__xludf.DUMMYFUNCTION("""COMPUTED_VALUE"""),"2017")</f>
        <v>2017</v>
      </c>
      <c r="F380" s="22" t="str">
        <f>IFERROR(__xludf.DUMMYFUNCTION("""COMPUTED_VALUE"""),"Second Class")</f>
        <v>Second Class</v>
      </c>
      <c r="G380" s="22" t="str">
        <f>IFERROR(__xludf.DUMMYFUNCTION("""COMPUTED_VALUE"""),"Logan")</f>
        <v>Logan</v>
      </c>
      <c r="H380" s="22" t="str">
        <f>IFERROR(__xludf.DUMMYFUNCTION("""COMPUTED_VALUE"""),"Currie")</f>
        <v>Currie</v>
      </c>
      <c r="I380" s="22" t="str">
        <f>IFERROR(__xludf.DUMMYFUNCTION("""COMPUTED_VALUE"""),"Consumer")</f>
        <v>Consumer</v>
      </c>
      <c r="J380" s="22" t="str">
        <f>IFERROR(__xludf.DUMMYFUNCTION("""COMPUTED_VALUE"""),"Springfield")</f>
        <v>Springfield</v>
      </c>
      <c r="K380" s="22" t="str">
        <f>IFERROR(__xludf.DUMMYFUNCTION("""COMPUTED_VALUE"""),"Virginia")</f>
        <v>Virginia</v>
      </c>
      <c r="L380" s="22" t="str">
        <f>IFERROR(__xludf.DUMMYFUNCTION("""COMPUTED_VALUE"""),"South")</f>
        <v>South</v>
      </c>
      <c r="M380" s="22" t="str">
        <f>IFERROR(__xludf.DUMMYFUNCTION("""COMPUTED_VALUE"""),"Furniture")</f>
        <v>Furniture</v>
      </c>
      <c r="N380" s="18">
        <f>IFERROR(__xludf.DUMMYFUNCTION("""COMPUTED_VALUE"""),572.76)</f>
        <v>572.76</v>
      </c>
      <c r="O380" s="18">
        <f>IFERROR(__xludf.DUMMYFUNCTION("""COMPUTED_VALUE"""),572.23)</f>
        <v>572.23</v>
      </c>
      <c r="P380" s="22">
        <f>IFERROR(__xludf.DUMMYFUNCTION("""COMPUTED_VALUE"""),2.0)</f>
        <v>2</v>
      </c>
      <c r="Q380" s="18">
        <f>IFERROR(__xludf.DUMMYFUNCTION("""COMPUTED_VALUE"""),1145.52)</f>
        <v>1145.52</v>
      </c>
      <c r="R380" s="18">
        <f>IFERROR(__xludf.DUMMYFUNCTION("""COMPUTED_VALUE"""),573.29)</f>
        <v>573.29</v>
      </c>
    </row>
    <row r="381">
      <c r="A381" s="21">
        <f>IFERROR(__xludf.DUMMYFUNCTION("""COMPUTED_VALUE"""),43166.0)</f>
        <v>43166</v>
      </c>
      <c r="B381" s="21" t="str">
        <f>IFERROR(__xludf.DUMMYFUNCTION("""COMPUTED_VALUE"""),"Mar")</f>
        <v>Mar</v>
      </c>
      <c r="C381" s="9">
        <f>IFERROR(__xludf.DUMMYFUNCTION("""COMPUTED_VALUE"""),43288.0)</f>
        <v>43288</v>
      </c>
      <c r="D381" s="23" t="str">
        <f>IFERROR(__xludf.DUMMYFUNCTION("""COMPUTED_VALUE"""),"Jul")</f>
        <v>Jul</v>
      </c>
      <c r="E381" s="21" t="str">
        <f>IFERROR(__xludf.DUMMYFUNCTION("""COMPUTED_VALUE"""),"2018")</f>
        <v>2018</v>
      </c>
      <c r="F381" s="22" t="str">
        <f>IFERROR(__xludf.DUMMYFUNCTION("""COMPUTED_VALUE"""),"Standard Class")</f>
        <v>Standard Class</v>
      </c>
      <c r="G381" s="22" t="str">
        <f>IFERROR(__xludf.DUMMYFUNCTION("""COMPUTED_VALUE"""),"Chuck")</f>
        <v>Chuck</v>
      </c>
      <c r="H381" s="22" t="str">
        <f>IFERROR(__xludf.DUMMYFUNCTION("""COMPUTED_VALUE"""),"Sachs")</f>
        <v>Sachs</v>
      </c>
      <c r="I381" s="22" t="str">
        <f>IFERROR(__xludf.DUMMYFUNCTION("""COMPUTED_VALUE"""),"Consumer")</f>
        <v>Consumer</v>
      </c>
      <c r="J381" s="22" t="str">
        <f>IFERROR(__xludf.DUMMYFUNCTION("""COMPUTED_VALUE"""),"Columbus")</f>
        <v>Columbus</v>
      </c>
      <c r="K381" s="22" t="str">
        <f>IFERROR(__xludf.DUMMYFUNCTION("""COMPUTED_VALUE"""),"Georgia")</f>
        <v>Georgia</v>
      </c>
      <c r="L381" s="22" t="str">
        <f>IFERROR(__xludf.DUMMYFUNCTION("""COMPUTED_VALUE"""),"South")</f>
        <v>South</v>
      </c>
      <c r="M381" s="22" t="str">
        <f>IFERROR(__xludf.DUMMYFUNCTION("""COMPUTED_VALUE"""),"Technology")</f>
        <v>Technology</v>
      </c>
      <c r="N381" s="18">
        <f>IFERROR(__xludf.DUMMYFUNCTION("""COMPUTED_VALUE"""),287.97)</f>
        <v>287.97</v>
      </c>
      <c r="O381" s="18">
        <f>IFERROR(__xludf.DUMMYFUNCTION("""COMPUTED_VALUE"""),287.78)</f>
        <v>287.78</v>
      </c>
      <c r="P381" s="22">
        <f>IFERROR(__xludf.DUMMYFUNCTION("""COMPUTED_VALUE"""),3.0)</f>
        <v>3</v>
      </c>
      <c r="Q381" s="18">
        <f>IFERROR(__xludf.DUMMYFUNCTION("""COMPUTED_VALUE"""),863.9100000000001)</f>
        <v>863.91</v>
      </c>
      <c r="R381" s="18">
        <f>IFERROR(__xludf.DUMMYFUNCTION("""COMPUTED_VALUE"""),576.1300000000001)</f>
        <v>576.13</v>
      </c>
    </row>
    <row r="382">
      <c r="A382" s="21">
        <f>IFERROR(__xludf.DUMMYFUNCTION("""COMPUTED_VALUE"""),42930.0)</f>
        <v>42930</v>
      </c>
      <c r="B382" s="21" t="str">
        <f>IFERROR(__xludf.DUMMYFUNCTION("""COMPUTED_VALUE"""),"Jul")</f>
        <v>Jul</v>
      </c>
      <c r="C382" s="9">
        <f>IFERROR(__xludf.DUMMYFUNCTION("""COMPUTED_VALUE"""),42932.0)</f>
        <v>42932</v>
      </c>
      <c r="D382" s="23" t="str">
        <f>IFERROR(__xludf.DUMMYFUNCTION("""COMPUTED_VALUE"""),"Jul")</f>
        <v>Jul</v>
      </c>
      <c r="E382" s="21" t="str">
        <f>IFERROR(__xludf.DUMMYFUNCTION("""COMPUTED_VALUE"""),"2017")</f>
        <v>2017</v>
      </c>
      <c r="F382" s="22" t="str">
        <f>IFERROR(__xludf.DUMMYFUNCTION("""COMPUTED_VALUE"""),"Second Class")</f>
        <v>Second Class</v>
      </c>
      <c r="G382" s="22" t="str">
        <f>IFERROR(__xludf.DUMMYFUNCTION("""COMPUTED_VALUE"""),"Bryan")</f>
        <v>Bryan</v>
      </c>
      <c r="H382" s="22" t="str">
        <f>IFERROR(__xludf.DUMMYFUNCTION("""COMPUTED_VALUE"""),"Mills")</f>
        <v>Mills</v>
      </c>
      <c r="I382" s="22" t="str">
        <f>IFERROR(__xludf.DUMMYFUNCTION("""COMPUTED_VALUE"""),"Consumer")</f>
        <v>Consumer</v>
      </c>
      <c r="J382" s="22" t="str">
        <f>IFERROR(__xludf.DUMMYFUNCTION("""COMPUTED_VALUE"""),"Houston")</f>
        <v>Houston</v>
      </c>
      <c r="K382" s="22" t="str">
        <f>IFERROR(__xludf.DUMMYFUNCTION("""COMPUTED_VALUE"""),"Texas")</f>
        <v>Texas</v>
      </c>
      <c r="L382" s="22" t="str">
        <f>IFERROR(__xludf.DUMMYFUNCTION("""COMPUTED_VALUE"""),"Central")</f>
        <v>Central</v>
      </c>
      <c r="M382" s="22" t="str">
        <f>IFERROR(__xludf.DUMMYFUNCTION("""COMPUTED_VALUE"""),"Technology")</f>
        <v>Technology</v>
      </c>
      <c r="N382" s="18">
        <f>IFERROR(__xludf.DUMMYFUNCTION("""COMPUTED_VALUE"""),419.944)</f>
        <v>419.944</v>
      </c>
      <c r="O382" s="18">
        <f>IFERROR(__xludf.DUMMYFUNCTION("""COMPUTED_VALUE"""),419.72)</f>
        <v>419.72</v>
      </c>
      <c r="P382" s="22">
        <f>IFERROR(__xludf.DUMMYFUNCTION("""COMPUTED_VALUE"""),7.0)</f>
        <v>7</v>
      </c>
      <c r="Q382" s="18">
        <f>IFERROR(__xludf.DUMMYFUNCTION("""COMPUTED_VALUE"""),2939.608)</f>
        <v>2939.608</v>
      </c>
      <c r="R382" s="18">
        <f>IFERROR(__xludf.DUMMYFUNCTION("""COMPUTED_VALUE"""),2519.888)</f>
        <v>2519.888</v>
      </c>
    </row>
    <row r="383">
      <c r="A383" s="21">
        <f>IFERROR(__xludf.DUMMYFUNCTION("""COMPUTED_VALUE"""),42906.0)</f>
        <v>42906</v>
      </c>
      <c r="B383" s="21" t="str">
        <f>IFERROR(__xludf.DUMMYFUNCTION("""COMPUTED_VALUE"""),"Jun")</f>
        <v>Jun</v>
      </c>
      <c r="C383" s="9">
        <f>IFERROR(__xludf.DUMMYFUNCTION("""COMPUTED_VALUE"""),42907.0)</f>
        <v>42907</v>
      </c>
      <c r="D383" s="23" t="str">
        <f>IFERROR(__xludf.DUMMYFUNCTION("""COMPUTED_VALUE"""),"Jun")</f>
        <v>Jun</v>
      </c>
      <c r="E383" s="21" t="str">
        <f>IFERROR(__xludf.DUMMYFUNCTION("""COMPUTED_VALUE"""),"2017")</f>
        <v>2017</v>
      </c>
      <c r="F383" s="22" t="str">
        <f>IFERROR(__xludf.DUMMYFUNCTION("""COMPUTED_VALUE"""),"First Class")</f>
        <v>First Class</v>
      </c>
      <c r="G383" s="22" t="str">
        <f>IFERROR(__xludf.DUMMYFUNCTION("""COMPUTED_VALUE"""),"Roy")</f>
        <v>Roy</v>
      </c>
      <c r="H383" s="22" t="str">
        <f>IFERROR(__xludf.DUMMYFUNCTION("""COMPUTED_VALUE"""),"Collins")</f>
        <v>Collins</v>
      </c>
      <c r="I383" s="22" t="str">
        <f>IFERROR(__xludf.DUMMYFUNCTION("""COMPUTED_VALUE"""),"Consumer")</f>
        <v>Consumer</v>
      </c>
      <c r="J383" s="22" t="str">
        <f>IFERROR(__xludf.DUMMYFUNCTION("""COMPUTED_VALUE"""),"Pasadena")</f>
        <v>Pasadena</v>
      </c>
      <c r="K383" s="22" t="str">
        <f>IFERROR(__xludf.DUMMYFUNCTION("""COMPUTED_VALUE"""),"California")</f>
        <v>California</v>
      </c>
      <c r="L383" s="22" t="str">
        <f>IFERROR(__xludf.DUMMYFUNCTION("""COMPUTED_VALUE"""),"West")</f>
        <v>West</v>
      </c>
      <c r="M383" s="22" t="str">
        <f>IFERROR(__xludf.DUMMYFUNCTION("""COMPUTED_VALUE"""),"Office Supplies")</f>
        <v>Office Supplies</v>
      </c>
      <c r="N383" s="18">
        <f>IFERROR(__xludf.DUMMYFUNCTION("""COMPUTED_VALUE"""),161.94)</f>
        <v>161.94</v>
      </c>
      <c r="O383" s="18">
        <f>IFERROR(__xludf.DUMMYFUNCTION("""COMPUTED_VALUE"""),161.45)</f>
        <v>161.45</v>
      </c>
      <c r="P383" s="22">
        <f>IFERROR(__xludf.DUMMYFUNCTION("""COMPUTED_VALUE"""),9.0)</f>
        <v>9</v>
      </c>
      <c r="Q383" s="18">
        <f>IFERROR(__xludf.DUMMYFUNCTION("""COMPUTED_VALUE"""),1457.46)</f>
        <v>1457.46</v>
      </c>
      <c r="R383" s="18">
        <f>IFERROR(__xludf.DUMMYFUNCTION("""COMPUTED_VALUE"""),1296.01)</f>
        <v>1296.01</v>
      </c>
    </row>
    <row r="384">
      <c r="A384" s="21">
        <f>IFERROR(__xludf.DUMMYFUNCTION("""COMPUTED_VALUE"""),42906.0)</f>
        <v>42906</v>
      </c>
      <c r="B384" s="21" t="str">
        <f>IFERROR(__xludf.DUMMYFUNCTION("""COMPUTED_VALUE"""),"Jun")</f>
        <v>Jun</v>
      </c>
      <c r="C384" s="9">
        <f>IFERROR(__xludf.DUMMYFUNCTION("""COMPUTED_VALUE"""),42907.0)</f>
        <v>42907</v>
      </c>
      <c r="D384" s="23" t="str">
        <f>IFERROR(__xludf.DUMMYFUNCTION("""COMPUTED_VALUE"""),"Jun")</f>
        <v>Jun</v>
      </c>
      <c r="E384" s="21" t="str">
        <f>IFERROR(__xludf.DUMMYFUNCTION("""COMPUTED_VALUE"""),"2017")</f>
        <v>2017</v>
      </c>
      <c r="F384" s="22" t="str">
        <f>IFERROR(__xludf.DUMMYFUNCTION("""COMPUTED_VALUE"""),"First Class")</f>
        <v>First Class</v>
      </c>
      <c r="G384" s="22" t="str">
        <f>IFERROR(__xludf.DUMMYFUNCTION("""COMPUTED_VALUE"""),"Roy")</f>
        <v>Roy</v>
      </c>
      <c r="H384" s="22" t="str">
        <f>IFERROR(__xludf.DUMMYFUNCTION("""COMPUTED_VALUE"""),"Collins")</f>
        <v>Collins</v>
      </c>
      <c r="I384" s="22" t="str">
        <f>IFERROR(__xludf.DUMMYFUNCTION("""COMPUTED_VALUE"""),"Consumer")</f>
        <v>Consumer</v>
      </c>
      <c r="J384" s="22" t="str">
        <f>IFERROR(__xludf.DUMMYFUNCTION("""COMPUTED_VALUE"""),"Pasadena")</f>
        <v>Pasadena</v>
      </c>
      <c r="K384" s="22" t="str">
        <f>IFERROR(__xludf.DUMMYFUNCTION("""COMPUTED_VALUE"""),"California")</f>
        <v>California</v>
      </c>
      <c r="L384" s="22" t="str">
        <f>IFERROR(__xludf.DUMMYFUNCTION("""COMPUTED_VALUE"""),"West")</f>
        <v>West</v>
      </c>
      <c r="M384" s="22" t="str">
        <f>IFERROR(__xludf.DUMMYFUNCTION("""COMPUTED_VALUE"""),"Furniture")</f>
        <v>Furniture</v>
      </c>
      <c r="N384" s="18">
        <f>IFERROR(__xludf.DUMMYFUNCTION("""COMPUTED_VALUE"""),161.568)</f>
        <v>161.568</v>
      </c>
      <c r="O384" s="18">
        <f>IFERROR(__xludf.DUMMYFUNCTION("""COMPUTED_VALUE"""),161.22)</f>
        <v>161.22</v>
      </c>
      <c r="P384" s="22">
        <f>IFERROR(__xludf.DUMMYFUNCTION("""COMPUTED_VALUE"""),9.0)</f>
        <v>9</v>
      </c>
      <c r="Q384" s="18">
        <f>IFERROR(__xludf.DUMMYFUNCTION("""COMPUTED_VALUE"""),1454.112)</f>
        <v>1454.112</v>
      </c>
      <c r="R384" s="18">
        <f>IFERROR(__xludf.DUMMYFUNCTION("""COMPUTED_VALUE"""),1292.892)</f>
        <v>1292.892</v>
      </c>
    </row>
    <row r="385">
      <c r="A385" s="21">
        <f>IFERROR(__xludf.DUMMYFUNCTION("""COMPUTED_VALUE"""),43087.0)</f>
        <v>43087</v>
      </c>
      <c r="B385" s="21" t="str">
        <f>IFERROR(__xludf.DUMMYFUNCTION("""COMPUTED_VALUE"""),"Dec")</f>
        <v>Dec</v>
      </c>
      <c r="C385" s="9">
        <f>IFERROR(__xludf.DUMMYFUNCTION("""COMPUTED_VALUE"""),43092.0)</f>
        <v>43092</v>
      </c>
      <c r="D385" s="23" t="str">
        <f>IFERROR(__xludf.DUMMYFUNCTION("""COMPUTED_VALUE"""),"Dec")</f>
        <v>Dec</v>
      </c>
      <c r="E385" s="21" t="str">
        <f>IFERROR(__xludf.DUMMYFUNCTION("""COMPUTED_VALUE"""),"2017")</f>
        <v>2017</v>
      </c>
      <c r="F385" s="22" t="str">
        <f>IFERROR(__xludf.DUMMYFUNCTION("""COMPUTED_VALUE"""),"Standard Class")</f>
        <v>Standard Class</v>
      </c>
      <c r="G385" s="22" t="str">
        <f>IFERROR(__xludf.DUMMYFUNCTION("""COMPUTED_VALUE"""),"Henry")</f>
        <v>Henry</v>
      </c>
      <c r="H385" s="22" t="str">
        <f>IFERROR(__xludf.DUMMYFUNCTION("""COMPUTED_VALUE"""),"Goldwyn")</f>
        <v>Goldwyn</v>
      </c>
      <c r="I385" s="22" t="str">
        <f>IFERROR(__xludf.DUMMYFUNCTION("""COMPUTED_VALUE"""),"Corporate")</f>
        <v>Corporate</v>
      </c>
      <c r="J385" s="22" t="str">
        <f>IFERROR(__xludf.DUMMYFUNCTION("""COMPUTED_VALUE"""),"Los Angeles")</f>
        <v>Los Angeles</v>
      </c>
      <c r="K385" s="22" t="str">
        <f>IFERROR(__xludf.DUMMYFUNCTION("""COMPUTED_VALUE"""),"California")</f>
        <v>California</v>
      </c>
      <c r="L385" s="22" t="str">
        <f>IFERROR(__xludf.DUMMYFUNCTION("""COMPUTED_VALUE"""),"West")</f>
        <v>West</v>
      </c>
      <c r="M385" s="22" t="str">
        <f>IFERROR(__xludf.DUMMYFUNCTION("""COMPUTED_VALUE"""),"Furniture")</f>
        <v>Furniture</v>
      </c>
      <c r="N385" s="18">
        <f>IFERROR(__xludf.DUMMYFUNCTION("""COMPUTED_VALUE"""),183.84)</f>
        <v>183.84</v>
      </c>
      <c r="O385" s="18">
        <f>IFERROR(__xludf.DUMMYFUNCTION("""COMPUTED_VALUE"""),183.21)</f>
        <v>183.21</v>
      </c>
      <c r="P385" s="22">
        <f>IFERROR(__xludf.DUMMYFUNCTION("""COMPUTED_VALUE"""),9.0)</f>
        <v>9</v>
      </c>
      <c r="Q385" s="18">
        <f>IFERROR(__xludf.DUMMYFUNCTION("""COMPUTED_VALUE"""),1654.56)</f>
        <v>1654.56</v>
      </c>
      <c r="R385" s="18">
        <f>IFERROR(__xludf.DUMMYFUNCTION("""COMPUTED_VALUE"""),1471.35)</f>
        <v>1471.35</v>
      </c>
    </row>
    <row r="386">
      <c r="A386" s="21">
        <f>IFERROR(__xludf.DUMMYFUNCTION("""COMPUTED_VALUE"""),43087.0)</f>
        <v>43087</v>
      </c>
      <c r="B386" s="21" t="str">
        <f>IFERROR(__xludf.DUMMYFUNCTION("""COMPUTED_VALUE"""),"Dec")</f>
        <v>Dec</v>
      </c>
      <c r="C386" s="9">
        <f>IFERROR(__xludf.DUMMYFUNCTION("""COMPUTED_VALUE"""),43092.0)</f>
        <v>43092</v>
      </c>
      <c r="D386" s="23" t="str">
        <f>IFERROR(__xludf.DUMMYFUNCTION("""COMPUTED_VALUE"""),"Dec")</f>
        <v>Dec</v>
      </c>
      <c r="E386" s="21" t="str">
        <f>IFERROR(__xludf.DUMMYFUNCTION("""COMPUTED_VALUE"""),"2017")</f>
        <v>2017</v>
      </c>
      <c r="F386" s="22" t="str">
        <f>IFERROR(__xludf.DUMMYFUNCTION("""COMPUTED_VALUE"""),"Standard Class")</f>
        <v>Standard Class</v>
      </c>
      <c r="G386" s="22" t="str">
        <f>IFERROR(__xludf.DUMMYFUNCTION("""COMPUTED_VALUE"""),"Henry")</f>
        <v>Henry</v>
      </c>
      <c r="H386" s="22" t="str">
        <f>IFERROR(__xludf.DUMMYFUNCTION("""COMPUTED_VALUE"""),"Goldwyn")</f>
        <v>Goldwyn</v>
      </c>
      <c r="I386" s="22" t="str">
        <f>IFERROR(__xludf.DUMMYFUNCTION("""COMPUTED_VALUE"""),"Corporate")</f>
        <v>Corporate</v>
      </c>
      <c r="J386" s="22" t="str">
        <f>IFERROR(__xludf.DUMMYFUNCTION("""COMPUTED_VALUE"""),"Los Angeles")</f>
        <v>Los Angeles</v>
      </c>
      <c r="K386" s="22" t="str">
        <f>IFERROR(__xludf.DUMMYFUNCTION("""COMPUTED_VALUE"""),"California")</f>
        <v>California</v>
      </c>
      <c r="L386" s="22" t="str">
        <f>IFERROR(__xludf.DUMMYFUNCTION("""COMPUTED_VALUE"""),"West")</f>
        <v>West</v>
      </c>
      <c r="M386" s="22" t="str">
        <f>IFERROR(__xludf.DUMMYFUNCTION("""COMPUTED_VALUE"""),"Office Supplies")</f>
        <v>Office Supplies</v>
      </c>
      <c r="N386" s="18">
        <f>IFERROR(__xludf.DUMMYFUNCTION("""COMPUTED_VALUE"""),579.3)</f>
        <v>579.3</v>
      </c>
      <c r="O386" s="18">
        <f>IFERROR(__xludf.DUMMYFUNCTION("""COMPUTED_VALUE"""),579.25)</f>
        <v>579.25</v>
      </c>
      <c r="P386" s="22">
        <f>IFERROR(__xludf.DUMMYFUNCTION("""COMPUTED_VALUE"""),9.0)</f>
        <v>9</v>
      </c>
      <c r="Q386" s="18">
        <f>IFERROR(__xludf.DUMMYFUNCTION("""COMPUTED_VALUE"""),5213.7)</f>
        <v>5213.7</v>
      </c>
      <c r="R386" s="18">
        <f>IFERROR(__xludf.DUMMYFUNCTION("""COMPUTED_VALUE"""),4634.45)</f>
        <v>4634.45</v>
      </c>
    </row>
    <row r="387">
      <c r="A387" s="21">
        <f>IFERROR(__xludf.DUMMYFUNCTION("""COMPUTED_VALUE"""),42011.0)</f>
        <v>42011</v>
      </c>
      <c r="B387" s="21" t="str">
        <f>IFERROR(__xludf.DUMMYFUNCTION("""COMPUTED_VALUE"""),"Jan")</f>
        <v>Jan</v>
      </c>
      <c r="C387" s="9">
        <f>IFERROR(__xludf.DUMMYFUNCTION("""COMPUTED_VALUE"""),42131.0)</f>
        <v>42131</v>
      </c>
      <c r="D387" s="23" t="str">
        <f>IFERROR(__xludf.DUMMYFUNCTION("""COMPUTED_VALUE"""),"May")</f>
        <v>May</v>
      </c>
      <c r="E387" s="21" t="str">
        <f>IFERROR(__xludf.DUMMYFUNCTION("""COMPUTED_VALUE"""),"2015")</f>
        <v>2015</v>
      </c>
      <c r="F387" s="22" t="str">
        <f>IFERROR(__xludf.DUMMYFUNCTION("""COMPUTED_VALUE"""),"Standard Class")</f>
        <v>Standard Class</v>
      </c>
      <c r="G387" s="22" t="str">
        <f>IFERROR(__xludf.DUMMYFUNCTION("""COMPUTED_VALUE"""),"Laurel")</f>
        <v>Laurel</v>
      </c>
      <c r="H387" s="22" t="str">
        <f>IFERROR(__xludf.DUMMYFUNCTION("""COMPUTED_VALUE"""),"Workman")</f>
        <v>Workman</v>
      </c>
      <c r="I387" s="22" t="str">
        <f>IFERROR(__xludf.DUMMYFUNCTION("""COMPUTED_VALUE"""),"Corporate")</f>
        <v>Corporate</v>
      </c>
      <c r="J387" s="22" t="str">
        <f>IFERROR(__xludf.DUMMYFUNCTION("""COMPUTED_VALUE"""),"Deltona")</f>
        <v>Deltona</v>
      </c>
      <c r="K387" s="22" t="str">
        <f>IFERROR(__xludf.DUMMYFUNCTION("""COMPUTED_VALUE"""),"Florida")</f>
        <v>Florida</v>
      </c>
      <c r="L387" s="22" t="str">
        <f>IFERROR(__xludf.DUMMYFUNCTION("""COMPUTED_VALUE"""),"South")</f>
        <v>South</v>
      </c>
      <c r="M387" s="22" t="str">
        <f>IFERROR(__xludf.DUMMYFUNCTION("""COMPUTED_VALUE"""),"Technology")</f>
        <v>Technology</v>
      </c>
      <c r="N387" s="18">
        <f>IFERROR(__xludf.DUMMYFUNCTION("""COMPUTED_VALUE"""),575.92)</f>
        <v>575.92</v>
      </c>
      <c r="O387" s="18">
        <f>IFERROR(__xludf.DUMMYFUNCTION("""COMPUTED_VALUE"""),574.96)</f>
        <v>574.96</v>
      </c>
      <c r="P387" s="22">
        <f>IFERROR(__xludf.DUMMYFUNCTION("""COMPUTED_VALUE"""),3.0)</f>
        <v>3</v>
      </c>
      <c r="Q387" s="18">
        <f>IFERROR(__xludf.DUMMYFUNCTION("""COMPUTED_VALUE"""),1727.7599999999998)</f>
        <v>1727.76</v>
      </c>
      <c r="R387" s="18">
        <f>IFERROR(__xludf.DUMMYFUNCTION("""COMPUTED_VALUE"""),1152.7999999999997)</f>
        <v>1152.8</v>
      </c>
    </row>
    <row r="388">
      <c r="A388" s="21">
        <f>IFERROR(__xludf.DUMMYFUNCTION("""COMPUTED_VALUE"""),43161.0)</f>
        <v>43161</v>
      </c>
      <c r="B388" s="21" t="str">
        <f>IFERROR(__xludf.DUMMYFUNCTION("""COMPUTED_VALUE"""),"Mar")</f>
        <v>Mar</v>
      </c>
      <c r="C388" s="9">
        <f>IFERROR(__xludf.DUMMYFUNCTION("""COMPUTED_VALUE"""),43314.0)</f>
        <v>43314</v>
      </c>
      <c r="D388" s="23" t="str">
        <f>IFERROR(__xludf.DUMMYFUNCTION("""COMPUTED_VALUE"""),"Aug")</f>
        <v>Aug</v>
      </c>
      <c r="E388" s="21" t="str">
        <f>IFERROR(__xludf.DUMMYFUNCTION("""COMPUTED_VALUE"""),"2018")</f>
        <v>2018</v>
      </c>
      <c r="F388" s="22" t="str">
        <f>IFERROR(__xludf.DUMMYFUNCTION("""COMPUTED_VALUE"""),"Standard Class")</f>
        <v>Standard Class</v>
      </c>
      <c r="G388" s="22" t="str">
        <f>IFERROR(__xludf.DUMMYFUNCTION("""COMPUTED_VALUE"""),"Matt")</f>
        <v>Matt</v>
      </c>
      <c r="H388" s="22" t="str">
        <f>IFERROR(__xludf.DUMMYFUNCTION("""COMPUTED_VALUE"""),"Collins")</f>
        <v>Collins</v>
      </c>
      <c r="I388" s="22" t="str">
        <f>IFERROR(__xludf.DUMMYFUNCTION("""COMPUTED_VALUE"""),"Consumer")</f>
        <v>Consumer</v>
      </c>
      <c r="J388" s="22" t="str">
        <f>IFERROR(__xludf.DUMMYFUNCTION("""COMPUTED_VALUE"""),"Cincinnati")</f>
        <v>Cincinnati</v>
      </c>
      <c r="K388" s="22" t="str">
        <f>IFERROR(__xludf.DUMMYFUNCTION("""COMPUTED_VALUE"""),"Ohio")</f>
        <v>Ohio</v>
      </c>
      <c r="L388" s="22" t="str">
        <f>IFERROR(__xludf.DUMMYFUNCTION("""COMPUTED_VALUE"""),"East")</f>
        <v>East</v>
      </c>
      <c r="M388" s="22" t="str">
        <f>IFERROR(__xludf.DUMMYFUNCTION("""COMPUTED_VALUE"""),"Office Supplies")</f>
        <v>Office Supplies</v>
      </c>
      <c r="N388" s="18">
        <f>IFERROR(__xludf.DUMMYFUNCTION("""COMPUTED_VALUE"""),285.552)</f>
        <v>285.552</v>
      </c>
      <c r="O388" s="18">
        <f>IFERROR(__xludf.DUMMYFUNCTION("""COMPUTED_VALUE"""),285.41)</f>
        <v>285.41</v>
      </c>
      <c r="P388" s="22">
        <f>IFERROR(__xludf.DUMMYFUNCTION("""COMPUTED_VALUE"""),4.0)</f>
        <v>4</v>
      </c>
      <c r="Q388" s="18">
        <f>IFERROR(__xludf.DUMMYFUNCTION("""COMPUTED_VALUE"""),1142.208)</f>
        <v>1142.208</v>
      </c>
      <c r="R388" s="18">
        <f>IFERROR(__xludf.DUMMYFUNCTION("""COMPUTED_VALUE"""),856.798)</f>
        <v>856.798</v>
      </c>
    </row>
    <row r="389">
      <c r="A389" s="21">
        <f>IFERROR(__xludf.DUMMYFUNCTION("""COMPUTED_VALUE"""),43388.0)</f>
        <v>43388</v>
      </c>
      <c r="B389" s="21" t="str">
        <f>IFERROR(__xludf.DUMMYFUNCTION("""COMPUTED_VALUE"""),"Oct")</f>
        <v>Oct</v>
      </c>
      <c r="C389" s="9">
        <f>IFERROR(__xludf.DUMMYFUNCTION("""COMPUTED_VALUE"""),43391.0)</f>
        <v>43391</v>
      </c>
      <c r="D389" s="23" t="str">
        <f>IFERROR(__xludf.DUMMYFUNCTION("""COMPUTED_VALUE"""),"Oct")</f>
        <v>Oct</v>
      </c>
      <c r="E389" s="21" t="str">
        <f>IFERROR(__xludf.DUMMYFUNCTION("""COMPUTED_VALUE"""),"2018")</f>
        <v>2018</v>
      </c>
      <c r="F389" s="22" t="str">
        <f>IFERROR(__xludf.DUMMYFUNCTION("""COMPUTED_VALUE"""),"Second Class")</f>
        <v>Second Class</v>
      </c>
      <c r="G389" s="22" t="str">
        <f>IFERROR(__xludf.DUMMYFUNCTION("""COMPUTED_VALUE"""),"Frank")</f>
        <v>Frank</v>
      </c>
      <c r="H389" s="22" t="str">
        <f>IFERROR(__xludf.DUMMYFUNCTION("""COMPUTED_VALUE"""),"Gastineau")</f>
        <v>Gastineau</v>
      </c>
      <c r="I389" s="22" t="str">
        <f>IFERROR(__xludf.DUMMYFUNCTION("""COMPUTED_VALUE"""),"Home Office")</f>
        <v>Home Office</v>
      </c>
      <c r="J389" s="22" t="str">
        <f>IFERROR(__xludf.DUMMYFUNCTION("""COMPUTED_VALUE"""),"San Francisco")</f>
        <v>San Francisco</v>
      </c>
      <c r="K389" s="22" t="str">
        <f>IFERROR(__xludf.DUMMYFUNCTION("""COMPUTED_VALUE"""),"California")</f>
        <v>California</v>
      </c>
      <c r="L389" s="22" t="str">
        <f>IFERROR(__xludf.DUMMYFUNCTION("""COMPUTED_VALUE"""),"West")</f>
        <v>West</v>
      </c>
      <c r="M389" s="22" t="str">
        <f>IFERROR(__xludf.DUMMYFUNCTION("""COMPUTED_VALUE"""),"Office Supplies")</f>
        <v>Office Supplies</v>
      </c>
      <c r="N389" s="18">
        <f>IFERROR(__xludf.DUMMYFUNCTION("""COMPUTED_VALUE"""),87.92)</f>
        <v>87.92</v>
      </c>
      <c r="O389" s="18">
        <f>IFERROR(__xludf.DUMMYFUNCTION("""COMPUTED_VALUE"""),87.9)</f>
        <v>87.9</v>
      </c>
      <c r="P389" s="22">
        <f>IFERROR(__xludf.DUMMYFUNCTION("""COMPUTED_VALUE"""),9.0)</f>
        <v>9</v>
      </c>
      <c r="Q389" s="18">
        <f>IFERROR(__xludf.DUMMYFUNCTION("""COMPUTED_VALUE"""),791.28)</f>
        <v>791.28</v>
      </c>
      <c r="R389" s="18">
        <f>IFERROR(__xludf.DUMMYFUNCTION("""COMPUTED_VALUE"""),703.38)</f>
        <v>703.38</v>
      </c>
    </row>
    <row r="390">
      <c r="A390" s="21">
        <f>IFERROR(__xludf.DUMMYFUNCTION("""COMPUTED_VALUE"""),42160.0)</f>
        <v>42160</v>
      </c>
      <c r="B390" s="21" t="str">
        <f>IFERROR(__xludf.DUMMYFUNCTION("""COMPUTED_VALUE"""),"Jun")</f>
        <v>Jun</v>
      </c>
      <c r="C390" s="9">
        <f>IFERROR(__xludf.DUMMYFUNCTION("""COMPUTED_VALUE"""),42282.0)</f>
        <v>42282</v>
      </c>
      <c r="D390" s="23" t="str">
        <f>IFERROR(__xludf.DUMMYFUNCTION("""COMPUTED_VALUE"""),"Oct")</f>
        <v>Oct</v>
      </c>
      <c r="E390" s="21" t="str">
        <f>IFERROR(__xludf.DUMMYFUNCTION("""COMPUTED_VALUE"""),"2015")</f>
        <v>2015</v>
      </c>
      <c r="F390" s="22" t="str">
        <f>IFERROR(__xludf.DUMMYFUNCTION("""COMPUTED_VALUE"""),"Standard Class")</f>
        <v>Standard Class</v>
      </c>
      <c r="G390" s="22" t="str">
        <f>IFERROR(__xludf.DUMMYFUNCTION("""COMPUTED_VALUE"""),"Harold")</f>
        <v>Harold</v>
      </c>
      <c r="H390" s="22" t="str">
        <f>IFERROR(__xludf.DUMMYFUNCTION("""COMPUTED_VALUE"""),"Pawlan")</f>
        <v>Pawlan</v>
      </c>
      <c r="I390" s="22" t="str">
        <f>IFERROR(__xludf.DUMMYFUNCTION("""COMPUTED_VALUE"""),"Home Office")</f>
        <v>Home Office</v>
      </c>
      <c r="J390" s="22" t="str">
        <f>IFERROR(__xludf.DUMMYFUNCTION("""COMPUTED_VALUE"""),"Los Angeles")</f>
        <v>Los Angeles</v>
      </c>
      <c r="K390" s="22" t="str">
        <f>IFERROR(__xludf.DUMMYFUNCTION("""COMPUTED_VALUE"""),"California")</f>
        <v>California</v>
      </c>
      <c r="L390" s="22" t="str">
        <f>IFERROR(__xludf.DUMMYFUNCTION("""COMPUTED_VALUE"""),"West")</f>
        <v>West</v>
      </c>
      <c r="M390" s="22" t="str">
        <f>IFERROR(__xludf.DUMMYFUNCTION("""COMPUTED_VALUE"""),"Office Supplies")</f>
        <v>Office Supplies</v>
      </c>
      <c r="N390" s="18">
        <f>IFERROR(__xludf.DUMMYFUNCTION("""COMPUTED_VALUE"""),140.736)</f>
        <v>140.736</v>
      </c>
      <c r="O390" s="18">
        <f>IFERROR(__xludf.DUMMYFUNCTION("""COMPUTED_VALUE"""),139.83)</f>
        <v>139.83</v>
      </c>
      <c r="P390" s="22">
        <f>IFERROR(__xludf.DUMMYFUNCTION("""COMPUTED_VALUE"""),9.0)</f>
        <v>9</v>
      </c>
      <c r="Q390" s="18">
        <f>IFERROR(__xludf.DUMMYFUNCTION("""COMPUTED_VALUE"""),1266.6239999999998)</f>
        <v>1266.624</v>
      </c>
      <c r="R390" s="18">
        <f>IFERROR(__xludf.DUMMYFUNCTION("""COMPUTED_VALUE"""),1126.7939999999999)</f>
        <v>1126.794</v>
      </c>
    </row>
    <row r="391">
      <c r="A391" s="21">
        <f>IFERROR(__xludf.DUMMYFUNCTION("""COMPUTED_VALUE"""),42871.0)</f>
        <v>42871</v>
      </c>
      <c r="B391" s="21" t="str">
        <f>IFERROR(__xludf.DUMMYFUNCTION("""COMPUTED_VALUE"""),"May")</f>
        <v>May</v>
      </c>
      <c r="C391" s="9">
        <f>IFERROR(__xludf.DUMMYFUNCTION("""COMPUTED_VALUE"""),42878.0)</f>
        <v>42878</v>
      </c>
      <c r="D391" s="23" t="str">
        <f>IFERROR(__xludf.DUMMYFUNCTION("""COMPUTED_VALUE"""),"May")</f>
        <v>May</v>
      </c>
      <c r="E391" s="21" t="str">
        <f>IFERROR(__xludf.DUMMYFUNCTION("""COMPUTED_VALUE"""),"2017")</f>
        <v>2017</v>
      </c>
      <c r="F391" s="22" t="str">
        <f>IFERROR(__xludf.DUMMYFUNCTION("""COMPUTED_VALUE"""),"Standard Class")</f>
        <v>Standard Class</v>
      </c>
      <c r="G391" s="22" t="str">
        <f>IFERROR(__xludf.DUMMYFUNCTION("""COMPUTED_VALUE"""),"Jim")</f>
        <v>Jim</v>
      </c>
      <c r="H391" s="22" t="str">
        <f>IFERROR(__xludf.DUMMYFUNCTION("""COMPUTED_VALUE"""),"Radford")</f>
        <v>Radford</v>
      </c>
      <c r="I391" s="22" t="str">
        <f>IFERROR(__xludf.DUMMYFUNCTION("""COMPUTED_VALUE"""),"Consumer")</f>
        <v>Consumer</v>
      </c>
      <c r="J391" s="22" t="str">
        <f>IFERROR(__xludf.DUMMYFUNCTION("""COMPUTED_VALUE"""),"Middletown")</f>
        <v>Middletown</v>
      </c>
      <c r="K391" s="22" t="str">
        <f>IFERROR(__xludf.DUMMYFUNCTION("""COMPUTED_VALUE"""),"Connecticut")</f>
        <v>Connecticut</v>
      </c>
      <c r="L391" s="22" t="str">
        <f>IFERROR(__xludf.DUMMYFUNCTION("""COMPUTED_VALUE"""),"East")</f>
        <v>East</v>
      </c>
      <c r="M391" s="22" t="str">
        <f>IFERROR(__xludf.DUMMYFUNCTION("""COMPUTED_VALUE"""),"Office Supplies")</f>
        <v>Office Supplies</v>
      </c>
      <c r="N391" s="18">
        <f>IFERROR(__xludf.DUMMYFUNCTION("""COMPUTED_VALUE"""),552.56)</f>
        <v>552.56</v>
      </c>
      <c r="O391" s="18">
        <f>IFERROR(__xludf.DUMMYFUNCTION("""COMPUTED_VALUE"""),551.95)</f>
        <v>551.95</v>
      </c>
      <c r="P391" s="22">
        <f>IFERROR(__xludf.DUMMYFUNCTION("""COMPUTED_VALUE"""),6.0)</f>
        <v>6</v>
      </c>
      <c r="Q391" s="18">
        <f>IFERROR(__xludf.DUMMYFUNCTION("""COMPUTED_VALUE"""),3315.3599999999997)</f>
        <v>3315.36</v>
      </c>
      <c r="R391" s="18">
        <f>IFERROR(__xludf.DUMMYFUNCTION("""COMPUTED_VALUE"""),2763.41)</f>
        <v>2763.41</v>
      </c>
    </row>
    <row r="392">
      <c r="A392" s="21">
        <f>IFERROR(__xludf.DUMMYFUNCTION("""COMPUTED_VALUE"""),43132.0)</f>
        <v>43132</v>
      </c>
      <c r="B392" s="21" t="str">
        <f>IFERROR(__xludf.DUMMYFUNCTION("""COMPUTED_VALUE"""),"Feb")</f>
        <v>Feb</v>
      </c>
      <c r="C392" s="9">
        <f>IFERROR(__xludf.DUMMYFUNCTION("""COMPUTED_VALUE"""),43191.0)</f>
        <v>43191</v>
      </c>
      <c r="D392" s="23" t="str">
        <f>IFERROR(__xludf.DUMMYFUNCTION("""COMPUTED_VALUE"""),"Apr")</f>
        <v>Apr</v>
      </c>
      <c r="E392" s="21" t="str">
        <f>IFERROR(__xludf.DUMMYFUNCTION("""COMPUTED_VALUE"""),"2018")</f>
        <v>2018</v>
      </c>
      <c r="F392" s="22" t="str">
        <f>IFERROR(__xludf.DUMMYFUNCTION("""COMPUTED_VALUE"""),"First Class")</f>
        <v>First Class</v>
      </c>
      <c r="G392" s="22" t="str">
        <f>IFERROR(__xludf.DUMMYFUNCTION("""COMPUTED_VALUE"""),"Aaron")</f>
        <v>Aaron</v>
      </c>
      <c r="H392" s="22" t="str">
        <f>IFERROR(__xludf.DUMMYFUNCTION("""COMPUTED_VALUE"""),"Smayling")</f>
        <v>Smayling</v>
      </c>
      <c r="I392" s="22" t="str">
        <f>IFERROR(__xludf.DUMMYFUNCTION("""COMPUTED_VALUE"""),"Corporate")</f>
        <v>Corporate</v>
      </c>
      <c r="J392" s="22" t="str">
        <f>IFERROR(__xludf.DUMMYFUNCTION("""COMPUTED_VALUE"""),"Jacksonville")</f>
        <v>Jacksonville</v>
      </c>
      <c r="K392" s="22" t="str">
        <f>IFERROR(__xludf.DUMMYFUNCTION("""COMPUTED_VALUE"""),"North Carolina")</f>
        <v>North Carolina</v>
      </c>
      <c r="L392" s="22" t="str">
        <f>IFERROR(__xludf.DUMMYFUNCTION("""COMPUTED_VALUE"""),"South")</f>
        <v>South</v>
      </c>
      <c r="M392" s="22" t="str">
        <f>IFERROR(__xludf.DUMMYFUNCTION("""COMPUTED_VALUE"""),"Technology")</f>
        <v>Technology</v>
      </c>
      <c r="N392" s="18">
        <f>IFERROR(__xludf.DUMMYFUNCTION("""COMPUTED_VALUE"""),695.7)</f>
        <v>695.7</v>
      </c>
      <c r="O392" s="18">
        <f>IFERROR(__xludf.DUMMYFUNCTION("""COMPUTED_VALUE"""),695.28)</f>
        <v>695.28</v>
      </c>
      <c r="P392" s="22">
        <f>IFERROR(__xludf.DUMMYFUNCTION("""COMPUTED_VALUE"""),2.0)</f>
        <v>2</v>
      </c>
      <c r="Q392" s="18">
        <f>IFERROR(__xludf.DUMMYFUNCTION("""COMPUTED_VALUE"""),1391.4)</f>
        <v>1391.4</v>
      </c>
      <c r="R392" s="18">
        <f>IFERROR(__xludf.DUMMYFUNCTION("""COMPUTED_VALUE"""),696.1200000000001)</f>
        <v>696.12</v>
      </c>
    </row>
    <row r="393">
      <c r="A393" s="21">
        <f>IFERROR(__xludf.DUMMYFUNCTION("""COMPUTED_VALUE"""),42073.0)</f>
        <v>42073</v>
      </c>
      <c r="B393" s="21" t="str">
        <f>IFERROR(__xludf.DUMMYFUNCTION("""COMPUTED_VALUE"""),"Mar")</f>
        <v>Mar</v>
      </c>
      <c r="C393" s="9">
        <f>IFERROR(__xludf.DUMMYFUNCTION("""COMPUTED_VALUE"""),42226.0)</f>
        <v>42226</v>
      </c>
      <c r="D393" s="23" t="str">
        <f>IFERROR(__xludf.DUMMYFUNCTION("""COMPUTED_VALUE"""),"Aug")</f>
        <v>Aug</v>
      </c>
      <c r="E393" s="21" t="str">
        <f>IFERROR(__xludf.DUMMYFUNCTION("""COMPUTED_VALUE"""),"2015")</f>
        <v>2015</v>
      </c>
      <c r="F393" s="22" t="str">
        <f>IFERROR(__xludf.DUMMYFUNCTION("""COMPUTED_VALUE"""),"Second Class")</f>
        <v>Second Class</v>
      </c>
      <c r="G393" s="22" t="str">
        <f>IFERROR(__xludf.DUMMYFUNCTION("""COMPUTED_VALUE"""),"Beth")</f>
        <v>Beth</v>
      </c>
      <c r="H393" s="22" t="str">
        <f>IFERROR(__xludf.DUMMYFUNCTION("""COMPUTED_VALUE"""),"Paige")</f>
        <v>Paige</v>
      </c>
      <c r="I393" s="22" t="str">
        <f>IFERROR(__xludf.DUMMYFUNCTION("""COMPUTED_VALUE"""),"Consumer")</f>
        <v>Consumer</v>
      </c>
      <c r="J393" s="22" t="str">
        <f>IFERROR(__xludf.DUMMYFUNCTION("""COMPUTED_VALUE"""),"Evanston")</f>
        <v>Evanston</v>
      </c>
      <c r="K393" s="22" t="str">
        <f>IFERROR(__xludf.DUMMYFUNCTION("""COMPUTED_VALUE"""),"Illinois")</f>
        <v>Illinois</v>
      </c>
      <c r="L393" s="22" t="str">
        <f>IFERROR(__xludf.DUMMYFUNCTION("""COMPUTED_VALUE"""),"Central")</f>
        <v>Central</v>
      </c>
      <c r="M393" s="22" t="str">
        <f>IFERROR(__xludf.DUMMYFUNCTION("""COMPUTED_VALUE"""),"Furniture")</f>
        <v>Furniture</v>
      </c>
      <c r="N393" s="18">
        <f>IFERROR(__xludf.DUMMYFUNCTION("""COMPUTED_VALUE"""),258.279)</f>
        <v>258.279</v>
      </c>
      <c r="O393" s="18">
        <f>IFERROR(__xludf.DUMMYFUNCTION("""COMPUTED_VALUE"""),257.86)</f>
        <v>257.86</v>
      </c>
      <c r="P393" s="22">
        <f>IFERROR(__xludf.DUMMYFUNCTION("""COMPUTED_VALUE"""),6.0)</f>
        <v>6</v>
      </c>
      <c r="Q393" s="18">
        <f>IFERROR(__xludf.DUMMYFUNCTION("""COMPUTED_VALUE"""),1549.674)</f>
        <v>1549.674</v>
      </c>
      <c r="R393" s="18">
        <f>IFERROR(__xludf.DUMMYFUNCTION("""COMPUTED_VALUE"""),1291.8139999999999)</f>
        <v>1291.814</v>
      </c>
    </row>
    <row r="394">
      <c r="A394" s="21">
        <f>IFERROR(__xludf.DUMMYFUNCTION("""COMPUTED_VALUE"""),43195.0)</f>
        <v>43195</v>
      </c>
      <c r="B394" s="21" t="str">
        <f>IFERROR(__xludf.DUMMYFUNCTION("""COMPUTED_VALUE"""),"Apr")</f>
        <v>Apr</v>
      </c>
      <c r="C394" s="9">
        <f>IFERROR(__xludf.DUMMYFUNCTION("""COMPUTED_VALUE"""),43348.0)</f>
        <v>43348</v>
      </c>
      <c r="D394" s="23" t="str">
        <f>IFERROR(__xludf.DUMMYFUNCTION("""COMPUTED_VALUE"""),"Sep")</f>
        <v>Sep</v>
      </c>
      <c r="E394" s="21" t="str">
        <f>IFERROR(__xludf.DUMMYFUNCTION("""COMPUTED_VALUE"""),"2018")</f>
        <v>2018</v>
      </c>
      <c r="F394" s="22" t="str">
        <f>IFERROR(__xludf.DUMMYFUNCTION("""COMPUTED_VALUE"""),"Standard Class")</f>
        <v>Standard Class</v>
      </c>
      <c r="G394" s="22" t="str">
        <f>IFERROR(__xludf.DUMMYFUNCTION("""COMPUTED_VALUE"""),"Lindsay")</f>
        <v>Lindsay</v>
      </c>
      <c r="H394" s="22" t="str">
        <f>IFERROR(__xludf.DUMMYFUNCTION("""COMPUTED_VALUE"""),"Williams")</f>
        <v>Williams</v>
      </c>
      <c r="I394" s="22" t="str">
        <f>IFERROR(__xludf.DUMMYFUNCTION("""COMPUTED_VALUE"""),"Corporate")</f>
        <v>Corporate</v>
      </c>
      <c r="J394" s="22" t="str">
        <f>IFERROR(__xludf.DUMMYFUNCTION("""COMPUTED_VALUE"""),"San Francisco")</f>
        <v>San Francisco</v>
      </c>
      <c r="K394" s="22" t="str">
        <f>IFERROR(__xludf.DUMMYFUNCTION("""COMPUTED_VALUE"""),"California")</f>
        <v>California</v>
      </c>
      <c r="L394" s="22" t="str">
        <f>IFERROR(__xludf.DUMMYFUNCTION("""COMPUTED_VALUE"""),"West")</f>
        <v>West</v>
      </c>
      <c r="M394" s="22" t="str">
        <f>IFERROR(__xludf.DUMMYFUNCTION("""COMPUTED_VALUE"""),"Technology")</f>
        <v>Technology</v>
      </c>
      <c r="N394" s="18">
        <f>IFERROR(__xludf.DUMMYFUNCTION("""COMPUTED_VALUE"""),183.96)</f>
        <v>183.96</v>
      </c>
      <c r="O394" s="18">
        <f>IFERROR(__xludf.DUMMYFUNCTION("""COMPUTED_VALUE"""),183.21)</f>
        <v>183.21</v>
      </c>
      <c r="P394" s="22">
        <f>IFERROR(__xludf.DUMMYFUNCTION("""COMPUTED_VALUE"""),9.0)</f>
        <v>9</v>
      </c>
      <c r="Q394" s="18">
        <f>IFERROR(__xludf.DUMMYFUNCTION("""COMPUTED_VALUE"""),1655.64)</f>
        <v>1655.64</v>
      </c>
      <c r="R394" s="18">
        <f>IFERROR(__xludf.DUMMYFUNCTION("""COMPUTED_VALUE"""),1472.43)</f>
        <v>1472.43</v>
      </c>
    </row>
    <row r="395">
      <c r="A395" s="21">
        <f>IFERROR(__xludf.DUMMYFUNCTION("""COMPUTED_VALUE"""),43195.0)</f>
        <v>43195</v>
      </c>
      <c r="B395" s="21" t="str">
        <f>IFERROR(__xludf.DUMMYFUNCTION("""COMPUTED_VALUE"""),"Apr")</f>
        <v>Apr</v>
      </c>
      <c r="C395" s="9">
        <f>IFERROR(__xludf.DUMMYFUNCTION("""COMPUTED_VALUE"""),43348.0)</f>
        <v>43348</v>
      </c>
      <c r="D395" s="23" t="str">
        <f>IFERROR(__xludf.DUMMYFUNCTION("""COMPUTED_VALUE"""),"Sep")</f>
        <v>Sep</v>
      </c>
      <c r="E395" s="21" t="str">
        <f>IFERROR(__xludf.DUMMYFUNCTION("""COMPUTED_VALUE"""),"2018")</f>
        <v>2018</v>
      </c>
      <c r="F395" s="22" t="str">
        <f>IFERROR(__xludf.DUMMYFUNCTION("""COMPUTED_VALUE"""),"Standard Class")</f>
        <v>Standard Class</v>
      </c>
      <c r="G395" s="22" t="str">
        <f>IFERROR(__xludf.DUMMYFUNCTION("""COMPUTED_VALUE"""),"Lindsay")</f>
        <v>Lindsay</v>
      </c>
      <c r="H395" s="22" t="str">
        <f>IFERROR(__xludf.DUMMYFUNCTION("""COMPUTED_VALUE"""),"Williams")</f>
        <v>Williams</v>
      </c>
      <c r="I395" s="22" t="str">
        <f>IFERROR(__xludf.DUMMYFUNCTION("""COMPUTED_VALUE"""),"Corporate")</f>
        <v>Corporate</v>
      </c>
      <c r="J395" s="22" t="str">
        <f>IFERROR(__xludf.DUMMYFUNCTION("""COMPUTED_VALUE"""),"San Francisco")</f>
        <v>San Francisco</v>
      </c>
      <c r="K395" s="22" t="str">
        <f>IFERROR(__xludf.DUMMYFUNCTION("""COMPUTED_VALUE"""),"California")</f>
        <v>California</v>
      </c>
      <c r="L395" s="22" t="str">
        <f>IFERROR(__xludf.DUMMYFUNCTION("""COMPUTED_VALUE"""),"West")</f>
        <v>West</v>
      </c>
      <c r="M395" s="22" t="str">
        <f>IFERROR(__xludf.DUMMYFUNCTION("""COMPUTED_VALUE"""),"Furniture")</f>
        <v>Furniture</v>
      </c>
      <c r="N395" s="18">
        <f>IFERROR(__xludf.DUMMYFUNCTION("""COMPUTED_VALUE"""),300.904)</f>
        <v>300.904</v>
      </c>
      <c r="O395" s="18">
        <f>IFERROR(__xludf.DUMMYFUNCTION("""COMPUTED_VALUE"""),299.98)</f>
        <v>299.98</v>
      </c>
      <c r="P395" s="22">
        <f>IFERROR(__xludf.DUMMYFUNCTION("""COMPUTED_VALUE"""),9.0)</f>
        <v>9</v>
      </c>
      <c r="Q395" s="18">
        <f>IFERROR(__xludf.DUMMYFUNCTION("""COMPUTED_VALUE"""),2708.136)</f>
        <v>2708.136</v>
      </c>
      <c r="R395" s="18">
        <f>IFERROR(__xludf.DUMMYFUNCTION("""COMPUTED_VALUE"""),2408.156)</f>
        <v>2408.156</v>
      </c>
    </row>
    <row r="396">
      <c r="A396" s="21">
        <f>IFERROR(__xludf.DUMMYFUNCTION("""COMPUTED_VALUE"""),42131.0)</f>
        <v>42131</v>
      </c>
      <c r="B396" s="21" t="str">
        <f>IFERROR(__xludf.DUMMYFUNCTION("""COMPUTED_VALUE"""),"May")</f>
        <v>May</v>
      </c>
      <c r="C396" s="9">
        <f>IFERROR(__xludf.DUMMYFUNCTION("""COMPUTED_VALUE"""),42131.0)</f>
        <v>42131</v>
      </c>
      <c r="D396" s="23" t="str">
        <f>IFERROR(__xludf.DUMMYFUNCTION("""COMPUTED_VALUE"""),"May")</f>
        <v>May</v>
      </c>
      <c r="E396" s="21" t="str">
        <f>IFERROR(__xludf.DUMMYFUNCTION("""COMPUTED_VALUE"""),"2015")</f>
        <v>2015</v>
      </c>
      <c r="F396" s="22" t="str">
        <f>IFERROR(__xludf.DUMMYFUNCTION("""COMPUTED_VALUE"""),"Same Day")</f>
        <v>Same Day</v>
      </c>
      <c r="G396" s="22" t="str">
        <f>IFERROR(__xludf.DUMMYFUNCTION("""COMPUTED_VALUE"""),"Dan")</f>
        <v>Dan</v>
      </c>
      <c r="H396" s="22" t="str">
        <f>IFERROR(__xludf.DUMMYFUNCTION("""COMPUTED_VALUE"""),"Campbell")</f>
        <v>Campbell</v>
      </c>
      <c r="I396" s="22" t="str">
        <f>IFERROR(__xludf.DUMMYFUNCTION("""COMPUTED_VALUE"""),"Consumer")</f>
        <v>Consumer</v>
      </c>
      <c r="J396" s="22" t="str">
        <f>IFERROR(__xludf.DUMMYFUNCTION("""COMPUTED_VALUE"""),"Houston")</f>
        <v>Houston</v>
      </c>
      <c r="K396" s="22" t="str">
        <f>IFERROR(__xludf.DUMMYFUNCTION("""COMPUTED_VALUE"""),"Texas")</f>
        <v>Texas</v>
      </c>
      <c r="L396" s="22" t="str">
        <f>IFERROR(__xludf.DUMMYFUNCTION("""COMPUTED_VALUE"""),"Central")</f>
        <v>Central</v>
      </c>
      <c r="M396" s="22" t="str">
        <f>IFERROR(__xludf.DUMMYFUNCTION("""COMPUTED_VALUE"""),"Office Supplies")</f>
        <v>Office Supplies</v>
      </c>
      <c r="N396" s="18">
        <f>IFERROR(__xludf.DUMMYFUNCTION("""COMPUTED_VALUE"""),220.776)</f>
        <v>220.776</v>
      </c>
      <c r="O396" s="18">
        <f>IFERROR(__xludf.DUMMYFUNCTION("""COMPUTED_VALUE"""),220.33)</f>
        <v>220.33</v>
      </c>
      <c r="P396" s="22">
        <f>IFERROR(__xludf.DUMMYFUNCTION("""COMPUTED_VALUE"""),7.0)</f>
        <v>7</v>
      </c>
      <c r="Q396" s="18">
        <f>IFERROR(__xludf.DUMMYFUNCTION("""COMPUTED_VALUE"""),1545.432)</f>
        <v>1545.432</v>
      </c>
      <c r="R396" s="18">
        <f>IFERROR(__xludf.DUMMYFUNCTION("""COMPUTED_VALUE"""),1325.102)</f>
        <v>1325.102</v>
      </c>
    </row>
    <row r="397">
      <c r="A397" s="21">
        <f>IFERROR(__xludf.DUMMYFUNCTION("""COMPUTED_VALUE"""),42131.0)</f>
        <v>42131</v>
      </c>
      <c r="B397" s="21" t="str">
        <f>IFERROR(__xludf.DUMMYFUNCTION("""COMPUTED_VALUE"""),"May")</f>
        <v>May</v>
      </c>
      <c r="C397" s="9">
        <f>IFERROR(__xludf.DUMMYFUNCTION("""COMPUTED_VALUE"""),42131.0)</f>
        <v>42131</v>
      </c>
      <c r="D397" s="23" t="str">
        <f>IFERROR(__xludf.DUMMYFUNCTION("""COMPUTED_VALUE"""),"May")</f>
        <v>May</v>
      </c>
      <c r="E397" s="21" t="str">
        <f>IFERROR(__xludf.DUMMYFUNCTION("""COMPUTED_VALUE"""),"2015")</f>
        <v>2015</v>
      </c>
      <c r="F397" s="22" t="str">
        <f>IFERROR(__xludf.DUMMYFUNCTION("""COMPUTED_VALUE"""),"Same Day")</f>
        <v>Same Day</v>
      </c>
      <c r="G397" s="22" t="str">
        <f>IFERROR(__xludf.DUMMYFUNCTION("""COMPUTED_VALUE"""),"Dan")</f>
        <v>Dan</v>
      </c>
      <c r="H397" s="22" t="str">
        <f>IFERROR(__xludf.DUMMYFUNCTION("""COMPUTED_VALUE"""),"Campbell")</f>
        <v>Campbell</v>
      </c>
      <c r="I397" s="22" t="str">
        <f>IFERROR(__xludf.DUMMYFUNCTION("""COMPUTED_VALUE"""),"Consumer")</f>
        <v>Consumer</v>
      </c>
      <c r="J397" s="22" t="str">
        <f>IFERROR(__xludf.DUMMYFUNCTION("""COMPUTED_VALUE"""),"Houston")</f>
        <v>Houston</v>
      </c>
      <c r="K397" s="22" t="str">
        <f>IFERROR(__xludf.DUMMYFUNCTION("""COMPUTED_VALUE"""),"Texas")</f>
        <v>Texas</v>
      </c>
      <c r="L397" s="22" t="str">
        <f>IFERROR(__xludf.DUMMYFUNCTION("""COMPUTED_VALUE"""),"Central")</f>
        <v>Central</v>
      </c>
      <c r="M397" s="22" t="str">
        <f>IFERROR(__xludf.DUMMYFUNCTION("""COMPUTED_VALUE"""),"Office Supplies")</f>
        <v>Office Supplies</v>
      </c>
      <c r="N397" s="18">
        <f>IFERROR(__xludf.DUMMYFUNCTION("""COMPUTED_VALUE"""),281.424)</f>
        <v>281.424</v>
      </c>
      <c r="O397" s="18">
        <f>IFERROR(__xludf.DUMMYFUNCTION("""COMPUTED_VALUE"""),281.24)</f>
        <v>281.24</v>
      </c>
      <c r="P397" s="22">
        <f>IFERROR(__xludf.DUMMYFUNCTION("""COMPUTED_VALUE"""),7.0)</f>
        <v>7</v>
      </c>
      <c r="Q397" s="18">
        <f>IFERROR(__xludf.DUMMYFUNCTION("""COMPUTED_VALUE"""),1969.9679999999998)</f>
        <v>1969.968</v>
      </c>
      <c r="R397" s="18">
        <f>IFERROR(__xludf.DUMMYFUNCTION("""COMPUTED_VALUE"""),1688.7279999999998)</f>
        <v>1688.728</v>
      </c>
    </row>
    <row r="398">
      <c r="A398" s="21">
        <f>IFERROR(__xludf.DUMMYFUNCTION("""COMPUTED_VALUE"""),42273.0)</f>
        <v>42273</v>
      </c>
      <c r="B398" s="21" t="str">
        <f>IFERROR(__xludf.DUMMYFUNCTION("""COMPUTED_VALUE"""),"Sep")</f>
        <v>Sep</v>
      </c>
      <c r="C398" s="9">
        <f>IFERROR(__xludf.DUMMYFUNCTION("""COMPUTED_VALUE"""),42014.0)</f>
        <v>42014</v>
      </c>
      <c r="D398" s="23" t="str">
        <f>IFERROR(__xludf.DUMMYFUNCTION("""COMPUTED_VALUE"""),"Jan")</f>
        <v>Jan</v>
      </c>
      <c r="E398" s="21" t="str">
        <f>IFERROR(__xludf.DUMMYFUNCTION("""COMPUTED_VALUE"""),"2015")</f>
        <v>2015</v>
      </c>
      <c r="F398" s="22" t="str">
        <f>IFERROR(__xludf.DUMMYFUNCTION("""COMPUTED_VALUE"""),"Second Class")</f>
        <v>Second Class</v>
      </c>
      <c r="G398" s="22" t="str">
        <f>IFERROR(__xludf.DUMMYFUNCTION("""COMPUTED_VALUE"""),"Kean")</f>
        <v>Kean</v>
      </c>
      <c r="H398" s="22" t="str">
        <f>IFERROR(__xludf.DUMMYFUNCTION("""COMPUTED_VALUE"""),"Takahito")</f>
        <v>Takahito</v>
      </c>
      <c r="I398" s="22" t="str">
        <f>IFERROR(__xludf.DUMMYFUNCTION("""COMPUTED_VALUE"""),"Consumer")</f>
        <v>Consumer</v>
      </c>
      <c r="J398" s="22" t="str">
        <f>IFERROR(__xludf.DUMMYFUNCTION("""COMPUTED_VALUE"""),"Los Angeles")</f>
        <v>Los Angeles</v>
      </c>
      <c r="K398" s="22" t="str">
        <f>IFERROR(__xludf.DUMMYFUNCTION("""COMPUTED_VALUE"""),"California")</f>
        <v>California</v>
      </c>
      <c r="L398" s="22" t="str">
        <f>IFERROR(__xludf.DUMMYFUNCTION("""COMPUTED_VALUE"""),"West")</f>
        <v>West</v>
      </c>
      <c r="M398" s="22" t="str">
        <f>IFERROR(__xludf.DUMMYFUNCTION("""COMPUTED_VALUE"""),"Furniture")</f>
        <v>Furniture</v>
      </c>
      <c r="N398" s="18">
        <f>IFERROR(__xludf.DUMMYFUNCTION("""COMPUTED_VALUE"""),145.568)</f>
        <v>145.568</v>
      </c>
      <c r="O398" s="18">
        <f>IFERROR(__xludf.DUMMYFUNCTION("""COMPUTED_VALUE"""),145.04)</f>
        <v>145.04</v>
      </c>
      <c r="P398" s="22">
        <f>IFERROR(__xludf.DUMMYFUNCTION("""COMPUTED_VALUE"""),9.0)</f>
        <v>9</v>
      </c>
      <c r="Q398" s="18">
        <f>IFERROR(__xludf.DUMMYFUNCTION("""COMPUTED_VALUE"""),1310.112)</f>
        <v>1310.112</v>
      </c>
      <c r="R398" s="18">
        <f>IFERROR(__xludf.DUMMYFUNCTION("""COMPUTED_VALUE"""),1165.0720000000001)</f>
        <v>1165.072</v>
      </c>
    </row>
    <row r="399">
      <c r="A399" s="21">
        <f>IFERROR(__xludf.DUMMYFUNCTION("""COMPUTED_VALUE"""),43384.0)</f>
        <v>43384</v>
      </c>
      <c r="B399" s="21" t="str">
        <f>IFERROR(__xludf.DUMMYFUNCTION("""COMPUTED_VALUE"""),"Oct")</f>
        <v>Oct</v>
      </c>
      <c r="C399" s="9">
        <f>IFERROR(__xludf.DUMMYFUNCTION("""COMPUTED_VALUE"""),43415.0)</f>
        <v>43415</v>
      </c>
      <c r="D399" s="23" t="str">
        <f>IFERROR(__xludf.DUMMYFUNCTION("""COMPUTED_VALUE"""),"Nov")</f>
        <v>Nov</v>
      </c>
      <c r="E399" s="21" t="str">
        <f>IFERROR(__xludf.DUMMYFUNCTION("""COMPUTED_VALUE"""),"2018")</f>
        <v>2018</v>
      </c>
      <c r="F399" s="22" t="str">
        <f>IFERROR(__xludf.DUMMYFUNCTION("""COMPUTED_VALUE"""),"First Class")</f>
        <v>First Class</v>
      </c>
      <c r="G399" s="22" t="str">
        <f>IFERROR(__xludf.DUMMYFUNCTION("""COMPUTED_VALUE"""),"Ann")</f>
        <v>Ann</v>
      </c>
      <c r="H399" s="22" t="str">
        <f>IFERROR(__xludf.DUMMYFUNCTION("""COMPUTED_VALUE"""),"Blume")</f>
        <v>Blume</v>
      </c>
      <c r="I399" s="22" t="str">
        <f>IFERROR(__xludf.DUMMYFUNCTION("""COMPUTED_VALUE"""),"Corporate")</f>
        <v>Corporate</v>
      </c>
      <c r="J399" s="22" t="str">
        <f>IFERROR(__xludf.DUMMYFUNCTION("""COMPUTED_VALUE"""),"Tucson")</f>
        <v>Tucson</v>
      </c>
      <c r="K399" s="22" t="str">
        <f>IFERROR(__xludf.DUMMYFUNCTION("""COMPUTED_VALUE"""),"Arizona")</f>
        <v>Arizona</v>
      </c>
      <c r="L399" s="22" t="str">
        <f>IFERROR(__xludf.DUMMYFUNCTION("""COMPUTED_VALUE"""),"West")</f>
        <v>West</v>
      </c>
      <c r="M399" s="22" t="str">
        <f>IFERROR(__xludf.DUMMYFUNCTION("""COMPUTED_VALUE"""),"Technology")</f>
        <v>Technology</v>
      </c>
      <c r="N399" s="18">
        <f>IFERROR(__xludf.DUMMYFUNCTION("""COMPUTED_VALUE"""),95.994)</f>
        <v>95.994</v>
      </c>
      <c r="O399" s="18">
        <f>IFERROR(__xludf.DUMMYFUNCTION("""COMPUTED_VALUE"""),95.61)</f>
        <v>95.61</v>
      </c>
      <c r="P399" s="22">
        <f>IFERROR(__xludf.DUMMYFUNCTION("""COMPUTED_VALUE"""),8.0)</f>
        <v>8</v>
      </c>
      <c r="Q399" s="18">
        <f>IFERROR(__xludf.DUMMYFUNCTION("""COMPUTED_VALUE"""),767.952)</f>
        <v>767.952</v>
      </c>
      <c r="R399" s="18">
        <f>IFERROR(__xludf.DUMMYFUNCTION("""COMPUTED_VALUE"""),672.342)</f>
        <v>672.342</v>
      </c>
    </row>
    <row r="400">
      <c r="A400" s="21">
        <f>IFERROR(__xludf.DUMMYFUNCTION("""COMPUTED_VALUE"""),43384.0)</f>
        <v>43384</v>
      </c>
      <c r="B400" s="21" t="str">
        <f>IFERROR(__xludf.DUMMYFUNCTION("""COMPUTED_VALUE"""),"Oct")</f>
        <v>Oct</v>
      </c>
      <c r="C400" s="9">
        <f>IFERROR(__xludf.DUMMYFUNCTION("""COMPUTED_VALUE"""),43415.0)</f>
        <v>43415</v>
      </c>
      <c r="D400" s="23" t="str">
        <f>IFERROR(__xludf.DUMMYFUNCTION("""COMPUTED_VALUE"""),"Nov")</f>
        <v>Nov</v>
      </c>
      <c r="E400" s="21" t="str">
        <f>IFERROR(__xludf.DUMMYFUNCTION("""COMPUTED_VALUE"""),"2018")</f>
        <v>2018</v>
      </c>
      <c r="F400" s="22" t="str">
        <f>IFERROR(__xludf.DUMMYFUNCTION("""COMPUTED_VALUE"""),"First Class")</f>
        <v>First Class</v>
      </c>
      <c r="G400" s="22" t="str">
        <f>IFERROR(__xludf.DUMMYFUNCTION("""COMPUTED_VALUE"""),"Ann")</f>
        <v>Ann</v>
      </c>
      <c r="H400" s="22" t="str">
        <f>IFERROR(__xludf.DUMMYFUNCTION("""COMPUTED_VALUE"""),"Blume")</f>
        <v>Blume</v>
      </c>
      <c r="I400" s="22" t="str">
        <f>IFERROR(__xludf.DUMMYFUNCTION("""COMPUTED_VALUE"""),"Corporate")</f>
        <v>Corporate</v>
      </c>
      <c r="J400" s="22" t="str">
        <f>IFERROR(__xludf.DUMMYFUNCTION("""COMPUTED_VALUE"""),"Tucson")</f>
        <v>Tucson</v>
      </c>
      <c r="K400" s="22" t="str">
        <f>IFERROR(__xludf.DUMMYFUNCTION("""COMPUTED_VALUE"""),"Arizona")</f>
        <v>Arizona</v>
      </c>
      <c r="L400" s="22" t="str">
        <f>IFERROR(__xludf.DUMMYFUNCTION("""COMPUTED_VALUE"""),"West")</f>
        <v>West</v>
      </c>
      <c r="M400" s="22" t="str">
        <f>IFERROR(__xludf.DUMMYFUNCTION("""COMPUTED_VALUE"""),"Technology")</f>
        <v>Technology</v>
      </c>
      <c r="N400" s="18">
        <f>IFERROR(__xludf.DUMMYFUNCTION("""COMPUTED_VALUE"""),239.952)</f>
        <v>239.952</v>
      </c>
      <c r="O400" s="18">
        <f>IFERROR(__xludf.DUMMYFUNCTION("""COMPUTED_VALUE"""),238.97)</f>
        <v>238.97</v>
      </c>
      <c r="P400" s="22">
        <f>IFERROR(__xludf.DUMMYFUNCTION("""COMPUTED_VALUE"""),8.0)</f>
        <v>8</v>
      </c>
      <c r="Q400" s="18">
        <f>IFERROR(__xludf.DUMMYFUNCTION("""COMPUTED_VALUE"""),1919.616)</f>
        <v>1919.616</v>
      </c>
      <c r="R400" s="18">
        <f>IFERROR(__xludf.DUMMYFUNCTION("""COMPUTED_VALUE"""),1680.646)</f>
        <v>1680.646</v>
      </c>
    </row>
    <row r="401">
      <c r="A401" s="21">
        <f>IFERROR(__xludf.DUMMYFUNCTION("""COMPUTED_VALUE"""),43384.0)</f>
        <v>43384</v>
      </c>
      <c r="B401" s="21" t="str">
        <f>IFERROR(__xludf.DUMMYFUNCTION("""COMPUTED_VALUE"""),"Oct")</f>
        <v>Oct</v>
      </c>
      <c r="C401" s="9">
        <f>IFERROR(__xludf.DUMMYFUNCTION("""COMPUTED_VALUE"""),43415.0)</f>
        <v>43415</v>
      </c>
      <c r="D401" s="23" t="str">
        <f>IFERROR(__xludf.DUMMYFUNCTION("""COMPUTED_VALUE"""),"Nov")</f>
        <v>Nov</v>
      </c>
      <c r="E401" s="21" t="str">
        <f>IFERROR(__xludf.DUMMYFUNCTION("""COMPUTED_VALUE"""),"2018")</f>
        <v>2018</v>
      </c>
      <c r="F401" s="22" t="str">
        <f>IFERROR(__xludf.DUMMYFUNCTION("""COMPUTED_VALUE"""),"First Class")</f>
        <v>First Class</v>
      </c>
      <c r="G401" s="22" t="str">
        <f>IFERROR(__xludf.DUMMYFUNCTION("""COMPUTED_VALUE"""),"Ann")</f>
        <v>Ann</v>
      </c>
      <c r="H401" s="22" t="str">
        <f>IFERROR(__xludf.DUMMYFUNCTION("""COMPUTED_VALUE"""),"Blume")</f>
        <v>Blume</v>
      </c>
      <c r="I401" s="22" t="str">
        <f>IFERROR(__xludf.DUMMYFUNCTION("""COMPUTED_VALUE"""),"Corporate")</f>
        <v>Corporate</v>
      </c>
      <c r="J401" s="22" t="str">
        <f>IFERROR(__xludf.DUMMYFUNCTION("""COMPUTED_VALUE"""),"Tucson")</f>
        <v>Tucson</v>
      </c>
      <c r="K401" s="22" t="str">
        <f>IFERROR(__xludf.DUMMYFUNCTION("""COMPUTED_VALUE"""),"Arizona")</f>
        <v>Arizona</v>
      </c>
      <c r="L401" s="22" t="str">
        <f>IFERROR(__xludf.DUMMYFUNCTION("""COMPUTED_VALUE"""),"West")</f>
        <v>West</v>
      </c>
      <c r="M401" s="22" t="str">
        <f>IFERROR(__xludf.DUMMYFUNCTION("""COMPUTED_VALUE"""),"Technology")</f>
        <v>Technology</v>
      </c>
      <c r="N401" s="18">
        <f>IFERROR(__xludf.DUMMYFUNCTION("""COMPUTED_VALUE"""),201.584)</f>
        <v>201.584</v>
      </c>
      <c r="O401" s="18">
        <f>IFERROR(__xludf.DUMMYFUNCTION("""COMPUTED_VALUE"""),201.48)</f>
        <v>201.48</v>
      </c>
      <c r="P401" s="22">
        <f>IFERROR(__xludf.DUMMYFUNCTION("""COMPUTED_VALUE"""),8.0)</f>
        <v>8</v>
      </c>
      <c r="Q401" s="18">
        <f>IFERROR(__xludf.DUMMYFUNCTION("""COMPUTED_VALUE"""),1612.672)</f>
        <v>1612.672</v>
      </c>
      <c r="R401" s="18">
        <f>IFERROR(__xludf.DUMMYFUNCTION("""COMPUTED_VALUE"""),1411.192)</f>
        <v>1411.192</v>
      </c>
    </row>
    <row r="402">
      <c r="A402" s="21">
        <f>IFERROR(__xludf.DUMMYFUNCTION("""COMPUTED_VALUE"""),43384.0)</f>
        <v>43384</v>
      </c>
      <c r="B402" s="21" t="str">
        <f>IFERROR(__xludf.DUMMYFUNCTION("""COMPUTED_VALUE"""),"Oct")</f>
        <v>Oct</v>
      </c>
      <c r="C402" s="9">
        <f>IFERROR(__xludf.DUMMYFUNCTION("""COMPUTED_VALUE"""),43415.0)</f>
        <v>43415</v>
      </c>
      <c r="D402" s="23" t="str">
        <f>IFERROR(__xludf.DUMMYFUNCTION("""COMPUTED_VALUE"""),"Nov")</f>
        <v>Nov</v>
      </c>
      <c r="E402" s="21" t="str">
        <f>IFERROR(__xludf.DUMMYFUNCTION("""COMPUTED_VALUE"""),"2018")</f>
        <v>2018</v>
      </c>
      <c r="F402" s="22" t="str">
        <f>IFERROR(__xludf.DUMMYFUNCTION("""COMPUTED_VALUE"""),"First Class")</f>
        <v>First Class</v>
      </c>
      <c r="G402" s="22" t="str">
        <f>IFERROR(__xludf.DUMMYFUNCTION("""COMPUTED_VALUE"""),"Ann")</f>
        <v>Ann</v>
      </c>
      <c r="H402" s="22" t="str">
        <f>IFERROR(__xludf.DUMMYFUNCTION("""COMPUTED_VALUE"""),"Blume")</f>
        <v>Blume</v>
      </c>
      <c r="I402" s="22" t="str">
        <f>IFERROR(__xludf.DUMMYFUNCTION("""COMPUTED_VALUE"""),"Corporate")</f>
        <v>Corporate</v>
      </c>
      <c r="J402" s="22" t="str">
        <f>IFERROR(__xludf.DUMMYFUNCTION("""COMPUTED_VALUE"""),"Tucson")</f>
        <v>Tucson</v>
      </c>
      <c r="K402" s="22" t="str">
        <f>IFERROR(__xludf.DUMMYFUNCTION("""COMPUTED_VALUE"""),"Arizona")</f>
        <v>Arizona</v>
      </c>
      <c r="L402" s="22" t="str">
        <f>IFERROR(__xludf.DUMMYFUNCTION("""COMPUTED_VALUE"""),"West")</f>
        <v>West</v>
      </c>
      <c r="M402" s="22" t="str">
        <f>IFERROR(__xludf.DUMMYFUNCTION("""COMPUTED_VALUE"""),"Furniture")</f>
        <v>Furniture</v>
      </c>
      <c r="N402" s="18">
        <f>IFERROR(__xludf.DUMMYFUNCTION("""COMPUTED_VALUE"""),899.136)</f>
        <v>899.136</v>
      </c>
      <c r="O402" s="18">
        <f>IFERROR(__xludf.DUMMYFUNCTION("""COMPUTED_VALUE"""),898.82)</f>
        <v>898.82</v>
      </c>
      <c r="P402" s="22">
        <f>IFERROR(__xludf.DUMMYFUNCTION("""COMPUTED_VALUE"""),8.0)</f>
        <v>8</v>
      </c>
      <c r="Q402" s="18">
        <f>IFERROR(__xludf.DUMMYFUNCTION("""COMPUTED_VALUE"""),7193.088)</f>
        <v>7193.088</v>
      </c>
      <c r="R402" s="18">
        <f>IFERROR(__xludf.DUMMYFUNCTION("""COMPUTED_VALUE"""),6294.268)</f>
        <v>6294.268</v>
      </c>
    </row>
    <row r="403">
      <c r="A403" s="21">
        <f>IFERROR(__xludf.DUMMYFUNCTION("""COMPUTED_VALUE"""),43319.0)</f>
        <v>43319</v>
      </c>
      <c r="B403" s="21" t="str">
        <f>IFERROR(__xludf.DUMMYFUNCTION("""COMPUTED_VALUE"""),"Aug")</f>
        <v>Aug</v>
      </c>
      <c r="C403" s="9">
        <f>IFERROR(__xludf.DUMMYFUNCTION("""COMPUTED_VALUE"""),43411.0)</f>
        <v>43411</v>
      </c>
      <c r="D403" s="23" t="str">
        <f>IFERROR(__xludf.DUMMYFUNCTION("""COMPUTED_VALUE"""),"Nov")</f>
        <v>Nov</v>
      </c>
      <c r="E403" s="21" t="str">
        <f>IFERROR(__xludf.DUMMYFUNCTION("""COMPUTED_VALUE"""),"2018")</f>
        <v>2018</v>
      </c>
      <c r="F403" s="22" t="str">
        <f>IFERROR(__xludf.DUMMYFUNCTION("""COMPUTED_VALUE"""),"First Class")</f>
        <v>First Class</v>
      </c>
      <c r="G403" s="22" t="str">
        <f>IFERROR(__xludf.DUMMYFUNCTION("""COMPUTED_VALUE"""),"Sam")</f>
        <v>Sam</v>
      </c>
      <c r="H403" s="22" t="str">
        <f>IFERROR(__xludf.DUMMYFUNCTION("""COMPUTED_VALUE"""),"Zeldin")</f>
        <v>Zeldin</v>
      </c>
      <c r="I403" s="22" t="str">
        <f>IFERROR(__xludf.DUMMYFUNCTION("""COMPUTED_VALUE"""),"Home Office")</f>
        <v>Home Office</v>
      </c>
      <c r="J403" s="22" t="str">
        <f>IFERROR(__xludf.DUMMYFUNCTION("""COMPUTED_VALUE"""),"Pico Rivera")</f>
        <v>Pico Rivera</v>
      </c>
      <c r="K403" s="22" t="str">
        <f>IFERROR(__xludf.DUMMYFUNCTION("""COMPUTED_VALUE"""),"California")</f>
        <v>California</v>
      </c>
      <c r="L403" s="22" t="str">
        <f>IFERROR(__xludf.DUMMYFUNCTION("""COMPUTED_VALUE"""),"West")</f>
        <v>West</v>
      </c>
      <c r="M403" s="22" t="str">
        <f>IFERROR(__xludf.DUMMYFUNCTION("""COMPUTED_VALUE"""),"Furniture")</f>
        <v>Furniture</v>
      </c>
      <c r="N403" s="18">
        <f>IFERROR(__xludf.DUMMYFUNCTION("""COMPUTED_VALUE"""),145.9)</f>
        <v>145.9</v>
      </c>
      <c r="O403" s="18">
        <f>IFERROR(__xludf.DUMMYFUNCTION("""COMPUTED_VALUE"""),145.41)</f>
        <v>145.41</v>
      </c>
      <c r="P403" s="22">
        <f>IFERROR(__xludf.DUMMYFUNCTION("""COMPUTED_VALUE"""),9.0)</f>
        <v>9</v>
      </c>
      <c r="Q403" s="18">
        <f>IFERROR(__xludf.DUMMYFUNCTION("""COMPUTED_VALUE"""),1313.1000000000001)</f>
        <v>1313.1</v>
      </c>
      <c r="R403" s="18">
        <f>IFERROR(__xludf.DUMMYFUNCTION("""COMPUTED_VALUE"""),1167.69)</f>
        <v>1167.69</v>
      </c>
    </row>
    <row r="404">
      <c r="A404" s="21">
        <f>IFERROR(__xludf.DUMMYFUNCTION("""COMPUTED_VALUE"""),42728.0)</f>
        <v>42728</v>
      </c>
      <c r="B404" s="21" t="str">
        <f>IFERROR(__xludf.DUMMYFUNCTION("""COMPUTED_VALUE"""),"Dec")</f>
        <v>Dec</v>
      </c>
      <c r="C404" s="9">
        <f>IFERROR(__xludf.DUMMYFUNCTION("""COMPUTED_VALUE"""),42732.0)</f>
        <v>42732</v>
      </c>
      <c r="D404" s="23" t="str">
        <f>IFERROR(__xludf.DUMMYFUNCTION("""COMPUTED_VALUE"""),"Dec")</f>
        <v>Dec</v>
      </c>
      <c r="E404" s="21" t="str">
        <f>IFERROR(__xludf.DUMMYFUNCTION("""COMPUTED_VALUE"""),"2016")</f>
        <v>2016</v>
      </c>
      <c r="F404" s="22" t="str">
        <f>IFERROR(__xludf.DUMMYFUNCTION("""COMPUTED_VALUE"""),"Standard Class")</f>
        <v>Standard Class</v>
      </c>
      <c r="G404" s="22" t="str">
        <f>IFERROR(__xludf.DUMMYFUNCTION("""COMPUTED_VALUE"""),"Jim")</f>
        <v>Jim</v>
      </c>
      <c r="H404" s="22" t="str">
        <f>IFERROR(__xludf.DUMMYFUNCTION("""COMPUTED_VALUE"""),"Radford")</f>
        <v>Radford</v>
      </c>
      <c r="I404" s="22" t="str">
        <f>IFERROR(__xludf.DUMMYFUNCTION("""COMPUTED_VALUE"""),"Consumer")</f>
        <v>Consumer</v>
      </c>
      <c r="J404" s="22" t="str">
        <f>IFERROR(__xludf.DUMMYFUNCTION("""COMPUTED_VALUE"""),"Colorado Springs")</f>
        <v>Colorado Springs</v>
      </c>
      <c r="K404" s="22" t="str">
        <f>IFERROR(__xludf.DUMMYFUNCTION("""COMPUTED_VALUE"""),"Colorado")</f>
        <v>Colorado</v>
      </c>
      <c r="L404" s="22" t="str">
        <f>IFERROR(__xludf.DUMMYFUNCTION("""COMPUTED_VALUE"""),"West")</f>
        <v>West</v>
      </c>
      <c r="M404" s="22" t="str">
        <f>IFERROR(__xludf.DUMMYFUNCTION("""COMPUTED_VALUE"""),"Furniture")</f>
        <v>Furniture</v>
      </c>
      <c r="N404" s="18">
        <f>IFERROR(__xludf.DUMMYFUNCTION("""COMPUTED_VALUE"""),590.058)</f>
        <v>590.058</v>
      </c>
      <c r="O404" s="18">
        <f>IFERROR(__xludf.DUMMYFUNCTION("""COMPUTED_VALUE"""),589.64)</f>
        <v>589.64</v>
      </c>
      <c r="P404" s="22">
        <f>IFERROR(__xludf.DUMMYFUNCTION("""COMPUTED_VALUE"""),8.0)</f>
        <v>8</v>
      </c>
      <c r="Q404" s="18">
        <f>IFERROR(__xludf.DUMMYFUNCTION("""COMPUTED_VALUE"""),4720.464)</f>
        <v>4720.464</v>
      </c>
      <c r="R404" s="18">
        <f>IFERROR(__xludf.DUMMYFUNCTION("""COMPUTED_VALUE"""),4130.824)</f>
        <v>4130.824</v>
      </c>
    </row>
    <row r="405">
      <c r="A405" s="21">
        <f>IFERROR(__xludf.DUMMYFUNCTION("""COMPUTED_VALUE"""),42627.0)</f>
        <v>42627</v>
      </c>
      <c r="B405" s="21" t="str">
        <f>IFERROR(__xludf.DUMMYFUNCTION("""COMPUTED_VALUE"""),"Sep")</f>
        <v>Sep</v>
      </c>
      <c r="C405" s="9">
        <f>IFERROR(__xludf.DUMMYFUNCTION("""COMPUTED_VALUE"""),42632.0)</f>
        <v>42632</v>
      </c>
      <c r="D405" s="23" t="str">
        <f>IFERROR(__xludf.DUMMYFUNCTION("""COMPUTED_VALUE"""),"Sep")</f>
        <v>Sep</v>
      </c>
      <c r="E405" s="21" t="str">
        <f>IFERROR(__xludf.DUMMYFUNCTION("""COMPUTED_VALUE"""),"2016")</f>
        <v>2016</v>
      </c>
      <c r="F405" s="22" t="str">
        <f>IFERROR(__xludf.DUMMYFUNCTION("""COMPUTED_VALUE"""),"Standard Class")</f>
        <v>Standard Class</v>
      </c>
      <c r="G405" s="22" t="str">
        <f>IFERROR(__xludf.DUMMYFUNCTION("""COMPUTED_VALUE"""),"Christina")</f>
        <v>Christina</v>
      </c>
      <c r="H405" s="22" t="str">
        <f>IFERROR(__xludf.DUMMYFUNCTION("""COMPUTED_VALUE"""),"Anderson")</f>
        <v>Anderson</v>
      </c>
      <c r="I405" s="22" t="str">
        <f>IFERROR(__xludf.DUMMYFUNCTION("""COMPUTED_VALUE"""),"Consumer")</f>
        <v>Consumer</v>
      </c>
      <c r="J405" s="22" t="str">
        <f>IFERROR(__xludf.DUMMYFUNCTION("""COMPUTED_VALUE"""),"Provo")</f>
        <v>Provo</v>
      </c>
      <c r="K405" s="22" t="str">
        <f>IFERROR(__xludf.DUMMYFUNCTION("""COMPUTED_VALUE"""),"Utah")</f>
        <v>Utah</v>
      </c>
      <c r="L405" s="22" t="str">
        <f>IFERROR(__xludf.DUMMYFUNCTION("""COMPUTED_VALUE"""),"West")</f>
        <v>West</v>
      </c>
      <c r="M405" s="22" t="str">
        <f>IFERROR(__xludf.DUMMYFUNCTION("""COMPUTED_VALUE"""),"Furniture")</f>
        <v>Furniture</v>
      </c>
      <c r="N405" s="18">
        <f>IFERROR(__xludf.DUMMYFUNCTION("""COMPUTED_VALUE"""),912.75)</f>
        <v>912.75</v>
      </c>
      <c r="O405" s="18">
        <f>IFERROR(__xludf.DUMMYFUNCTION("""COMPUTED_VALUE"""),912.27)</f>
        <v>912.27</v>
      </c>
      <c r="P405" s="22">
        <f>IFERROR(__xludf.DUMMYFUNCTION("""COMPUTED_VALUE"""),8.0)</f>
        <v>8</v>
      </c>
      <c r="Q405" s="18">
        <f>IFERROR(__xludf.DUMMYFUNCTION("""COMPUTED_VALUE"""),7302.0)</f>
        <v>7302</v>
      </c>
      <c r="R405" s="18">
        <f>IFERROR(__xludf.DUMMYFUNCTION("""COMPUTED_VALUE"""),6389.73)</f>
        <v>6389.73</v>
      </c>
    </row>
    <row r="406">
      <c r="A406" s="21">
        <f>IFERROR(__xludf.DUMMYFUNCTION("""COMPUTED_VALUE"""),42102.0)</f>
        <v>42102</v>
      </c>
      <c r="B406" s="21" t="str">
        <f>IFERROR(__xludf.DUMMYFUNCTION("""COMPUTED_VALUE"""),"Apr")</f>
        <v>Apr</v>
      </c>
      <c r="C406" s="9">
        <f>IFERROR(__xludf.DUMMYFUNCTION("""COMPUTED_VALUE"""),42255.0)</f>
        <v>42255</v>
      </c>
      <c r="D406" s="23" t="str">
        <f>IFERROR(__xludf.DUMMYFUNCTION("""COMPUTED_VALUE"""),"Sep")</f>
        <v>Sep</v>
      </c>
      <c r="E406" s="21" t="str">
        <f>IFERROR(__xludf.DUMMYFUNCTION("""COMPUTED_VALUE"""),"2015")</f>
        <v>2015</v>
      </c>
      <c r="F406" s="22" t="str">
        <f>IFERROR(__xludf.DUMMYFUNCTION("""COMPUTED_VALUE"""),"Second Class")</f>
        <v>Second Class</v>
      </c>
      <c r="G406" s="22" t="str">
        <f>IFERROR(__xludf.DUMMYFUNCTION("""COMPUTED_VALUE"""),"Valerie")</f>
        <v>Valerie</v>
      </c>
      <c r="H406" s="22" t="str">
        <f>IFERROR(__xludf.DUMMYFUNCTION("""COMPUTED_VALUE"""),"Dominguez")</f>
        <v>Dominguez</v>
      </c>
      <c r="I406" s="22" t="str">
        <f>IFERROR(__xludf.DUMMYFUNCTION("""COMPUTED_VALUE"""),"Consumer")</f>
        <v>Consumer</v>
      </c>
      <c r="J406" s="22" t="str">
        <f>IFERROR(__xludf.DUMMYFUNCTION("""COMPUTED_VALUE"""),"Pleasant Grove")</f>
        <v>Pleasant Grove</v>
      </c>
      <c r="K406" s="22" t="str">
        <f>IFERROR(__xludf.DUMMYFUNCTION("""COMPUTED_VALUE"""),"Utah")</f>
        <v>Utah</v>
      </c>
      <c r="L406" s="22" t="str">
        <f>IFERROR(__xludf.DUMMYFUNCTION("""COMPUTED_VALUE"""),"West")</f>
        <v>West</v>
      </c>
      <c r="M406" s="22" t="str">
        <f>IFERROR(__xludf.DUMMYFUNCTION("""COMPUTED_VALUE"""),"Office Supplies")</f>
        <v>Office Supplies</v>
      </c>
      <c r="N406" s="18">
        <f>IFERROR(__xludf.DUMMYFUNCTION("""COMPUTED_VALUE"""),1089.75)</f>
        <v>1089.75</v>
      </c>
      <c r="O406" s="18">
        <f>IFERROR(__xludf.DUMMYFUNCTION("""COMPUTED_VALUE"""),1089.44)</f>
        <v>1089.44</v>
      </c>
      <c r="P406" s="22">
        <f>IFERROR(__xludf.DUMMYFUNCTION("""COMPUTED_VALUE"""),8.0)</f>
        <v>8</v>
      </c>
      <c r="Q406" s="18">
        <f>IFERROR(__xludf.DUMMYFUNCTION("""COMPUTED_VALUE"""),8718.0)</f>
        <v>8718</v>
      </c>
      <c r="R406" s="18">
        <f>IFERROR(__xludf.DUMMYFUNCTION("""COMPUTED_VALUE"""),7628.5599999999995)</f>
        <v>7628.56</v>
      </c>
    </row>
    <row r="407">
      <c r="A407" s="21">
        <f>IFERROR(__xludf.DUMMYFUNCTION("""COMPUTED_VALUE"""),42102.0)</f>
        <v>42102</v>
      </c>
      <c r="B407" s="21" t="str">
        <f>IFERROR(__xludf.DUMMYFUNCTION("""COMPUTED_VALUE"""),"Apr")</f>
        <v>Apr</v>
      </c>
      <c r="C407" s="9">
        <f>IFERROR(__xludf.DUMMYFUNCTION("""COMPUTED_VALUE"""),42255.0)</f>
        <v>42255</v>
      </c>
      <c r="D407" s="23" t="str">
        <f>IFERROR(__xludf.DUMMYFUNCTION("""COMPUTED_VALUE"""),"Sep")</f>
        <v>Sep</v>
      </c>
      <c r="E407" s="21" t="str">
        <f>IFERROR(__xludf.DUMMYFUNCTION("""COMPUTED_VALUE"""),"2015")</f>
        <v>2015</v>
      </c>
      <c r="F407" s="22" t="str">
        <f>IFERROR(__xludf.DUMMYFUNCTION("""COMPUTED_VALUE"""),"Second Class")</f>
        <v>Second Class</v>
      </c>
      <c r="G407" s="22" t="str">
        <f>IFERROR(__xludf.DUMMYFUNCTION("""COMPUTED_VALUE"""),"Valerie")</f>
        <v>Valerie</v>
      </c>
      <c r="H407" s="22" t="str">
        <f>IFERROR(__xludf.DUMMYFUNCTION("""COMPUTED_VALUE"""),"Dominguez")</f>
        <v>Dominguez</v>
      </c>
      <c r="I407" s="22" t="str">
        <f>IFERROR(__xludf.DUMMYFUNCTION("""COMPUTED_VALUE"""),"Consumer")</f>
        <v>Consumer</v>
      </c>
      <c r="J407" s="22" t="str">
        <f>IFERROR(__xludf.DUMMYFUNCTION("""COMPUTED_VALUE"""),"Pleasant Grove")</f>
        <v>Pleasant Grove</v>
      </c>
      <c r="K407" s="22" t="str">
        <f>IFERROR(__xludf.DUMMYFUNCTION("""COMPUTED_VALUE"""),"Utah")</f>
        <v>Utah</v>
      </c>
      <c r="L407" s="22" t="str">
        <f>IFERROR(__xludf.DUMMYFUNCTION("""COMPUTED_VALUE"""),"West")</f>
        <v>West</v>
      </c>
      <c r="M407" s="22" t="str">
        <f>IFERROR(__xludf.DUMMYFUNCTION("""COMPUTED_VALUE"""),"Office Supplies")</f>
        <v>Office Supplies</v>
      </c>
      <c r="N407" s="18">
        <f>IFERROR(__xludf.DUMMYFUNCTION("""COMPUTED_VALUE"""),447.84)</f>
        <v>447.84</v>
      </c>
      <c r="O407" s="18">
        <f>IFERROR(__xludf.DUMMYFUNCTION("""COMPUTED_VALUE"""),447.4)</f>
        <v>447.4</v>
      </c>
      <c r="P407" s="22">
        <f>IFERROR(__xludf.DUMMYFUNCTION("""COMPUTED_VALUE"""),8.0)</f>
        <v>8</v>
      </c>
      <c r="Q407" s="18">
        <f>IFERROR(__xludf.DUMMYFUNCTION("""COMPUTED_VALUE"""),3582.72)</f>
        <v>3582.72</v>
      </c>
      <c r="R407" s="18">
        <f>IFERROR(__xludf.DUMMYFUNCTION("""COMPUTED_VALUE"""),3135.3199999999997)</f>
        <v>3135.32</v>
      </c>
    </row>
    <row r="408">
      <c r="A408" s="21">
        <f>IFERROR(__xludf.DUMMYFUNCTION("""COMPUTED_VALUE"""),42102.0)</f>
        <v>42102</v>
      </c>
      <c r="B408" s="21" t="str">
        <f>IFERROR(__xludf.DUMMYFUNCTION("""COMPUTED_VALUE"""),"Apr")</f>
        <v>Apr</v>
      </c>
      <c r="C408" s="9">
        <f>IFERROR(__xludf.DUMMYFUNCTION("""COMPUTED_VALUE"""),42255.0)</f>
        <v>42255</v>
      </c>
      <c r="D408" s="23" t="str">
        <f>IFERROR(__xludf.DUMMYFUNCTION("""COMPUTED_VALUE"""),"Sep")</f>
        <v>Sep</v>
      </c>
      <c r="E408" s="21" t="str">
        <f>IFERROR(__xludf.DUMMYFUNCTION("""COMPUTED_VALUE"""),"2015")</f>
        <v>2015</v>
      </c>
      <c r="F408" s="22" t="str">
        <f>IFERROR(__xludf.DUMMYFUNCTION("""COMPUTED_VALUE"""),"Second Class")</f>
        <v>Second Class</v>
      </c>
      <c r="G408" s="22" t="str">
        <f>IFERROR(__xludf.DUMMYFUNCTION("""COMPUTED_VALUE"""),"Valerie")</f>
        <v>Valerie</v>
      </c>
      <c r="H408" s="22" t="str">
        <f>IFERROR(__xludf.DUMMYFUNCTION("""COMPUTED_VALUE"""),"Dominguez")</f>
        <v>Dominguez</v>
      </c>
      <c r="I408" s="22" t="str">
        <f>IFERROR(__xludf.DUMMYFUNCTION("""COMPUTED_VALUE"""),"Consumer")</f>
        <v>Consumer</v>
      </c>
      <c r="J408" s="22" t="str">
        <f>IFERROR(__xludf.DUMMYFUNCTION("""COMPUTED_VALUE"""),"Pleasant Grove")</f>
        <v>Pleasant Grove</v>
      </c>
      <c r="K408" s="22" t="str">
        <f>IFERROR(__xludf.DUMMYFUNCTION("""COMPUTED_VALUE"""),"Utah")</f>
        <v>Utah</v>
      </c>
      <c r="L408" s="22" t="str">
        <f>IFERROR(__xludf.DUMMYFUNCTION("""COMPUTED_VALUE"""),"West")</f>
        <v>West</v>
      </c>
      <c r="M408" s="22" t="str">
        <f>IFERROR(__xludf.DUMMYFUNCTION("""COMPUTED_VALUE"""),"Technology")</f>
        <v>Technology</v>
      </c>
      <c r="N408" s="18">
        <f>IFERROR(__xludf.DUMMYFUNCTION("""COMPUTED_VALUE"""),399.96)</f>
        <v>399.96</v>
      </c>
      <c r="O408" s="18">
        <f>IFERROR(__xludf.DUMMYFUNCTION("""COMPUTED_VALUE"""),399.87)</f>
        <v>399.87</v>
      </c>
      <c r="P408" s="22">
        <f>IFERROR(__xludf.DUMMYFUNCTION("""COMPUTED_VALUE"""),8.0)</f>
        <v>8</v>
      </c>
      <c r="Q408" s="18">
        <f>IFERROR(__xludf.DUMMYFUNCTION("""COMPUTED_VALUE"""),3199.68)</f>
        <v>3199.68</v>
      </c>
      <c r="R408" s="18">
        <f>IFERROR(__xludf.DUMMYFUNCTION("""COMPUTED_VALUE"""),2799.81)</f>
        <v>2799.81</v>
      </c>
    </row>
    <row r="409">
      <c r="A409" s="21">
        <f>IFERROR(__xludf.DUMMYFUNCTION("""COMPUTED_VALUE"""),42102.0)</f>
        <v>42102</v>
      </c>
      <c r="B409" s="21" t="str">
        <f>IFERROR(__xludf.DUMMYFUNCTION("""COMPUTED_VALUE"""),"Apr")</f>
        <v>Apr</v>
      </c>
      <c r="C409" s="9">
        <f>IFERROR(__xludf.DUMMYFUNCTION("""COMPUTED_VALUE"""),42255.0)</f>
        <v>42255</v>
      </c>
      <c r="D409" s="23" t="str">
        <f>IFERROR(__xludf.DUMMYFUNCTION("""COMPUTED_VALUE"""),"Sep")</f>
        <v>Sep</v>
      </c>
      <c r="E409" s="21" t="str">
        <f>IFERROR(__xludf.DUMMYFUNCTION("""COMPUTED_VALUE"""),"2015")</f>
        <v>2015</v>
      </c>
      <c r="F409" s="22" t="str">
        <f>IFERROR(__xludf.DUMMYFUNCTION("""COMPUTED_VALUE"""),"Second Class")</f>
        <v>Second Class</v>
      </c>
      <c r="G409" s="22" t="str">
        <f>IFERROR(__xludf.DUMMYFUNCTION("""COMPUTED_VALUE"""),"Valerie")</f>
        <v>Valerie</v>
      </c>
      <c r="H409" s="22" t="str">
        <f>IFERROR(__xludf.DUMMYFUNCTION("""COMPUTED_VALUE"""),"Dominguez")</f>
        <v>Dominguez</v>
      </c>
      <c r="I409" s="22" t="str">
        <f>IFERROR(__xludf.DUMMYFUNCTION("""COMPUTED_VALUE"""),"Consumer")</f>
        <v>Consumer</v>
      </c>
      <c r="J409" s="22" t="str">
        <f>IFERROR(__xludf.DUMMYFUNCTION("""COMPUTED_VALUE"""),"Pleasant Grove")</f>
        <v>Pleasant Grove</v>
      </c>
      <c r="K409" s="22" t="str">
        <f>IFERROR(__xludf.DUMMYFUNCTION("""COMPUTED_VALUE"""),"Utah")</f>
        <v>Utah</v>
      </c>
      <c r="L409" s="22" t="str">
        <f>IFERROR(__xludf.DUMMYFUNCTION("""COMPUTED_VALUE"""),"West")</f>
        <v>West</v>
      </c>
      <c r="M409" s="22" t="str">
        <f>IFERROR(__xludf.DUMMYFUNCTION("""COMPUTED_VALUE"""),"Office Supplies")</f>
        <v>Office Supplies</v>
      </c>
      <c r="N409" s="18">
        <f>IFERROR(__xludf.DUMMYFUNCTION("""COMPUTED_VALUE"""),158.9)</f>
        <v>158.9</v>
      </c>
      <c r="O409" s="18">
        <f>IFERROR(__xludf.DUMMYFUNCTION("""COMPUTED_VALUE"""),158.17)</f>
        <v>158.17</v>
      </c>
      <c r="P409" s="22">
        <f>IFERROR(__xludf.DUMMYFUNCTION("""COMPUTED_VALUE"""),8.0)</f>
        <v>8</v>
      </c>
      <c r="Q409" s="18">
        <f>IFERROR(__xludf.DUMMYFUNCTION("""COMPUTED_VALUE"""),1271.2)</f>
        <v>1271.2</v>
      </c>
      <c r="R409" s="18">
        <f>IFERROR(__xludf.DUMMYFUNCTION("""COMPUTED_VALUE"""),1113.03)</f>
        <v>1113.03</v>
      </c>
    </row>
    <row r="410">
      <c r="A410" s="21">
        <f>IFERROR(__xludf.DUMMYFUNCTION("""COMPUTED_VALUE"""),42857.0)</f>
        <v>42857</v>
      </c>
      <c r="B410" s="21" t="str">
        <f>IFERROR(__xludf.DUMMYFUNCTION("""COMPUTED_VALUE"""),"May")</f>
        <v>May</v>
      </c>
      <c r="C410" s="9">
        <f>IFERROR(__xludf.DUMMYFUNCTION("""COMPUTED_VALUE"""),42857.0)</f>
        <v>42857</v>
      </c>
      <c r="D410" s="23" t="str">
        <f>IFERROR(__xludf.DUMMYFUNCTION("""COMPUTED_VALUE"""),"May")</f>
        <v>May</v>
      </c>
      <c r="E410" s="21" t="str">
        <f>IFERROR(__xludf.DUMMYFUNCTION("""COMPUTED_VALUE"""),"2017")</f>
        <v>2017</v>
      </c>
      <c r="F410" s="22" t="str">
        <f>IFERROR(__xludf.DUMMYFUNCTION("""COMPUTED_VALUE"""),"Same Day")</f>
        <v>Same Day</v>
      </c>
      <c r="G410" s="22" t="str">
        <f>IFERROR(__xludf.DUMMYFUNCTION("""COMPUTED_VALUE"""),"Paul")</f>
        <v>Paul</v>
      </c>
      <c r="H410" s="22" t="str">
        <f>IFERROR(__xludf.DUMMYFUNCTION("""COMPUTED_VALUE"""),"Prost")</f>
        <v>Prost</v>
      </c>
      <c r="I410" s="22" t="str">
        <f>IFERROR(__xludf.DUMMYFUNCTION("""COMPUTED_VALUE"""),"Home Office")</f>
        <v>Home Office</v>
      </c>
      <c r="J410" s="22" t="str">
        <f>IFERROR(__xludf.DUMMYFUNCTION("""COMPUTED_VALUE"""),"Smyrna")</f>
        <v>Smyrna</v>
      </c>
      <c r="K410" s="22" t="str">
        <f>IFERROR(__xludf.DUMMYFUNCTION("""COMPUTED_VALUE"""),"Georgia")</f>
        <v>Georgia</v>
      </c>
      <c r="L410" s="22" t="str">
        <f>IFERROR(__xludf.DUMMYFUNCTION("""COMPUTED_VALUE"""),"South")</f>
        <v>South</v>
      </c>
      <c r="M410" s="22" t="str">
        <f>IFERROR(__xludf.DUMMYFUNCTION("""COMPUTED_VALUE"""),"Office Supplies")</f>
        <v>Office Supplies</v>
      </c>
      <c r="N410" s="18">
        <f>IFERROR(__xludf.DUMMYFUNCTION("""COMPUTED_VALUE"""),348.84)</f>
        <v>348.84</v>
      </c>
      <c r="O410" s="18">
        <f>IFERROR(__xludf.DUMMYFUNCTION("""COMPUTED_VALUE"""),348.73)</f>
        <v>348.73</v>
      </c>
      <c r="P410" s="22">
        <f>IFERROR(__xludf.DUMMYFUNCTION("""COMPUTED_VALUE"""),3.0)</f>
        <v>3</v>
      </c>
      <c r="Q410" s="18">
        <f>IFERROR(__xludf.DUMMYFUNCTION("""COMPUTED_VALUE"""),1046.52)</f>
        <v>1046.52</v>
      </c>
      <c r="R410" s="18">
        <f>IFERROR(__xludf.DUMMYFUNCTION("""COMPUTED_VALUE"""),697.79)</f>
        <v>697.79</v>
      </c>
    </row>
    <row r="411">
      <c r="A411" s="21">
        <f>IFERROR(__xludf.DUMMYFUNCTION("""COMPUTED_VALUE"""),42857.0)</f>
        <v>42857</v>
      </c>
      <c r="B411" s="21" t="str">
        <f>IFERROR(__xludf.DUMMYFUNCTION("""COMPUTED_VALUE"""),"May")</f>
        <v>May</v>
      </c>
      <c r="C411" s="9">
        <f>IFERROR(__xludf.DUMMYFUNCTION("""COMPUTED_VALUE"""),42857.0)</f>
        <v>42857</v>
      </c>
      <c r="D411" s="23" t="str">
        <f>IFERROR(__xludf.DUMMYFUNCTION("""COMPUTED_VALUE"""),"May")</f>
        <v>May</v>
      </c>
      <c r="E411" s="21" t="str">
        <f>IFERROR(__xludf.DUMMYFUNCTION("""COMPUTED_VALUE"""),"2017")</f>
        <v>2017</v>
      </c>
      <c r="F411" s="22" t="str">
        <f>IFERROR(__xludf.DUMMYFUNCTION("""COMPUTED_VALUE"""),"Same Day")</f>
        <v>Same Day</v>
      </c>
      <c r="G411" s="22" t="str">
        <f>IFERROR(__xludf.DUMMYFUNCTION("""COMPUTED_VALUE"""),"Paul")</f>
        <v>Paul</v>
      </c>
      <c r="H411" s="22" t="str">
        <f>IFERROR(__xludf.DUMMYFUNCTION("""COMPUTED_VALUE"""),"Prost")</f>
        <v>Prost</v>
      </c>
      <c r="I411" s="22" t="str">
        <f>IFERROR(__xludf.DUMMYFUNCTION("""COMPUTED_VALUE"""),"Home Office")</f>
        <v>Home Office</v>
      </c>
      <c r="J411" s="22" t="str">
        <f>IFERROR(__xludf.DUMMYFUNCTION("""COMPUTED_VALUE"""),"Smyrna")</f>
        <v>Smyrna</v>
      </c>
      <c r="K411" s="22" t="str">
        <f>IFERROR(__xludf.DUMMYFUNCTION("""COMPUTED_VALUE"""),"Georgia")</f>
        <v>Georgia</v>
      </c>
      <c r="L411" s="22" t="str">
        <f>IFERROR(__xludf.DUMMYFUNCTION("""COMPUTED_VALUE"""),"South")</f>
        <v>South</v>
      </c>
      <c r="M411" s="22" t="str">
        <f>IFERROR(__xludf.DUMMYFUNCTION("""COMPUTED_VALUE"""),"Technology")</f>
        <v>Technology</v>
      </c>
      <c r="N411" s="18">
        <f>IFERROR(__xludf.DUMMYFUNCTION("""COMPUTED_VALUE"""),484.83)</f>
        <v>484.83</v>
      </c>
      <c r="O411" s="18">
        <f>IFERROR(__xludf.DUMMYFUNCTION("""COMPUTED_VALUE"""),484.55)</f>
        <v>484.55</v>
      </c>
      <c r="P411" s="22">
        <f>IFERROR(__xludf.DUMMYFUNCTION("""COMPUTED_VALUE"""),3.0)</f>
        <v>3</v>
      </c>
      <c r="Q411" s="18">
        <f>IFERROR(__xludf.DUMMYFUNCTION("""COMPUTED_VALUE"""),1454.49)</f>
        <v>1454.49</v>
      </c>
      <c r="R411" s="18">
        <f>IFERROR(__xludf.DUMMYFUNCTION("""COMPUTED_VALUE"""),969.94)</f>
        <v>969.94</v>
      </c>
    </row>
    <row r="412">
      <c r="A412" s="21">
        <f>IFERROR(__xludf.DUMMYFUNCTION("""COMPUTED_VALUE"""),42857.0)</f>
        <v>42857</v>
      </c>
      <c r="B412" s="21" t="str">
        <f>IFERROR(__xludf.DUMMYFUNCTION("""COMPUTED_VALUE"""),"May")</f>
        <v>May</v>
      </c>
      <c r="C412" s="9">
        <f>IFERROR(__xludf.DUMMYFUNCTION("""COMPUTED_VALUE"""),42857.0)</f>
        <v>42857</v>
      </c>
      <c r="D412" s="23" t="str">
        <f>IFERROR(__xludf.DUMMYFUNCTION("""COMPUTED_VALUE"""),"May")</f>
        <v>May</v>
      </c>
      <c r="E412" s="21" t="str">
        <f>IFERROR(__xludf.DUMMYFUNCTION("""COMPUTED_VALUE"""),"2017")</f>
        <v>2017</v>
      </c>
      <c r="F412" s="22" t="str">
        <f>IFERROR(__xludf.DUMMYFUNCTION("""COMPUTED_VALUE"""),"Same Day")</f>
        <v>Same Day</v>
      </c>
      <c r="G412" s="22" t="str">
        <f>IFERROR(__xludf.DUMMYFUNCTION("""COMPUTED_VALUE"""),"Paul")</f>
        <v>Paul</v>
      </c>
      <c r="H412" s="22" t="str">
        <f>IFERROR(__xludf.DUMMYFUNCTION("""COMPUTED_VALUE"""),"Prost")</f>
        <v>Prost</v>
      </c>
      <c r="I412" s="22" t="str">
        <f>IFERROR(__xludf.DUMMYFUNCTION("""COMPUTED_VALUE"""),"Home Office")</f>
        <v>Home Office</v>
      </c>
      <c r="J412" s="22" t="str">
        <f>IFERROR(__xludf.DUMMYFUNCTION("""COMPUTED_VALUE"""),"Smyrna")</f>
        <v>Smyrna</v>
      </c>
      <c r="K412" s="22" t="str">
        <f>IFERROR(__xludf.DUMMYFUNCTION("""COMPUTED_VALUE"""),"Georgia")</f>
        <v>Georgia</v>
      </c>
      <c r="L412" s="22" t="str">
        <f>IFERROR(__xludf.DUMMYFUNCTION("""COMPUTED_VALUE"""),"South")</f>
        <v>South</v>
      </c>
      <c r="M412" s="22" t="str">
        <f>IFERROR(__xludf.DUMMYFUNCTION("""COMPUTED_VALUE"""),"Office Supplies")</f>
        <v>Office Supplies</v>
      </c>
      <c r="N412" s="18">
        <f>IFERROR(__xludf.DUMMYFUNCTION("""COMPUTED_VALUE"""),342.37)</f>
        <v>342.37</v>
      </c>
      <c r="O412" s="18">
        <f>IFERROR(__xludf.DUMMYFUNCTION("""COMPUTED_VALUE"""),342.3)</f>
        <v>342.3</v>
      </c>
      <c r="P412" s="22">
        <f>IFERROR(__xludf.DUMMYFUNCTION("""COMPUTED_VALUE"""),3.0)</f>
        <v>3</v>
      </c>
      <c r="Q412" s="18">
        <f>IFERROR(__xludf.DUMMYFUNCTION("""COMPUTED_VALUE"""),1027.1100000000001)</f>
        <v>1027.11</v>
      </c>
      <c r="R412" s="18">
        <f>IFERROR(__xludf.DUMMYFUNCTION("""COMPUTED_VALUE"""),684.8100000000002)</f>
        <v>684.81</v>
      </c>
    </row>
    <row r="413">
      <c r="A413" s="21">
        <f>IFERROR(__xludf.DUMMYFUNCTION("""COMPUTED_VALUE"""),43353.0)</f>
        <v>43353</v>
      </c>
      <c r="B413" s="21" t="str">
        <f>IFERROR(__xludf.DUMMYFUNCTION("""COMPUTED_VALUE"""),"Sep")</f>
        <v>Sep</v>
      </c>
      <c r="C413" s="9">
        <f>IFERROR(__xludf.DUMMYFUNCTION("""COMPUTED_VALUE"""),43387.0)</f>
        <v>43387</v>
      </c>
      <c r="D413" s="23" t="str">
        <f>IFERROR(__xludf.DUMMYFUNCTION("""COMPUTED_VALUE"""),"Oct")</f>
        <v>Oct</v>
      </c>
      <c r="E413" s="21" t="str">
        <f>IFERROR(__xludf.DUMMYFUNCTION("""COMPUTED_VALUE"""),"2018")</f>
        <v>2018</v>
      </c>
      <c r="F413" s="22" t="str">
        <f>IFERROR(__xludf.DUMMYFUNCTION("""COMPUTED_VALUE"""),"Standard Class")</f>
        <v>Standard Class</v>
      </c>
      <c r="G413" s="22" t="str">
        <f>IFERROR(__xludf.DUMMYFUNCTION("""COMPUTED_VALUE"""),"Cyma")</f>
        <v>Cyma</v>
      </c>
      <c r="H413" s="22" t="str">
        <f>IFERROR(__xludf.DUMMYFUNCTION("""COMPUTED_VALUE"""),"Kinney")</f>
        <v>Kinney</v>
      </c>
      <c r="I413" s="22" t="str">
        <f>IFERROR(__xludf.DUMMYFUNCTION("""COMPUTED_VALUE"""),"Corporate")</f>
        <v>Corporate</v>
      </c>
      <c r="J413" s="22" t="str">
        <f>IFERROR(__xludf.DUMMYFUNCTION("""COMPUTED_VALUE"""),"Aurora")</f>
        <v>Aurora</v>
      </c>
      <c r="K413" s="22" t="str">
        <f>IFERROR(__xludf.DUMMYFUNCTION("""COMPUTED_VALUE"""),"Illinois")</f>
        <v>Illinois</v>
      </c>
      <c r="L413" s="22" t="str">
        <f>IFERROR(__xludf.DUMMYFUNCTION("""COMPUTED_VALUE"""),"Central")</f>
        <v>Central</v>
      </c>
      <c r="M413" s="22" t="str">
        <f>IFERROR(__xludf.DUMMYFUNCTION("""COMPUTED_VALUE"""),"Furniture")</f>
        <v>Furniture</v>
      </c>
      <c r="N413" s="18">
        <f>IFERROR(__xludf.DUMMYFUNCTION("""COMPUTED_VALUE"""),652.45)</f>
        <v>652.45</v>
      </c>
      <c r="O413" s="18">
        <f>IFERROR(__xludf.DUMMYFUNCTION("""COMPUTED_VALUE"""),651.81)</f>
        <v>651.81</v>
      </c>
      <c r="P413" s="22">
        <f>IFERROR(__xludf.DUMMYFUNCTION("""COMPUTED_VALUE"""),6.0)</f>
        <v>6</v>
      </c>
      <c r="Q413" s="18">
        <f>IFERROR(__xludf.DUMMYFUNCTION("""COMPUTED_VALUE"""),3914.7000000000003)</f>
        <v>3914.7</v>
      </c>
      <c r="R413" s="18">
        <f>IFERROR(__xludf.DUMMYFUNCTION("""COMPUTED_VALUE"""),3262.8900000000003)</f>
        <v>3262.89</v>
      </c>
    </row>
    <row r="414">
      <c r="A414" s="21">
        <f>IFERROR(__xludf.DUMMYFUNCTION("""COMPUTED_VALUE"""),42844.0)</f>
        <v>42844</v>
      </c>
      <c r="B414" s="21" t="str">
        <f>IFERROR(__xludf.DUMMYFUNCTION("""COMPUTED_VALUE"""),"Apr")</f>
        <v>Apr</v>
      </c>
      <c r="C414" s="9">
        <f>IFERROR(__xludf.DUMMYFUNCTION("""COMPUTED_VALUE"""),42850.0)</f>
        <v>42850</v>
      </c>
      <c r="D414" s="23" t="str">
        <f>IFERROR(__xludf.DUMMYFUNCTION("""COMPUTED_VALUE"""),"Apr")</f>
        <v>Apr</v>
      </c>
      <c r="E414" s="21" t="str">
        <f>IFERROR(__xludf.DUMMYFUNCTION("""COMPUTED_VALUE"""),"2017")</f>
        <v>2017</v>
      </c>
      <c r="F414" s="22" t="str">
        <f>IFERROR(__xludf.DUMMYFUNCTION("""COMPUTED_VALUE"""),"Standard Class")</f>
        <v>Standard Class</v>
      </c>
      <c r="G414" s="22" t="str">
        <f>IFERROR(__xludf.DUMMYFUNCTION("""COMPUTED_VALUE"""),"Gary")</f>
        <v>Gary</v>
      </c>
      <c r="H414" s="22" t="str">
        <f>IFERROR(__xludf.DUMMYFUNCTION("""COMPUTED_VALUE"""),"Mitchum")</f>
        <v>Mitchum</v>
      </c>
      <c r="I414" s="22" t="str">
        <f>IFERROR(__xludf.DUMMYFUNCTION("""COMPUTED_VALUE"""),"Home Office")</f>
        <v>Home Office</v>
      </c>
      <c r="J414" s="22" t="str">
        <f>IFERROR(__xludf.DUMMYFUNCTION("""COMPUTED_VALUE"""),"Columbus")</f>
        <v>Columbus</v>
      </c>
      <c r="K414" s="22" t="str">
        <f>IFERROR(__xludf.DUMMYFUNCTION("""COMPUTED_VALUE"""),"Ohio")</f>
        <v>Ohio</v>
      </c>
      <c r="L414" s="22" t="str">
        <f>IFERROR(__xludf.DUMMYFUNCTION("""COMPUTED_VALUE"""),"East")</f>
        <v>East</v>
      </c>
      <c r="M414" s="22" t="str">
        <f>IFERROR(__xludf.DUMMYFUNCTION("""COMPUTED_VALUE"""),"Furniture")</f>
        <v>Furniture</v>
      </c>
      <c r="N414" s="18">
        <f>IFERROR(__xludf.DUMMYFUNCTION("""COMPUTED_VALUE"""),205.176)</f>
        <v>205.176</v>
      </c>
      <c r="O414" s="18">
        <f>IFERROR(__xludf.DUMMYFUNCTION("""COMPUTED_VALUE"""),204.56)</f>
        <v>204.56</v>
      </c>
      <c r="P414" s="22">
        <f>IFERROR(__xludf.DUMMYFUNCTION("""COMPUTED_VALUE"""),4.0)</f>
        <v>4</v>
      </c>
      <c r="Q414" s="18">
        <f>IFERROR(__xludf.DUMMYFUNCTION("""COMPUTED_VALUE"""),820.704)</f>
        <v>820.704</v>
      </c>
      <c r="R414" s="18">
        <f>IFERROR(__xludf.DUMMYFUNCTION("""COMPUTED_VALUE"""),616.144)</f>
        <v>616.144</v>
      </c>
    </row>
    <row r="415">
      <c r="A415" s="21">
        <f>IFERROR(__xludf.DUMMYFUNCTION("""COMPUTED_VALUE"""),42844.0)</f>
        <v>42844</v>
      </c>
      <c r="B415" s="21" t="str">
        <f>IFERROR(__xludf.DUMMYFUNCTION("""COMPUTED_VALUE"""),"Apr")</f>
        <v>Apr</v>
      </c>
      <c r="C415" s="9">
        <f>IFERROR(__xludf.DUMMYFUNCTION("""COMPUTED_VALUE"""),42850.0)</f>
        <v>42850</v>
      </c>
      <c r="D415" s="23" t="str">
        <f>IFERROR(__xludf.DUMMYFUNCTION("""COMPUTED_VALUE"""),"Apr")</f>
        <v>Apr</v>
      </c>
      <c r="E415" s="21" t="str">
        <f>IFERROR(__xludf.DUMMYFUNCTION("""COMPUTED_VALUE"""),"2017")</f>
        <v>2017</v>
      </c>
      <c r="F415" s="22" t="str">
        <f>IFERROR(__xludf.DUMMYFUNCTION("""COMPUTED_VALUE"""),"Standard Class")</f>
        <v>Standard Class</v>
      </c>
      <c r="G415" s="22" t="str">
        <f>IFERROR(__xludf.DUMMYFUNCTION("""COMPUTED_VALUE"""),"Gary")</f>
        <v>Gary</v>
      </c>
      <c r="H415" s="22" t="str">
        <f>IFERROR(__xludf.DUMMYFUNCTION("""COMPUTED_VALUE"""),"Mitchum")</f>
        <v>Mitchum</v>
      </c>
      <c r="I415" s="22" t="str">
        <f>IFERROR(__xludf.DUMMYFUNCTION("""COMPUTED_VALUE"""),"Home Office")</f>
        <v>Home Office</v>
      </c>
      <c r="J415" s="22" t="str">
        <f>IFERROR(__xludf.DUMMYFUNCTION("""COMPUTED_VALUE"""),"Columbus")</f>
        <v>Columbus</v>
      </c>
      <c r="K415" s="22" t="str">
        <f>IFERROR(__xludf.DUMMYFUNCTION("""COMPUTED_VALUE"""),"Ohio")</f>
        <v>Ohio</v>
      </c>
      <c r="L415" s="22" t="str">
        <f>IFERROR(__xludf.DUMMYFUNCTION("""COMPUTED_VALUE"""),"East")</f>
        <v>East</v>
      </c>
      <c r="M415" s="22" t="str">
        <f>IFERROR(__xludf.DUMMYFUNCTION("""COMPUTED_VALUE"""),"Office Supplies")</f>
        <v>Office Supplies</v>
      </c>
      <c r="N415" s="18">
        <f>IFERROR(__xludf.DUMMYFUNCTION("""COMPUTED_VALUE"""),419.4)</f>
        <v>419.4</v>
      </c>
      <c r="O415" s="18">
        <f>IFERROR(__xludf.DUMMYFUNCTION("""COMPUTED_VALUE"""),418.98)</f>
        <v>418.98</v>
      </c>
      <c r="P415" s="22">
        <f>IFERROR(__xludf.DUMMYFUNCTION("""COMPUTED_VALUE"""),4.0)</f>
        <v>4</v>
      </c>
      <c r="Q415" s="18">
        <f>IFERROR(__xludf.DUMMYFUNCTION("""COMPUTED_VALUE"""),1677.6)</f>
        <v>1677.6</v>
      </c>
      <c r="R415" s="18">
        <f>IFERROR(__xludf.DUMMYFUNCTION("""COMPUTED_VALUE"""),1258.62)</f>
        <v>1258.62</v>
      </c>
    </row>
    <row r="416">
      <c r="A416" s="21">
        <f>IFERROR(__xludf.DUMMYFUNCTION("""COMPUTED_VALUE"""),43003.0)</f>
        <v>43003</v>
      </c>
      <c r="B416" s="21" t="str">
        <f>IFERROR(__xludf.DUMMYFUNCTION("""COMPUTED_VALUE"""),"Sep")</f>
        <v>Sep</v>
      </c>
      <c r="C416" s="9">
        <f>IFERROR(__xludf.DUMMYFUNCTION("""COMPUTED_VALUE"""),43008.0)</f>
        <v>43008</v>
      </c>
      <c r="D416" s="23" t="str">
        <f>IFERROR(__xludf.DUMMYFUNCTION("""COMPUTED_VALUE"""),"Sep")</f>
        <v>Sep</v>
      </c>
      <c r="E416" s="21" t="str">
        <f>IFERROR(__xludf.DUMMYFUNCTION("""COMPUTED_VALUE"""),"2017")</f>
        <v>2017</v>
      </c>
      <c r="F416" s="22" t="str">
        <f>IFERROR(__xludf.DUMMYFUNCTION("""COMPUTED_VALUE"""),"Standard Class")</f>
        <v>Standard Class</v>
      </c>
      <c r="G416" s="22" t="str">
        <f>IFERROR(__xludf.DUMMYFUNCTION("""COMPUTED_VALUE"""),"Adrian")</f>
        <v>Adrian</v>
      </c>
      <c r="H416" s="22" t="str">
        <f>IFERROR(__xludf.DUMMYFUNCTION("""COMPUTED_VALUE"""),"Barton")</f>
        <v>Barton</v>
      </c>
      <c r="I416" s="22" t="str">
        <f>IFERROR(__xludf.DUMMYFUNCTION("""COMPUTED_VALUE"""),"Consumer")</f>
        <v>Consumer</v>
      </c>
      <c r="J416" s="22" t="str">
        <f>IFERROR(__xludf.DUMMYFUNCTION("""COMPUTED_VALUE"""),"Phoenix")</f>
        <v>Phoenix</v>
      </c>
      <c r="K416" s="22" t="str">
        <f>IFERROR(__xludf.DUMMYFUNCTION("""COMPUTED_VALUE"""),"Arizona")</f>
        <v>Arizona</v>
      </c>
      <c r="L416" s="22" t="str">
        <f>IFERROR(__xludf.DUMMYFUNCTION("""COMPUTED_VALUE"""),"West")</f>
        <v>West</v>
      </c>
      <c r="M416" s="22" t="str">
        <f>IFERROR(__xludf.DUMMYFUNCTION("""COMPUTED_VALUE"""),"Furniture")</f>
        <v>Furniture</v>
      </c>
      <c r="N416" s="18">
        <f>IFERROR(__xludf.DUMMYFUNCTION("""COMPUTED_VALUE"""),393.165)</f>
        <v>393.165</v>
      </c>
      <c r="O416" s="18">
        <f>IFERROR(__xludf.DUMMYFUNCTION("""COMPUTED_VALUE"""),392.91)</f>
        <v>392.91</v>
      </c>
      <c r="P416" s="22">
        <f>IFERROR(__xludf.DUMMYFUNCTION("""COMPUTED_VALUE"""),8.0)</f>
        <v>8</v>
      </c>
      <c r="Q416" s="18">
        <f>IFERROR(__xludf.DUMMYFUNCTION("""COMPUTED_VALUE"""),3145.32)</f>
        <v>3145.32</v>
      </c>
      <c r="R416" s="18">
        <f>IFERROR(__xludf.DUMMYFUNCTION("""COMPUTED_VALUE"""),2752.4100000000003)</f>
        <v>2752.41</v>
      </c>
    </row>
    <row r="417">
      <c r="A417" s="21">
        <f>IFERROR(__xludf.DUMMYFUNCTION("""COMPUTED_VALUE"""),43128.0)</f>
        <v>43128</v>
      </c>
      <c r="B417" s="21" t="str">
        <f>IFERROR(__xludf.DUMMYFUNCTION("""COMPUTED_VALUE"""),"Jan")</f>
        <v>Jan</v>
      </c>
      <c r="C417" s="9">
        <f>IFERROR(__xludf.DUMMYFUNCTION("""COMPUTED_VALUE"""),43131.0)</f>
        <v>43131</v>
      </c>
      <c r="D417" s="23" t="str">
        <f>IFERROR(__xludf.DUMMYFUNCTION("""COMPUTED_VALUE"""),"Jan")</f>
        <v>Jan</v>
      </c>
      <c r="E417" s="21" t="str">
        <f>IFERROR(__xludf.DUMMYFUNCTION("""COMPUTED_VALUE"""),"2018")</f>
        <v>2018</v>
      </c>
      <c r="F417" s="22" t="str">
        <f>IFERROR(__xludf.DUMMYFUNCTION("""COMPUTED_VALUE"""),"Second Class")</f>
        <v>Second Class</v>
      </c>
      <c r="G417" s="22" t="str">
        <f>IFERROR(__xludf.DUMMYFUNCTION("""COMPUTED_VALUE"""),"Beth")</f>
        <v>Beth</v>
      </c>
      <c r="H417" s="22" t="str">
        <f>IFERROR(__xludf.DUMMYFUNCTION("""COMPUTED_VALUE"""),"Thompson")</f>
        <v>Thompson</v>
      </c>
      <c r="I417" s="22" t="str">
        <f>IFERROR(__xludf.DUMMYFUNCTION("""COMPUTED_VALUE"""),"Home Office")</f>
        <v>Home Office</v>
      </c>
      <c r="J417" s="22" t="str">
        <f>IFERROR(__xludf.DUMMYFUNCTION("""COMPUTED_VALUE"""),"Costa Mesa")</f>
        <v>Costa Mesa</v>
      </c>
      <c r="K417" s="22" t="str">
        <f>IFERROR(__xludf.DUMMYFUNCTION("""COMPUTED_VALUE"""),"California")</f>
        <v>California</v>
      </c>
      <c r="L417" s="22" t="str">
        <f>IFERROR(__xludf.DUMMYFUNCTION("""COMPUTED_VALUE"""),"West")</f>
        <v>West</v>
      </c>
      <c r="M417" s="22" t="str">
        <f>IFERROR(__xludf.DUMMYFUNCTION("""COMPUTED_VALUE"""),"Technology")</f>
        <v>Technology</v>
      </c>
      <c r="N417" s="18">
        <f>IFERROR(__xludf.DUMMYFUNCTION("""COMPUTED_VALUE"""),239.97)</f>
        <v>239.97</v>
      </c>
      <c r="O417" s="18">
        <f>IFERROR(__xludf.DUMMYFUNCTION("""COMPUTED_VALUE"""),239.38)</f>
        <v>239.38</v>
      </c>
      <c r="P417" s="22">
        <f>IFERROR(__xludf.DUMMYFUNCTION("""COMPUTED_VALUE"""),9.0)</f>
        <v>9</v>
      </c>
      <c r="Q417" s="18">
        <f>IFERROR(__xludf.DUMMYFUNCTION("""COMPUTED_VALUE"""),2159.73)</f>
        <v>2159.73</v>
      </c>
      <c r="R417" s="18">
        <f>IFERROR(__xludf.DUMMYFUNCTION("""COMPUTED_VALUE"""),1920.35)</f>
        <v>1920.35</v>
      </c>
    </row>
    <row r="418">
      <c r="A418" s="21">
        <f>IFERROR(__xludf.DUMMYFUNCTION("""COMPUTED_VALUE"""),42634.0)</f>
        <v>42634</v>
      </c>
      <c r="B418" s="21" t="str">
        <f>IFERROR(__xludf.DUMMYFUNCTION("""COMPUTED_VALUE"""),"Sep")</f>
        <v>Sep</v>
      </c>
      <c r="C418" s="9">
        <f>IFERROR(__xludf.DUMMYFUNCTION("""COMPUTED_VALUE"""),42637.0)</f>
        <v>42637</v>
      </c>
      <c r="D418" s="23" t="str">
        <f>IFERROR(__xludf.DUMMYFUNCTION("""COMPUTED_VALUE"""),"Sep")</f>
        <v>Sep</v>
      </c>
      <c r="E418" s="21" t="str">
        <f>IFERROR(__xludf.DUMMYFUNCTION("""COMPUTED_VALUE"""),"2016")</f>
        <v>2016</v>
      </c>
      <c r="F418" s="22" t="str">
        <f>IFERROR(__xludf.DUMMYFUNCTION("""COMPUTED_VALUE"""),"First Class")</f>
        <v>First Class</v>
      </c>
      <c r="G418" s="22" t="str">
        <f>IFERROR(__xludf.DUMMYFUNCTION("""COMPUTED_VALUE"""),"Stuart")</f>
        <v>Stuart</v>
      </c>
      <c r="H418" s="22" t="str">
        <f>IFERROR(__xludf.DUMMYFUNCTION("""COMPUTED_VALUE"""),"Van")</f>
        <v>Van</v>
      </c>
      <c r="I418" s="22" t="str">
        <f>IFERROR(__xludf.DUMMYFUNCTION("""COMPUTED_VALUE"""),"Corporate")</f>
        <v>Corporate</v>
      </c>
      <c r="J418" s="22" t="str">
        <f>IFERROR(__xludf.DUMMYFUNCTION("""COMPUTED_VALUE"""),"Houston")</f>
        <v>Houston</v>
      </c>
      <c r="K418" s="22" t="str">
        <f>IFERROR(__xludf.DUMMYFUNCTION("""COMPUTED_VALUE"""),"Texas")</f>
        <v>Texas</v>
      </c>
      <c r="L418" s="22" t="str">
        <f>IFERROR(__xludf.DUMMYFUNCTION("""COMPUTED_VALUE"""),"Central")</f>
        <v>Central</v>
      </c>
      <c r="M418" s="22" t="str">
        <f>IFERROR(__xludf.DUMMYFUNCTION("""COMPUTED_VALUE"""),"Technology")</f>
        <v>Technology</v>
      </c>
      <c r="N418" s="18">
        <f>IFERROR(__xludf.DUMMYFUNCTION("""COMPUTED_VALUE"""),946.344)</f>
        <v>946.344</v>
      </c>
      <c r="O418" s="18">
        <f>IFERROR(__xludf.DUMMYFUNCTION("""COMPUTED_VALUE"""),945.88)</f>
        <v>945.88</v>
      </c>
      <c r="P418" s="22">
        <f>IFERROR(__xludf.DUMMYFUNCTION("""COMPUTED_VALUE"""),7.0)</f>
        <v>7</v>
      </c>
      <c r="Q418" s="18">
        <f>IFERROR(__xludf.DUMMYFUNCTION("""COMPUTED_VALUE"""),6624.408)</f>
        <v>6624.408</v>
      </c>
      <c r="R418" s="18">
        <f>IFERROR(__xludf.DUMMYFUNCTION("""COMPUTED_VALUE"""),5678.528)</f>
        <v>5678.528</v>
      </c>
    </row>
    <row r="419">
      <c r="A419" s="21">
        <f>IFERROR(__xludf.DUMMYFUNCTION("""COMPUTED_VALUE"""),42634.0)</f>
        <v>42634</v>
      </c>
      <c r="B419" s="21" t="str">
        <f>IFERROR(__xludf.DUMMYFUNCTION("""COMPUTED_VALUE"""),"Sep")</f>
        <v>Sep</v>
      </c>
      <c r="C419" s="9">
        <f>IFERROR(__xludf.DUMMYFUNCTION("""COMPUTED_VALUE"""),42637.0)</f>
        <v>42637</v>
      </c>
      <c r="D419" s="23" t="str">
        <f>IFERROR(__xludf.DUMMYFUNCTION("""COMPUTED_VALUE"""),"Sep")</f>
        <v>Sep</v>
      </c>
      <c r="E419" s="21" t="str">
        <f>IFERROR(__xludf.DUMMYFUNCTION("""COMPUTED_VALUE"""),"2016")</f>
        <v>2016</v>
      </c>
      <c r="F419" s="22" t="str">
        <f>IFERROR(__xludf.DUMMYFUNCTION("""COMPUTED_VALUE"""),"First Class")</f>
        <v>First Class</v>
      </c>
      <c r="G419" s="22" t="str">
        <f>IFERROR(__xludf.DUMMYFUNCTION("""COMPUTED_VALUE"""),"Stuart")</f>
        <v>Stuart</v>
      </c>
      <c r="H419" s="22" t="str">
        <f>IFERROR(__xludf.DUMMYFUNCTION("""COMPUTED_VALUE"""),"Van")</f>
        <v>Van</v>
      </c>
      <c r="I419" s="22" t="str">
        <f>IFERROR(__xludf.DUMMYFUNCTION("""COMPUTED_VALUE"""),"Corporate")</f>
        <v>Corporate</v>
      </c>
      <c r="J419" s="22" t="str">
        <f>IFERROR(__xludf.DUMMYFUNCTION("""COMPUTED_VALUE"""),"Houston")</f>
        <v>Houston</v>
      </c>
      <c r="K419" s="22" t="str">
        <f>IFERROR(__xludf.DUMMYFUNCTION("""COMPUTED_VALUE"""),"Texas")</f>
        <v>Texas</v>
      </c>
      <c r="L419" s="22" t="str">
        <f>IFERROR(__xludf.DUMMYFUNCTION("""COMPUTED_VALUE"""),"Central")</f>
        <v>Central</v>
      </c>
      <c r="M419" s="22" t="str">
        <f>IFERROR(__xludf.DUMMYFUNCTION("""COMPUTED_VALUE"""),"Technology")</f>
        <v>Technology</v>
      </c>
      <c r="N419" s="18">
        <f>IFERROR(__xludf.DUMMYFUNCTION("""COMPUTED_VALUE"""),151.2)</f>
        <v>151.2</v>
      </c>
      <c r="O419" s="18">
        <f>IFERROR(__xludf.DUMMYFUNCTION("""COMPUTED_VALUE"""),151.06)</f>
        <v>151.06</v>
      </c>
      <c r="P419" s="22">
        <f>IFERROR(__xludf.DUMMYFUNCTION("""COMPUTED_VALUE"""),7.0)</f>
        <v>7</v>
      </c>
      <c r="Q419" s="18">
        <f>IFERROR(__xludf.DUMMYFUNCTION("""COMPUTED_VALUE"""),1058.3999999999999)</f>
        <v>1058.4</v>
      </c>
      <c r="R419" s="18">
        <f>IFERROR(__xludf.DUMMYFUNCTION("""COMPUTED_VALUE"""),907.3399999999999)</f>
        <v>907.34</v>
      </c>
    </row>
    <row r="420">
      <c r="A420" s="21">
        <f>IFERROR(__xludf.DUMMYFUNCTION("""COMPUTED_VALUE"""),42639.0)</f>
        <v>42639</v>
      </c>
      <c r="B420" s="21" t="str">
        <f>IFERROR(__xludf.DUMMYFUNCTION("""COMPUTED_VALUE"""),"Sep")</f>
        <v>Sep</v>
      </c>
      <c r="C420" s="9">
        <f>IFERROR(__xludf.DUMMYFUNCTION("""COMPUTED_VALUE"""),42643.0)</f>
        <v>42643</v>
      </c>
      <c r="D420" s="23" t="str">
        <f>IFERROR(__xludf.DUMMYFUNCTION("""COMPUTED_VALUE"""),"Sep")</f>
        <v>Sep</v>
      </c>
      <c r="E420" s="21" t="str">
        <f>IFERROR(__xludf.DUMMYFUNCTION("""COMPUTED_VALUE"""),"2016")</f>
        <v>2016</v>
      </c>
      <c r="F420" s="22" t="str">
        <f>IFERROR(__xludf.DUMMYFUNCTION("""COMPUTED_VALUE"""),"Standard Class")</f>
        <v>Standard Class</v>
      </c>
      <c r="G420" s="22" t="str">
        <f>IFERROR(__xludf.DUMMYFUNCTION("""COMPUTED_VALUE"""),"Rick")</f>
        <v>Rick</v>
      </c>
      <c r="H420" s="22" t="str">
        <f>IFERROR(__xludf.DUMMYFUNCTION("""COMPUTED_VALUE"""),"Wilson")</f>
        <v>Wilson</v>
      </c>
      <c r="I420" s="22" t="str">
        <f>IFERROR(__xludf.DUMMYFUNCTION("""COMPUTED_VALUE"""),"Corporate")</f>
        <v>Corporate</v>
      </c>
      <c r="J420" s="22" t="str">
        <f>IFERROR(__xludf.DUMMYFUNCTION("""COMPUTED_VALUE"""),"Mesa")</f>
        <v>Mesa</v>
      </c>
      <c r="K420" s="22" t="str">
        <f>IFERROR(__xludf.DUMMYFUNCTION("""COMPUTED_VALUE"""),"Arizona")</f>
        <v>Arizona</v>
      </c>
      <c r="L420" s="22" t="str">
        <f>IFERROR(__xludf.DUMMYFUNCTION("""COMPUTED_VALUE"""),"West")</f>
        <v>West</v>
      </c>
      <c r="M420" s="22" t="str">
        <f>IFERROR(__xludf.DUMMYFUNCTION("""COMPUTED_VALUE"""),"Office Supplies")</f>
        <v>Office Supplies</v>
      </c>
      <c r="N420" s="18">
        <f>IFERROR(__xludf.DUMMYFUNCTION("""COMPUTED_VALUE"""),86.272)</f>
        <v>86.272</v>
      </c>
      <c r="O420" s="18">
        <f>IFERROR(__xludf.DUMMYFUNCTION("""COMPUTED_VALUE"""),85.73)</f>
        <v>85.73</v>
      </c>
      <c r="P420" s="22">
        <f>IFERROR(__xludf.DUMMYFUNCTION("""COMPUTED_VALUE"""),8.0)</f>
        <v>8</v>
      </c>
      <c r="Q420" s="18">
        <f>IFERROR(__xludf.DUMMYFUNCTION("""COMPUTED_VALUE"""),690.176)</f>
        <v>690.176</v>
      </c>
      <c r="R420" s="18">
        <f>IFERROR(__xludf.DUMMYFUNCTION("""COMPUTED_VALUE"""),604.446)</f>
        <v>604.446</v>
      </c>
    </row>
    <row r="421">
      <c r="A421" s="21">
        <f>IFERROR(__xludf.DUMMYFUNCTION("""COMPUTED_VALUE"""),42639.0)</f>
        <v>42639</v>
      </c>
      <c r="B421" s="21" t="str">
        <f>IFERROR(__xludf.DUMMYFUNCTION("""COMPUTED_VALUE"""),"Sep")</f>
        <v>Sep</v>
      </c>
      <c r="C421" s="9">
        <f>IFERROR(__xludf.DUMMYFUNCTION("""COMPUTED_VALUE"""),42643.0)</f>
        <v>42643</v>
      </c>
      <c r="D421" s="23" t="str">
        <f>IFERROR(__xludf.DUMMYFUNCTION("""COMPUTED_VALUE"""),"Sep")</f>
        <v>Sep</v>
      </c>
      <c r="E421" s="21" t="str">
        <f>IFERROR(__xludf.DUMMYFUNCTION("""COMPUTED_VALUE"""),"2016")</f>
        <v>2016</v>
      </c>
      <c r="F421" s="22" t="str">
        <f>IFERROR(__xludf.DUMMYFUNCTION("""COMPUTED_VALUE"""),"Standard Class")</f>
        <v>Standard Class</v>
      </c>
      <c r="G421" s="22" t="str">
        <f>IFERROR(__xludf.DUMMYFUNCTION("""COMPUTED_VALUE"""),"Rick")</f>
        <v>Rick</v>
      </c>
      <c r="H421" s="22" t="str">
        <f>IFERROR(__xludf.DUMMYFUNCTION("""COMPUTED_VALUE"""),"Wilson")</f>
        <v>Wilson</v>
      </c>
      <c r="I421" s="22" t="str">
        <f>IFERROR(__xludf.DUMMYFUNCTION("""COMPUTED_VALUE"""),"Corporate")</f>
        <v>Corporate</v>
      </c>
      <c r="J421" s="22" t="str">
        <f>IFERROR(__xludf.DUMMYFUNCTION("""COMPUTED_VALUE"""),"Mesa")</f>
        <v>Mesa</v>
      </c>
      <c r="K421" s="22" t="str">
        <f>IFERROR(__xludf.DUMMYFUNCTION("""COMPUTED_VALUE"""),"Arizona")</f>
        <v>Arizona</v>
      </c>
      <c r="L421" s="22" t="str">
        <f>IFERROR(__xludf.DUMMYFUNCTION("""COMPUTED_VALUE"""),"West")</f>
        <v>West</v>
      </c>
      <c r="M421" s="22" t="str">
        <f>IFERROR(__xludf.DUMMYFUNCTION("""COMPUTED_VALUE"""),"Office Supplies")</f>
        <v>Office Supplies</v>
      </c>
      <c r="N421" s="18">
        <f>IFERROR(__xludf.DUMMYFUNCTION("""COMPUTED_VALUE"""),72.588)</f>
        <v>72.588</v>
      </c>
      <c r="O421" s="18">
        <f>IFERROR(__xludf.DUMMYFUNCTION("""COMPUTED_VALUE"""),72.03)</f>
        <v>72.03</v>
      </c>
      <c r="P421" s="22">
        <f>IFERROR(__xludf.DUMMYFUNCTION("""COMPUTED_VALUE"""),8.0)</f>
        <v>8</v>
      </c>
      <c r="Q421" s="18">
        <f>IFERROR(__xludf.DUMMYFUNCTION("""COMPUTED_VALUE"""),580.704)</f>
        <v>580.704</v>
      </c>
      <c r="R421" s="18">
        <f>IFERROR(__xludf.DUMMYFUNCTION("""COMPUTED_VALUE"""),508.674)</f>
        <v>508.674</v>
      </c>
    </row>
    <row r="422">
      <c r="A422" s="21">
        <f>IFERROR(__xludf.DUMMYFUNCTION("""COMPUTED_VALUE"""),42639.0)</f>
        <v>42639</v>
      </c>
      <c r="B422" s="21" t="str">
        <f>IFERROR(__xludf.DUMMYFUNCTION("""COMPUTED_VALUE"""),"Sep")</f>
        <v>Sep</v>
      </c>
      <c r="C422" s="9">
        <f>IFERROR(__xludf.DUMMYFUNCTION("""COMPUTED_VALUE"""),42643.0)</f>
        <v>42643</v>
      </c>
      <c r="D422" s="23" t="str">
        <f>IFERROR(__xludf.DUMMYFUNCTION("""COMPUTED_VALUE"""),"Sep")</f>
        <v>Sep</v>
      </c>
      <c r="E422" s="21" t="str">
        <f>IFERROR(__xludf.DUMMYFUNCTION("""COMPUTED_VALUE"""),"2016")</f>
        <v>2016</v>
      </c>
      <c r="F422" s="22" t="str">
        <f>IFERROR(__xludf.DUMMYFUNCTION("""COMPUTED_VALUE"""),"Standard Class")</f>
        <v>Standard Class</v>
      </c>
      <c r="G422" s="22" t="str">
        <f>IFERROR(__xludf.DUMMYFUNCTION("""COMPUTED_VALUE"""),"Rick")</f>
        <v>Rick</v>
      </c>
      <c r="H422" s="22" t="str">
        <f>IFERROR(__xludf.DUMMYFUNCTION("""COMPUTED_VALUE"""),"Wilson")</f>
        <v>Wilson</v>
      </c>
      <c r="I422" s="22" t="str">
        <f>IFERROR(__xludf.DUMMYFUNCTION("""COMPUTED_VALUE"""),"Corporate")</f>
        <v>Corporate</v>
      </c>
      <c r="J422" s="22" t="str">
        <f>IFERROR(__xludf.DUMMYFUNCTION("""COMPUTED_VALUE"""),"Mesa")</f>
        <v>Mesa</v>
      </c>
      <c r="K422" s="22" t="str">
        <f>IFERROR(__xludf.DUMMYFUNCTION("""COMPUTED_VALUE"""),"Arizona")</f>
        <v>Arizona</v>
      </c>
      <c r="L422" s="22" t="str">
        <f>IFERROR(__xludf.DUMMYFUNCTION("""COMPUTED_VALUE"""),"West")</f>
        <v>West</v>
      </c>
      <c r="M422" s="22" t="str">
        <f>IFERROR(__xludf.DUMMYFUNCTION("""COMPUTED_VALUE"""),"Office Supplies")</f>
        <v>Office Supplies</v>
      </c>
      <c r="N422" s="18">
        <f>IFERROR(__xludf.DUMMYFUNCTION("""COMPUTED_VALUE"""),77.031)</f>
        <v>77.031</v>
      </c>
      <c r="O422" s="18">
        <f>IFERROR(__xludf.DUMMYFUNCTION("""COMPUTED_VALUE"""),76.92)</f>
        <v>76.92</v>
      </c>
      <c r="P422" s="22">
        <f>IFERROR(__xludf.DUMMYFUNCTION("""COMPUTED_VALUE"""),8.0)</f>
        <v>8</v>
      </c>
      <c r="Q422" s="18">
        <f>IFERROR(__xludf.DUMMYFUNCTION("""COMPUTED_VALUE"""),616.248)</f>
        <v>616.248</v>
      </c>
      <c r="R422" s="18">
        <f>IFERROR(__xludf.DUMMYFUNCTION("""COMPUTED_VALUE"""),539.3280000000001)</f>
        <v>539.328</v>
      </c>
    </row>
    <row r="423">
      <c r="A423" s="21">
        <f>IFERROR(__xludf.DUMMYFUNCTION("""COMPUTED_VALUE"""),42639.0)</f>
        <v>42639</v>
      </c>
      <c r="B423" s="21" t="str">
        <f>IFERROR(__xludf.DUMMYFUNCTION("""COMPUTED_VALUE"""),"Sep")</f>
        <v>Sep</v>
      </c>
      <c r="C423" s="9">
        <f>IFERROR(__xludf.DUMMYFUNCTION("""COMPUTED_VALUE"""),42643.0)</f>
        <v>42643</v>
      </c>
      <c r="D423" s="23" t="str">
        <f>IFERROR(__xludf.DUMMYFUNCTION("""COMPUTED_VALUE"""),"Sep")</f>
        <v>Sep</v>
      </c>
      <c r="E423" s="21" t="str">
        <f>IFERROR(__xludf.DUMMYFUNCTION("""COMPUTED_VALUE"""),"2016")</f>
        <v>2016</v>
      </c>
      <c r="F423" s="22" t="str">
        <f>IFERROR(__xludf.DUMMYFUNCTION("""COMPUTED_VALUE"""),"Standard Class")</f>
        <v>Standard Class</v>
      </c>
      <c r="G423" s="22" t="str">
        <f>IFERROR(__xludf.DUMMYFUNCTION("""COMPUTED_VALUE"""),"Rick")</f>
        <v>Rick</v>
      </c>
      <c r="H423" s="22" t="str">
        <f>IFERROR(__xludf.DUMMYFUNCTION("""COMPUTED_VALUE"""),"Wilson")</f>
        <v>Wilson</v>
      </c>
      <c r="I423" s="22" t="str">
        <f>IFERROR(__xludf.DUMMYFUNCTION("""COMPUTED_VALUE"""),"Corporate")</f>
        <v>Corporate</v>
      </c>
      <c r="J423" s="22" t="str">
        <f>IFERROR(__xludf.DUMMYFUNCTION("""COMPUTED_VALUE"""),"Mesa")</f>
        <v>Mesa</v>
      </c>
      <c r="K423" s="22" t="str">
        <f>IFERROR(__xludf.DUMMYFUNCTION("""COMPUTED_VALUE"""),"Arizona")</f>
        <v>Arizona</v>
      </c>
      <c r="L423" s="22" t="str">
        <f>IFERROR(__xludf.DUMMYFUNCTION("""COMPUTED_VALUE"""),"West")</f>
        <v>West</v>
      </c>
      <c r="M423" s="22" t="str">
        <f>IFERROR(__xludf.DUMMYFUNCTION("""COMPUTED_VALUE"""),"Office Supplies")</f>
        <v>Office Supplies</v>
      </c>
      <c r="N423" s="18">
        <f>IFERROR(__xludf.DUMMYFUNCTION("""COMPUTED_VALUE"""),119.904)</f>
        <v>119.904</v>
      </c>
      <c r="O423" s="18">
        <f>IFERROR(__xludf.DUMMYFUNCTION("""COMPUTED_VALUE"""),119.34)</f>
        <v>119.34</v>
      </c>
      <c r="P423" s="22">
        <f>IFERROR(__xludf.DUMMYFUNCTION("""COMPUTED_VALUE"""),8.0)</f>
        <v>8</v>
      </c>
      <c r="Q423" s="18">
        <f>IFERROR(__xludf.DUMMYFUNCTION("""COMPUTED_VALUE"""),959.232)</f>
        <v>959.232</v>
      </c>
      <c r="R423" s="18">
        <f>IFERROR(__xludf.DUMMYFUNCTION("""COMPUTED_VALUE"""),839.8919999999999)</f>
        <v>839.892</v>
      </c>
    </row>
    <row r="424">
      <c r="A424" s="21">
        <f>IFERROR(__xludf.DUMMYFUNCTION("""COMPUTED_VALUE"""),42639.0)</f>
        <v>42639</v>
      </c>
      <c r="B424" s="21" t="str">
        <f>IFERROR(__xludf.DUMMYFUNCTION("""COMPUTED_VALUE"""),"Sep")</f>
        <v>Sep</v>
      </c>
      <c r="C424" s="9">
        <f>IFERROR(__xludf.DUMMYFUNCTION("""COMPUTED_VALUE"""),42643.0)</f>
        <v>42643</v>
      </c>
      <c r="D424" s="23" t="str">
        <f>IFERROR(__xludf.DUMMYFUNCTION("""COMPUTED_VALUE"""),"Sep")</f>
        <v>Sep</v>
      </c>
      <c r="E424" s="21" t="str">
        <f>IFERROR(__xludf.DUMMYFUNCTION("""COMPUTED_VALUE"""),"2016")</f>
        <v>2016</v>
      </c>
      <c r="F424" s="22" t="str">
        <f>IFERROR(__xludf.DUMMYFUNCTION("""COMPUTED_VALUE"""),"Standard Class")</f>
        <v>Standard Class</v>
      </c>
      <c r="G424" s="22" t="str">
        <f>IFERROR(__xludf.DUMMYFUNCTION("""COMPUTED_VALUE"""),"Rick")</f>
        <v>Rick</v>
      </c>
      <c r="H424" s="22" t="str">
        <f>IFERROR(__xludf.DUMMYFUNCTION("""COMPUTED_VALUE"""),"Wilson")</f>
        <v>Wilson</v>
      </c>
      <c r="I424" s="22" t="str">
        <f>IFERROR(__xludf.DUMMYFUNCTION("""COMPUTED_VALUE"""),"Corporate")</f>
        <v>Corporate</v>
      </c>
      <c r="J424" s="22" t="str">
        <f>IFERROR(__xludf.DUMMYFUNCTION("""COMPUTED_VALUE"""),"Mesa")</f>
        <v>Mesa</v>
      </c>
      <c r="K424" s="22" t="str">
        <f>IFERROR(__xludf.DUMMYFUNCTION("""COMPUTED_VALUE"""),"Arizona")</f>
        <v>Arizona</v>
      </c>
      <c r="L424" s="22" t="str">
        <f>IFERROR(__xludf.DUMMYFUNCTION("""COMPUTED_VALUE"""),"West")</f>
        <v>West</v>
      </c>
      <c r="M424" s="22" t="str">
        <f>IFERROR(__xludf.DUMMYFUNCTION("""COMPUTED_VALUE"""),"Technology")</f>
        <v>Technology</v>
      </c>
      <c r="N424" s="18">
        <f>IFERROR(__xludf.DUMMYFUNCTION("""COMPUTED_VALUE"""),263.96)</f>
        <v>263.96</v>
      </c>
      <c r="O424" s="18">
        <f>IFERROR(__xludf.DUMMYFUNCTION("""COMPUTED_VALUE"""),263.89)</f>
        <v>263.89</v>
      </c>
      <c r="P424" s="22">
        <f>IFERROR(__xludf.DUMMYFUNCTION("""COMPUTED_VALUE"""),8.0)</f>
        <v>8</v>
      </c>
      <c r="Q424" s="18">
        <f>IFERROR(__xludf.DUMMYFUNCTION("""COMPUTED_VALUE"""),2111.68)</f>
        <v>2111.68</v>
      </c>
      <c r="R424" s="18">
        <f>IFERROR(__xludf.DUMMYFUNCTION("""COMPUTED_VALUE"""),1847.79)</f>
        <v>1847.79</v>
      </c>
    </row>
    <row r="425">
      <c r="A425" s="21">
        <f>IFERROR(__xludf.DUMMYFUNCTION("""COMPUTED_VALUE"""),42639.0)</f>
        <v>42639</v>
      </c>
      <c r="B425" s="21" t="str">
        <f>IFERROR(__xludf.DUMMYFUNCTION("""COMPUTED_VALUE"""),"Sep")</f>
        <v>Sep</v>
      </c>
      <c r="C425" s="9">
        <f>IFERROR(__xludf.DUMMYFUNCTION("""COMPUTED_VALUE"""),42643.0)</f>
        <v>42643</v>
      </c>
      <c r="D425" s="23" t="str">
        <f>IFERROR(__xludf.DUMMYFUNCTION("""COMPUTED_VALUE"""),"Sep")</f>
        <v>Sep</v>
      </c>
      <c r="E425" s="21" t="str">
        <f>IFERROR(__xludf.DUMMYFUNCTION("""COMPUTED_VALUE"""),"2016")</f>
        <v>2016</v>
      </c>
      <c r="F425" s="22" t="str">
        <f>IFERROR(__xludf.DUMMYFUNCTION("""COMPUTED_VALUE"""),"Standard Class")</f>
        <v>Standard Class</v>
      </c>
      <c r="G425" s="22" t="str">
        <f>IFERROR(__xludf.DUMMYFUNCTION("""COMPUTED_VALUE"""),"Rick")</f>
        <v>Rick</v>
      </c>
      <c r="H425" s="22" t="str">
        <f>IFERROR(__xludf.DUMMYFUNCTION("""COMPUTED_VALUE"""),"Wilson")</f>
        <v>Wilson</v>
      </c>
      <c r="I425" s="22" t="str">
        <f>IFERROR(__xludf.DUMMYFUNCTION("""COMPUTED_VALUE"""),"Corporate")</f>
        <v>Corporate</v>
      </c>
      <c r="J425" s="22" t="str">
        <f>IFERROR(__xludf.DUMMYFUNCTION("""COMPUTED_VALUE"""),"Mesa")</f>
        <v>Mesa</v>
      </c>
      <c r="K425" s="22" t="str">
        <f>IFERROR(__xludf.DUMMYFUNCTION("""COMPUTED_VALUE"""),"Arizona")</f>
        <v>Arizona</v>
      </c>
      <c r="L425" s="22" t="str">
        <f>IFERROR(__xludf.DUMMYFUNCTION("""COMPUTED_VALUE"""),"West")</f>
        <v>West</v>
      </c>
      <c r="M425" s="22" t="str">
        <f>IFERROR(__xludf.DUMMYFUNCTION("""COMPUTED_VALUE"""),"Office Supplies")</f>
        <v>Office Supplies</v>
      </c>
      <c r="N425" s="18">
        <f>IFERROR(__xludf.DUMMYFUNCTION("""COMPUTED_VALUE"""),363.648)</f>
        <v>363.648</v>
      </c>
      <c r="O425" s="18">
        <f>IFERROR(__xludf.DUMMYFUNCTION("""COMPUTED_VALUE"""),363.08)</f>
        <v>363.08</v>
      </c>
      <c r="P425" s="22">
        <f>IFERROR(__xludf.DUMMYFUNCTION("""COMPUTED_VALUE"""),8.0)</f>
        <v>8</v>
      </c>
      <c r="Q425" s="18">
        <f>IFERROR(__xludf.DUMMYFUNCTION("""COMPUTED_VALUE"""),2909.184)</f>
        <v>2909.184</v>
      </c>
      <c r="R425" s="18">
        <f>IFERROR(__xludf.DUMMYFUNCTION("""COMPUTED_VALUE"""),2546.1040000000003)</f>
        <v>2546.104</v>
      </c>
    </row>
    <row r="426">
      <c r="A426" s="21">
        <f>IFERROR(__xludf.DUMMYFUNCTION("""COMPUTED_VALUE"""),42674.0)</f>
        <v>42674</v>
      </c>
      <c r="B426" s="21" t="str">
        <f>IFERROR(__xludf.DUMMYFUNCTION("""COMPUTED_VALUE"""),"Oct")</f>
        <v>Oct</v>
      </c>
      <c r="C426" s="9">
        <f>IFERROR(__xludf.DUMMYFUNCTION("""COMPUTED_VALUE"""),42471.0)</f>
        <v>42471</v>
      </c>
      <c r="D426" s="23" t="str">
        <f>IFERROR(__xludf.DUMMYFUNCTION("""COMPUTED_VALUE"""),"Apr")</f>
        <v>Apr</v>
      </c>
      <c r="E426" s="21" t="str">
        <f>IFERROR(__xludf.DUMMYFUNCTION("""COMPUTED_VALUE"""),"2016")</f>
        <v>2016</v>
      </c>
      <c r="F426" s="22" t="str">
        <f>IFERROR(__xludf.DUMMYFUNCTION("""COMPUTED_VALUE"""),"Second Class")</f>
        <v>Second Class</v>
      </c>
      <c r="G426" s="22" t="str">
        <f>IFERROR(__xludf.DUMMYFUNCTION("""COMPUTED_VALUE"""),"Damala")</f>
        <v>Damala</v>
      </c>
      <c r="H426" s="22" t="str">
        <f>IFERROR(__xludf.DUMMYFUNCTION("""COMPUTED_VALUE"""),"Kotsonis")</f>
        <v>Kotsonis</v>
      </c>
      <c r="I426" s="22" t="str">
        <f>IFERROR(__xludf.DUMMYFUNCTION("""COMPUTED_VALUE"""),"Corporate")</f>
        <v>Corporate</v>
      </c>
      <c r="J426" s="22" t="str">
        <f>IFERROR(__xludf.DUMMYFUNCTION("""COMPUTED_VALUE"""),"Salinas")</f>
        <v>Salinas</v>
      </c>
      <c r="K426" s="22" t="str">
        <f>IFERROR(__xludf.DUMMYFUNCTION("""COMPUTED_VALUE"""),"California")</f>
        <v>California</v>
      </c>
      <c r="L426" s="22" t="str">
        <f>IFERROR(__xludf.DUMMYFUNCTION("""COMPUTED_VALUE"""),"West")</f>
        <v>West</v>
      </c>
      <c r="M426" s="22" t="str">
        <f>IFERROR(__xludf.DUMMYFUNCTION("""COMPUTED_VALUE"""),"Office Supplies")</f>
        <v>Office Supplies</v>
      </c>
      <c r="N426" s="18">
        <f>IFERROR(__xludf.DUMMYFUNCTION("""COMPUTED_VALUE"""),427.42)</f>
        <v>427.42</v>
      </c>
      <c r="O426" s="18">
        <f>IFERROR(__xludf.DUMMYFUNCTION("""COMPUTED_VALUE"""),427.03)</f>
        <v>427.03</v>
      </c>
      <c r="P426" s="22">
        <f>IFERROR(__xludf.DUMMYFUNCTION("""COMPUTED_VALUE"""),9.0)</f>
        <v>9</v>
      </c>
      <c r="Q426" s="18">
        <f>IFERROR(__xludf.DUMMYFUNCTION("""COMPUTED_VALUE"""),3846.78)</f>
        <v>3846.78</v>
      </c>
      <c r="R426" s="18">
        <f>IFERROR(__xludf.DUMMYFUNCTION("""COMPUTED_VALUE"""),3419.75)</f>
        <v>3419.75</v>
      </c>
    </row>
    <row r="427">
      <c r="A427" s="21">
        <f>IFERROR(__xludf.DUMMYFUNCTION("""COMPUTED_VALUE"""),43430.0)</f>
        <v>43430</v>
      </c>
      <c r="B427" s="21" t="str">
        <f>IFERROR(__xludf.DUMMYFUNCTION("""COMPUTED_VALUE"""),"Nov")</f>
        <v>Nov</v>
      </c>
      <c r="C427" s="9">
        <f>IFERROR(__xludf.DUMMYFUNCTION("""COMPUTED_VALUE"""),43434.0)</f>
        <v>43434</v>
      </c>
      <c r="D427" s="23" t="str">
        <f>IFERROR(__xludf.DUMMYFUNCTION("""COMPUTED_VALUE"""),"Nov")</f>
        <v>Nov</v>
      </c>
      <c r="E427" s="21" t="str">
        <f>IFERROR(__xludf.DUMMYFUNCTION("""COMPUTED_VALUE"""),"2018")</f>
        <v>2018</v>
      </c>
      <c r="F427" s="22" t="str">
        <f>IFERROR(__xludf.DUMMYFUNCTION("""COMPUTED_VALUE"""),"Standard Class")</f>
        <v>Standard Class</v>
      </c>
      <c r="G427" s="22" t="str">
        <f>IFERROR(__xludf.DUMMYFUNCTION("""COMPUTED_VALUE"""),"Liz")</f>
        <v>Liz</v>
      </c>
      <c r="H427" s="22" t="str">
        <f>IFERROR(__xludf.DUMMYFUNCTION("""COMPUTED_VALUE"""),"Thompson")</f>
        <v>Thompson</v>
      </c>
      <c r="I427" s="22" t="str">
        <f>IFERROR(__xludf.DUMMYFUNCTION("""COMPUTED_VALUE"""),"Consumer")</f>
        <v>Consumer</v>
      </c>
      <c r="J427" s="22" t="str">
        <f>IFERROR(__xludf.DUMMYFUNCTION("""COMPUTED_VALUE"""),"Columbus")</f>
        <v>Columbus</v>
      </c>
      <c r="K427" s="22" t="str">
        <f>IFERROR(__xludf.DUMMYFUNCTION("""COMPUTED_VALUE"""),"Ohio")</f>
        <v>Ohio</v>
      </c>
      <c r="L427" s="22" t="str">
        <f>IFERROR(__xludf.DUMMYFUNCTION("""COMPUTED_VALUE"""),"East")</f>
        <v>East</v>
      </c>
      <c r="M427" s="22" t="str">
        <f>IFERROR(__xludf.DUMMYFUNCTION("""COMPUTED_VALUE"""),"Technology")</f>
        <v>Technology</v>
      </c>
      <c r="N427" s="18">
        <f>IFERROR(__xludf.DUMMYFUNCTION("""COMPUTED_VALUE"""),220.752)</f>
        <v>220.752</v>
      </c>
      <c r="O427" s="18">
        <f>IFERROR(__xludf.DUMMYFUNCTION("""COMPUTED_VALUE"""),220.67)</f>
        <v>220.67</v>
      </c>
      <c r="P427" s="22">
        <f>IFERROR(__xludf.DUMMYFUNCTION("""COMPUTED_VALUE"""),4.0)</f>
        <v>4</v>
      </c>
      <c r="Q427" s="18">
        <f>IFERROR(__xludf.DUMMYFUNCTION("""COMPUTED_VALUE"""),883.008)</f>
        <v>883.008</v>
      </c>
      <c r="R427" s="18">
        <f>IFERROR(__xludf.DUMMYFUNCTION("""COMPUTED_VALUE"""),662.3380000000001)</f>
        <v>662.338</v>
      </c>
    </row>
    <row r="428">
      <c r="A428" s="21">
        <f>IFERROR(__xludf.DUMMYFUNCTION("""COMPUTED_VALUE"""),42357.0)</f>
        <v>42357</v>
      </c>
      <c r="B428" s="21" t="str">
        <f>IFERROR(__xludf.DUMMYFUNCTION("""COMPUTED_VALUE"""),"Dec")</f>
        <v>Dec</v>
      </c>
      <c r="C428" s="9">
        <f>IFERROR(__xludf.DUMMYFUNCTION("""COMPUTED_VALUE"""),42359.0)</f>
        <v>42359</v>
      </c>
      <c r="D428" s="23" t="str">
        <f>IFERROR(__xludf.DUMMYFUNCTION("""COMPUTED_VALUE"""),"Dec")</f>
        <v>Dec</v>
      </c>
      <c r="E428" s="21" t="str">
        <f>IFERROR(__xludf.DUMMYFUNCTION("""COMPUTED_VALUE"""),"2015")</f>
        <v>2015</v>
      </c>
      <c r="F428" s="22" t="str">
        <f>IFERROR(__xludf.DUMMYFUNCTION("""COMPUTED_VALUE"""),"Second Class")</f>
        <v>Second Class</v>
      </c>
      <c r="G428" s="22" t="str">
        <f>IFERROR(__xludf.DUMMYFUNCTION("""COMPUTED_VALUE"""),"Irene")</f>
        <v>Irene</v>
      </c>
      <c r="H428" s="22" t="str">
        <f>IFERROR(__xludf.DUMMYFUNCTION("""COMPUTED_VALUE"""),"Maddox")</f>
        <v>Maddox</v>
      </c>
      <c r="I428" s="22" t="str">
        <f>IFERROR(__xludf.DUMMYFUNCTION("""COMPUTED_VALUE"""),"Consumer")</f>
        <v>Consumer</v>
      </c>
      <c r="J428" s="22" t="str">
        <f>IFERROR(__xludf.DUMMYFUNCTION("""COMPUTED_VALUE"""),"Florence")</f>
        <v>Florence</v>
      </c>
      <c r="K428" s="22" t="str">
        <f>IFERROR(__xludf.DUMMYFUNCTION("""COMPUTED_VALUE"""),"Alabama")</f>
        <v>Alabama</v>
      </c>
      <c r="L428" s="22" t="str">
        <f>IFERROR(__xludf.DUMMYFUNCTION("""COMPUTED_VALUE"""),"South")</f>
        <v>South</v>
      </c>
      <c r="M428" s="22" t="str">
        <f>IFERROR(__xludf.DUMMYFUNCTION("""COMPUTED_VALUE"""),"Furniture")</f>
        <v>Furniture</v>
      </c>
      <c r="N428" s="18">
        <f>IFERROR(__xludf.DUMMYFUNCTION("""COMPUTED_VALUE"""),1819.86)</f>
        <v>1819.86</v>
      </c>
      <c r="O428" s="18">
        <f>IFERROR(__xludf.DUMMYFUNCTION("""COMPUTED_VALUE"""),1818.88)</f>
        <v>1818.88</v>
      </c>
      <c r="P428" s="22">
        <f>IFERROR(__xludf.DUMMYFUNCTION("""COMPUTED_VALUE"""),3.0)</f>
        <v>3</v>
      </c>
      <c r="Q428" s="18">
        <f>IFERROR(__xludf.DUMMYFUNCTION("""COMPUTED_VALUE"""),5459.58)</f>
        <v>5459.58</v>
      </c>
      <c r="R428" s="18">
        <f>IFERROR(__xludf.DUMMYFUNCTION("""COMPUTED_VALUE"""),3640.7)</f>
        <v>3640.7</v>
      </c>
    </row>
    <row r="429">
      <c r="A429" s="21">
        <f>IFERROR(__xludf.DUMMYFUNCTION("""COMPUTED_VALUE"""),42658.0)</f>
        <v>42658</v>
      </c>
      <c r="B429" s="21" t="str">
        <f>IFERROR(__xludf.DUMMYFUNCTION("""COMPUTED_VALUE"""),"Oct")</f>
        <v>Oct</v>
      </c>
      <c r="C429" s="9">
        <f>IFERROR(__xludf.DUMMYFUNCTION("""COMPUTED_VALUE"""),42658.0)</f>
        <v>42658</v>
      </c>
      <c r="D429" s="23" t="str">
        <f>IFERROR(__xludf.DUMMYFUNCTION("""COMPUTED_VALUE"""),"Oct")</f>
        <v>Oct</v>
      </c>
      <c r="E429" s="21" t="str">
        <f>IFERROR(__xludf.DUMMYFUNCTION("""COMPUTED_VALUE"""),"2016")</f>
        <v>2016</v>
      </c>
      <c r="F429" s="22" t="str">
        <f>IFERROR(__xludf.DUMMYFUNCTION("""COMPUTED_VALUE"""),"Same Day")</f>
        <v>Same Day</v>
      </c>
      <c r="G429" s="22" t="str">
        <f>IFERROR(__xludf.DUMMYFUNCTION("""COMPUTED_VALUE"""),"Joel")</f>
        <v>Joel</v>
      </c>
      <c r="H429" s="22" t="str">
        <f>IFERROR(__xludf.DUMMYFUNCTION("""COMPUTED_VALUE"""),"Eaton")</f>
        <v>Eaton</v>
      </c>
      <c r="I429" s="22" t="str">
        <f>IFERROR(__xludf.DUMMYFUNCTION("""COMPUTED_VALUE"""),"Consumer")</f>
        <v>Consumer</v>
      </c>
      <c r="J429" s="22" t="str">
        <f>IFERROR(__xludf.DUMMYFUNCTION("""COMPUTED_VALUE"""),"Amarillo")</f>
        <v>Amarillo</v>
      </c>
      <c r="K429" s="22" t="str">
        <f>IFERROR(__xludf.DUMMYFUNCTION("""COMPUTED_VALUE"""),"Texas")</f>
        <v>Texas</v>
      </c>
      <c r="L429" s="22" t="str">
        <f>IFERROR(__xludf.DUMMYFUNCTION("""COMPUTED_VALUE"""),"Central")</f>
        <v>Central</v>
      </c>
      <c r="M429" s="22" t="str">
        <f>IFERROR(__xludf.DUMMYFUNCTION("""COMPUTED_VALUE"""),"Technology")</f>
        <v>Technology</v>
      </c>
      <c r="N429" s="18">
        <f>IFERROR(__xludf.DUMMYFUNCTION("""COMPUTED_VALUE"""),263.88)</f>
        <v>263.88</v>
      </c>
      <c r="O429" s="18">
        <f>IFERROR(__xludf.DUMMYFUNCTION("""COMPUTED_VALUE"""),263.71)</f>
        <v>263.71</v>
      </c>
      <c r="P429" s="22">
        <f>IFERROR(__xludf.DUMMYFUNCTION("""COMPUTED_VALUE"""),7.0)</f>
        <v>7</v>
      </c>
      <c r="Q429" s="18">
        <f>IFERROR(__xludf.DUMMYFUNCTION("""COMPUTED_VALUE"""),1847.1599999999999)</f>
        <v>1847.16</v>
      </c>
      <c r="R429" s="18">
        <f>IFERROR(__xludf.DUMMYFUNCTION("""COMPUTED_VALUE"""),1583.4499999999998)</f>
        <v>1583.45</v>
      </c>
    </row>
    <row r="430">
      <c r="A430" s="21">
        <f>IFERROR(__xludf.DUMMYFUNCTION("""COMPUTED_VALUE"""),42658.0)</f>
        <v>42658</v>
      </c>
      <c r="B430" s="21" t="str">
        <f>IFERROR(__xludf.DUMMYFUNCTION("""COMPUTED_VALUE"""),"Oct")</f>
        <v>Oct</v>
      </c>
      <c r="C430" s="9">
        <f>IFERROR(__xludf.DUMMYFUNCTION("""COMPUTED_VALUE"""),42658.0)</f>
        <v>42658</v>
      </c>
      <c r="D430" s="23" t="str">
        <f>IFERROR(__xludf.DUMMYFUNCTION("""COMPUTED_VALUE"""),"Oct")</f>
        <v>Oct</v>
      </c>
      <c r="E430" s="21" t="str">
        <f>IFERROR(__xludf.DUMMYFUNCTION("""COMPUTED_VALUE"""),"2016")</f>
        <v>2016</v>
      </c>
      <c r="F430" s="22" t="str">
        <f>IFERROR(__xludf.DUMMYFUNCTION("""COMPUTED_VALUE"""),"Same Day")</f>
        <v>Same Day</v>
      </c>
      <c r="G430" s="22" t="str">
        <f>IFERROR(__xludf.DUMMYFUNCTION("""COMPUTED_VALUE"""),"Joel")</f>
        <v>Joel</v>
      </c>
      <c r="H430" s="22" t="str">
        <f>IFERROR(__xludf.DUMMYFUNCTION("""COMPUTED_VALUE"""),"Eaton")</f>
        <v>Eaton</v>
      </c>
      <c r="I430" s="22" t="str">
        <f>IFERROR(__xludf.DUMMYFUNCTION("""COMPUTED_VALUE"""),"Consumer")</f>
        <v>Consumer</v>
      </c>
      <c r="J430" s="22" t="str">
        <f>IFERROR(__xludf.DUMMYFUNCTION("""COMPUTED_VALUE"""),"Amarillo")</f>
        <v>Amarillo</v>
      </c>
      <c r="K430" s="22" t="str">
        <f>IFERROR(__xludf.DUMMYFUNCTION("""COMPUTED_VALUE"""),"Texas")</f>
        <v>Texas</v>
      </c>
      <c r="L430" s="22" t="str">
        <f>IFERROR(__xludf.DUMMYFUNCTION("""COMPUTED_VALUE"""),"Central")</f>
        <v>Central</v>
      </c>
      <c r="M430" s="22" t="str">
        <f>IFERROR(__xludf.DUMMYFUNCTION("""COMPUTED_VALUE"""),"Furniture")</f>
        <v>Furniture</v>
      </c>
      <c r="N430" s="18">
        <f>IFERROR(__xludf.DUMMYFUNCTION("""COMPUTED_VALUE"""),2453.43)</f>
        <v>2453.43</v>
      </c>
      <c r="O430" s="18">
        <f>IFERROR(__xludf.DUMMYFUNCTION("""COMPUTED_VALUE"""),2452.69)</f>
        <v>2452.69</v>
      </c>
      <c r="P430" s="22">
        <f>IFERROR(__xludf.DUMMYFUNCTION("""COMPUTED_VALUE"""),7.0)</f>
        <v>7</v>
      </c>
      <c r="Q430" s="18">
        <f>IFERROR(__xludf.DUMMYFUNCTION("""COMPUTED_VALUE"""),17174.01)</f>
        <v>17174.01</v>
      </c>
      <c r="R430" s="18">
        <f>IFERROR(__xludf.DUMMYFUNCTION("""COMPUTED_VALUE"""),14721.319999999998)</f>
        <v>14721.32</v>
      </c>
    </row>
    <row r="431">
      <c r="A431" s="21">
        <f>IFERROR(__xludf.DUMMYFUNCTION("""COMPUTED_VALUE"""),42379.0)</f>
        <v>42379</v>
      </c>
      <c r="B431" s="21" t="str">
        <f>IFERROR(__xludf.DUMMYFUNCTION("""COMPUTED_VALUE"""),"Jan")</f>
        <v>Jan</v>
      </c>
      <c r="C431" s="9">
        <f>IFERROR(__xludf.DUMMYFUNCTION("""COMPUTED_VALUE"""),42531.0)</f>
        <v>42531</v>
      </c>
      <c r="D431" s="23" t="str">
        <f>IFERROR(__xludf.DUMMYFUNCTION("""COMPUTED_VALUE"""),"Jun")</f>
        <v>Jun</v>
      </c>
      <c r="E431" s="21" t="str">
        <f>IFERROR(__xludf.DUMMYFUNCTION("""COMPUTED_VALUE"""),"2016")</f>
        <v>2016</v>
      </c>
      <c r="F431" s="22" t="str">
        <f>IFERROR(__xludf.DUMMYFUNCTION("""COMPUTED_VALUE"""),"Standard Class")</f>
        <v>Standard Class</v>
      </c>
      <c r="G431" s="22" t="str">
        <f>IFERROR(__xludf.DUMMYFUNCTION("""COMPUTED_VALUE"""),"Shaun")</f>
        <v>Shaun</v>
      </c>
      <c r="H431" s="22" t="str">
        <f>IFERROR(__xludf.DUMMYFUNCTION("""COMPUTED_VALUE"""),"Chance")</f>
        <v>Chance</v>
      </c>
      <c r="I431" s="22" t="str">
        <f>IFERROR(__xludf.DUMMYFUNCTION("""COMPUTED_VALUE"""),"Corporate")</f>
        <v>Corporate</v>
      </c>
      <c r="J431" s="22" t="str">
        <f>IFERROR(__xludf.DUMMYFUNCTION("""COMPUTED_VALUE"""),"Aurora")</f>
        <v>Aurora</v>
      </c>
      <c r="K431" s="22" t="str">
        <f>IFERROR(__xludf.DUMMYFUNCTION("""COMPUTED_VALUE"""),"Colorado")</f>
        <v>Colorado</v>
      </c>
      <c r="L431" s="22" t="str">
        <f>IFERROR(__xludf.DUMMYFUNCTION("""COMPUTED_VALUE"""),"West")</f>
        <v>West</v>
      </c>
      <c r="M431" s="22" t="str">
        <f>IFERROR(__xludf.DUMMYFUNCTION("""COMPUTED_VALUE"""),"Office Supplies")</f>
        <v>Office Supplies</v>
      </c>
      <c r="N431" s="18">
        <f>IFERROR(__xludf.DUMMYFUNCTION("""COMPUTED_VALUE"""),139.424)</f>
        <v>139.424</v>
      </c>
      <c r="O431" s="18">
        <f>IFERROR(__xludf.DUMMYFUNCTION("""COMPUTED_VALUE"""),138.95)</f>
        <v>138.95</v>
      </c>
      <c r="P431" s="22">
        <f>IFERROR(__xludf.DUMMYFUNCTION("""COMPUTED_VALUE"""),8.0)</f>
        <v>8</v>
      </c>
      <c r="Q431" s="18">
        <f>IFERROR(__xludf.DUMMYFUNCTION("""COMPUTED_VALUE"""),1115.392)</f>
        <v>1115.392</v>
      </c>
      <c r="R431" s="18">
        <f>IFERROR(__xludf.DUMMYFUNCTION("""COMPUTED_VALUE"""),976.442)</f>
        <v>976.442</v>
      </c>
    </row>
    <row r="432">
      <c r="A432" s="21">
        <f>IFERROR(__xludf.DUMMYFUNCTION("""COMPUTED_VALUE"""),42878.0)</f>
        <v>42878</v>
      </c>
      <c r="B432" s="21" t="str">
        <f>IFERROR(__xludf.DUMMYFUNCTION("""COMPUTED_VALUE"""),"May")</f>
        <v>May</v>
      </c>
      <c r="C432" s="9">
        <f>IFERROR(__xludf.DUMMYFUNCTION("""COMPUTED_VALUE"""),42883.0)</f>
        <v>42883</v>
      </c>
      <c r="D432" s="23" t="str">
        <f>IFERROR(__xludf.DUMMYFUNCTION("""COMPUTED_VALUE"""),"May")</f>
        <v>May</v>
      </c>
      <c r="E432" s="21" t="str">
        <f>IFERROR(__xludf.DUMMYFUNCTION("""COMPUTED_VALUE"""),"2017")</f>
        <v>2017</v>
      </c>
      <c r="F432" s="22" t="str">
        <f>IFERROR(__xludf.DUMMYFUNCTION("""COMPUTED_VALUE"""),"Standard Class")</f>
        <v>Standard Class</v>
      </c>
      <c r="G432" s="22" t="str">
        <f>IFERROR(__xludf.DUMMYFUNCTION("""COMPUTED_VALUE"""),"Ken")</f>
        <v>Ken</v>
      </c>
      <c r="H432" s="22" t="str">
        <f>IFERROR(__xludf.DUMMYFUNCTION("""COMPUTED_VALUE"""),"Lonsdale")</f>
        <v>Lonsdale</v>
      </c>
      <c r="I432" s="22" t="str">
        <f>IFERROR(__xludf.DUMMYFUNCTION("""COMPUTED_VALUE"""),"Consumer")</f>
        <v>Consumer</v>
      </c>
      <c r="J432" s="22" t="str">
        <f>IFERROR(__xludf.DUMMYFUNCTION("""COMPUTED_VALUE"""),"Chicago")</f>
        <v>Chicago</v>
      </c>
      <c r="K432" s="22" t="str">
        <f>IFERROR(__xludf.DUMMYFUNCTION("""COMPUTED_VALUE"""),"Illinois")</f>
        <v>Illinois</v>
      </c>
      <c r="L432" s="22" t="str">
        <f>IFERROR(__xludf.DUMMYFUNCTION("""COMPUTED_VALUE"""),"Central")</f>
        <v>Central</v>
      </c>
      <c r="M432" s="22" t="str">
        <f>IFERROR(__xludf.DUMMYFUNCTION("""COMPUTED_VALUE"""),"Technology")</f>
        <v>Technology</v>
      </c>
      <c r="N432" s="18">
        <f>IFERROR(__xludf.DUMMYFUNCTION("""COMPUTED_VALUE"""),1979.928)</f>
        <v>1979.928</v>
      </c>
      <c r="O432" s="18">
        <f>IFERROR(__xludf.DUMMYFUNCTION("""COMPUTED_VALUE"""),1978.98)</f>
        <v>1978.98</v>
      </c>
      <c r="P432" s="22">
        <f>IFERROR(__xludf.DUMMYFUNCTION("""COMPUTED_VALUE"""),6.0)</f>
        <v>6</v>
      </c>
      <c r="Q432" s="18">
        <f>IFERROR(__xludf.DUMMYFUNCTION("""COMPUTED_VALUE"""),11879.568000000001)</f>
        <v>11879.568</v>
      </c>
      <c r="R432" s="18">
        <f>IFERROR(__xludf.DUMMYFUNCTION("""COMPUTED_VALUE"""),9900.588000000002)</f>
        <v>9900.588</v>
      </c>
    </row>
    <row r="433">
      <c r="A433" s="21">
        <f>IFERROR(__xludf.DUMMYFUNCTION("""COMPUTED_VALUE"""),43264.0)</f>
        <v>43264</v>
      </c>
      <c r="B433" s="21" t="str">
        <f>IFERROR(__xludf.DUMMYFUNCTION("""COMPUTED_VALUE"""),"Jun")</f>
        <v>Jun</v>
      </c>
      <c r="C433" s="9">
        <f>IFERROR(__xludf.DUMMYFUNCTION("""COMPUTED_VALUE"""),43267.0)</f>
        <v>43267</v>
      </c>
      <c r="D433" s="23" t="str">
        <f>IFERROR(__xludf.DUMMYFUNCTION("""COMPUTED_VALUE"""),"Jun")</f>
        <v>Jun</v>
      </c>
      <c r="E433" s="21" t="str">
        <f>IFERROR(__xludf.DUMMYFUNCTION("""COMPUTED_VALUE"""),"2018")</f>
        <v>2018</v>
      </c>
      <c r="F433" s="22" t="str">
        <f>IFERROR(__xludf.DUMMYFUNCTION("""COMPUTED_VALUE"""),"First Class")</f>
        <v>First Class</v>
      </c>
      <c r="G433" s="22" t="str">
        <f>IFERROR(__xludf.DUMMYFUNCTION("""COMPUTED_VALUE"""),"Shirley")</f>
        <v>Shirley</v>
      </c>
      <c r="H433" s="22" t="str">
        <f>IFERROR(__xludf.DUMMYFUNCTION("""COMPUTED_VALUE"""),"Daniels")</f>
        <v>Daniels</v>
      </c>
      <c r="I433" s="22" t="str">
        <f>IFERROR(__xludf.DUMMYFUNCTION("""COMPUTED_VALUE"""),"Home Office")</f>
        <v>Home Office</v>
      </c>
      <c r="J433" s="22" t="str">
        <f>IFERROR(__xludf.DUMMYFUNCTION("""COMPUTED_VALUE"""),"Chicago")</f>
        <v>Chicago</v>
      </c>
      <c r="K433" s="22" t="str">
        <f>IFERROR(__xludf.DUMMYFUNCTION("""COMPUTED_VALUE"""),"Illinois")</f>
        <v>Illinois</v>
      </c>
      <c r="L433" s="22" t="str">
        <f>IFERROR(__xludf.DUMMYFUNCTION("""COMPUTED_VALUE"""),"Central")</f>
        <v>Central</v>
      </c>
      <c r="M433" s="22" t="str">
        <f>IFERROR(__xludf.DUMMYFUNCTION("""COMPUTED_VALUE"""),"Office Supplies")</f>
        <v>Office Supplies</v>
      </c>
      <c r="N433" s="18">
        <f>IFERROR(__xludf.DUMMYFUNCTION("""COMPUTED_VALUE"""),164.736)</f>
        <v>164.736</v>
      </c>
      <c r="O433" s="18">
        <f>IFERROR(__xludf.DUMMYFUNCTION("""COMPUTED_VALUE"""),164.43)</f>
        <v>164.43</v>
      </c>
      <c r="P433" s="22">
        <f>IFERROR(__xludf.DUMMYFUNCTION("""COMPUTED_VALUE"""),6.0)</f>
        <v>6</v>
      </c>
      <c r="Q433" s="18">
        <f>IFERROR(__xludf.DUMMYFUNCTION("""COMPUTED_VALUE"""),988.4159999999999)</f>
        <v>988.416</v>
      </c>
      <c r="R433" s="18">
        <f>IFERROR(__xludf.DUMMYFUNCTION("""COMPUTED_VALUE"""),823.9859999999999)</f>
        <v>823.986</v>
      </c>
    </row>
    <row r="434">
      <c r="A434" s="21">
        <f>IFERROR(__xludf.DUMMYFUNCTION("""COMPUTED_VALUE"""),43264.0)</f>
        <v>43264</v>
      </c>
      <c r="B434" s="21" t="str">
        <f>IFERROR(__xludf.DUMMYFUNCTION("""COMPUTED_VALUE"""),"Jun")</f>
        <v>Jun</v>
      </c>
      <c r="C434" s="9">
        <f>IFERROR(__xludf.DUMMYFUNCTION("""COMPUTED_VALUE"""),43267.0)</f>
        <v>43267</v>
      </c>
      <c r="D434" s="23" t="str">
        <f>IFERROR(__xludf.DUMMYFUNCTION("""COMPUTED_VALUE"""),"Jun")</f>
        <v>Jun</v>
      </c>
      <c r="E434" s="21" t="str">
        <f>IFERROR(__xludf.DUMMYFUNCTION("""COMPUTED_VALUE"""),"2018")</f>
        <v>2018</v>
      </c>
      <c r="F434" s="22" t="str">
        <f>IFERROR(__xludf.DUMMYFUNCTION("""COMPUTED_VALUE"""),"First Class")</f>
        <v>First Class</v>
      </c>
      <c r="G434" s="22" t="str">
        <f>IFERROR(__xludf.DUMMYFUNCTION("""COMPUTED_VALUE"""),"Shirley")</f>
        <v>Shirley</v>
      </c>
      <c r="H434" s="22" t="str">
        <f>IFERROR(__xludf.DUMMYFUNCTION("""COMPUTED_VALUE"""),"Daniels")</f>
        <v>Daniels</v>
      </c>
      <c r="I434" s="22" t="str">
        <f>IFERROR(__xludf.DUMMYFUNCTION("""COMPUTED_VALUE"""),"Home Office")</f>
        <v>Home Office</v>
      </c>
      <c r="J434" s="22" t="str">
        <f>IFERROR(__xludf.DUMMYFUNCTION("""COMPUTED_VALUE"""),"Chicago")</f>
        <v>Chicago</v>
      </c>
      <c r="K434" s="22" t="str">
        <f>IFERROR(__xludf.DUMMYFUNCTION("""COMPUTED_VALUE"""),"Illinois")</f>
        <v>Illinois</v>
      </c>
      <c r="L434" s="22" t="str">
        <f>IFERROR(__xludf.DUMMYFUNCTION("""COMPUTED_VALUE"""),"Central")</f>
        <v>Central</v>
      </c>
      <c r="M434" s="22" t="str">
        <f>IFERROR(__xludf.DUMMYFUNCTION("""COMPUTED_VALUE"""),"Furniture")</f>
        <v>Furniture</v>
      </c>
      <c r="N434" s="18">
        <f>IFERROR(__xludf.DUMMYFUNCTION("""COMPUTED_VALUE"""),470.302)</f>
        <v>470.302</v>
      </c>
      <c r="O434" s="18">
        <f>IFERROR(__xludf.DUMMYFUNCTION("""COMPUTED_VALUE"""),469.44)</f>
        <v>469.44</v>
      </c>
      <c r="P434" s="22">
        <f>IFERROR(__xludf.DUMMYFUNCTION("""COMPUTED_VALUE"""),6.0)</f>
        <v>6</v>
      </c>
      <c r="Q434" s="18">
        <f>IFERROR(__xludf.DUMMYFUNCTION("""COMPUTED_VALUE"""),2821.812)</f>
        <v>2821.812</v>
      </c>
      <c r="R434" s="18">
        <f>IFERROR(__xludf.DUMMYFUNCTION("""COMPUTED_VALUE"""),2352.372)</f>
        <v>2352.372</v>
      </c>
    </row>
    <row r="435">
      <c r="A435" s="21">
        <f>IFERROR(__xludf.DUMMYFUNCTION("""COMPUTED_VALUE"""),42374.0)</f>
        <v>42374</v>
      </c>
      <c r="B435" s="21" t="str">
        <f>IFERROR(__xludf.DUMMYFUNCTION("""COMPUTED_VALUE"""),"Jan")</f>
        <v>Jan</v>
      </c>
      <c r="C435" s="9">
        <f>IFERROR(__xludf.DUMMYFUNCTION("""COMPUTED_VALUE"""),42556.0)</f>
        <v>42556</v>
      </c>
      <c r="D435" s="23" t="str">
        <f>IFERROR(__xludf.DUMMYFUNCTION("""COMPUTED_VALUE"""),"Jul")</f>
        <v>Jul</v>
      </c>
      <c r="E435" s="21" t="str">
        <f>IFERROR(__xludf.DUMMYFUNCTION("""COMPUTED_VALUE"""),"2016")</f>
        <v>2016</v>
      </c>
      <c r="F435" s="22" t="str">
        <f>IFERROR(__xludf.DUMMYFUNCTION("""COMPUTED_VALUE"""),"Standard Class")</f>
        <v>Standard Class</v>
      </c>
      <c r="G435" s="22" t="str">
        <f>IFERROR(__xludf.DUMMYFUNCTION("""COMPUTED_VALUE"""),"Jennifer")</f>
        <v>Jennifer</v>
      </c>
      <c r="H435" s="22" t="str">
        <f>IFERROR(__xludf.DUMMYFUNCTION("""COMPUTED_VALUE"""),"Braxton")</f>
        <v>Braxton</v>
      </c>
      <c r="I435" s="22" t="str">
        <f>IFERROR(__xludf.DUMMYFUNCTION("""COMPUTED_VALUE"""),"Corporate")</f>
        <v>Corporate</v>
      </c>
      <c r="J435" s="22" t="str">
        <f>IFERROR(__xludf.DUMMYFUNCTION("""COMPUTED_VALUE"""),"Los Angeles")</f>
        <v>Los Angeles</v>
      </c>
      <c r="K435" s="22" t="str">
        <f>IFERROR(__xludf.DUMMYFUNCTION("""COMPUTED_VALUE"""),"California")</f>
        <v>California</v>
      </c>
      <c r="L435" s="22" t="str">
        <f>IFERROR(__xludf.DUMMYFUNCTION("""COMPUTED_VALUE"""),"West")</f>
        <v>West</v>
      </c>
      <c r="M435" s="22" t="str">
        <f>IFERROR(__xludf.DUMMYFUNCTION("""COMPUTED_VALUE"""),"Technology")</f>
        <v>Technology</v>
      </c>
      <c r="N435" s="18">
        <f>IFERROR(__xludf.DUMMYFUNCTION("""COMPUTED_VALUE"""),88.752)</f>
        <v>88.752</v>
      </c>
      <c r="O435" s="18">
        <f>IFERROR(__xludf.DUMMYFUNCTION("""COMPUTED_VALUE"""),88.64)</f>
        <v>88.64</v>
      </c>
      <c r="P435" s="22">
        <f>IFERROR(__xludf.DUMMYFUNCTION("""COMPUTED_VALUE"""),9.0)</f>
        <v>9</v>
      </c>
      <c r="Q435" s="18">
        <f>IFERROR(__xludf.DUMMYFUNCTION("""COMPUTED_VALUE"""),798.7679999999999)</f>
        <v>798.768</v>
      </c>
      <c r="R435" s="18">
        <f>IFERROR(__xludf.DUMMYFUNCTION("""COMPUTED_VALUE"""),710.1279999999999)</f>
        <v>710.128</v>
      </c>
    </row>
    <row r="436">
      <c r="A436" s="21">
        <f>IFERROR(__xludf.DUMMYFUNCTION("""COMPUTED_VALUE"""),43065.0)</f>
        <v>43065</v>
      </c>
      <c r="B436" s="21" t="str">
        <f>IFERROR(__xludf.DUMMYFUNCTION("""COMPUTED_VALUE"""),"Nov")</f>
        <v>Nov</v>
      </c>
      <c r="C436" s="9">
        <f>IFERROR(__xludf.DUMMYFUNCTION("""COMPUTED_VALUE"""),43068.0)</f>
        <v>43068</v>
      </c>
      <c r="D436" s="23" t="str">
        <f>IFERROR(__xludf.DUMMYFUNCTION("""COMPUTED_VALUE"""),"Nov")</f>
        <v>Nov</v>
      </c>
      <c r="E436" s="21" t="str">
        <f>IFERROR(__xludf.DUMMYFUNCTION("""COMPUTED_VALUE"""),"2017")</f>
        <v>2017</v>
      </c>
      <c r="F436" s="22" t="str">
        <f>IFERROR(__xludf.DUMMYFUNCTION("""COMPUTED_VALUE"""),"First Class")</f>
        <v>First Class</v>
      </c>
      <c r="G436" s="22" t="str">
        <f>IFERROR(__xludf.DUMMYFUNCTION("""COMPUTED_VALUE"""),"Mark")</f>
        <v>Mark</v>
      </c>
      <c r="H436" s="22" t="str">
        <f>IFERROR(__xludf.DUMMYFUNCTION("""COMPUTED_VALUE"""),"Cousins")</f>
        <v>Cousins</v>
      </c>
      <c r="I436" s="22" t="str">
        <f>IFERROR(__xludf.DUMMYFUNCTION("""COMPUTED_VALUE"""),"Corporate")</f>
        <v>Corporate</v>
      </c>
      <c r="J436" s="22" t="str">
        <f>IFERROR(__xludf.DUMMYFUNCTION("""COMPUTED_VALUE"""),"Mobile")</f>
        <v>Mobile</v>
      </c>
      <c r="K436" s="22" t="str">
        <f>IFERROR(__xludf.DUMMYFUNCTION("""COMPUTED_VALUE"""),"Alabama")</f>
        <v>Alabama</v>
      </c>
      <c r="L436" s="22" t="str">
        <f>IFERROR(__xludf.DUMMYFUNCTION("""COMPUTED_VALUE"""),"South")</f>
        <v>South</v>
      </c>
      <c r="M436" s="22" t="str">
        <f>IFERROR(__xludf.DUMMYFUNCTION("""COMPUTED_VALUE"""),"Technology")</f>
        <v>Technology</v>
      </c>
      <c r="N436" s="18">
        <f>IFERROR(__xludf.DUMMYFUNCTION("""COMPUTED_VALUE"""),3040.0)</f>
        <v>3040</v>
      </c>
      <c r="O436" s="18">
        <f>IFERROR(__xludf.DUMMYFUNCTION("""COMPUTED_VALUE"""),3039.91)</f>
        <v>3039.91</v>
      </c>
      <c r="P436" s="22">
        <f>IFERROR(__xludf.DUMMYFUNCTION("""COMPUTED_VALUE"""),3.0)</f>
        <v>3</v>
      </c>
      <c r="Q436" s="18">
        <f>IFERROR(__xludf.DUMMYFUNCTION("""COMPUTED_VALUE"""),9120.0)</f>
        <v>9120</v>
      </c>
      <c r="R436" s="18">
        <f>IFERROR(__xludf.DUMMYFUNCTION("""COMPUTED_VALUE"""),6080.09)</f>
        <v>6080.09</v>
      </c>
    </row>
    <row r="437">
      <c r="A437" s="21">
        <f>IFERROR(__xludf.DUMMYFUNCTION("""COMPUTED_VALUE"""),43440.0)</f>
        <v>43440</v>
      </c>
      <c r="B437" s="21" t="str">
        <f>IFERROR(__xludf.DUMMYFUNCTION("""COMPUTED_VALUE"""),"Dec")</f>
        <v>Dec</v>
      </c>
      <c r="C437" s="9">
        <f>IFERROR(__xludf.DUMMYFUNCTION("""COMPUTED_VALUE"""),43270.0)</f>
        <v>43270</v>
      </c>
      <c r="D437" s="23" t="str">
        <f>IFERROR(__xludf.DUMMYFUNCTION("""COMPUTED_VALUE"""),"Jun")</f>
        <v>Jun</v>
      </c>
      <c r="E437" s="21" t="str">
        <f>IFERROR(__xludf.DUMMYFUNCTION("""COMPUTED_VALUE"""),"2018")</f>
        <v>2018</v>
      </c>
      <c r="F437" s="22" t="str">
        <f>IFERROR(__xludf.DUMMYFUNCTION("""COMPUTED_VALUE"""),"Standard Class")</f>
        <v>Standard Class</v>
      </c>
      <c r="G437" s="22" t="str">
        <f>IFERROR(__xludf.DUMMYFUNCTION("""COMPUTED_VALUE"""),"Maria")</f>
        <v>Maria</v>
      </c>
      <c r="H437" s="22" t="str">
        <f>IFERROR(__xludf.DUMMYFUNCTION("""COMPUTED_VALUE"""),"Etezadi")</f>
        <v>Etezadi</v>
      </c>
      <c r="I437" s="22" t="str">
        <f>IFERROR(__xludf.DUMMYFUNCTION("""COMPUTED_VALUE"""),"Home Office")</f>
        <v>Home Office</v>
      </c>
      <c r="J437" s="22" t="str">
        <f>IFERROR(__xludf.DUMMYFUNCTION("""COMPUTED_VALUE"""),"Columbus")</f>
        <v>Columbus</v>
      </c>
      <c r="K437" s="22" t="str">
        <f>IFERROR(__xludf.DUMMYFUNCTION("""COMPUTED_VALUE"""),"Georgia")</f>
        <v>Georgia</v>
      </c>
      <c r="L437" s="22" t="str">
        <f>IFERROR(__xludf.DUMMYFUNCTION("""COMPUTED_VALUE"""),"South")</f>
        <v>South</v>
      </c>
      <c r="M437" s="22" t="str">
        <f>IFERROR(__xludf.DUMMYFUNCTION("""COMPUTED_VALUE"""),"Furniture")</f>
        <v>Furniture</v>
      </c>
      <c r="N437" s="18">
        <f>IFERROR(__xludf.DUMMYFUNCTION("""COMPUTED_VALUE"""),452.94)</f>
        <v>452.94</v>
      </c>
      <c r="O437" s="18">
        <f>IFERROR(__xludf.DUMMYFUNCTION("""COMPUTED_VALUE"""),452.59)</f>
        <v>452.59</v>
      </c>
      <c r="P437" s="22">
        <f>IFERROR(__xludf.DUMMYFUNCTION("""COMPUTED_VALUE"""),3.0)</f>
        <v>3</v>
      </c>
      <c r="Q437" s="18">
        <f>IFERROR(__xludf.DUMMYFUNCTION("""COMPUTED_VALUE"""),1358.82)</f>
        <v>1358.82</v>
      </c>
      <c r="R437" s="18">
        <f>IFERROR(__xludf.DUMMYFUNCTION("""COMPUTED_VALUE"""),906.23)</f>
        <v>906.23</v>
      </c>
    </row>
    <row r="438">
      <c r="A438" s="21">
        <f>IFERROR(__xludf.DUMMYFUNCTION("""COMPUTED_VALUE"""),43042.0)</f>
        <v>43042</v>
      </c>
      <c r="B438" s="21" t="str">
        <f>IFERROR(__xludf.DUMMYFUNCTION("""COMPUTED_VALUE"""),"Nov")</f>
        <v>Nov</v>
      </c>
      <c r="C438" s="9">
        <f>IFERROR(__xludf.DUMMYFUNCTION("""COMPUTED_VALUE"""),42809.0)</f>
        <v>42809</v>
      </c>
      <c r="D438" s="23" t="str">
        <f>IFERROR(__xludf.DUMMYFUNCTION("""COMPUTED_VALUE"""),"Mar")</f>
        <v>Mar</v>
      </c>
      <c r="E438" s="21" t="str">
        <f>IFERROR(__xludf.DUMMYFUNCTION("""COMPUTED_VALUE"""),"2017")</f>
        <v>2017</v>
      </c>
      <c r="F438" s="22" t="str">
        <f>IFERROR(__xludf.DUMMYFUNCTION("""COMPUTED_VALUE"""),"Standard Class")</f>
        <v>Standard Class</v>
      </c>
      <c r="G438" s="22" t="str">
        <f>IFERROR(__xludf.DUMMYFUNCTION("""COMPUTED_VALUE"""),"Mick")</f>
        <v>Mick</v>
      </c>
      <c r="H438" s="22" t="str">
        <f>IFERROR(__xludf.DUMMYFUNCTION("""COMPUTED_VALUE"""),"Brown")</f>
        <v>Brown</v>
      </c>
      <c r="I438" s="22" t="str">
        <f>IFERROR(__xludf.DUMMYFUNCTION("""COMPUTED_VALUE"""),"Consumer")</f>
        <v>Consumer</v>
      </c>
      <c r="J438" s="22" t="str">
        <f>IFERROR(__xludf.DUMMYFUNCTION("""COMPUTED_VALUE"""),"Vineland")</f>
        <v>Vineland</v>
      </c>
      <c r="K438" s="22" t="str">
        <f>IFERROR(__xludf.DUMMYFUNCTION("""COMPUTED_VALUE"""),"New Jersey")</f>
        <v>New Jersey</v>
      </c>
      <c r="L438" s="22" t="str">
        <f>IFERROR(__xludf.DUMMYFUNCTION("""COMPUTED_VALUE"""),"East")</f>
        <v>East</v>
      </c>
      <c r="M438" s="22" t="str">
        <f>IFERROR(__xludf.DUMMYFUNCTION("""COMPUTED_VALUE"""),"Furniture")</f>
        <v>Furniture</v>
      </c>
      <c r="N438" s="18">
        <f>IFERROR(__xludf.DUMMYFUNCTION("""COMPUTED_VALUE"""),244.006)</f>
        <v>244.006</v>
      </c>
      <c r="O438" s="18">
        <f>IFERROR(__xludf.DUMMYFUNCTION("""COMPUTED_VALUE"""),243.04)</f>
        <v>243.04</v>
      </c>
      <c r="P438" s="22">
        <f>IFERROR(__xludf.DUMMYFUNCTION("""COMPUTED_VALUE"""),8.0)</f>
        <v>8</v>
      </c>
      <c r="Q438" s="18">
        <f>IFERROR(__xludf.DUMMYFUNCTION("""COMPUTED_VALUE"""),1952.048)</f>
        <v>1952.048</v>
      </c>
      <c r="R438" s="18">
        <f>IFERROR(__xludf.DUMMYFUNCTION("""COMPUTED_VALUE"""),1709.008)</f>
        <v>1709.008</v>
      </c>
    </row>
    <row r="439">
      <c r="A439" s="21">
        <f>IFERROR(__xludf.DUMMYFUNCTION("""COMPUTED_VALUE"""),42973.0)</f>
        <v>42973</v>
      </c>
      <c r="B439" s="21" t="str">
        <f>IFERROR(__xludf.DUMMYFUNCTION("""COMPUTED_VALUE"""),"Aug")</f>
        <v>Aug</v>
      </c>
      <c r="C439" s="9">
        <f>IFERROR(__xludf.DUMMYFUNCTION("""COMPUTED_VALUE"""),42975.0)</f>
        <v>42975</v>
      </c>
      <c r="D439" s="23" t="str">
        <f>IFERROR(__xludf.DUMMYFUNCTION("""COMPUTED_VALUE"""),"Aug")</f>
        <v>Aug</v>
      </c>
      <c r="E439" s="21" t="str">
        <f>IFERROR(__xludf.DUMMYFUNCTION("""COMPUTED_VALUE"""),"2017")</f>
        <v>2017</v>
      </c>
      <c r="F439" s="22" t="str">
        <f>IFERROR(__xludf.DUMMYFUNCTION("""COMPUTED_VALUE"""),"First Class")</f>
        <v>First Class</v>
      </c>
      <c r="G439" s="22" t="str">
        <f>IFERROR(__xludf.DUMMYFUNCTION("""COMPUTED_VALUE"""),"Linda")</f>
        <v>Linda</v>
      </c>
      <c r="H439" s="22" t="str">
        <f>IFERROR(__xludf.DUMMYFUNCTION("""COMPUTED_VALUE"""),"Cazamias")</f>
        <v>Cazamias</v>
      </c>
      <c r="I439" s="22" t="str">
        <f>IFERROR(__xludf.DUMMYFUNCTION("""COMPUTED_VALUE"""),"Corporate")</f>
        <v>Corporate</v>
      </c>
      <c r="J439" s="22" t="str">
        <f>IFERROR(__xludf.DUMMYFUNCTION("""COMPUTED_VALUE"""),"Pasadena")</f>
        <v>Pasadena</v>
      </c>
      <c r="K439" s="22" t="str">
        <f>IFERROR(__xludf.DUMMYFUNCTION("""COMPUTED_VALUE"""),"Texas")</f>
        <v>Texas</v>
      </c>
      <c r="L439" s="22" t="str">
        <f>IFERROR(__xludf.DUMMYFUNCTION("""COMPUTED_VALUE"""),"Central")</f>
        <v>Central</v>
      </c>
      <c r="M439" s="22" t="str">
        <f>IFERROR(__xludf.DUMMYFUNCTION("""COMPUTED_VALUE"""),"Technology")</f>
        <v>Technology</v>
      </c>
      <c r="N439" s="18">
        <f>IFERROR(__xludf.DUMMYFUNCTION("""COMPUTED_VALUE"""),159.984)</f>
        <v>159.984</v>
      </c>
      <c r="O439" s="18">
        <f>IFERROR(__xludf.DUMMYFUNCTION("""COMPUTED_VALUE"""),159.17)</f>
        <v>159.17</v>
      </c>
      <c r="P439" s="22">
        <f>IFERROR(__xludf.DUMMYFUNCTION("""COMPUTED_VALUE"""),7.0)</f>
        <v>7</v>
      </c>
      <c r="Q439" s="18">
        <f>IFERROR(__xludf.DUMMYFUNCTION("""COMPUTED_VALUE"""),1119.8880000000001)</f>
        <v>1119.888</v>
      </c>
      <c r="R439" s="18">
        <f>IFERROR(__xludf.DUMMYFUNCTION("""COMPUTED_VALUE"""),960.7180000000002)</f>
        <v>960.718</v>
      </c>
    </row>
    <row r="440">
      <c r="A440" s="21">
        <f>IFERROR(__xludf.DUMMYFUNCTION("""COMPUTED_VALUE"""),42973.0)</f>
        <v>42973</v>
      </c>
      <c r="B440" s="21" t="str">
        <f>IFERROR(__xludf.DUMMYFUNCTION("""COMPUTED_VALUE"""),"Aug")</f>
        <v>Aug</v>
      </c>
      <c r="C440" s="9">
        <f>IFERROR(__xludf.DUMMYFUNCTION("""COMPUTED_VALUE"""),42975.0)</f>
        <v>42975</v>
      </c>
      <c r="D440" s="23" t="str">
        <f>IFERROR(__xludf.DUMMYFUNCTION("""COMPUTED_VALUE"""),"Aug")</f>
        <v>Aug</v>
      </c>
      <c r="E440" s="21" t="str">
        <f>IFERROR(__xludf.DUMMYFUNCTION("""COMPUTED_VALUE"""),"2017")</f>
        <v>2017</v>
      </c>
      <c r="F440" s="22" t="str">
        <f>IFERROR(__xludf.DUMMYFUNCTION("""COMPUTED_VALUE"""),"First Class")</f>
        <v>First Class</v>
      </c>
      <c r="G440" s="22" t="str">
        <f>IFERROR(__xludf.DUMMYFUNCTION("""COMPUTED_VALUE"""),"Linda")</f>
        <v>Linda</v>
      </c>
      <c r="H440" s="22" t="str">
        <f>IFERROR(__xludf.DUMMYFUNCTION("""COMPUTED_VALUE"""),"Cazamias")</f>
        <v>Cazamias</v>
      </c>
      <c r="I440" s="22" t="str">
        <f>IFERROR(__xludf.DUMMYFUNCTION("""COMPUTED_VALUE"""),"Corporate")</f>
        <v>Corporate</v>
      </c>
      <c r="J440" s="22" t="str">
        <f>IFERROR(__xludf.DUMMYFUNCTION("""COMPUTED_VALUE"""),"Pasadena")</f>
        <v>Pasadena</v>
      </c>
      <c r="K440" s="22" t="str">
        <f>IFERROR(__xludf.DUMMYFUNCTION("""COMPUTED_VALUE"""),"Texas")</f>
        <v>Texas</v>
      </c>
      <c r="L440" s="22" t="str">
        <f>IFERROR(__xludf.DUMMYFUNCTION("""COMPUTED_VALUE"""),"Central")</f>
        <v>Central</v>
      </c>
      <c r="M440" s="22" t="str">
        <f>IFERROR(__xludf.DUMMYFUNCTION("""COMPUTED_VALUE"""),"Furniture")</f>
        <v>Furniture</v>
      </c>
      <c r="N440" s="18">
        <f>IFERROR(__xludf.DUMMYFUNCTION("""COMPUTED_VALUE"""),1024.716)</f>
        <v>1024.716</v>
      </c>
      <c r="O440" s="18">
        <f>IFERROR(__xludf.DUMMYFUNCTION("""COMPUTED_VALUE"""),1024.26)</f>
        <v>1024.26</v>
      </c>
      <c r="P440" s="22">
        <f>IFERROR(__xludf.DUMMYFUNCTION("""COMPUTED_VALUE"""),7.0)</f>
        <v>7</v>
      </c>
      <c r="Q440" s="18">
        <f>IFERROR(__xludf.DUMMYFUNCTION("""COMPUTED_VALUE"""),7173.011999999999)</f>
        <v>7173.012</v>
      </c>
      <c r="R440" s="18">
        <f>IFERROR(__xludf.DUMMYFUNCTION("""COMPUTED_VALUE"""),6148.751999999999)</f>
        <v>6148.752</v>
      </c>
    </row>
    <row r="441">
      <c r="A441" s="21">
        <f>IFERROR(__xludf.DUMMYFUNCTION("""COMPUTED_VALUE"""),42224.0)</f>
        <v>42224</v>
      </c>
      <c r="B441" s="21" t="str">
        <f>IFERROR(__xludf.DUMMYFUNCTION("""COMPUTED_VALUE"""),"Aug")</f>
        <v>Aug</v>
      </c>
      <c r="C441" s="9">
        <f>IFERROR(__xludf.DUMMYFUNCTION("""COMPUTED_VALUE"""),42230.0)</f>
        <v>42230</v>
      </c>
      <c r="D441" s="23" t="str">
        <f>IFERROR(__xludf.DUMMYFUNCTION("""COMPUTED_VALUE"""),"Aug")</f>
        <v>Aug</v>
      </c>
      <c r="E441" s="21" t="str">
        <f>IFERROR(__xludf.DUMMYFUNCTION("""COMPUTED_VALUE"""),"2015")</f>
        <v>2015</v>
      </c>
      <c r="F441" s="22" t="str">
        <f>IFERROR(__xludf.DUMMYFUNCTION("""COMPUTED_VALUE"""),"Standard Class")</f>
        <v>Standard Class</v>
      </c>
      <c r="G441" s="22" t="str">
        <f>IFERROR(__xludf.DUMMYFUNCTION("""COMPUTED_VALUE"""),"Maria")</f>
        <v>Maria</v>
      </c>
      <c r="H441" s="22" t="str">
        <f>IFERROR(__xludf.DUMMYFUNCTION("""COMPUTED_VALUE"""),"Bertelson")</f>
        <v>Bertelson</v>
      </c>
      <c r="I441" s="22" t="str">
        <f>IFERROR(__xludf.DUMMYFUNCTION("""COMPUTED_VALUE"""),"Consumer")</f>
        <v>Consumer</v>
      </c>
      <c r="J441" s="22" t="str">
        <f>IFERROR(__xludf.DUMMYFUNCTION("""COMPUTED_VALUE"""),"Glendale")</f>
        <v>Glendale</v>
      </c>
      <c r="K441" s="22" t="str">
        <f>IFERROR(__xludf.DUMMYFUNCTION("""COMPUTED_VALUE"""),"Arizona")</f>
        <v>Arizona</v>
      </c>
      <c r="L441" s="22" t="str">
        <f>IFERROR(__xludf.DUMMYFUNCTION("""COMPUTED_VALUE"""),"West")</f>
        <v>West</v>
      </c>
      <c r="M441" s="22" t="str">
        <f>IFERROR(__xludf.DUMMYFUNCTION("""COMPUTED_VALUE"""),"Furniture")</f>
        <v>Furniture</v>
      </c>
      <c r="N441" s="18">
        <f>IFERROR(__xludf.DUMMYFUNCTION("""COMPUTED_VALUE"""),121.376)</f>
        <v>121.376</v>
      </c>
      <c r="O441" s="18">
        <f>IFERROR(__xludf.DUMMYFUNCTION("""COMPUTED_VALUE"""),120.6)</f>
        <v>120.6</v>
      </c>
      <c r="P441" s="22">
        <f>IFERROR(__xludf.DUMMYFUNCTION("""COMPUTED_VALUE"""),8.0)</f>
        <v>8</v>
      </c>
      <c r="Q441" s="18">
        <f>IFERROR(__xludf.DUMMYFUNCTION("""COMPUTED_VALUE"""),971.008)</f>
        <v>971.008</v>
      </c>
      <c r="R441" s="18">
        <f>IFERROR(__xludf.DUMMYFUNCTION("""COMPUTED_VALUE"""),850.408)</f>
        <v>850.408</v>
      </c>
    </row>
    <row r="442">
      <c r="A442" s="21">
        <f>IFERROR(__xludf.DUMMYFUNCTION("""COMPUTED_VALUE"""),42224.0)</f>
        <v>42224</v>
      </c>
      <c r="B442" s="21" t="str">
        <f>IFERROR(__xludf.DUMMYFUNCTION("""COMPUTED_VALUE"""),"Aug")</f>
        <v>Aug</v>
      </c>
      <c r="C442" s="9">
        <f>IFERROR(__xludf.DUMMYFUNCTION("""COMPUTED_VALUE"""),42230.0)</f>
        <v>42230</v>
      </c>
      <c r="D442" s="23" t="str">
        <f>IFERROR(__xludf.DUMMYFUNCTION("""COMPUTED_VALUE"""),"Aug")</f>
        <v>Aug</v>
      </c>
      <c r="E442" s="21" t="str">
        <f>IFERROR(__xludf.DUMMYFUNCTION("""COMPUTED_VALUE"""),"2015")</f>
        <v>2015</v>
      </c>
      <c r="F442" s="22" t="str">
        <f>IFERROR(__xludf.DUMMYFUNCTION("""COMPUTED_VALUE"""),"Standard Class")</f>
        <v>Standard Class</v>
      </c>
      <c r="G442" s="22" t="str">
        <f>IFERROR(__xludf.DUMMYFUNCTION("""COMPUTED_VALUE"""),"Maria")</f>
        <v>Maria</v>
      </c>
      <c r="H442" s="22" t="str">
        <f>IFERROR(__xludf.DUMMYFUNCTION("""COMPUTED_VALUE"""),"Bertelson")</f>
        <v>Bertelson</v>
      </c>
      <c r="I442" s="22" t="str">
        <f>IFERROR(__xludf.DUMMYFUNCTION("""COMPUTED_VALUE"""),"Consumer")</f>
        <v>Consumer</v>
      </c>
      <c r="J442" s="22" t="str">
        <f>IFERROR(__xludf.DUMMYFUNCTION("""COMPUTED_VALUE"""),"Glendale")</f>
        <v>Glendale</v>
      </c>
      <c r="K442" s="22" t="str">
        <f>IFERROR(__xludf.DUMMYFUNCTION("""COMPUTED_VALUE"""),"Arizona")</f>
        <v>Arizona</v>
      </c>
      <c r="L442" s="22" t="str">
        <f>IFERROR(__xludf.DUMMYFUNCTION("""COMPUTED_VALUE"""),"West")</f>
        <v>West</v>
      </c>
      <c r="M442" s="22" t="str">
        <f>IFERROR(__xludf.DUMMYFUNCTION("""COMPUTED_VALUE"""),"Technology")</f>
        <v>Technology</v>
      </c>
      <c r="N442" s="18">
        <f>IFERROR(__xludf.DUMMYFUNCTION("""COMPUTED_VALUE"""),95.976)</f>
        <v>95.976</v>
      </c>
      <c r="O442" s="18">
        <f>IFERROR(__xludf.DUMMYFUNCTION("""COMPUTED_VALUE"""),95.62)</f>
        <v>95.62</v>
      </c>
      <c r="P442" s="22">
        <f>IFERROR(__xludf.DUMMYFUNCTION("""COMPUTED_VALUE"""),8.0)</f>
        <v>8</v>
      </c>
      <c r="Q442" s="18">
        <f>IFERROR(__xludf.DUMMYFUNCTION("""COMPUTED_VALUE"""),767.808)</f>
        <v>767.808</v>
      </c>
      <c r="R442" s="18">
        <f>IFERROR(__xludf.DUMMYFUNCTION("""COMPUTED_VALUE"""),672.188)</f>
        <v>672.188</v>
      </c>
    </row>
    <row r="443">
      <c r="A443" s="21">
        <f>IFERROR(__xludf.DUMMYFUNCTION("""COMPUTED_VALUE"""),42506.0)</f>
        <v>42506</v>
      </c>
      <c r="B443" s="21" t="str">
        <f>IFERROR(__xludf.DUMMYFUNCTION("""COMPUTED_VALUE"""),"May")</f>
        <v>May</v>
      </c>
      <c r="C443" s="9">
        <f>IFERROR(__xludf.DUMMYFUNCTION("""COMPUTED_VALUE"""),42506.0)</f>
        <v>42506</v>
      </c>
      <c r="D443" s="23" t="str">
        <f>IFERROR(__xludf.DUMMYFUNCTION("""COMPUTED_VALUE"""),"May")</f>
        <v>May</v>
      </c>
      <c r="E443" s="21" t="str">
        <f>IFERROR(__xludf.DUMMYFUNCTION("""COMPUTED_VALUE"""),"2016")</f>
        <v>2016</v>
      </c>
      <c r="F443" s="22" t="str">
        <f>IFERROR(__xludf.DUMMYFUNCTION("""COMPUTED_VALUE"""),"Same Day")</f>
        <v>Same Day</v>
      </c>
      <c r="G443" s="22" t="str">
        <f>IFERROR(__xludf.DUMMYFUNCTION("""COMPUTED_VALUE"""),"Tracy")</f>
        <v>Tracy</v>
      </c>
      <c r="H443" s="22" t="str">
        <f>IFERROR(__xludf.DUMMYFUNCTION("""COMPUTED_VALUE"""),"Hopkins")</f>
        <v>Hopkins</v>
      </c>
      <c r="I443" s="22" t="str">
        <f>IFERROR(__xludf.DUMMYFUNCTION("""COMPUTED_VALUE"""),"Home Office")</f>
        <v>Home Office</v>
      </c>
      <c r="J443" s="22" t="str">
        <f>IFERROR(__xludf.DUMMYFUNCTION("""COMPUTED_VALUE"""),"Jacksonville")</f>
        <v>Jacksonville</v>
      </c>
      <c r="K443" s="22" t="str">
        <f>IFERROR(__xludf.DUMMYFUNCTION("""COMPUTED_VALUE"""),"Florida")</f>
        <v>Florida</v>
      </c>
      <c r="L443" s="22" t="str">
        <f>IFERROR(__xludf.DUMMYFUNCTION("""COMPUTED_VALUE"""),"South")</f>
        <v>South</v>
      </c>
      <c r="M443" s="22" t="str">
        <f>IFERROR(__xludf.DUMMYFUNCTION("""COMPUTED_VALUE"""),"Technology")</f>
        <v>Technology</v>
      </c>
      <c r="N443" s="18">
        <f>IFERROR(__xludf.DUMMYFUNCTION("""COMPUTED_VALUE"""),255.968)</f>
        <v>255.968</v>
      </c>
      <c r="O443" s="18">
        <f>IFERROR(__xludf.DUMMYFUNCTION("""COMPUTED_VALUE"""),255.32)</f>
        <v>255.32</v>
      </c>
      <c r="P443" s="22">
        <f>IFERROR(__xludf.DUMMYFUNCTION("""COMPUTED_VALUE"""),3.0)</f>
        <v>3</v>
      </c>
      <c r="Q443" s="18">
        <f>IFERROR(__xludf.DUMMYFUNCTION("""COMPUTED_VALUE"""),767.904)</f>
        <v>767.904</v>
      </c>
      <c r="R443" s="18">
        <f>IFERROR(__xludf.DUMMYFUNCTION("""COMPUTED_VALUE"""),512.5840000000001)</f>
        <v>512.584</v>
      </c>
    </row>
    <row r="444">
      <c r="A444" s="21">
        <f>IFERROR(__xludf.DUMMYFUNCTION("""COMPUTED_VALUE"""),43355.0)</f>
        <v>43355</v>
      </c>
      <c r="B444" s="21" t="str">
        <f>IFERROR(__xludf.DUMMYFUNCTION("""COMPUTED_VALUE"""),"Sep")</f>
        <v>Sep</v>
      </c>
      <c r="C444" s="9">
        <f>IFERROR(__xludf.DUMMYFUNCTION("""COMPUTED_VALUE"""),43447.0)</f>
        <v>43447</v>
      </c>
      <c r="D444" s="23" t="str">
        <f>IFERROR(__xludf.DUMMYFUNCTION("""COMPUTED_VALUE"""),"Dec")</f>
        <v>Dec</v>
      </c>
      <c r="E444" s="21" t="str">
        <f>IFERROR(__xludf.DUMMYFUNCTION("""COMPUTED_VALUE"""),"2018")</f>
        <v>2018</v>
      </c>
      <c r="F444" s="22" t="str">
        <f>IFERROR(__xludf.DUMMYFUNCTION("""COMPUTED_VALUE"""),"Standard Class")</f>
        <v>Standard Class</v>
      </c>
      <c r="G444" s="22" t="str">
        <f>IFERROR(__xludf.DUMMYFUNCTION("""COMPUTED_VALUE"""),"Damala")</f>
        <v>Damala</v>
      </c>
      <c r="H444" s="22" t="str">
        <f>IFERROR(__xludf.DUMMYFUNCTION("""COMPUTED_VALUE"""),"Kotsonis")</f>
        <v>Kotsonis</v>
      </c>
      <c r="I444" s="22" t="str">
        <f>IFERROR(__xludf.DUMMYFUNCTION("""COMPUTED_VALUE"""),"Corporate")</f>
        <v>Corporate</v>
      </c>
      <c r="J444" s="22" t="str">
        <f>IFERROR(__xludf.DUMMYFUNCTION("""COMPUTED_VALUE"""),"Detroit")</f>
        <v>Detroit</v>
      </c>
      <c r="K444" s="22" t="str">
        <f>IFERROR(__xludf.DUMMYFUNCTION("""COMPUTED_VALUE"""),"Michigan")</f>
        <v>Michigan</v>
      </c>
      <c r="L444" s="22" t="str">
        <f>IFERROR(__xludf.DUMMYFUNCTION("""COMPUTED_VALUE"""),"Central")</f>
        <v>Central</v>
      </c>
      <c r="M444" s="22" t="str">
        <f>IFERROR(__xludf.DUMMYFUNCTION("""COMPUTED_VALUE"""),"Furniture")</f>
        <v>Furniture</v>
      </c>
      <c r="N444" s="18">
        <f>IFERROR(__xludf.DUMMYFUNCTION("""COMPUTED_VALUE"""),872.94)</f>
        <v>872.94</v>
      </c>
      <c r="O444" s="18">
        <f>IFERROR(__xludf.DUMMYFUNCTION("""COMPUTED_VALUE"""),872.88)</f>
        <v>872.88</v>
      </c>
      <c r="P444" s="22">
        <f>IFERROR(__xludf.DUMMYFUNCTION("""COMPUTED_VALUE"""),4.0)</f>
        <v>4</v>
      </c>
      <c r="Q444" s="18">
        <f>IFERROR(__xludf.DUMMYFUNCTION("""COMPUTED_VALUE"""),3491.76)</f>
        <v>3491.76</v>
      </c>
      <c r="R444" s="18">
        <f>IFERROR(__xludf.DUMMYFUNCTION("""COMPUTED_VALUE"""),2618.88)</f>
        <v>2618.88</v>
      </c>
    </row>
    <row r="445">
      <c r="A445" s="21">
        <f>IFERROR(__xludf.DUMMYFUNCTION("""COMPUTED_VALUE"""),43022.0)</f>
        <v>43022</v>
      </c>
      <c r="B445" s="21" t="str">
        <f>IFERROR(__xludf.DUMMYFUNCTION("""COMPUTED_VALUE"""),"Oct")</f>
        <v>Oct</v>
      </c>
      <c r="C445" s="9">
        <f>IFERROR(__xludf.DUMMYFUNCTION("""COMPUTED_VALUE"""),43026.0)</f>
        <v>43026</v>
      </c>
      <c r="D445" s="23" t="str">
        <f>IFERROR(__xludf.DUMMYFUNCTION("""COMPUTED_VALUE"""),"Oct")</f>
        <v>Oct</v>
      </c>
      <c r="E445" s="21" t="str">
        <f>IFERROR(__xludf.DUMMYFUNCTION("""COMPUTED_VALUE"""),"2017")</f>
        <v>2017</v>
      </c>
      <c r="F445" s="22" t="str">
        <f>IFERROR(__xludf.DUMMYFUNCTION("""COMPUTED_VALUE"""),"Standard Class")</f>
        <v>Standard Class</v>
      </c>
      <c r="G445" s="22" t="str">
        <f>IFERROR(__xludf.DUMMYFUNCTION("""COMPUTED_VALUE"""),"Christine")</f>
        <v>Christine</v>
      </c>
      <c r="H445" s="22" t="str">
        <f>IFERROR(__xludf.DUMMYFUNCTION("""COMPUTED_VALUE"""),"Phan")</f>
        <v>Phan</v>
      </c>
      <c r="I445" s="22" t="str">
        <f>IFERROR(__xludf.DUMMYFUNCTION("""COMPUTED_VALUE"""),"Corporate")</f>
        <v>Corporate</v>
      </c>
      <c r="J445" s="22" t="str">
        <f>IFERROR(__xludf.DUMMYFUNCTION("""COMPUTED_VALUE"""),"Seattle")</f>
        <v>Seattle</v>
      </c>
      <c r="K445" s="22" t="str">
        <f>IFERROR(__xludf.DUMMYFUNCTION("""COMPUTED_VALUE"""),"Washington")</f>
        <v>Washington</v>
      </c>
      <c r="L445" s="22" t="str">
        <f>IFERROR(__xludf.DUMMYFUNCTION("""COMPUTED_VALUE"""),"West")</f>
        <v>West</v>
      </c>
      <c r="M445" s="22" t="str">
        <f>IFERROR(__xludf.DUMMYFUNCTION("""COMPUTED_VALUE"""),"Technology")</f>
        <v>Technology</v>
      </c>
      <c r="N445" s="18">
        <f>IFERROR(__xludf.DUMMYFUNCTION("""COMPUTED_VALUE"""),177.0)</f>
        <v>177</v>
      </c>
      <c r="O445" s="18">
        <f>IFERROR(__xludf.DUMMYFUNCTION("""COMPUTED_VALUE"""),176.13)</f>
        <v>176.13</v>
      </c>
      <c r="P445" s="22">
        <f>IFERROR(__xludf.DUMMYFUNCTION("""COMPUTED_VALUE"""),9.0)</f>
        <v>9</v>
      </c>
      <c r="Q445" s="18">
        <f>IFERROR(__xludf.DUMMYFUNCTION("""COMPUTED_VALUE"""),1593.0)</f>
        <v>1593</v>
      </c>
      <c r="R445" s="18">
        <f>IFERROR(__xludf.DUMMYFUNCTION("""COMPUTED_VALUE"""),1416.87)</f>
        <v>1416.87</v>
      </c>
    </row>
    <row r="446">
      <c r="A446" s="21">
        <f>IFERROR(__xludf.DUMMYFUNCTION("""COMPUTED_VALUE"""),42440.0)</f>
        <v>42440</v>
      </c>
      <c r="B446" s="21" t="str">
        <f>IFERROR(__xludf.DUMMYFUNCTION("""COMPUTED_VALUE"""),"Mar")</f>
        <v>Mar</v>
      </c>
      <c r="C446" s="9">
        <f>IFERROR(__xludf.DUMMYFUNCTION("""COMPUTED_VALUE"""),42562.0)</f>
        <v>42562</v>
      </c>
      <c r="D446" s="23" t="str">
        <f>IFERROR(__xludf.DUMMYFUNCTION("""COMPUTED_VALUE"""),"Jul")</f>
        <v>Jul</v>
      </c>
      <c r="E446" s="21" t="str">
        <f>IFERROR(__xludf.DUMMYFUNCTION("""COMPUTED_VALUE"""),"2016")</f>
        <v>2016</v>
      </c>
      <c r="F446" s="22" t="str">
        <f>IFERROR(__xludf.DUMMYFUNCTION("""COMPUTED_VALUE"""),"Standard Class")</f>
        <v>Standard Class</v>
      </c>
      <c r="G446" s="22" t="str">
        <f>IFERROR(__xludf.DUMMYFUNCTION("""COMPUTED_VALUE"""),"Corinna")</f>
        <v>Corinna</v>
      </c>
      <c r="H446" s="22" t="str">
        <f>IFERROR(__xludf.DUMMYFUNCTION("""COMPUTED_VALUE"""),"Mitchell")</f>
        <v>Mitchell</v>
      </c>
      <c r="I446" s="22" t="str">
        <f>IFERROR(__xludf.DUMMYFUNCTION("""COMPUTED_VALUE"""),"Home Office")</f>
        <v>Home Office</v>
      </c>
      <c r="J446" s="22" t="str">
        <f>IFERROR(__xludf.DUMMYFUNCTION("""COMPUTED_VALUE"""),"Los Angeles")</f>
        <v>Los Angeles</v>
      </c>
      <c r="K446" s="22" t="str">
        <f>IFERROR(__xludf.DUMMYFUNCTION("""COMPUTED_VALUE"""),"California")</f>
        <v>California</v>
      </c>
      <c r="L446" s="22" t="str">
        <f>IFERROR(__xludf.DUMMYFUNCTION("""COMPUTED_VALUE"""),"West")</f>
        <v>West</v>
      </c>
      <c r="M446" s="22" t="str">
        <f>IFERROR(__xludf.DUMMYFUNCTION("""COMPUTED_VALUE"""),"Technology")</f>
        <v>Technology</v>
      </c>
      <c r="N446" s="18">
        <f>IFERROR(__xludf.DUMMYFUNCTION("""COMPUTED_VALUE"""),1212.848)</f>
        <v>1212.848</v>
      </c>
      <c r="O446" s="18">
        <f>IFERROR(__xludf.DUMMYFUNCTION("""COMPUTED_VALUE"""),1212.8)</f>
        <v>1212.8</v>
      </c>
      <c r="P446" s="22">
        <f>IFERROR(__xludf.DUMMYFUNCTION("""COMPUTED_VALUE"""),9.0)</f>
        <v>9</v>
      </c>
      <c r="Q446" s="18">
        <f>IFERROR(__xludf.DUMMYFUNCTION("""COMPUTED_VALUE"""),10915.632)</f>
        <v>10915.632</v>
      </c>
      <c r="R446" s="18">
        <f>IFERROR(__xludf.DUMMYFUNCTION("""COMPUTED_VALUE"""),9702.832)</f>
        <v>9702.832</v>
      </c>
    </row>
    <row r="447">
      <c r="A447" s="21">
        <f>IFERROR(__xludf.DUMMYFUNCTION("""COMPUTED_VALUE"""),42440.0)</f>
        <v>42440</v>
      </c>
      <c r="B447" s="21" t="str">
        <f>IFERROR(__xludf.DUMMYFUNCTION("""COMPUTED_VALUE"""),"Mar")</f>
        <v>Mar</v>
      </c>
      <c r="C447" s="9">
        <f>IFERROR(__xludf.DUMMYFUNCTION("""COMPUTED_VALUE"""),42562.0)</f>
        <v>42562</v>
      </c>
      <c r="D447" s="23" t="str">
        <f>IFERROR(__xludf.DUMMYFUNCTION("""COMPUTED_VALUE"""),"Jul")</f>
        <v>Jul</v>
      </c>
      <c r="E447" s="21" t="str">
        <f>IFERROR(__xludf.DUMMYFUNCTION("""COMPUTED_VALUE"""),"2016")</f>
        <v>2016</v>
      </c>
      <c r="F447" s="22" t="str">
        <f>IFERROR(__xludf.DUMMYFUNCTION("""COMPUTED_VALUE"""),"Standard Class")</f>
        <v>Standard Class</v>
      </c>
      <c r="G447" s="22" t="str">
        <f>IFERROR(__xludf.DUMMYFUNCTION("""COMPUTED_VALUE"""),"Corinna")</f>
        <v>Corinna</v>
      </c>
      <c r="H447" s="22" t="str">
        <f>IFERROR(__xludf.DUMMYFUNCTION("""COMPUTED_VALUE"""),"Mitchell")</f>
        <v>Mitchell</v>
      </c>
      <c r="I447" s="22" t="str">
        <f>IFERROR(__xludf.DUMMYFUNCTION("""COMPUTED_VALUE"""),"Home Office")</f>
        <v>Home Office</v>
      </c>
      <c r="J447" s="22" t="str">
        <f>IFERROR(__xludf.DUMMYFUNCTION("""COMPUTED_VALUE"""),"Los Angeles")</f>
        <v>Los Angeles</v>
      </c>
      <c r="K447" s="22" t="str">
        <f>IFERROR(__xludf.DUMMYFUNCTION("""COMPUTED_VALUE"""),"California")</f>
        <v>California</v>
      </c>
      <c r="L447" s="22" t="str">
        <f>IFERROR(__xludf.DUMMYFUNCTION("""COMPUTED_VALUE"""),"West")</f>
        <v>West</v>
      </c>
      <c r="M447" s="22" t="str">
        <f>IFERROR(__xludf.DUMMYFUNCTION("""COMPUTED_VALUE"""),"Technology")</f>
        <v>Technology</v>
      </c>
      <c r="N447" s="18">
        <f>IFERROR(__xludf.DUMMYFUNCTION("""COMPUTED_VALUE"""),89.97)</f>
        <v>89.97</v>
      </c>
      <c r="O447" s="18">
        <f>IFERROR(__xludf.DUMMYFUNCTION("""COMPUTED_VALUE"""),89.31)</f>
        <v>89.31</v>
      </c>
      <c r="P447" s="22">
        <f>IFERROR(__xludf.DUMMYFUNCTION("""COMPUTED_VALUE"""),9.0)</f>
        <v>9</v>
      </c>
      <c r="Q447" s="18">
        <f>IFERROR(__xludf.DUMMYFUNCTION("""COMPUTED_VALUE"""),809.73)</f>
        <v>809.73</v>
      </c>
      <c r="R447" s="18">
        <f>IFERROR(__xludf.DUMMYFUNCTION("""COMPUTED_VALUE"""),720.4200000000001)</f>
        <v>720.42</v>
      </c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2994</v>
      </c>
      <c r="B1" s="17" t="s">
        <v>2995</v>
      </c>
      <c r="C1" s="33"/>
      <c r="D1" s="19"/>
    </row>
    <row r="2">
      <c r="A2" s="34">
        <f>IFERROR(__xludf.DUMMYFUNCTION("filter(CleanedDataset!A:R, CleanedDataset!K:K = ""California"")"),43075.0)</f>
        <v>43075</v>
      </c>
      <c r="B2" s="21" t="str">
        <f>IFERROR(__xludf.DUMMYFUNCTION("""COMPUTED_VALUE"""),"Dec")</f>
        <v>Dec</v>
      </c>
      <c r="C2" s="9">
        <f>IFERROR(__xludf.DUMMYFUNCTION("""COMPUTED_VALUE"""),42902.0)</f>
        <v>42902</v>
      </c>
      <c r="D2" s="23" t="str">
        <f>IFERROR(__xludf.DUMMYFUNCTION("""COMPUTED_VALUE"""),"Jun")</f>
        <v>Jun</v>
      </c>
      <c r="E2" s="21" t="str">
        <f>IFERROR(__xludf.DUMMYFUNCTION("""COMPUTED_VALUE"""),"2017")</f>
        <v>2017</v>
      </c>
      <c r="F2" s="22" t="str">
        <f>IFERROR(__xludf.DUMMYFUNCTION("""COMPUTED_VALUE"""),"Second Class")</f>
        <v>Second Class</v>
      </c>
      <c r="G2" s="22" t="str">
        <f>IFERROR(__xludf.DUMMYFUNCTION("""COMPUTED_VALUE"""),"Darrin")</f>
        <v>Darrin</v>
      </c>
      <c r="H2" s="22" t="str">
        <f>IFERROR(__xludf.DUMMYFUNCTION("""COMPUTED_VALUE"""),"Van Huff")</f>
        <v>Van Huff</v>
      </c>
      <c r="I2" s="22" t="str">
        <f>IFERROR(__xludf.DUMMYFUNCTION("""COMPUTED_VALUE"""),"Corporate")</f>
        <v>Corporate</v>
      </c>
      <c r="J2" s="22" t="str">
        <f>IFERROR(__xludf.DUMMYFUNCTION("""COMPUTED_VALUE"""),"Los Angeles")</f>
        <v>Los Angeles</v>
      </c>
      <c r="K2" s="22" t="str">
        <f>IFERROR(__xludf.DUMMYFUNCTION("""COMPUTED_VALUE"""),"California")</f>
        <v>California</v>
      </c>
      <c r="L2" s="22" t="str">
        <f>IFERROR(__xludf.DUMMYFUNCTION("""COMPUTED_VALUE"""),"West")</f>
        <v>West</v>
      </c>
      <c r="M2" s="22" t="str">
        <f>IFERROR(__xludf.DUMMYFUNCTION("""COMPUTED_VALUE"""),"Office Supplies")</f>
        <v>Office Supplies</v>
      </c>
      <c r="N2" s="18">
        <f>IFERROR(__xludf.DUMMYFUNCTION("""COMPUTED_VALUE"""),14.62)</f>
        <v>14.62</v>
      </c>
      <c r="O2" s="18">
        <f>IFERROR(__xludf.DUMMYFUNCTION("""COMPUTED_VALUE"""),13.97)</f>
        <v>13.97</v>
      </c>
      <c r="P2" s="22">
        <f>IFERROR(__xludf.DUMMYFUNCTION("""COMPUTED_VALUE"""),9.0)</f>
        <v>9</v>
      </c>
      <c r="Q2" s="18">
        <f>IFERROR(__xludf.DUMMYFUNCTION("""COMPUTED_VALUE"""),131.57999999999998)</f>
        <v>131.58</v>
      </c>
      <c r="R2" s="18">
        <f>IFERROR(__xludf.DUMMYFUNCTION("""COMPUTED_VALUE"""),117.60999999999999)</f>
        <v>117.61</v>
      </c>
    </row>
    <row r="3">
      <c r="A3" s="21">
        <f>IFERROR(__xludf.DUMMYFUNCTION("""COMPUTED_VALUE"""),42253.0)</f>
        <v>42253</v>
      </c>
      <c r="B3" s="21" t="str">
        <f>IFERROR(__xludf.DUMMYFUNCTION("""COMPUTED_VALUE"""),"Sep")</f>
        <v>Sep</v>
      </c>
      <c r="C3" s="9">
        <f>IFERROR(__xludf.DUMMYFUNCTION("""COMPUTED_VALUE"""),42169.0)</f>
        <v>42169</v>
      </c>
      <c r="D3" s="23" t="str">
        <f>IFERROR(__xludf.DUMMYFUNCTION("""COMPUTED_VALUE"""),"Jun")</f>
        <v>Jun</v>
      </c>
      <c r="E3" s="21" t="str">
        <f>IFERROR(__xludf.DUMMYFUNCTION("""COMPUTED_VALUE"""),"2015")</f>
        <v>2015</v>
      </c>
      <c r="F3" s="22" t="str">
        <f>IFERROR(__xludf.DUMMYFUNCTION("""COMPUTED_VALUE"""),"Standard Class")</f>
        <v>Standard Class</v>
      </c>
      <c r="G3" s="22" t="str">
        <f>IFERROR(__xludf.DUMMYFUNCTION("""COMPUTED_VALUE"""),"Brosina")</f>
        <v>Brosina</v>
      </c>
      <c r="H3" s="22" t="str">
        <f>IFERROR(__xludf.DUMMYFUNCTION("""COMPUTED_VALUE"""),"Hoffman")</f>
        <v>Hoffman</v>
      </c>
      <c r="I3" s="22" t="str">
        <f>IFERROR(__xludf.DUMMYFUNCTION("""COMPUTED_VALUE"""),"Consumer")</f>
        <v>Consumer</v>
      </c>
      <c r="J3" s="22" t="str">
        <f>IFERROR(__xludf.DUMMYFUNCTION("""COMPUTED_VALUE"""),"Los Angeles")</f>
        <v>Los Angeles</v>
      </c>
      <c r="K3" s="22" t="str">
        <f>IFERROR(__xludf.DUMMYFUNCTION("""COMPUTED_VALUE"""),"California")</f>
        <v>California</v>
      </c>
      <c r="L3" s="22" t="str">
        <f>IFERROR(__xludf.DUMMYFUNCTION("""COMPUTED_VALUE"""),"West")</f>
        <v>West</v>
      </c>
      <c r="M3" s="22" t="str">
        <f>IFERROR(__xludf.DUMMYFUNCTION("""COMPUTED_VALUE"""),"Furniture")</f>
        <v>Furniture</v>
      </c>
      <c r="N3" s="18">
        <f>IFERROR(__xludf.DUMMYFUNCTION("""COMPUTED_VALUE"""),48.86)</f>
        <v>48.86</v>
      </c>
      <c r="O3" s="18">
        <f>IFERROR(__xludf.DUMMYFUNCTION("""COMPUTED_VALUE"""),48.08)</f>
        <v>48.08</v>
      </c>
      <c r="P3" s="22">
        <f>IFERROR(__xludf.DUMMYFUNCTION("""COMPUTED_VALUE"""),9.0)</f>
        <v>9</v>
      </c>
      <c r="Q3" s="18">
        <f>IFERROR(__xludf.DUMMYFUNCTION("""COMPUTED_VALUE"""),439.74)</f>
        <v>439.74</v>
      </c>
      <c r="R3" s="18">
        <f>IFERROR(__xludf.DUMMYFUNCTION("""COMPUTED_VALUE"""),391.66)</f>
        <v>391.66</v>
      </c>
    </row>
    <row r="4">
      <c r="A4" s="21">
        <f>IFERROR(__xludf.DUMMYFUNCTION("""COMPUTED_VALUE"""),42253.0)</f>
        <v>42253</v>
      </c>
      <c r="B4" s="21" t="str">
        <f>IFERROR(__xludf.DUMMYFUNCTION("""COMPUTED_VALUE"""),"Sep")</f>
        <v>Sep</v>
      </c>
      <c r="C4" s="9">
        <f>IFERROR(__xludf.DUMMYFUNCTION("""COMPUTED_VALUE"""),42169.0)</f>
        <v>42169</v>
      </c>
      <c r="D4" s="23" t="str">
        <f>IFERROR(__xludf.DUMMYFUNCTION("""COMPUTED_VALUE"""),"Jun")</f>
        <v>Jun</v>
      </c>
      <c r="E4" s="21" t="str">
        <f>IFERROR(__xludf.DUMMYFUNCTION("""COMPUTED_VALUE"""),"2015")</f>
        <v>2015</v>
      </c>
      <c r="F4" s="22" t="str">
        <f>IFERROR(__xludf.DUMMYFUNCTION("""COMPUTED_VALUE"""),"Standard Class")</f>
        <v>Standard Class</v>
      </c>
      <c r="G4" s="22" t="str">
        <f>IFERROR(__xludf.DUMMYFUNCTION("""COMPUTED_VALUE"""),"Brosina")</f>
        <v>Brosina</v>
      </c>
      <c r="H4" s="22" t="str">
        <f>IFERROR(__xludf.DUMMYFUNCTION("""COMPUTED_VALUE"""),"Hoffman")</f>
        <v>Hoffman</v>
      </c>
      <c r="I4" s="22" t="str">
        <f>IFERROR(__xludf.DUMMYFUNCTION("""COMPUTED_VALUE"""),"Consumer")</f>
        <v>Consumer</v>
      </c>
      <c r="J4" s="22" t="str">
        <f>IFERROR(__xludf.DUMMYFUNCTION("""COMPUTED_VALUE"""),"Los Angeles")</f>
        <v>Los Angeles</v>
      </c>
      <c r="K4" s="22" t="str">
        <f>IFERROR(__xludf.DUMMYFUNCTION("""COMPUTED_VALUE"""),"California")</f>
        <v>California</v>
      </c>
      <c r="L4" s="22" t="str">
        <f>IFERROR(__xludf.DUMMYFUNCTION("""COMPUTED_VALUE"""),"West")</f>
        <v>West</v>
      </c>
      <c r="M4" s="22" t="str">
        <f>IFERROR(__xludf.DUMMYFUNCTION("""COMPUTED_VALUE"""),"Office Supplies")</f>
        <v>Office Supplies</v>
      </c>
      <c r="N4" s="18">
        <f>IFERROR(__xludf.DUMMYFUNCTION("""COMPUTED_VALUE"""),7.28)</f>
        <v>7.28</v>
      </c>
      <c r="O4" s="18">
        <f>IFERROR(__xludf.DUMMYFUNCTION("""COMPUTED_VALUE"""),6.34)</f>
        <v>6.34</v>
      </c>
      <c r="P4" s="22">
        <f>IFERROR(__xludf.DUMMYFUNCTION("""COMPUTED_VALUE"""),9.0)</f>
        <v>9</v>
      </c>
      <c r="Q4" s="18">
        <f>IFERROR(__xludf.DUMMYFUNCTION("""COMPUTED_VALUE"""),65.52)</f>
        <v>65.52</v>
      </c>
      <c r="R4" s="18">
        <f>IFERROR(__xludf.DUMMYFUNCTION("""COMPUTED_VALUE"""),59.17999999999999)</f>
        <v>59.18</v>
      </c>
    </row>
    <row r="5">
      <c r="A5" s="21">
        <f>IFERROR(__xludf.DUMMYFUNCTION("""COMPUTED_VALUE"""),42253.0)</f>
        <v>42253</v>
      </c>
      <c r="B5" s="21" t="str">
        <f>IFERROR(__xludf.DUMMYFUNCTION("""COMPUTED_VALUE"""),"Sep")</f>
        <v>Sep</v>
      </c>
      <c r="C5" s="9">
        <f>IFERROR(__xludf.DUMMYFUNCTION("""COMPUTED_VALUE"""),42169.0)</f>
        <v>42169</v>
      </c>
      <c r="D5" s="23" t="str">
        <f>IFERROR(__xludf.DUMMYFUNCTION("""COMPUTED_VALUE"""),"Jun")</f>
        <v>Jun</v>
      </c>
      <c r="E5" s="21" t="str">
        <f>IFERROR(__xludf.DUMMYFUNCTION("""COMPUTED_VALUE"""),"2015")</f>
        <v>2015</v>
      </c>
      <c r="F5" s="22" t="str">
        <f>IFERROR(__xludf.DUMMYFUNCTION("""COMPUTED_VALUE"""),"Standard Class")</f>
        <v>Standard Class</v>
      </c>
      <c r="G5" s="22" t="str">
        <f>IFERROR(__xludf.DUMMYFUNCTION("""COMPUTED_VALUE"""),"Brosina")</f>
        <v>Brosina</v>
      </c>
      <c r="H5" s="22" t="str">
        <f>IFERROR(__xludf.DUMMYFUNCTION("""COMPUTED_VALUE"""),"Hoffman")</f>
        <v>Hoffman</v>
      </c>
      <c r="I5" s="22" t="str">
        <f>IFERROR(__xludf.DUMMYFUNCTION("""COMPUTED_VALUE"""),"Consumer")</f>
        <v>Consumer</v>
      </c>
      <c r="J5" s="22" t="str">
        <f>IFERROR(__xludf.DUMMYFUNCTION("""COMPUTED_VALUE"""),"Los Angeles")</f>
        <v>Los Angeles</v>
      </c>
      <c r="K5" s="22" t="str">
        <f>IFERROR(__xludf.DUMMYFUNCTION("""COMPUTED_VALUE"""),"California")</f>
        <v>California</v>
      </c>
      <c r="L5" s="22" t="str">
        <f>IFERROR(__xludf.DUMMYFUNCTION("""COMPUTED_VALUE"""),"West")</f>
        <v>West</v>
      </c>
      <c r="M5" s="22" t="str">
        <f>IFERROR(__xludf.DUMMYFUNCTION("""COMPUTED_VALUE"""),"Technology")</f>
        <v>Technology</v>
      </c>
      <c r="N5" s="18">
        <f>IFERROR(__xludf.DUMMYFUNCTION("""COMPUTED_VALUE"""),907.152)</f>
        <v>907.152</v>
      </c>
      <c r="O5" s="18">
        <f>IFERROR(__xludf.DUMMYFUNCTION("""COMPUTED_VALUE"""),906.78)</f>
        <v>906.78</v>
      </c>
      <c r="P5" s="22">
        <f>IFERROR(__xludf.DUMMYFUNCTION("""COMPUTED_VALUE"""),9.0)</f>
        <v>9</v>
      </c>
      <c r="Q5" s="18">
        <f>IFERROR(__xludf.DUMMYFUNCTION("""COMPUTED_VALUE"""),8164.368)</f>
        <v>8164.368</v>
      </c>
      <c r="R5" s="18">
        <f>IFERROR(__xludf.DUMMYFUNCTION("""COMPUTED_VALUE"""),7257.588000000001)</f>
        <v>7257.588</v>
      </c>
    </row>
    <row r="6">
      <c r="A6" s="21">
        <f>IFERROR(__xludf.DUMMYFUNCTION("""COMPUTED_VALUE"""),42253.0)</f>
        <v>42253</v>
      </c>
      <c r="B6" s="21" t="str">
        <f>IFERROR(__xludf.DUMMYFUNCTION("""COMPUTED_VALUE"""),"Sep")</f>
        <v>Sep</v>
      </c>
      <c r="C6" s="9">
        <f>IFERROR(__xludf.DUMMYFUNCTION("""COMPUTED_VALUE"""),42169.0)</f>
        <v>42169</v>
      </c>
      <c r="D6" s="23" t="str">
        <f>IFERROR(__xludf.DUMMYFUNCTION("""COMPUTED_VALUE"""),"Jun")</f>
        <v>Jun</v>
      </c>
      <c r="E6" s="21" t="str">
        <f>IFERROR(__xludf.DUMMYFUNCTION("""COMPUTED_VALUE"""),"2015")</f>
        <v>2015</v>
      </c>
      <c r="F6" s="22" t="str">
        <f>IFERROR(__xludf.DUMMYFUNCTION("""COMPUTED_VALUE"""),"Standard Class")</f>
        <v>Standard Class</v>
      </c>
      <c r="G6" s="22" t="str">
        <f>IFERROR(__xludf.DUMMYFUNCTION("""COMPUTED_VALUE"""),"Brosina")</f>
        <v>Brosina</v>
      </c>
      <c r="H6" s="22" t="str">
        <f>IFERROR(__xludf.DUMMYFUNCTION("""COMPUTED_VALUE"""),"Hoffman")</f>
        <v>Hoffman</v>
      </c>
      <c r="I6" s="22" t="str">
        <f>IFERROR(__xludf.DUMMYFUNCTION("""COMPUTED_VALUE"""),"Consumer")</f>
        <v>Consumer</v>
      </c>
      <c r="J6" s="22" t="str">
        <f>IFERROR(__xludf.DUMMYFUNCTION("""COMPUTED_VALUE"""),"Los Angeles")</f>
        <v>Los Angeles</v>
      </c>
      <c r="K6" s="22" t="str">
        <f>IFERROR(__xludf.DUMMYFUNCTION("""COMPUTED_VALUE"""),"California")</f>
        <v>California</v>
      </c>
      <c r="L6" s="22" t="str">
        <f>IFERROR(__xludf.DUMMYFUNCTION("""COMPUTED_VALUE"""),"West")</f>
        <v>West</v>
      </c>
      <c r="M6" s="22" t="str">
        <f>IFERROR(__xludf.DUMMYFUNCTION("""COMPUTED_VALUE"""),"Office Supplies")</f>
        <v>Office Supplies</v>
      </c>
      <c r="N6" s="18">
        <f>IFERROR(__xludf.DUMMYFUNCTION("""COMPUTED_VALUE"""),18.504)</f>
        <v>18.504</v>
      </c>
      <c r="O6" s="18">
        <f>IFERROR(__xludf.DUMMYFUNCTION("""COMPUTED_VALUE"""),18.36)</f>
        <v>18.36</v>
      </c>
      <c r="P6" s="22">
        <f>IFERROR(__xludf.DUMMYFUNCTION("""COMPUTED_VALUE"""),9.0)</f>
        <v>9</v>
      </c>
      <c r="Q6" s="18">
        <f>IFERROR(__xludf.DUMMYFUNCTION("""COMPUTED_VALUE"""),166.536)</f>
        <v>166.536</v>
      </c>
      <c r="R6" s="18">
        <f>IFERROR(__xludf.DUMMYFUNCTION("""COMPUTED_VALUE"""),148.176)</f>
        <v>148.176</v>
      </c>
    </row>
    <row r="7">
      <c r="A7" s="21">
        <f>IFERROR(__xludf.DUMMYFUNCTION("""COMPUTED_VALUE"""),42253.0)</f>
        <v>42253</v>
      </c>
      <c r="B7" s="21" t="str">
        <f>IFERROR(__xludf.DUMMYFUNCTION("""COMPUTED_VALUE"""),"Sep")</f>
        <v>Sep</v>
      </c>
      <c r="C7" s="9">
        <f>IFERROR(__xludf.DUMMYFUNCTION("""COMPUTED_VALUE"""),42169.0)</f>
        <v>42169</v>
      </c>
      <c r="D7" s="23" t="str">
        <f>IFERROR(__xludf.DUMMYFUNCTION("""COMPUTED_VALUE"""),"Jun")</f>
        <v>Jun</v>
      </c>
      <c r="E7" s="21" t="str">
        <f>IFERROR(__xludf.DUMMYFUNCTION("""COMPUTED_VALUE"""),"2015")</f>
        <v>2015</v>
      </c>
      <c r="F7" s="22" t="str">
        <f>IFERROR(__xludf.DUMMYFUNCTION("""COMPUTED_VALUE"""),"Standard Class")</f>
        <v>Standard Class</v>
      </c>
      <c r="G7" s="22" t="str">
        <f>IFERROR(__xludf.DUMMYFUNCTION("""COMPUTED_VALUE"""),"Brosina")</f>
        <v>Brosina</v>
      </c>
      <c r="H7" s="22" t="str">
        <f>IFERROR(__xludf.DUMMYFUNCTION("""COMPUTED_VALUE"""),"Hoffman")</f>
        <v>Hoffman</v>
      </c>
      <c r="I7" s="22" t="str">
        <f>IFERROR(__xludf.DUMMYFUNCTION("""COMPUTED_VALUE"""),"Consumer")</f>
        <v>Consumer</v>
      </c>
      <c r="J7" s="22" t="str">
        <f>IFERROR(__xludf.DUMMYFUNCTION("""COMPUTED_VALUE"""),"Los Angeles")</f>
        <v>Los Angeles</v>
      </c>
      <c r="K7" s="22" t="str">
        <f>IFERROR(__xludf.DUMMYFUNCTION("""COMPUTED_VALUE"""),"California")</f>
        <v>California</v>
      </c>
      <c r="L7" s="22" t="str">
        <f>IFERROR(__xludf.DUMMYFUNCTION("""COMPUTED_VALUE"""),"West")</f>
        <v>West</v>
      </c>
      <c r="M7" s="22" t="str">
        <f>IFERROR(__xludf.DUMMYFUNCTION("""COMPUTED_VALUE"""),"Office Supplies")</f>
        <v>Office Supplies</v>
      </c>
      <c r="N7" s="18">
        <f>IFERROR(__xludf.DUMMYFUNCTION("""COMPUTED_VALUE"""),114.9)</f>
        <v>114.9</v>
      </c>
      <c r="O7" s="18">
        <f>IFERROR(__xludf.DUMMYFUNCTION("""COMPUTED_VALUE"""),114.62)</f>
        <v>114.62</v>
      </c>
      <c r="P7" s="22">
        <f>IFERROR(__xludf.DUMMYFUNCTION("""COMPUTED_VALUE"""),9.0)</f>
        <v>9</v>
      </c>
      <c r="Q7" s="18">
        <f>IFERROR(__xludf.DUMMYFUNCTION("""COMPUTED_VALUE"""),1034.1000000000001)</f>
        <v>1034.1</v>
      </c>
      <c r="R7" s="18">
        <f>IFERROR(__xludf.DUMMYFUNCTION("""COMPUTED_VALUE"""),919.4800000000001)</f>
        <v>919.48</v>
      </c>
    </row>
    <row r="8">
      <c r="A8" s="21">
        <f>IFERROR(__xludf.DUMMYFUNCTION("""COMPUTED_VALUE"""),42253.0)</f>
        <v>42253</v>
      </c>
      <c r="B8" s="21" t="str">
        <f>IFERROR(__xludf.DUMMYFUNCTION("""COMPUTED_VALUE"""),"Sep")</f>
        <v>Sep</v>
      </c>
      <c r="C8" s="9">
        <f>IFERROR(__xludf.DUMMYFUNCTION("""COMPUTED_VALUE"""),42169.0)</f>
        <v>42169</v>
      </c>
      <c r="D8" s="23" t="str">
        <f>IFERROR(__xludf.DUMMYFUNCTION("""COMPUTED_VALUE"""),"Jun")</f>
        <v>Jun</v>
      </c>
      <c r="E8" s="21" t="str">
        <f>IFERROR(__xludf.DUMMYFUNCTION("""COMPUTED_VALUE"""),"2015")</f>
        <v>2015</v>
      </c>
      <c r="F8" s="22" t="str">
        <f>IFERROR(__xludf.DUMMYFUNCTION("""COMPUTED_VALUE"""),"Standard Class")</f>
        <v>Standard Class</v>
      </c>
      <c r="G8" s="22" t="str">
        <f>IFERROR(__xludf.DUMMYFUNCTION("""COMPUTED_VALUE"""),"Brosina")</f>
        <v>Brosina</v>
      </c>
      <c r="H8" s="22" t="str">
        <f>IFERROR(__xludf.DUMMYFUNCTION("""COMPUTED_VALUE"""),"Hoffman")</f>
        <v>Hoffman</v>
      </c>
      <c r="I8" s="22" t="str">
        <f>IFERROR(__xludf.DUMMYFUNCTION("""COMPUTED_VALUE"""),"Consumer")</f>
        <v>Consumer</v>
      </c>
      <c r="J8" s="22" t="str">
        <f>IFERROR(__xludf.DUMMYFUNCTION("""COMPUTED_VALUE"""),"Los Angeles")</f>
        <v>Los Angeles</v>
      </c>
      <c r="K8" s="22" t="str">
        <f>IFERROR(__xludf.DUMMYFUNCTION("""COMPUTED_VALUE"""),"California")</f>
        <v>California</v>
      </c>
      <c r="L8" s="22" t="str">
        <f>IFERROR(__xludf.DUMMYFUNCTION("""COMPUTED_VALUE"""),"West")</f>
        <v>West</v>
      </c>
      <c r="M8" s="22" t="str">
        <f>IFERROR(__xludf.DUMMYFUNCTION("""COMPUTED_VALUE"""),"Furniture")</f>
        <v>Furniture</v>
      </c>
      <c r="N8" s="18">
        <f>IFERROR(__xludf.DUMMYFUNCTION("""COMPUTED_VALUE"""),1706.184)</f>
        <v>1706.184</v>
      </c>
      <c r="O8" s="18">
        <f>IFERROR(__xludf.DUMMYFUNCTION("""COMPUTED_VALUE"""),1705.71)</f>
        <v>1705.71</v>
      </c>
      <c r="P8" s="22">
        <f>IFERROR(__xludf.DUMMYFUNCTION("""COMPUTED_VALUE"""),9.0)</f>
        <v>9</v>
      </c>
      <c r="Q8" s="18">
        <f>IFERROR(__xludf.DUMMYFUNCTION("""COMPUTED_VALUE"""),15355.655999999999)</f>
        <v>15355.656</v>
      </c>
      <c r="R8" s="18">
        <f>IFERROR(__xludf.DUMMYFUNCTION("""COMPUTED_VALUE"""),13649.946)</f>
        <v>13649.946</v>
      </c>
    </row>
    <row r="9">
      <c r="A9" s="21">
        <f>IFERROR(__xludf.DUMMYFUNCTION("""COMPUTED_VALUE"""),42253.0)</f>
        <v>42253</v>
      </c>
      <c r="B9" s="21" t="str">
        <f>IFERROR(__xludf.DUMMYFUNCTION("""COMPUTED_VALUE"""),"Sep")</f>
        <v>Sep</v>
      </c>
      <c r="C9" s="9">
        <f>IFERROR(__xludf.DUMMYFUNCTION("""COMPUTED_VALUE"""),42169.0)</f>
        <v>42169</v>
      </c>
      <c r="D9" s="23" t="str">
        <f>IFERROR(__xludf.DUMMYFUNCTION("""COMPUTED_VALUE"""),"Jun")</f>
        <v>Jun</v>
      </c>
      <c r="E9" s="21" t="str">
        <f>IFERROR(__xludf.DUMMYFUNCTION("""COMPUTED_VALUE"""),"2015")</f>
        <v>2015</v>
      </c>
      <c r="F9" s="22" t="str">
        <f>IFERROR(__xludf.DUMMYFUNCTION("""COMPUTED_VALUE"""),"Standard Class")</f>
        <v>Standard Class</v>
      </c>
      <c r="G9" s="22" t="str">
        <f>IFERROR(__xludf.DUMMYFUNCTION("""COMPUTED_VALUE"""),"Brosina")</f>
        <v>Brosina</v>
      </c>
      <c r="H9" s="22" t="str">
        <f>IFERROR(__xludf.DUMMYFUNCTION("""COMPUTED_VALUE"""),"Hoffman")</f>
        <v>Hoffman</v>
      </c>
      <c r="I9" s="22" t="str">
        <f>IFERROR(__xludf.DUMMYFUNCTION("""COMPUTED_VALUE"""),"Consumer")</f>
        <v>Consumer</v>
      </c>
      <c r="J9" s="22" t="str">
        <f>IFERROR(__xludf.DUMMYFUNCTION("""COMPUTED_VALUE"""),"Los Angeles")</f>
        <v>Los Angeles</v>
      </c>
      <c r="K9" s="22" t="str">
        <f>IFERROR(__xludf.DUMMYFUNCTION("""COMPUTED_VALUE"""),"California")</f>
        <v>California</v>
      </c>
      <c r="L9" s="22" t="str">
        <f>IFERROR(__xludf.DUMMYFUNCTION("""COMPUTED_VALUE"""),"West")</f>
        <v>West</v>
      </c>
      <c r="M9" s="22" t="str">
        <f>IFERROR(__xludf.DUMMYFUNCTION("""COMPUTED_VALUE"""),"Technology")</f>
        <v>Technology</v>
      </c>
      <c r="N9" s="18">
        <f>IFERROR(__xludf.DUMMYFUNCTION("""COMPUTED_VALUE"""),911.424)</f>
        <v>911.424</v>
      </c>
      <c r="O9" s="18">
        <f>IFERROR(__xludf.DUMMYFUNCTION("""COMPUTED_VALUE"""),911.17)</f>
        <v>911.17</v>
      </c>
      <c r="P9" s="22">
        <f>IFERROR(__xludf.DUMMYFUNCTION("""COMPUTED_VALUE"""),9.0)</f>
        <v>9</v>
      </c>
      <c r="Q9" s="18">
        <f>IFERROR(__xludf.DUMMYFUNCTION("""COMPUTED_VALUE"""),8202.815999999999)</f>
        <v>8202.816</v>
      </c>
      <c r="R9" s="18">
        <f>IFERROR(__xludf.DUMMYFUNCTION("""COMPUTED_VALUE"""),7291.645999999999)</f>
        <v>7291.646</v>
      </c>
    </row>
    <row r="10">
      <c r="A10" s="21">
        <f>IFERROR(__xludf.DUMMYFUNCTION("""COMPUTED_VALUE"""),42243.0)</f>
        <v>42243</v>
      </c>
      <c r="B10" s="21" t="str">
        <f>IFERROR(__xludf.DUMMYFUNCTION("""COMPUTED_VALUE"""),"Aug")</f>
        <v>Aug</v>
      </c>
      <c r="C10" s="9">
        <f>IFERROR(__xludf.DUMMYFUNCTION("""COMPUTED_VALUE"""),42013.0)</f>
        <v>42013</v>
      </c>
      <c r="D10" s="23" t="str">
        <f>IFERROR(__xludf.DUMMYFUNCTION("""COMPUTED_VALUE"""),"Jan")</f>
        <v>Jan</v>
      </c>
      <c r="E10" s="21" t="str">
        <f>IFERROR(__xludf.DUMMYFUNCTION("""COMPUTED_VALUE"""),"2015")</f>
        <v>2015</v>
      </c>
      <c r="F10" s="22" t="str">
        <f>IFERROR(__xludf.DUMMYFUNCTION("""COMPUTED_VALUE"""),"Second Class")</f>
        <v>Second Class</v>
      </c>
      <c r="G10" s="22" t="str">
        <f>IFERROR(__xludf.DUMMYFUNCTION("""COMPUTED_VALUE"""),"Zuschuss")</f>
        <v>Zuschuss</v>
      </c>
      <c r="H10" s="22" t="str">
        <f>IFERROR(__xludf.DUMMYFUNCTION("""COMPUTED_VALUE"""),"Donatelli")</f>
        <v>Donatelli</v>
      </c>
      <c r="I10" s="22" t="str">
        <f>IFERROR(__xludf.DUMMYFUNCTION("""COMPUTED_VALUE"""),"Consumer")</f>
        <v>Consumer</v>
      </c>
      <c r="J10" s="22" t="str">
        <f>IFERROR(__xludf.DUMMYFUNCTION("""COMPUTED_VALUE"""),"San Francisco")</f>
        <v>San Francisco</v>
      </c>
      <c r="K10" s="22" t="str">
        <f>IFERROR(__xludf.DUMMYFUNCTION("""COMPUTED_VALUE"""),"California")</f>
        <v>California</v>
      </c>
      <c r="L10" s="22" t="str">
        <f>IFERROR(__xludf.DUMMYFUNCTION("""COMPUTED_VALUE"""),"West")</f>
        <v>West</v>
      </c>
      <c r="M10" s="22" t="str">
        <f>IFERROR(__xludf.DUMMYFUNCTION("""COMPUTED_VALUE"""),"Office Supplies")</f>
        <v>Office Supplies</v>
      </c>
      <c r="N10" s="18">
        <f>IFERROR(__xludf.DUMMYFUNCTION("""COMPUTED_VALUE"""),8.56)</f>
        <v>8.56</v>
      </c>
      <c r="O10" s="18">
        <f>IFERROR(__xludf.DUMMYFUNCTION("""COMPUTED_VALUE"""),7.72)</f>
        <v>7.72</v>
      </c>
      <c r="P10" s="22">
        <f>IFERROR(__xludf.DUMMYFUNCTION("""COMPUTED_VALUE"""),9.0)</f>
        <v>9</v>
      </c>
      <c r="Q10" s="18">
        <f>IFERROR(__xludf.DUMMYFUNCTION("""COMPUTED_VALUE"""),77.04)</f>
        <v>77.04</v>
      </c>
      <c r="R10" s="18">
        <f>IFERROR(__xludf.DUMMYFUNCTION("""COMPUTED_VALUE"""),69.32000000000001)</f>
        <v>69.32</v>
      </c>
    </row>
    <row r="11">
      <c r="A11" s="21">
        <f>IFERROR(__xludf.DUMMYFUNCTION("""COMPUTED_VALUE"""),42243.0)</f>
        <v>42243</v>
      </c>
      <c r="B11" s="21" t="str">
        <f>IFERROR(__xludf.DUMMYFUNCTION("""COMPUTED_VALUE"""),"Aug")</f>
        <v>Aug</v>
      </c>
      <c r="C11" s="9">
        <f>IFERROR(__xludf.DUMMYFUNCTION("""COMPUTED_VALUE"""),42013.0)</f>
        <v>42013</v>
      </c>
      <c r="D11" s="23" t="str">
        <f>IFERROR(__xludf.DUMMYFUNCTION("""COMPUTED_VALUE"""),"Jan")</f>
        <v>Jan</v>
      </c>
      <c r="E11" s="21" t="str">
        <f>IFERROR(__xludf.DUMMYFUNCTION("""COMPUTED_VALUE"""),"2015")</f>
        <v>2015</v>
      </c>
      <c r="F11" s="22" t="str">
        <f>IFERROR(__xludf.DUMMYFUNCTION("""COMPUTED_VALUE"""),"Second Class")</f>
        <v>Second Class</v>
      </c>
      <c r="G11" s="22" t="str">
        <f>IFERROR(__xludf.DUMMYFUNCTION("""COMPUTED_VALUE"""),"Zuschuss")</f>
        <v>Zuschuss</v>
      </c>
      <c r="H11" s="22" t="str">
        <f>IFERROR(__xludf.DUMMYFUNCTION("""COMPUTED_VALUE"""),"Donatelli")</f>
        <v>Donatelli</v>
      </c>
      <c r="I11" s="22" t="str">
        <f>IFERROR(__xludf.DUMMYFUNCTION("""COMPUTED_VALUE"""),"Consumer")</f>
        <v>Consumer</v>
      </c>
      <c r="J11" s="22" t="str">
        <f>IFERROR(__xludf.DUMMYFUNCTION("""COMPUTED_VALUE"""),"San Francisco")</f>
        <v>San Francisco</v>
      </c>
      <c r="K11" s="22" t="str">
        <f>IFERROR(__xludf.DUMMYFUNCTION("""COMPUTED_VALUE"""),"California")</f>
        <v>California</v>
      </c>
      <c r="L11" s="22" t="str">
        <f>IFERROR(__xludf.DUMMYFUNCTION("""COMPUTED_VALUE"""),"West")</f>
        <v>West</v>
      </c>
      <c r="M11" s="22" t="str">
        <f>IFERROR(__xludf.DUMMYFUNCTION("""COMPUTED_VALUE"""),"Technology")</f>
        <v>Technology</v>
      </c>
      <c r="N11" s="18">
        <f>IFERROR(__xludf.DUMMYFUNCTION("""COMPUTED_VALUE"""),213.48)</f>
        <v>213.48</v>
      </c>
      <c r="O11" s="18">
        <f>IFERROR(__xludf.DUMMYFUNCTION("""COMPUTED_VALUE"""),212.79)</f>
        <v>212.79</v>
      </c>
      <c r="P11" s="22">
        <f>IFERROR(__xludf.DUMMYFUNCTION("""COMPUTED_VALUE"""),9.0)</f>
        <v>9</v>
      </c>
      <c r="Q11" s="18">
        <f>IFERROR(__xludf.DUMMYFUNCTION("""COMPUTED_VALUE"""),1921.32)</f>
        <v>1921.32</v>
      </c>
      <c r="R11" s="18">
        <f>IFERROR(__xludf.DUMMYFUNCTION("""COMPUTED_VALUE"""),1708.53)</f>
        <v>1708.53</v>
      </c>
    </row>
    <row r="12">
      <c r="A12" s="21">
        <f>IFERROR(__xludf.DUMMYFUNCTION("""COMPUTED_VALUE"""),42243.0)</f>
        <v>42243</v>
      </c>
      <c r="B12" s="21" t="str">
        <f>IFERROR(__xludf.DUMMYFUNCTION("""COMPUTED_VALUE"""),"Aug")</f>
        <v>Aug</v>
      </c>
      <c r="C12" s="9">
        <f>IFERROR(__xludf.DUMMYFUNCTION("""COMPUTED_VALUE"""),42013.0)</f>
        <v>42013</v>
      </c>
      <c r="D12" s="23" t="str">
        <f>IFERROR(__xludf.DUMMYFUNCTION("""COMPUTED_VALUE"""),"Jan")</f>
        <v>Jan</v>
      </c>
      <c r="E12" s="21" t="str">
        <f>IFERROR(__xludf.DUMMYFUNCTION("""COMPUTED_VALUE"""),"2015")</f>
        <v>2015</v>
      </c>
      <c r="F12" s="22" t="str">
        <f>IFERROR(__xludf.DUMMYFUNCTION("""COMPUTED_VALUE"""),"Second Class")</f>
        <v>Second Class</v>
      </c>
      <c r="G12" s="22" t="str">
        <f>IFERROR(__xludf.DUMMYFUNCTION("""COMPUTED_VALUE"""),"Zuschuss")</f>
        <v>Zuschuss</v>
      </c>
      <c r="H12" s="22" t="str">
        <f>IFERROR(__xludf.DUMMYFUNCTION("""COMPUTED_VALUE"""),"Donatelli")</f>
        <v>Donatelli</v>
      </c>
      <c r="I12" s="22" t="str">
        <f>IFERROR(__xludf.DUMMYFUNCTION("""COMPUTED_VALUE"""),"Consumer")</f>
        <v>Consumer</v>
      </c>
      <c r="J12" s="22" t="str">
        <f>IFERROR(__xludf.DUMMYFUNCTION("""COMPUTED_VALUE"""),"San Francisco")</f>
        <v>San Francisco</v>
      </c>
      <c r="K12" s="22" t="str">
        <f>IFERROR(__xludf.DUMMYFUNCTION("""COMPUTED_VALUE"""),"California")</f>
        <v>California</v>
      </c>
      <c r="L12" s="22" t="str">
        <f>IFERROR(__xludf.DUMMYFUNCTION("""COMPUTED_VALUE"""),"West")</f>
        <v>West</v>
      </c>
      <c r="M12" s="22" t="str">
        <f>IFERROR(__xludf.DUMMYFUNCTION("""COMPUTED_VALUE"""),"Office Supplies")</f>
        <v>Office Supplies</v>
      </c>
      <c r="N12" s="18">
        <f>IFERROR(__xludf.DUMMYFUNCTION("""COMPUTED_VALUE"""),22.72)</f>
        <v>22.72</v>
      </c>
      <c r="O12" s="18">
        <f>IFERROR(__xludf.DUMMYFUNCTION("""COMPUTED_VALUE"""),22.41)</f>
        <v>22.41</v>
      </c>
      <c r="P12" s="22">
        <f>IFERROR(__xludf.DUMMYFUNCTION("""COMPUTED_VALUE"""),9.0)</f>
        <v>9</v>
      </c>
      <c r="Q12" s="18">
        <f>IFERROR(__xludf.DUMMYFUNCTION("""COMPUTED_VALUE"""),204.48)</f>
        <v>204.48</v>
      </c>
      <c r="R12" s="18">
        <f>IFERROR(__xludf.DUMMYFUNCTION("""COMPUTED_VALUE"""),182.07)</f>
        <v>182.07</v>
      </c>
    </row>
    <row r="13">
      <c r="A13" s="21">
        <f>IFERROR(__xludf.DUMMYFUNCTION("""COMPUTED_VALUE"""),42751.0)</f>
        <v>42751</v>
      </c>
      <c r="B13" s="21" t="str">
        <f>IFERROR(__xludf.DUMMYFUNCTION("""COMPUTED_VALUE"""),"Jan")</f>
        <v>Jan</v>
      </c>
      <c r="C13" s="9">
        <f>IFERROR(__xludf.DUMMYFUNCTION("""COMPUTED_VALUE"""),42755.0)</f>
        <v>42755</v>
      </c>
      <c r="D13" s="23" t="str">
        <f>IFERROR(__xludf.DUMMYFUNCTION("""COMPUTED_VALUE"""),"Jan")</f>
        <v>Jan</v>
      </c>
      <c r="E13" s="21" t="str">
        <f>IFERROR(__xludf.DUMMYFUNCTION("""COMPUTED_VALUE"""),"2017")</f>
        <v>2017</v>
      </c>
      <c r="F13" s="22" t="str">
        <f>IFERROR(__xludf.DUMMYFUNCTION("""COMPUTED_VALUE"""),"Second Class")</f>
        <v>Second Class</v>
      </c>
      <c r="G13" s="22" t="str">
        <f>IFERROR(__xludf.DUMMYFUNCTION("""COMPUTED_VALUE"""),"Eric")</f>
        <v>Eric</v>
      </c>
      <c r="H13" s="22" t="str">
        <f>IFERROR(__xludf.DUMMYFUNCTION("""COMPUTED_VALUE"""),"Hoffmann")</f>
        <v>Hoffmann</v>
      </c>
      <c r="I13" s="22" t="str">
        <f>IFERROR(__xludf.DUMMYFUNCTION("""COMPUTED_VALUE"""),"Consumer")</f>
        <v>Consumer</v>
      </c>
      <c r="J13" s="22" t="str">
        <f>IFERROR(__xludf.DUMMYFUNCTION("""COMPUTED_VALUE"""),"Los Angeles")</f>
        <v>Los Angeles</v>
      </c>
      <c r="K13" s="22" t="str">
        <f>IFERROR(__xludf.DUMMYFUNCTION("""COMPUTED_VALUE"""),"California")</f>
        <v>California</v>
      </c>
      <c r="L13" s="22" t="str">
        <f>IFERROR(__xludf.DUMMYFUNCTION("""COMPUTED_VALUE"""),"West")</f>
        <v>West</v>
      </c>
      <c r="M13" s="22" t="str">
        <f>IFERROR(__xludf.DUMMYFUNCTION("""COMPUTED_VALUE"""),"Office Supplies")</f>
        <v>Office Supplies</v>
      </c>
      <c r="N13" s="18">
        <f>IFERROR(__xludf.DUMMYFUNCTION("""COMPUTED_VALUE"""),11.648)</f>
        <v>11.648</v>
      </c>
      <c r="O13" s="18">
        <f>IFERROR(__xludf.DUMMYFUNCTION("""COMPUTED_VALUE"""),11.39)</f>
        <v>11.39</v>
      </c>
      <c r="P13" s="22">
        <f>IFERROR(__xludf.DUMMYFUNCTION("""COMPUTED_VALUE"""),9.0)</f>
        <v>9</v>
      </c>
      <c r="Q13" s="18">
        <f>IFERROR(__xludf.DUMMYFUNCTION("""COMPUTED_VALUE"""),104.832)</f>
        <v>104.832</v>
      </c>
      <c r="R13" s="18">
        <f>IFERROR(__xludf.DUMMYFUNCTION("""COMPUTED_VALUE"""),93.442)</f>
        <v>93.442</v>
      </c>
    </row>
    <row r="14">
      <c r="A14" s="21">
        <f>IFERROR(__xludf.DUMMYFUNCTION("""COMPUTED_VALUE"""),42751.0)</f>
        <v>42751</v>
      </c>
      <c r="B14" s="21" t="str">
        <f>IFERROR(__xludf.DUMMYFUNCTION("""COMPUTED_VALUE"""),"Jan")</f>
        <v>Jan</v>
      </c>
      <c r="C14" s="9">
        <f>IFERROR(__xludf.DUMMYFUNCTION("""COMPUTED_VALUE"""),42755.0)</f>
        <v>42755</v>
      </c>
      <c r="D14" s="23" t="str">
        <f>IFERROR(__xludf.DUMMYFUNCTION("""COMPUTED_VALUE"""),"Jan")</f>
        <v>Jan</v>
      </c>
      <c r="E14" s="21" t="str">
        <f>IFERROR(__xludf.DUMMYFUNCTION("""COMPUTED_VALUE"""),"2017")</f>
        <v>2017</v>
      </c>
      <c r="F14" s="22" t="str">
        <f>IFERROR(__xludf.DUMMYFUNCTION("""COMPUTED_VALUE"""),"Second Class")</f>
        <v>Second Class</v>
      </c>
      <c r="G14" s="22" t="str">
        <f>IFERROR(__xludf.DUMMYFUNCTION("""COMPUTED_VALUE"""),"Eric")</f>
        <v>Eric</v>
      </c>
      <c r="H14" s="22" t="str">
        <f>IFERROR(__xludf.DUMMYFUNCTION("""COMPUTED_VALUE"""),"Hoffmann")</f>
        <v>Hoffmann</v>
      </c>
      <c r="I14" s="22" t="str">
        <f>IFERROR(__xludf.DUMMYFUNCTION("""COMPUTED_VALUE"""),"Consumer")</f>
        <v>Consumer</v>
      </c>
      <c r="J14" s="22" t="str">
        <f>IFERROR(__xludf.DUMMYFUNCTION("""COMPUTED_VALUE"""),"Los Angeles")</f>
        <v>Los Angeles</v>
      </c>
      <c r="K14" s="22" t="str">
        <f>IFERROR(__xludf.DUMMYFUNCTION("""COMPUTED_VALUE"""),"California")</f>
        <v>California</v>
      </c>
      <c r="L14" s="22" t="str">
        <f>IFERROR(__xludf.DUMMYFUNCTION("""COMPUTED_VALUE"""),"West")</f>
        <v>West</v>
      </c>
      <c r="M14" s="22" t="str">
        <f>IFERROR(__xludf.DUMMYFUNCTION("""COMPUTED_VALUE"""),"Technology")</f>
        <v>Technology</v>
      </c>
      <c r="N14" s="18">
        <f>IFERROR(__xludf.DUMMYFUNCTION("""COMPUTED_VALUE"""),90.57)</f>
        <v>90.57</v>
      </c>
      <c r="O14" s="18">
        <f>IFERROR(__xludf.DUMMYFUNCTION("""COMPUTED_VALUE"""),89.64)</f>
        <v>89.64</v>
      </c>
      <c r="P14" s="22">
        <f>IFERROR(__xludf.DUMMYFUNCTION("""COMPUTED_VALUE"""),9.0)</f>
        <v>9</v>
      </c>
      <c r="Q14" s="18">
        <f>IFERROR(__xludf.DUMMYFUNCTION("""COMPUTED_VALUE"""),815.1299999999999)</f>
        <v>815.13</v>
      </c>
      <c r="R14" s="18">
        <f>IFERROR(__xludf.DUMMYFUNCTION("""COMPUTED_VALUE"""),725.4899999999999)</f>
        <v>725.49</v>
      </c>
    </row>
    <row r="15">
      <c r="A15" s="21">
        <f>IFERROR(__xludf.DUMMYFUNCTION("""COMPUTED_VALUE"""),42933.0)</f>
        <v>42933</v>
      </c>
      <c r="B15" s="21" t="str">
        <f>IFERROR(__xludf.DUMMYFUNCTION("""COMPUTED_VALUE"""),"Jul")</f>
        <v>Jul</v>
      </c>
      <c r="C15" s="9">
        <f>IFERROR(__xludf.DUMMYFUNCTION("""COMPUTED_VALUE"""),42938.0)</f>
        <v>42938</v>
      </c>
      <c r="D15" s="23" t="str">
        <f>IFERROR(__xludf.DUMMYFUNCTION("""COMPUTED_VALUE"""),"Jul")</f>
        <v>Jul</v>
      </c>
      <c r="E15" s="21" t="str">
        <f>IFERROR(__xludf.DUMMYFUNCTION("""COMPUTED_VALUE"""),"2017")</f>
        <v>2017</v>
      </c>
      <c r="F15" s="22" t="str">
        <f>IFERROR(__xludf.DUMMYFUNCTION("""COMPUTED_VALUE"""),"Standard Class")</f>
        <v>Standard Class</v>
      </c>
      <c r="G15" s="22" t="str">
        <f>IFERROR(__xludf.DUMMYFUNCTION("""COMPUTED_VALUE"""),"Ruben")</f>
        <v>Ruben</v>
      </c>
      <c r="H15" s="22" t="str">
        <f>IFERROR(__xludf.DUMMYFUNCTION("""COMPUTED_VALUE"""),"Ausman")</f>
        <v>Ausman</v>
      </c>
      <c r="I15" s="22" t="str">
        <f>IFERROR(__xludf.DUMMYFUNCTION("""COMPUTED_VALUE"""),"Corporate")</f>
        <v>Corporate</v>
      </c>
      <c r="J15" s="22" t="str">
        <f>IFERROR(__xludf.DUMMYFUNCTION("""COMPUTED_VALUE"""),"Los Angeles")</f>
        <v>Los Angeles</v>
      </c>
      <c r="K15" s="22" t="str">
        <f>IFERROR(__xludf.DUMMYFUNCTION("""COMPUTED_VALUE"""),"California")</f>
        <v>California</v>
      </c>
      <c r="L15" s="22" t="str">
        <f>IFERROR(__xludf.DUMMYFUNCTION("""COMPUTED_VALUE"""),"West")</f>
        <v>West</v>
      </c>
      <c r="M15" s="22" t="str">
        <f>IFERROR(__xludf.DUMMYFUNCTION("""COMPUTED_VALUE"""),"Office Supplies")</f>
        <v>Office Supplies</v>
      </c>
      <c r="N15" s="18">
        <f>IFERROR(__xludf.DUMMYFUNCTION("""COMPUTED_VALUE"""),77.88)</f>
        <v>77.88</v>
      </c>
      <c r="O15" s="18">
        <f>IFERROR(__xludf.DUMMYFUNCTION("""COMPUTED_VALUE"""),77.43)</f>
        <v>77.43</v>
      </c>
      <c r="P15" s="22">
        <f>IFERROR(__xludf.DUMMYFUNCTION("""COMPUTED_VALUE"""),9.0)</f>
        <v>9</v>
      </c>
      <c r="Q15" s="18">
        <f>IFERROR(__xludf.DUMMYFUNCTION("""COMPUTED_VALUE"""),700.92)</f>
        <v>700.92</v>
      </c>
      <c r="R15" s="18">
        <f>IFERROR(__xludf.DUMMYFUNCTION("""COMPUTED_VALUE"""),623.49)</f>
        <v>623.49</v>
      </c>
    </row>
    <row r="16">
      <c r="A16" s="21">
        <f>IFERROR(__xludf.DUMMYFUNCTION("""COMPUTED_VALUE"""),42698.0)</f>
        <v>42698</v>
      </c>
      <c r="B16" s="21" t="str">
        <f>IFERROR(__xludf.DUMMYFUNCTION("""COMPUTED_VALUE"""),"Nov")</f>
        <v>Nov</v>
      </c>
      <c r="C16" s="9">
        <f>IFERROR(__xludf.DUMMYFUNCTION("""COMPUTED_VALUE"""),42704.0)</f>
        <v>42704</v>
      </c>
      <c r="D16" s="23" t="str">
        <f>IFERROR(__xludf.DUMMYFUNCTION("""COMPUTED_VALUE"""),"Nov")</f>
        <v>Nov</v>
      </c>
      <c r="E16" s="21" t="str">
        <f>IFERROR(__xludf.DUMMYFUNCTION("""COMPUTED_VALUE"""),"2016")</f>
        <v>2016</v>
      </c>
      <c r="F16" s="22" t="str">
        <f>IFERROR(__xludf.DUMMYFUNCTION("""COMPUTED_VALUE"""),"Standard Class")</f>
        <v>Standard Class</v>
      </c>
      <c r="G16" s="22" t="str">
        <f>IFERROR(__xludf.DUMMYFUNCTION("""COMPUTED_VALUE"""),"Kunst")</f>
        <v>Kunst</v>
      </c>
      <c r="H16" s="22" t="str">
        <f>IFERROR(__xludf.DUMMYFUNCTION("""COMPUTED_VALUE"""),"Miller")</f>
        <v>Miller</v>
      </c>
      <c r="I16" s="22" t="str">
        <f>IFERROR(__xludf.DUMMYFUNCTION("""COMPUTED_VALUE"""),"Consumer")</f>
        <v>Consumer</v>
      </c>
      <c r="J16" s="22" t="str">
        <f>IFERROR(__xludf.DUMMYFUNCTION("""COMPUTED_VALUE"""),"Los Angeles")</f>
        <v>Los Angeles</v>
      </c>
      <c r="K16" s="22" t="str">
        <f>IFERROR(__xludf.DUMMYFUNCTION("""COMPUTED_VALUE"""),"California")</f>
        <v>California</v>
      </c>
      <c r="L16" s="22" t="str">
        <f>IFERROR(__xludf.DUMMYFUNCTION("""COMPUTED_VALUE"""),"West")</f>
        <v>West</v>
      </c>
      <c r="M16" s="22" t="str">
        <f>IFERROR(__xludf.DUMMYFUNCTION("""COMPUTED_VALUE"""),"Technology")</f>
        <v>Technology</v>
      </c>
      <c r="N16" s="18">
        <f>IFERROR(__xludf.DUMMYFUNCTION("""COMPUTED_VALUE"""),13.98)</f>
        <v>13.98</v>
      </c>
      <c r="O16" s="18">
        <f>IFERROR(__xludf.DUMMYFUNCTION("""COMPUTED_VALUE"""),13.69)</f>
        <v>13.69</v>
      </c>
      <c r="P16" s="22">
        <f>IFERROR(__xludf.DUMMYFUNCTION("""COMPUTED_VALUE"""),9.0)</f>
        <v>9</v>
      </c>
      <c r="Q16" s="18">
        <f>IFERROR(__xludf.DUMMYFUNCTION("""COMPUTED_VALUE"""),125.82000000000001)</f>
        <v>125.82</v>
      </c>
      <c r="R16" s="18">
        <f>IFERROR(__xludf.DUMMYFUNCTION("""COMPUTED_VALUE"""),112.13000000000001)</f>
        <v>112.13</v>
      </c>
    </row>
    <row r="17">
      <c r="A17" s="21">
        <f>IFERROR(__xludf.DUMMYFUNCTION("""COMPUTED_VALUE"""),42698.0)</f>
        <v>42698</v>
      </c>
      <c r="B17" s="21" t="str">
        <f>IFERROR(__xludf.DUMMYFUNCTION("""COMPUTED_VALUE"""),"Nov")</f>
        <v>Nov</v>
      </c>
      <c r="C17" s="9">
        <f>IFERROR(__xludf.DUMMYFUNCTION("""COMPUTED_VALUE"""),42704.0)</f>
        <v>42704</v>
      </c>
      <c r="D17" s="23" t="str">
        <f>IFERROR(__xludf.DUMMYFUNCTION("""COMPUTED_VALUE"""),"Nov")</f>
        <v>Nov</v>
      </c>
      <c r="E17" s="21" t="str">
        <f>IFERROR(__xludf.DUMMYFUNCTION("""COMPUTED_VALUE"""),"2016")</f>
        <v>2016</v>
      </c>
      <c r="F17" s="22" t="str">
        <f>IFERROR(__xludf.DUMMYFUNCTION("""COMPUTED_VALUE"""),"Standard Class")</f>
        <v>Standard Class</v>
      </c>
      <c r="G17" s="22" t="str">
        <f>IFERROR(__xludf.DUMMYFUNCTION("""COMPUTED_VALUE"""),"Kunst")</f>
        <v>Kunst</v>
      </c>
      <c r="H17" s="22" t="str">
        <f>IFERROR(__xludf.DUMMYFUNCTION("""COMPUTED_VALUE"""),"Miller")</f>
        <v>Miller</v>
      </c>
      <c r="I17" s="22" t="str">
        <f>IFERROR(__xludf.DUMMYFUNCTION("""COMPUTED_VALUE"""),"Consumer")</f>
        <v>Consumer</v>
      </c>
      <c r="J17" s="22" t="str">
        <f>IFERROR(__xludf.DUMMYFUNCTION("""COMPUTED_VALUE"""),"Los Angeles")</f>
        <v>Los Angeles</v>
      </c>
      <c r="K17" s="22" t="str">
        <f>IFERROR(__xludf.DUMMYFUNCTION("""COMPUTED_VALUE"""),"California")</f>
        <v>California</v>
      </c>
      <c r="L17" s="22" t="str">
        <f>IFERROR(__xludf.DUMMYFUNCTION("""COMPUTED_VALUE"""),"West")</f>
        <v>West</v>
      </c>
      <c r="M17" s="22" t="str">
        <f>IFERROR(__xludf.DUMMYFUNCTION("""COMPUTED_VALUE"""),"Office Supplies")</f>
        <v>Office Supplies</v>
      </c>
      <c r="N17" s="18">
        <f>IFERROR(__xludf.DUMMYFUNCTION("""COMPUTED_VALUE"""),25.824)</f>
        <v>25.824</v>
      </c>
      <c r="O17" s="18">
        <f>IFERROR(__xludf.DUMMYFUNCTION("""COMPUTED_VALUE"""),25.3)</f>
        <v>25.3</v>
      </c>
      <c r="P17" s="22">
        <f>IFERROR(__xludf.DUMMYFUNCTION("""COMPUTED_VALUE"""),9.0)</f>
        <v>9</v>
      </c>
      <c r="Q17" s="18">
        <f>IFERROR(__xludf.DUMMYFUNCTION("""COMPUTED_VALUE"""),232.41600000000003)</f>
        <v>232.416</v>
      </c>
      <c r="R17" s="18">
        <f>IFERROR(__xludf.DUMMYFUNCTION("""COMPUTED_VALUE"""),207.116)</f>
        <v>207.116</v>
      </c>
    </row>
    <row r="18">
      <c r="A18" s="21">
        <f>IFERROR(__xludf.DUMMYFUNCTION("""COMPUTED_VALUE"""),42698.0)</f>
        <v>42698</v>
      </c>
      <c r="B18" s="21" t="str">
        <f>IFERROR(__xludf.DUMMYFUNCTION("""COMPUTED_VALUE"""),"Nov")</f>
        <v>Nov</v>
      </c>
      <c r="C18" s="9">
        <f>IFERROR(__xludf.DUMMYFUNCTION("""COMPUTED_VALUE"""),42704.0)</f>
        <v>42704</v>
      </c>
      <c r="D18" s="23" t="str">
        <f>IFERROR(__xludf.DUMMYFUNCTION("""COMPUTED_VALUE"""),"Nov")</f>
        <v>Nov</v>
      </c>
      <c r="E18" s="21" t="str">
        <f>IFERROR(__xludf.DUMMYFUNCTION("""COMPUTED_VALUE"""),"2016")</f>
        <v>2016</v>
      </c>
      <c r="F18" s="22" t="str">
        <f>IFERROR(__xludf.DUMMYFUNCTION("""COMPUTED_VALUE"""),"Standard Class")</f>
        <v>Standard Class</v>
      </c>
      <c r="G18" s="22" t="str">
        <f>IFERROR(__xludf.DUMMYFUNCTION("""COMPUTED_VALUE"""),"Kunst")</f>
        <v>Kunst</v>
      </c>
      <c r="H18" s="22" t="str">
        <f>IFERROR(__xludf.DUMMYFUNCTION("""COMPUTED_VALUE"""),"Miller")</f>
        <v>Miller</v>
      </c>
      <c r="I18" s="22" t="str">
        <f>IFERROR(__xludf.DUMMYFUNCTION("""COMPUTED_VALUE"""),"Consumer")</f>
        <v>Consumer</v>
      </c>
      <c r="J18" s="22" t="str">
        <f>IFERROR(__xludf.DUMMYFUNCTION("""COMPUTED_VALUE"""),"Los Angeles")</f>
        <v>Los Angeles</v>
      </c>
      <c r="K18" s="22" t="str">
        <f>IFERROR(__xludf.DUMMYFUNCTION("""COMPUTED_VALUE"""),"California")</f>
        <v>California</v>
      </c>
      <c r="L18" s="22" t="str">
        <f>IFERROR(__xludf.DUMMYFUNCTION("""COMPUTED_VALUE"""),"West")</f>
        <v>West</v>
      </c>
      <c r="M18" s="22" t="str">
        <f>IFERROR(__xludf.DUMMYFUNCTION("""COMPUTED_VALUE"""),"Office Supplies")</f>
        <v>Office Supplies</v>
      </c>
      <c r="N18" s="18">
        <f>IFERROR(__xludf.DUMMYFUNCTION("""COMPUTED_VALUE"""),146.73)</f>
        <v>146.73</v>
      </c>
      <c r="O18" s="18">
        <f>IFERROR(__xludf.DUMMYFUNCTION("""COMPUTED_VALUE"""),146.32)</f>
        <v>146.32</v>
      </c>
      <c r="P18" s="22">
        <f>IFERROR(__xludf.DUMMYFUNCTION("""COMPUTED_VALUE"""),9.0)</f>
        <v>9</v>
      </c>
      <c r="Q18" s="18">
        <f>IFERROR(__xludf.DUMMYFUNCTION("""COMPUTED_VALUE"""),1320.57)</f>
        <v>1320.57</v>
      </c>
      <c r="R18" s="18">
        <f>IFERROR(__xludf.DUMMYFUNCTION("""COMPUTED_VALUE"""),1174.25)</f>
        <v>1174.25</v>
      </c>
    </row>
    <row r="19">
      <c r="A19" s="21">
        <f>IFERROR(__xludf.DUMMYFUNCTION("""COMPUTED_VALUE"""),42698.0)</f>
        <v>42698</v>
      </c>
      <c r="B19" s="21" t="str">
        <f>IFERROR(__xludf.DUMMYFUNCTION("""COMPUTED_VALUE"""),"Nov")</f>
        <v>Nov</v>
      </c>
      <c r="C19" s="9">
        <f>IFERROR(__xludf.DUMMYFUNCTION("""COMPUTED_VALUE"""),42704.0)</f>
        <v>42704</v>
      </c>
      <c r="D19" s="23" t="str">
        <f>IFERROR(__xludf.DUMMYFUNCTION("""COMPUTED_VALUE"""),"Nov")</f>
        <v>Nov</v>
      </c>
      <c r="E19" s="21" t="str">
        <f>IFERROR(__xludf.DUMMYFUNCTION("""COMPUTED_VALUE"""),"2016")</f>
        <v>2016</v>
      </c>
      <c r="F19" s="22" t="str">
        <f>IFERROR(__xludf.DUMMYFUNCTION("""COMPUTED_VALUE"""),"Standard Class")</f>
        <v>Standard Class</v>
      </c>
      <c r="G19" s="22" t="str">
        <f>IFERROR(__xludf.DUMMYFUNCTION("""COMPUTED_VALUE"""),"Kunst")</f>
        <v>Kunst</v>
      </c>
      <c r="H19" s="22" t="str">
        <f>IFERROR(__xludf.DUMMYFUNCTION("""COMPUTED_VALUE"""),"Miller")</f>
        <v>Miller</v>
      </c>
      <c r="I19" s="22" t="str">
        <f>IFERROR(__xludf.DUMMYFUNCTION("""COMPUTED_VALUE"""),"Consumer")</f>
        <v>Consumer</v>
      </c>
      <c r="J19" s="22" t="str">
        <f>IFERROR(__xludf.DUMMYFUNCTION("""COMPUTED_VALUE"""),"Los Angeles")</f>
        <v>Los Angeles</v>
      </c>
      <c r="K19" s="22" t="str">
        <f>IFERROR(__xludf.DUMMYFUNCTION("""COMPUTED_VALUE"""),"California")</f>
        <v>California</v>
      </c>
      <c r="L19" s="22" t="str">
        <f>IFERROR(__xludf.DUMMYFUNCTION("""COMPUTED_VALUE"""),"West")</f>
        <v>West</v>
      </c>
      <c r="M19" s="22" t="str">
        <f>IFERROR(__xludf.DUMMYFUNCTION("""COMPUTED_VALUE"""),"Furniture")</f>
        <v>Furniture</v>
      </c>
      <c r="N19" s="18">
        <f>IFERROR(__xludf.DUMMYFUNCTION("""COMPUTED_VALUE"""),79.76)</f>
        <v>79.76</v>
      </c>
      <c r="O19" s="18">
        <f>IFERROR(__xludf.DUMMYFUNCTION("""COMPUTED_VALUE"""),79.56)</f>
        <v>79.56</v>
      </c>
      <c r="P19" s="22">
        <f>IFERROR(__xludf.DUMMYFUNCTION("""COMPUTED_VALUE"""),9.0)</f>
        <v>9</v>
      </c>
      <c r="Q19" s="18">
        <f>IFERROR(__xludf.DUMMYFUNCTION("""COMPUTED_VALUE"""),717.84)</f>
        <v>717.84</v>
      </c>
      <c r="R19" s="18">
        <f>IFERROR(__xludf.DUMMYFUNCTION("""COMPUTED_VALUE"""),638.28)</f>
        <v>638.28</v>
      </c>
    </row>
    <row r="20">
      <c r="A20" s="21">
        <f>IFERROR(__xludf.DUMMYFUNCTION("""COMPUTED_VALUE"""),42348.0)</f>
        <v>42348</v>
      </c>
      <c r="B20" s="21" t="str">
        <f>IFERROR(__xludf.DUMMYFUNCTION("""COMPUTED_VALUE"""),"Dec")</f>
        <v>Dec</v>
      </c>
      <c r="C20" s="9">
        <f>IFERROR(__xludf.DUMMYFUNCTION("""COMPUTED_VALUE"""),42293.0)</f>
        <v>42293</v>
      </c>
      <c r="D20" s="23" t="str">
        <f>IFERROR(__xludf.DUMMYFUNCTION("""COMPUTED_VALUE"""),"Oct")</f>
        <v>Oct</v>
      </c>
      <c r="E20" s="21" t="str">
        <f>IFERROR(__xludf.DUMMYFUNCTION("""COMPUTED_VALUE"""),"2015")</f>
        <v>2015</v>
      </c>
      <c r="F20" s="22" t="str">
        <f>IFERROR(__xludf.DUMMYFUNCTION("""COMPUTED_VALUE"""),"Standard Class")</f>
        <v>Standard Class</v>
      </c>
      <c r="G20" s="22" t="str">
        <f>IFERROR(__xludf.DUMMYFUNCTION("""COMPUTED_VALUE"""),"Duane")</f>
        <v>Duane</v>
      </c>
      <c r="H20" s="22" t="str">
        <f>IFERROR(__xludf.DUMMYFUNCTION("""COMPUTED_VALUE"""),"Noonan")</f>
        <v>Noonan</v>
      </c>
      <c r="I20" s="22" t="str">
        <f>IFERROR(__xludf.DUMMYFUNCTION("""COMPUTED_VALUE"""),"Consumer")</f>
        <v>Consumer</v>
      </c>
      <c r="J20" s="22" t="str">
        <f>IFERROR(__xludf.DUMMYFUNCTION("""COMPUTED_VALUE"""),"San Francisco")</f>
        <v>San Francisco</v>
      </c>
      <c r="K20" s="22" t="str">
        <f>IFERROR(__xludf.DUMMYFUNCTION("""COMPUTED_VALUE"""),"California")</f>
        <v>California</v>
      </c>
      <c r="L20" s="22" t="str">
        <f>IFERROR(__xludf.DUMMYFUNCTION("""COMPUTED_VALUE"""),"West")</f>
        <v>West</v>
      </c>
      <c r="M20" s="22" t="str">
        <f>IFERROR(__xludf.DUMMYFUNCTION("""COMPUTED_VALUE"""),"Office Supplies")</f>
        <v>Office Supplies</v>
      </c>
      <c r="N20" s="18">
        <f>IFERROR(__xludf.DUMMYFUNCTION("""COMPUTED_VALUE"""),14.9)</f>
        <v>14.9</v>
      </c>
      <c r="O20" s="18">
        <f>IFERROR(__xludf.DUMMYFUNCTION("""COMPUTED_VALUE"""),14.61)</f>
        <v>14.61</v>
      </c>
      <c r="P20" s="22">
        <f>IFERROR(__xludf.DUMMYFUNCTION("""COMPUTED_VALUE"""),9.0)</f>
        <v>9</v>
      </c>
      <c r="Q20" s="18">
        <f>IFERROR(__xludf.DUMMYFUNCTION("""COMPUTED_VALUE"""),134.1)</f>
        <v>134.1</v>
      </c>
      <c r="R20" s="18">
        <f>IFERROR(__xludf.DUMMYFUNCTION("""COMPUTED_VALUE"""),119.49)</f>
        <v>119.49</v>
      </c>
    </row>
    <row r="21">
      <c r="A21" s="21">
        <f>IFERROR(__xludf.DUMMYFUNCTION("""COMPUTED_VALUE"""),42348.0)</f>
        <v>42348</v>
      </c>
      <c r="B21" s="21" t="str">
        <f>IFERROR(__xludf.DUMMYFUNCTION("""COMPUTED_VALUE"""),"Dec")</f>
        <v>Dec</v>
      </c>
      <c r="C21" s="9">
        <f>IFERROR(__xludf.DUMMYFUNCTION("""COMPUTED_VALUE"""),42293.0)</f>
        <v>42293</v>
      </c>
      <c r="D21" s="23" t="str">
        <f>IFERROR(__xludf.DUMMYFUNCTION("""COMPUTED_VALUE"""),"Oct")</f>
        <v>Oct</v>
      </c>
      <c r="E21" s="21" t="str">
        <f>IFERROR(__xludf.DUMMYFUNCTION("""COMPUTED_VALUE"""),"2015")</f>
        <v>2015</v>
      </c>
      <c r="F21" s="22" t="str">
        <f>IFERROR(__xludf.DUMMYFUNCTION("""COMPUTED_VALUE"""),"Standard Class")</f>
        <v>Standard Class</v>
      </c>
      <c r="G21" s="22" t="str">
        <f>IFERROR(__xludf.DUMMYFUNCTION("""COMPUTED_VALUE"""),"Duane")</f>
        <v>Duane</v>
      </c>
      <c r="H21" s="22" t="str">
        <f>IFERROR(__xludf.DUMMYFUNCTION("""COMPUTED_VALUE"""),"Noonan")</f>
        <v>Noonan</v>
      </c>
      <c r="I21" s="22" t="str">
        <f>IFERROR(__xludf.DUMMYFUNCTION("""COMPUTED_VALUE"""),"Consumer")</f>
        <v>Consumer</v>
      </c>
      <c r="J21" s="22" t="str">
        <f>IFERROR(__xludf.DUMMYFUNCTION("""COMPUTED_VALUE"""),"San Francisco")</f>
        <v>San Francisco</v>
      </c>
      <c r="K21" s="22" t="str">
        <f>IFERROR(__xludf.DUMMYFUNCTION("""COMPUTED_VALUE"""),"California")</f>
        <v>California</v>
      </c>
      <c r="L21" s="22" t="str">
        <f>IFERROR(__xludf.DUMMYFUNCTION("""COMPUTED_VALUE"""),"West")</f>
        <v>West</v>
      </c>
      <c r="M21" s="22" t="str">
        <f>IFERROR(__xludf.DUMMYFUNCTION("""COMPUTED_VALUE"""),"Office Supplies")</f>
        <v>Office Supplies</v>
      </c>
      <c r="N21" s="18">
        <f>IFERROR(__xludf.DUMMYFUNCTION("""COMPUTED_VALUE"""),21.39)</f>
        <v>21.39</v>
      </c>
      <c r="O21" s="18">
        <f>IFERROR(__xludf.DUMMYFUNCTION("""COMPUTED_VALUE"""),20.68)</f>
        <v>20.68</v>
      </c>
      <c r="P21" s="22">
        <f>IFERROR(__xludf.DUMMYFUNCTION("""COMPUTED_VALUE"""),9.0)</f>
        <v>9</v>
      </c>
      <c r="Q21" s="18">
        <f>IFERROR(__xludf.DUMMYFUNCTION("""COMPUTED_VALUE"""),192.51)</f>
        <v>192.51</v>
      </c>
      <c r="R21" s="18">
        <f>IFERROR(__xludf.DUMMYFUNCTION("""COMPUTED_VALUE"""),171.82999999999998)</f>
        <v>171.83</v>
      </c>
    </row>
    <row r="22">
      <c r="A22" s="21">
        <f>IFERROR(__xludf.DUMMYFUNCTION("""COMPUTED_VALUE"""),42995.0)</f>
        <v>42995</v>
      </c>
      <c r="B22" s="21" t="str">
        <f>IFERROR(__xludf.DUMMYFUNCTION("""COMPUTED_VALUE"""),"Sep")</f>
        <v>Sep</v>
      </c>
      <c r="C22" s="9">
        <f>IFERROR(__xludf.DUMMYFUNCTION("""COMPUTED_VALUE"""),43000.0)</f>
        <v>43000</v>
      </c>
      <c r="D22" s="23" t="str">
        <f>IFERROR(__xludf.DUMMYFUNCTION("""COMPUTED_VALUE"""),"Sep")</f>
        <v>Sep</v>
      </c>
      <c r="E22" s="21" t="str">
        <f>IFERROR(__xludf.DUMMYFUNCTION("""COMPUTED_VALUE"""),"2017")</f>
        <v>2017</v>
      </c>
      <c r="F22" s="22" t="str">
        <f>IFERROR(__xludf.DUMMYFUNCTION("""COMPUTED_VALUE"""),"Standard Class")</f>
        <v>Standard Class</v>
      </c>
      <c r="G22" s="22" t="str">
        <f>IFERROR(__xludf.DUMMYFUNCTION("""COMPUTED_VALUE"""),"Jim")</f>
        <v>Jim</v>
      </c>
      <c r="H22" s="22" t="str">
        <f>IFERROR(__xludf.DUMMYFUNCTION("""COMPUTED_VALUE"""),"Sink")</f>
        <v>Sink</v>
      </c>
      <c r="I22" s="22" t="str">
        <f>IFERROR(__xludf.DUMMYFUNCTION("""COMPUTED_VALUE"""),"Corporate")</f>
        <v>Corporate</v>
      </c>
      <c r="J22" s="22" t="str">
        <f>IFERROR(__xludf.DUMMYFUNCTION("""COMPUTED_VALUE"""),"Los Angeles")</f>
        <v>Los Angeles</v>
      </c>
      <c r="K22" s="22" t="str">
        <f>IFERROR(__xludf.DUMMYFUNCTION("""COMPUTED_VALUE"""),"California")</f>
        <v>California</v>
      </c>
      <c r="L22" s="22" t="str">
        <f>IFERROR(__xludf.DUMMYFUNCTION("""COMPUTED_VALUE"""),"West")</f>
        <v>West</v>
      </c>
      <c r="M22" s="22" t="str">
        <f>IFERROR(__xludf.DUMMYFUNCTION("""COMPUTED_VALUE"""),"Office Supplies")</f>
        <v>Office Supplies</v>
      </c>
      <c r="N22" s="18">
        <f>IFERROR(__xludf.DUMMYFUNCTION("""COMPUTED_VALUE"""),20.1)</f>
        <v>20.1</v>
      </c>
      <c r="O22" s="18">
        <f>IFERROR(__xludf.DUMMYFUNCTION("""COMPUTED_VALUE"""),19.41)</f>
        <v>19.41</v>
      </c>
      <c r="P22" s="22">
        <f>IFERROR(__xludf.DUMMYFUNCTION("""COMPUTED_VALUE"""),9.0)</f>
        <v>9</v>
      </c>
      <c r="Q22" s="18">
        <f>IFERROR(__xludf.DUMMYFUNCTION("""COMPUTED_VALUE"""),180.9)</f>
        <v>180.9</v>
      </c>
      <c r="R22" s="18">
        <f>IFERROR(__xludf.DUMMYFUNCTION("""COMPUTED_VALUE"""),161.49)</f>
        <v>161.49</v>
      </c>
    </row>
    <row r="23">
      <c r="A23" s="21">
        <f>IFERROR(__xludf.DUMMYFUNCTION("""COMPUTED_VALUE"""),42995.0)</f>
        <v>42995</v>
      </c>
      <c r="B23" s="21" t="str">
        <f>IFERROR(__xludf.DUMMYFUNCTION("""COMPUTED_VALUE"""),"Sep")</f>
        <v>Sep</v>
      </c>
      <c r="C23" s="9">
        <f>IFERROR(__xludf.DUMMYFUNCTION("""COMPUTED_VALUE"""),43000.0)</f>
        <v>43000</v>
      </c>
      <c r="D23" s="23" t="str">
        <f>IFERROR(__xludf.DUMMYFUNCTION("""COMPUTED_VALUE"""),"Sep")</f>
        <v>Sep</v>
      </c>
      <c r="E23" s="21" t="str">
        <f>IFERROR(__xludf.DUMMYFUNCTION("""COMPUTED_VALUE"""),"2017")</f>
        <v>2017</v>
      </c>
      <c r="F23" s="22" t="str">
        <f>IFERROR(__xludf.DUMMYFUNCTION("""COMPUTED_VALUE"""),"Standard Class")</f>
        <v>Standard Class</v>
      </c>
      <c r="G23" s="22" t="str">
        <f>IFERROR(__xludf.DUMMYFUNCTION("""COMPUTED_VALUE"""),"Jim")</f>
        <v>Jim</v>
      </c>
      <c r="H23" s="22" t="str">
        <f>IFERROR(__xludf.DUMMYFUNCTION("""COMPUTED_VALUE"""),"Sink")</f>
        <v>Sink</v>
      </c>
      <c r="I23" s="22" t="str">
        <f>IFERROR(__xludf.DUMMYFUNCTION("""COMPUTED_VALUE"""),"Corporate")</f>
        <v>Corporate</v>
      </c>
      <c r="J23" s="22" t="str">
        <f>IFERROR(__xludf.DUMMYFUNCTION("""COMPUTED_VALUE"""),"Los Angeles")</f>
        <v>Los Angeles</v>
      </c>
      <c r="K23" s="22" t="str">
        <f>IFERROR(__xludf.DUMMYFUNCTION("""COMPUTED_VALUE"""),"California")</f>
        <v>California</v>
      </c>
      <c r="L23" s="22" t="str">
        <f>IFERROR(__xludf.DUMMYFUNCTION("""COMPUTED_VALUE"""),"West")</f>
        <v>West</v>
      </c>
      <c r="M23" s="22" t="str">
        <f>IFERROR(__xludf.DUMMYFUNCTION("""COMPUTED_VALUE"""),"Technology")</f>
        <v>Technology</v>
      </c>
      <c r="N23" s="18">
        <f>IFERROR(__xludf.DUMMYFUNCTION("""COMPUTED_VALUE"""),73.584)</f>
        <v>73.584</v>
      </c>
      <c r="O23" s="18">
        <f>IFERROR(__xludf.DUMMYFUNCTION("""COMPUTED_VALUE"""),73.53)</f>
        <v>73.53</v>
      </c>
      <c r="P23" s="22">
        <f>IFERROR(__xludf.DUMMYFUNCTION("""COMPUTED_VALUE"""),9.0)</f>
        <v>9</v>
      </c>
      <c r="Q23" s="18">
        <f>IFERROR(__xludf.DUMMYFUNCTION("""COMPUTED_VALUE"""),662.2560000000001)</f>
        <v>662.256</v>
      </c>
      <c r="R23" s="18">
        <f>IFERROR(__xludf.DUMMYFUNCTION("""COMPUTED_VALUE"""),588.7260000000001)</f>
        <v>588.726</v>
      </c>
    </row>
    <row r="24">
      <c r="A24" s="21">
        <f>IFERROR(__xludf.DUMMYFUNCTION("""COMPUTED_VALUE"""),42995.0)</f>
        <v>42995</v>
      </c>
      <c r="B24" s="21" t="str">
        <f>IFERROR(__xludf.DUMMYFUNCTION("""COMPUTED_VALUE"""),"Sep")</f>
        <v>Sep</v>
      </c>
      <c r="C24" s="9">
        <f>IFERROR(__xludf.DUMMYFUNCTION("""COMPUTED_VALUE"""),43000.0)</f>
        <v>43000</v>
      </c>
      <c r="D24" s="23" t="str">
        <f>IFERROR(__xludf.DUMMYFUNCTION("""COMPUTED_VALUE"""),"Sep")</f>
        <v>Sep</v>
      </c>
      <c r="E24" s="21" t="str">
        <f>IFERROR(__xludf.DUMMYFUNCTION("""COMPUTED_VALUE"""),"2017")</f>
        <v>2017</v>
      </c>
      <c r="F24" s="22" t="str">
        <f>IFERROR(__xludf.DUMMYFUNCTION("""COMPUTED_VALUE"""),"Standard Class")</f>
        <v>Standard Class</v>
      </c>
      <c r="G24" s="22" t="str">
        <f>IFERROR(__xludf.DUMMYFUNCTION("""COMPUTED_VALUE"""),"Jim")</f>
        <v>Jim</v>
      </c>
      <c r="H24" s="22" t="str">
        <f>IFERROR(__xludf.DUMMYFUNCTION("""COMPUTED_VALUE"""),"Sink")</f>
        <v>Sink</v>
      </c>
      <c r="I24" s="22" t="str">
        <f>IFERROR(__xludf.DUMMYFUNCTION("""COMPUTED_VALUE"""),"Corporate")</f>
        <v>Corporate</v>
      </c>
      <c r="J24" s="22" t="str">
        <f>IFERROR(__xludf.DUMMYFUNCTION("""COMPUTED_VALUE"""),"Los Angeles")</f>
        <v>Los Angeles</v>
      </c>
      <c r="K24" s="22" t="str">
        <f>IFERROR(__xludf.DUMMYFUNCTION("""COMPUTED_VALUE"""),"California")</f>
        <v>California</v>
      </c>
      <c r="L24" s="22" t="str">
        <f>IFERROR(__xludf.DUMMYFUNCTION("""COMPUTED_VALUE"""),"West")</f>
        <v>West</v>
      </c>
      <c r="M24" s="22" t="str">
        <f>IFERROR(__xludf.DUMMYFUNCTION("""COMPUTED_VALUE"""),"Office Supplies")</f>
        <v>Office Supplies</v>
      </c>
      <c r="N24" s="18">
        <f>IFERROR(__xludf.DUMMYFUNCTION("""COMPUTED_VALUE"""),6.48)</f>
        <v>6.48</v>
      </c>
      <c r="O24" s="18">
        <f>IFERROR(__xludf.DUMMYFUNCTION("""COMPUTED_VALUE"""),6.27)</f>
        <v>6.27</v>
      </c>
      <c r="P24" s="22">
        <f>IFERROR(__xludf.DUMMYFUNCTION("""COMPUTED_VALUE"""),9.0)</f>
        <v>9</v>
      </c>
      <c r="Q24" s="18">
        <f>IFERROR(__xludf.DUMMYFUNCTION("""COMPUTED_VALUE"""),58.32000000000001)</f>
        <v>58.32</v>
      </c>
      <c r="R24" s="18">
        <f>IFERROR(__xludf.DUMMYFUNCTION("""COMPUTED_VALUE"""),52.05000000000001)</f>
        <v>52.05</v>
      </c>
    </row>
    <row r="25">
      <c r="A25" s="21">
        <f>IFERROR(__xludf.DUMMYFUNCTION("""COMPUTED_VALUE"""),43268.0)</f>
        <v>43268</v>
      </c>
      <c r="B25" s="21" t="str">
        <f>IFERROR(__xludf.DUMMYFUNCTION("""COMPUTED_VALUE"""),"Jun")</f>
        <v>Jun</v>
      </c>
      <c r="C25" s="9">
        <f>IFERROR(__xludf.DUMMYFUNCTION("""COMPUTED_VALUE"""),43271.0)</f>
        <v>43271</v>
      </c>
      <c r="D25" s="23" t="str">
        <f>IFERROR(__xludf.DUMMYFUNCTION("""COMPUTED_VALUE"""),"Jun")</f>
        <v>Jun</v>
      </c>
      <c r="E25" s="21" t="str">
        <f>IFERROR(__xludf.DUMMYFUNCTION("""COMPUTED_VALUE"""),"2018")</f>
        <v>2018</v>
      </c>
      <c r="F25" s="22" t="str">
        <f>IFERROR(__xludf.DUMMYFUNCTION("""COMPUTED_VALUE"""),"First Class")</f>
        <v>First Class</v>
      </c>
      <c r="G25" s="22" t="str">
        <f>IFERROR(__xludf.DUMMYFUNCTION("""COMPUTED_VALUE"""),"Katherine")</f>
        <v>Katherine</v>
      </c>
      <c r="H25" s="22" t="str">
        <f>IFERROR(__xludf.DUMMYFUNCTION("""COMPUTED_VALUE"""),"Ducich")</f>
        <v>Ducich</v>
      </c>
      <c r="I25" s="22" t="str">
        <f>IFERROR(__xludf.DUMMYFUNCTION("""COMPUTED_VALUE"""),"Consumer")</f>
        <v>Consumer</v>
      </c>
      <c r="J25" s="22" t="str">
        <f>IFERROR(__xludf.DUMMYFUNCTION("""COMPUTED_VALUE"""),"San Francisco")</f>
        <v>San Francisco</v>
      </c>
      <c r="K25" s="22" t="str">
        <f>IFERROR(__xludf.DUMMYFUNCTION("""COMPUTED_VALUE"""),"California")</f>
        <v>California</v>
      </c>
      <c r="L25" s="22" t="str">
        <f>IFERROR(__xludf.DUMMYFUNCTION("""COMPUTED_VALUE"""),"West")</f>
        <v>West</v>
      </c>
      <c r="M25" s="22" t="str">
        <f>IFERROR(__xludf.DUMMYFUNCTION("""COMPUTED_VALUE"""),"Office Supplies")</f>
        <v>Office Supplies</v>
      </c>
      <c r="N25" s="18">
        <f>IFERROR(__xludf.DUMMYFUNCTION("""COMPUTED_VALUE"""),51.312)</f>
        <v>51.312</v>
      </c>
      <c r="O25" s="18">
        <f>IFERROR(__xludf.DUMMYFUNCTION("""COMPUTED_VALUE"""),50.59)</f>
        <v>50.59</v>
      </c>
      <c r="P25" s="22">
        <f>IFERROR(__xludf.DUMMYFUNCTION("""COMPUTED_VALUE"""),9.0)</f>
        <v>9</v>
      </c>
      <c r="Q25" s="18">
        <f>IFERROR(__xludf.DUMMYFUNCTION("""COMPUTED_VALUE"""),461.808)</f>
        <v>461.808</v>
      </c>
      <c r="R25" s="18">
        <f>IFERROR(__xludf.DUMMYFUNCTION("""COMPUTED_VALUE"""),411.21799999999996)</f>
        <v>411.218</v>
      </c>
    </row>
    <row r="26">
      <c r="A26" s="21">
        <f>IFERROR(__xludf.DUMMYFUNCTION("""COMPUTED_VALUE"""),42897.0)</f>
        <v>42897</v>
      </c>
      <c r="B26" s="21" t="str">
        <f>IFERROR(__xludf.DUMMYFUNCTION("""COMPUTED_VALUE"""),"Jun")</f>
        <v>Jun</v>
      </c>
      <c r="C26" s="9">
        <f>IFERROR(__xludf.DUMMYFUNCTION("""COMPUTED_VALUE"""),43019.0)</f>
        <v>43019</v>
      </c>
      <c r="D26" s="23" t="str">
        <f>IFERROR(__xludf.DUMMYFUNCTION("""COMPUTED_VALUE"""),"Oct")</f>
        <v>Oct</v>
      </c>
      <c r="E26" s="21" t="str">
        <f>IFERROR(__xludf.DUMMYFUNCTION("""COMPUTED_VALUE"""),"2017")</f>
        <v>2017</v>
      </c>
      <c r="F26" s="22" t="str">
        <f>IFERROR(__xludf.DUMMYFUNCTION("""COMPUTED_VALUE"""),"Second Class")</f>
        <v>Second Class</v>
      </c>
      <c r="G26" s="22" t="str">
        <f>IFERROR(__xludf.DUMMYFUNCTION("""COMPUTED_VALUE"""),"Lindsay")</f>
        <v>Lindsay</v>
      </c>
      <c r="H26" s="22" t="str">
        <f>IFERROR(__xludf.DUMMYFUNCTION("""COMPUTED_VALUE"""),"Shagiari")</f>
        <v>Shagiari</v>
      </c>
      <c r="I26" s="22" t="str">
        <f>IFERROR(__xludf.DUMMYFUNCTION("""COMPUTED_VALUE"""),"Home Office")</f>
        <v>Home Office</v>
      </c>
      <c r="J26" s="22" t="str">
        <f>IFERROR(__xludf.DUMMYFUNCTION("""COMPUTED_VALUE"""),"Los Angeles")</f>
        <v>Los Angeles</v>
      </c>
      <c r="K26" s="22" t="str">
        <f>IFERROR(__xludf.DUMMYFUNCTION("""COMPUTED_VALUE"""),"California")</f>
        <v>California</v>
      </c>
      <c r="L26" s="22" t="str">
        <f>IFERROR(__xludf.DUMMYFUNCTION("""COMPUTED_VALUE"""),"West")</f>
        <v>West</v>
      </c>
      <c r="M26" s="22" t="str">
        <f>IFERROR(__xludf.DUMMYFUNCTION("""COMPUTED_VALUE"""),"Furniture")</f>
        <v>Furniture</v>
      </c>
      <c r="N26" s="18">
        <f>IFERROR(__xludf.DUMMYFUNCTION("""COMPUTED_VALUE"""),81.424)</f>
        <v>81.424</v>
      </c>
      <c r="O26" s="18">
        <f>IFERROR(__xludf.DUMMYFUNCTION("""COMPUTED_VALUE"""),80.61)</f>
        <v>80.61</v>
      </c>
      <c r="P26" s="22">
        <f>IFERROR(__xludf.DUMMYFUNCTION("""COMPUTED_VALUE"""),9.0)</f>
        <v>9</v>
      </c>
      <c r="Q26" s="18">
        <f>IFERROR(__xludf.DUMMYFUNCTION("""COMPUTED_VALUE"""),732.816)</f>
        <v>732.816</v>
      </c>
      <c r="R26" s="18">
        <f>IFERROR(__xludf.DUMMYFUNCTION("""COMPUTED_VALUE"""),652.206)</f>
        <v>652.206</v>
      </c>
    </row>
    <row r="27">
      <c r="A27" s="21">
        <f>IFERROR(__xludf.DUMMYFUNCTION("""COMPUTED_VALUE"""),42897.0)</f>
        <v>42897</v>
      </c>
      <c r="B27" s="21" t="str">
        <f>IFERROR(__xludf.DUMMYFUNCTION("""COMPUTED_VALUE"""),"Jun")</f>
        <v>Jun</v>
      </c>
      <c r="C27" s="9">
        <f>IFERROR(__xludf.DUMMYFUNCTION("""COMPUTED_VALUE"""),43019.0)</f>
        <v>43019</v>
      </c>
      <c r="D27" s="23" t="str">
        <f>IFERROR(__xludf.DUMMYFUNCTION("""COMPUTED_VALUE"""),"Oct")</f>
        <v>Oct</v>
      </c>
      <c r="E27" s="21" t="str">
        <f>IFERROR(__xludf.DUMMYFUNCTION("""COMPUTED_VALUE"""),"2017")</f>
        <v>2017</v>
      </c>
      <c r="F27" s="22" t="str">
        <f>IFERROR(__xludf.DUMMYFUNCTION("""COMPUTED_VALUE"""),"Second Class")</f>
        <v>Second Class</v>
      </c>
      <c r="G27" s="22" t="str">
        <f>IFERROR(__xludf.DUMMYFUNCTION("""COMPUTED_VALUE"""),"Lindsay")</f>
        <v>Lindsay</v>
      </c>
      <c r="H27" s="22" t="str">
        <f>IFERROR(__xludf.DUMMYFUNCTION("""COMPUTED_VALUE"""),"Shagiari")</f>
        <v>Shagiari</v>
      </c>
      <c r="I27" s="22" t="str">
        <f>IFERROR(__xludf.DUMMYFUNCTION("""COMPUTED_VALUE"""),"Home Office")</f>
        <v>Home Office</v>
      </c>
      <c r="J27" s="22" t="str">
        <f>IFERROR(__xludf.DUMMYFUNCTION("""COMPUTED_VALUE"""),"Los Angeles")</f>
        <v>Los Angeles</v>
      </c>
      <c r="K27" s="22" t="str">
        <f>IFERROR(__xludf.DUMMYFUNCTION("""COMPUTED_VALUE"""),"California")</f>
        <v>California</v>
      </c>
      <c r="L27" s="22" t="str">
        <f>IFERROR(__xludf.DUMMYFUNCTION("""COMPUTED_VALUE"""),"West")</f>
        <v>West</v>
      </c>
      <c r="M27" s="22" t="str">
        <f>IFERROR(__xludf.DUMMYFUNCTION("""COMPUTED_VALUE"""),"Furniture")</f>
        <v>Furniture</v>
      </c>
      <c r="N27" s="18">
        <f>IFERROR(__xludf.DUMMYFUNCTION("""COMPUTED_VALUE"""),238.56)</f>
        <v>238.56</v>
      </c>
      <c r="O27" s="18">
        <f>IFERROR(__xludf.DUMMYFUNCTION("""COMPUTED_VALUE"""),238.11)</f>
        <v>238.11</v>
      </c>
      <c r="P27" s="22">
        <f>IFERROR(__xludf.DUMMYFUNCTION("""COMPUTED_VALUE"""),9.0)</f>
        <v>9</v>
      </c>
      <c r="Q27" s="18">
        <f>IFERROR(__xludf.DUMMYFUNCTION("""COMPUTED_VALUE"""),2147.04)</f>
        <v>2147.04</v>
      </c>
      <c r="R27" s="18">
        <f>IFERROR(__xludf.DUMMYFUNCTION("""COMPUTED_VALUE"""),1908.9299999999998)</f>
        <v>1908.93</v>
      </c>
    </row>
    <row r="28">
      <c r="A28" s="21">
        <f>IFERROR(__xludf.DUMMYFUNCTION("""COMPUTED_VALUE"""),43021.0)</f>
        <v>43021</v>
      </c>
      <c r="B28" s="21" t="str">
        <f>IFERROR(__xludf.DUMMYFUNCTION("""COMPUTED_VALUE"""),"Oct")</f>
        <v>Oct</v>
      </c>
      <c r="C28" s="9">
        <f>IFERROR(__xludf.DUMMYFUNCTION("""COMPUTED_VALUE"""),43027.0)</f>
        <v>43027</v>
      </c>
      <c r="D28" s="23" t="str">
        <f>IFERROR(__xludf.DUMMYFUNCTION("""COMPUTED_VALUE"""),"Oct")</f>
        <v>Oct</v>
      </c>
      <c r="E28" s="21" t="str">
        <f>IFERROR(__xludf.DUMMYFUNCTION("""COMPUTED_VALUE"""),"2017")</f>
        <v>2017</v>
      </c>
      <c r="F28" s="22" t="str">
        <f>IFERROR(__xludf.DUMMYFUNCTION("""COMPUTED_VALUE"""),"Standard Class")</f>
        <v>Standard Class</v>
      </c>
      <c r="G28" s="22" t="str">
        <f>IFERROR(__xludf.DUMMYFUNCTION("""COMPUTED_VALUE"""),"Lena")</f>
        <v>Lena</v>
      </c>
      <c r="H28" s="22" t="str">
        <f>IFERROR(__xludf.DUMMYFUNCTION("""COMPUTED_VALUE"""),"Creighton")</f>
        <v>Creighton</v>
      </c>
      <c r="I28" s="22" t="str">
        <f>IFERROR(__xludf.DUMMYFUNCTION("""COMPUTED_VALUE"""),"Consumer")</f>
        <v>Consumer</v>
      </c>
      <c r="J28" s="22" t="str">
        <f>IFERROR(__xludf.DUMMYFUNCTION("""COMPUTED_VALUE"""),"Roseville")</f>
        <v>Roseville</v>
      </c>
      <c r="K28" s="22" t="str">
        <f>IFERROR(__xludf.DUMMYFUNCTION("""COMPUTED_VALUE"""),"California")</f>
        <v>California</v>
      </c>
      <c r="L28" s="22" t="str">
        <f>IFERROR(__xludf.DUMMYFUNCTION("""COMPUTED_VALUE"""),"West")</f>
        <v>West</v>
      </c>
      <c r="M28" s="22" t="str">
        <f>IFERROR(__xludf.DUMMYFUNCTION("""COMPUTED_VALUE"""),"Office Supplies")</f>
        <v>Office Supplies</v>
      </c>
      <c r="N28" s="18">
        <f>IFERROR(__xludf.DUMMYFUNCTION("""COMPUTED_VALUE"""),20.04)</f>
        <v>20.04</v>
      </c>
      <c r="O28" s="18">
        <f>IFERROR(__xludf.DUMMYFUNCTION("""COMPUTED_VALUE"""),20.0)</f>
        <v>20</v>
      </c>
      <c r="P28" s="22">
        <f>IFERROR(__xludf.DUMMYFUNCTION("""COMPUTED_VALUE"""),9.0)</f>
        <v>9</v>
      </c>
      <c r="Q28" s="18">
        <f>IFERROR(__xludf.DUMMYFUNCTION("""COMPUTED_VALUE"""),180.35999999999999)</f>
        <v>180.36</v>
      </c>
      <c r="R28" s="18">
        <f>IFERROR(__xludf.DUMMYFUNCTION("""COMPUTED_VALUE"""),160.35999999999999)</f>
        <v>160.36</v>
      </c>
    </row>
    <row r="29">
      <c r="A29" s="21">
        <f>IFERROR(__xludf.DUMMYFUNCTION("""COMPUTED_VALUE"""),43021.0)</f>
        <v>43021</v>
      </c>
      <c r="B29" s="21" t="str">
        <f>IFERROR(__xludf.DUMMYFUNCTION("""COMPUTED_VALUE"""),"Oct")</f>
        <v>Oct</v>
      </c>
      <c r="C29" s="9">
        <f>IFERROR(__xludf.DUMMYFUNCTION("""COMPUTED_VALUE"""),43027.0)</f>
        <v>43027</v>
      </c>
      <c r="D29" s="23" t="str">
        <f>IFERROR(__xludf.DUMMYFUNCTION("""COMPUTED_VALUE"""),"Oct")</f>
        <v>Oct</v>
      </c>
      <c r="E29" s="21" t="str">
        <f>IFERROR(__xludf.DUMMYFUNCTION("""COMPUTED_VALUE"""),"2017")</f>
        <v>2017</v>
      </c>
      <c r="F29" s="22" t="str">
        <f>IFERROR(__xludf.DUMMYFUNCTION("""COMPUTED_VALUE"""),"Standard Class")</f>
        <v>Standard Class</v>
      </c>
      <c r="G29" s="22" t="str">
        <f>IFERROR(__xludf.DUMMYFUNCTION("""COMPUTED_VALUE"""),"Lena")</f>
        <v>Lena</v>
      </c>
      <c r="H29" s="22" t="str">
        <f>IFERROR(__xludf.DUMMYFUNCTION("""COMPUTED_VALUE"""),"Creighton")</f>
        <v>Creighton</v>
      </c>
      <c r="I29" s="22" t="str">
        <f>IFERROR(__xludf.DUMMYFUNCTION("""COMPUTED_VALUE"""),"Consumer")</f>
        <v>Consumer</v>
      </c>
      <c r="J29" s="22" t="str">
        <f>IFERROR(__xludf.DUMMYFUNCTION("""COMPUTED_VALUE"""),"Roseville")</f>
        <v>Roseville</v>
      </c>
      <c r="K29" s="22" t="str">
        <f>IFERROR(__xludf.DUMMYFUNCTION("""COMPUTED_VALUE"""),"California")</f>
        <v>California</v>
      </c>
      <c r="L29" s="22" t="str">
        <f>IFERROR(__xludf.DUMMYFUNCTION("""COMPUTED_VALUE"""),"West")</f>
        <v>West</v>
      </c>
      <c r="M29" s="22" t="str">
        <f>IFERROR(__xludf.DUMMYFUNCTION("""COMPUTED_VALUE"""),"Office Supplies")</f>
        <v>Office Supplies</v>
      </c>
      <c r="N29" s="18">
        <f>IFERROR(__xludf.DUMMYFUNCTION("""COMPUTED_VALUE"""),35.44)</f>
        <v>35.44</v>
      </c>
      <c r="O29" s="18">
        <f>IFERROR(__xludf.DUMMYFUNCTION("""COMPUTED_VALUE"""),35.26)</f>
        <v>35.26</v>
      </c>
      <c r="P29" s="22">
        <f>IFERROR(__xludf.DUMMYFUNCTION("""COMPUTED_VALUE"""),9.0)</f>
        <v>9</v>
      </c>
      <c r="Q29" s="18">
        <f>IFERROR(__xludf.DUMMYFUNCTION("""COMPUTED_VALUE"""),318.96)</f>
        <v>318.96</v>
      </c>
      <c r="R29" s="18">
        <f>IFERROR(__xludf.DUMMYFUNCTION("""COMPUTED_VALUE"""),283.7)</f>
        <v>283.7</v>
      </c>
    </row>
    <row r="30">
      <c r="A30" s="21">
        <f>IFERROR(__xludf.DUMMYFUNCTION("""COMPUTED_VALUE"""),43021.0)</f>
        <v>43021</v>
      </c>
      <c r="B30" s="21" t="str">
        <f>IFERROR(__xludf.DUMMYFUNCTION("""COMPUTED_VALUE"""),"Oct")</f>
        <v>Oct</v>
      </c>
      <c r="C30" s="9">
        <f>IFERROR(__xludf.DUMMYFUNCTION("""COMPUTED_VALUE"""),43027.0)</f>
        <v>43027</v>
      </c>
      <c r="D30" s="23" t="str">
        <f>IFERROR(__xludf.DUMMYFUNCTION("""COMPUTED_VALUE"""),"Oct")</f>
        <v>Oct</v>
      </c>
      <c r="E30" s="21" t="str">
        <f>IFERROR(__xludf.DUMMYFUNCTION("""COMPUTED_VALUE"""),"2017")</f>
        <v>2017</v>
      </c>
      <c r="F30" s="22" t="str">
        <f>IFERROR(__xludf.DUMMYFUNCTION("""COMPUTED_VALUE"""),"Standard Class")</f>
        <v>Standard Class</v>
      </c>
      <c r="G30" s="22" t="str">
        <f>IFERROR(__xludf.DUMMYFUNCTION("""COMPUTED_VALUE"""),"Lena")</f>
        <v>Lena</v>
      </c>
      <c r="H30" s="22" t="str">
        <f>IFERROR(__xludf.DUMMYFUNCTION("""COMPUTED_VALUE"""),"Creighton")</f>
        <v>Creighton</v>
      </c>
      <c r="I30" s="22" t="str">
        <f>IFERROR(__xludf.DUMMYFUNCTION("""COMPUTED_VALUE"""),"Consumer")</f>
        <v>Consumer</v>
      </c>
      <c r="J30" s="22" t="str">
        <f>IFERROR(__xludf.DUMMYFUNCTION("""COMPUTED_VALUE"""),"Roseville")</f>
        <v>Roseville</v>
      </c>
      <c r="K30" s="22" t="str">
        <f>IFERROR(__xludf.DUMMYFUNCTION("""COMPUTED_VALUE"""),"California")</f>
        <v>California</v>
      </c>
      <c r="L30" s="22" t="str">
        <f>IFERROR(__xludf.DUMMYFUNCTION("""COMPUTED_VALUE"""),"West")</f>
        <v>West</v>
      </c>
      <c r="M30" s="22" t="str">
        <f>IFERROR(__xludf.DUMMYFUNCTION("""COMPUTED_VALUE"""),"Office Supplies")</f>
        <v>Office Supplies</v>
      </c>
      <c r="N30" s="18">
        <f>IFERROR(__xludf.DUMMYFUNCTION("""COMPUTED_VALUE"""),11.52)</f>
        <v>11.52</v>
      </c>
      <c r="O30" s="18">
        <f>IFERROR(__xludf.DUMMYFUNCTION("""COMPUTED_VALUE"""),10.88)</f>
        <v>10.88</v>
      </c>
      <c r="P30" s="22">
        <f>IFERROR(__xludf.DUMMYFUNCTION("""COMPUTED_VALUE"""),9.0)</f>
        <v>9</v>
      </c>
      <c r="Q30" s="18">
        <f>IFERROR(__xludf.DUMMYFUNCTION("""COMPUTED_VALUE"""),103.67999999999999)</f>
        <v>103.68</v>
      </c>
      <c r="R30" s="18">
        <f>IFERROR(__xludf.DUMMYFUNCTION("""COMPUTED_VALUE"""),92.8)</f>
        <v>92.8</v>
      </c>
    </row>
    <row r="31">
      <c r="A31" s="21">
        <f>IFERROR(__xludf.DUMMYFUNCTION("""COMPUTED_VALUE"""),43021.0)</f>
        <v>43021</v>
      </c>
      <c r="B31" s="21" t="str">
        <f>IFERROR(__xludf.DUMMYFUNCTION("""COMPUTED_VALUE"""),"Oct")</f>
        <v>Oct</v>
      </c>
      <c r="C31" s="9">
        <f>IFERROR(__xludf.DUMMYFUNCTION("""COMPUTED_VALUE"""),43027.0)</f>
        <v>43027</v>
      </c>
      <c r="D31" s="23" t="str">
        <f>IFERROR(__xludf.DUMMYFUNCTION("""COMPUTED_VALUE"""),"Oct")</f>
        <v>Oct</v>
      </c>
      <c r="E31" s="21" t="str">
        <f>IFERROR(__xludf.DUMMYFUNCTION("""COMPUTED_VALUE"""),"2017")</f>
        <v>2017</v>
      </c>
      <c r="F31" s="22" t="str">
        <f>IFERROR(__xludf.DUMMYFUNCTION("""COMPUTED_VALUE"""),"Standard Class")</f>
        <v>Standard Class</v>
      </c>
      <c r="G31" s="22" t="str">
        <f>IFERROR(__xludf.DUMMYFUNCTION("""COMPUTED_VALUE"""),"Lena")</f>
        <v>Lena</v>
      </c>
      <c r="H31" s="22" t="str">
        <f>IFERROR(__xludf.DUMMYFUNCTION("""COMPUTED_VALUE"""),"Creighton")</f>
        <v>Creighton</v>
      </c>
      <c r="I31" s="22" t="str">
        <f>IFERROR(__xludf.DUMMYFUNCTION("""COMPUTED_VALUE"""),"Consumer")</f>
        <v>Consumer</v>
      </c>
      <c r="J31" s="22" t="str">
        <f>IFERROR(__xludf.DUMMYFUNCTION("""COMPUTED_VALUE"""),"Roseville")</f>
        <v>Roseville</v>
      </c>
      <c r="K31" s="22" t="str">
        <f>IFERROR(__xludf.DUMMYFUNCTION("""COMPUTED_VALUE"""),"California")</f>
        <v>California</v>
      </c>
      <c r="L31" s="22" t="str">
        <f>IFERROR(__xludf.DUMMYFUNCTION("""COMPUTED_VALUE"""),"West")</f>
        <v>West</v>
      </c>
      <c r="M31" s="22" t="str">
        <f>IFERROR(__xludf.DUMMYFUNCTION("""COMPUTED_VALUE"""),"Office Supplies")</f>
        <v>Office Supplies</v>
      </c>
      <c r="N31" s="18">
        <f>IFERROR(__xludf.DUMMYFUNCTION("""COMPUTED_VALUE"""),4.02)</f>
        <v>4.02</v>
      </c>
      <c r="O31" s="18">
        <f>IFERROR(__xludf.DUMMYFUNCTION("""COMPUTED_VALUE"""),3.77)</f>
        <v>3.77</v>
      </c>
      <c r="P31" s="22">
        <f>IFERROR(__xludf.DUMMYFUNCTION("""COMPUTED_VALUE"""),9.0)</f>
        <v>9</v>
      </c>
      <c r="Q31" s="18">
        <f>IFERROR(__xludf.DUMMYFUNCTION("""COMPUTED_VALUE"""),36.17999999999999)</f>
        <v>36.18</v>
      </c>
      <c r="R31" s="18">
        <f>IFERROR(__xludf.DUMMYFUNCTION("""COMPUTED_VALUE"""),32.40999999999999)</f>
        <v>32.41</v>
      </c>
    </row>
    <row r="32">
      <c r="A32" s="21">
        <f>IFERROR(__xludf.DUMMYFUNCTION("""COMPUTED_VALUE"""),43021.0)</f>
        <v>43021</v>
      </c>
      <c r="B32" s="21" t="str">
        <f>IFERROR(__xludf.DUMMYFUNCTION("""COMPUTED_VALUE"""),"Oct")</f>
        <v>Oct</v>
      </c>
      <c r="C32" s="9">
        <f>IFERROR(__xludf.DUMMYFUNCTION("""COMPUTED_VALUE"""),43027.0)</f>
        <v>43027</v>
      </c>
      <c r="D32" s="23" t="str">
        <f>IFERROR(__xludf.DUMMYFUNCTION("""COMPUTED_VALUE"""),"Oct")</f>
        <v>Oct</v>
      </c>
      <c r="E32" s="21" t="str">
        <f>IFERROR(__xludf.DUMMYFUNCTION("""COMPUTED_VALUE"""),"2017")</f>
        <v>2017</v>
      </c>
      <c r="F32" s="22" t="str">
        <f>IFERROR(__xludf.DUMMYFUNCTION("""COMPUTED_VALUE"""),"Standard Class")</f>
        <v>Standard Class</v>
      </c>
      <c r="G32" s="22" t="str">
        <f>IFERROR(__xludf.DUMMYFUNCTION("""COMPUTED_VALUE"""),"Lena")</f>
        <v>Lena</v>
      </c>
      <c r="H32" s="22" t="str">
        <f>IFERROR(__xludf.DUMMYFUNCTION("""COMPUTED_VALUE"""),"Creighton")</f>
        <v>Creighton</v>
      </c>
      <c r="I32" s="22" t="str">
        <f>IFERROR(__xludf.DUMMYFUNCTION("""COMPUTED_VALUE"""),"Consumer")</f>
        <v>Consumer</v>
      </c>
      <c r="J32" s="22" t="str">
        <f>IFERROR(__xludf.DUMMYFUNCTION("""COMPUTED_VALUE"""),"Roseville")</f>
        <v>Roseville</v>
      </c>
      <c r="K32" s="22" t="str">
        <f>IFERROR(__xludf.DUMMYFUNCTION("""COMPUTED_VALUE"""),"California")</f>
        <v>California</v>
      </c>
      <c r="L32" s="22" t="str">
        <f>IFERROR(__xludf.DUMMYFUNCTION("""COMPUTED_VALUE"""),"West")</f>
        <v>West</v>
      </c>
      <c r="M32" s="22" t="str">
        <f>IFERROR(__xludf.DUMMYFUNCTION("""COMPUTED_VALUE"""),"Office Supplies")</f>
        <v>Office Supplies</v>
      </c>
      <c r="N32" s="18">
        <f>IFERROR(__xludf.DUMMYFUNCTION("""COMPUTED_VALUE"""),76.176)</f>
        <v>76.176</v>
      </c>
      <c r="O32" s="18">
        <f>IFERROR(__xludf.DUMMYFUNCTION("""COMPUTED_VALUE"""),76.02)</f>
        <v>76.02</v>
      </c>
      <c r="P32" s="22">
        <f>IFERROR(__xludf.DUMMYFUNCTION("""COMPUTED_VALUE"""),9.0)</f>
        <v>9</v>
      </c>
      <c r="Q32" s="18">
        <f>IFERROR(__xludf.DUMMYFUNCTION("""COMPUTED_VALUE"""),685.5840000000001)</f>
        <v>685.584</v>
      </c>
      <c r="R32" s="18">
        <f>IFERROR(__xludf.DUMMYFUNCTION("""COMPUTED_VALUE"""),609.5640000000001)</f>
        <v>609.564</v>
      </c>
    </row>
    <row r="33">
      <c r="A33" s="21">
        <f>IFERROR(__xludf.DUMMYFUNCTION("""COMPUTED_VALUE"""),43021.0)</f>
        <v>43021</v>
      </c>
      <c r="B33" s="21" t="str">
        <f>IFERROR(__xludf.DUMMYFUNCTION("""COMPUTED_VALUE"""),"Oct")</f>
        <v>Oct</v>
      </c>
      <c r="C33" s="9">
        <f>IFERROR(__xludf.DUMMYFUNCTION("""COMPUTED_VALUE"""),43027.0)</f>
        <v>43027</v>
      </c>
      <c r="D33" s="23" t="str">
        <f>IFERROR(__xludf.DUMMYFUNCTION("""COMPUTED_VALUE"""),"Oct")</f>
        <v>Oct</v>
      </c>
      <c r="E33" s="21" t="str">
        <f>IFERROR(__xludf.DUMMYFUNCTION("""COMPUTED_VALUE"""),"2017")</f>
        <v>2017</v>
      </c>
      <c r="F33" s="22" t="str">
        <f>IFERROR(__xludf.DUMMYFUNCTION("""COMPUTED_VALUE"""),"Standard Class")</f>
        <v>Standard Class</v>
      </c>
      <c r="G33" s="22" t="str">
        <f>IFERROR(__xludf.DUMMYFUNCTION("""COMPUTED_VALUE"""),"Lena")</f>
        <v>Lena</v>
      </c>
      <c r="H33" s="22" t="str">
        <f>IFERROR(__xludf.DUMMYFUNCTION("""COMPUTED_VALUE"""),"Creighton")</f>
        <v>Creighton</v>
      </c>
      <c r="I33" s="22" t="str">
        <f>IFERROR(__xludf.DUMMYFUNCTION("""COMPUTED_VALUE"""),"Consumer")</f>
        <v>Consumer</v>
      </c>
      <c r="J33" s="22" t="str">
        <f>IFERROR(__xludf.DUMMYFUNCTION("""COMPUTED_VALUE"""),"Roseville")</f>
        <v>Roseville</v>
      </c>
      <c r="K33" s="22" t="str">
        <f>IFERROR(__xludf.DUMMYFUNCTION("""COMPUTED_VALUE"""),"California")</f>
        <v>California</v>
      </c>
      <c r="L33" s="22" t="str">
        <f>IFERROR(__xludf.DUMMYFUNCTION("""COMPUTED_VALUE"""),"West")</f>
        <v>West</v>
      </c>
      <c r="M33" s="22" t="str">
        <f>IFERROR(__xludf.DUMMYFUNCTION("""COMPUTED_VALUE"""),"Office Supplies")</f>
        <v>Office Supplies</v>
      </c>
      <c r="N33" s="18">
        <f>IFERROR(__xludf.DUMMYFUNCTION("""COMPUTED_VALUE"""),65.88)</f>
        <v>65.88</v>
      </c>
      <c r="O33" s="18">
        <f>IFERROR(__xludf.DUMMYFUNCTION("""COMPUTED_VALUE"""),65.27)</f>
        <v>65.27</v>
      </c>
      <c r="P33" s="22">
        <f>IFERROR(__xludf.DUMMYFUNCTION("""COMPUTED_VALUE"""),9.0)</f>
        <v>9</v>
      </c>
      <c r="Q33" s="18">
        <f>IFERROR(__xludf.DUMMYFUNCTION("""COMPUTED_VALUE"""),592.92)</f>
        <v>592.92</v>
      </c>
      <c r="R33" s="18">
        <f>IFERROR(__xludf.DUMMYFUNCTION("""COMPUTED_VALUE"""),527.65)</f>
        <v>527.65</v>
      </c>
    </row>
    <row r="34">
      <c r="A34" s="21">
        <f>IFERROR(__xludf.DUMMYFUNCTION("""COMPUTED_VALUE"""),43021.0)</f>
        <v>43021</v>
      </c>
      <c r="B34" s="21" t="str">
        <f>IFERROR(__xludf.DUMMYFUNCTION("""COMPUTED_VALUE"""),"Oct")</f>
        <v>Oct</v>
      </c>
      <c r="C34" s="9">
        <f>IFERROR(__xludf.DUMMYFUNCTION("""COMPUTED_VALUE"""),43027.0)</f>
        <v>43027</v>
      </c>
      <c r="D34" s="23" t="str">
        <f>IFERROR(__xludf.DUMMYFUNCTION("""COMPUTED_VALUE"""),"Oct")</f>
        <v>Oct</v>
      </c>
      <c r="E34" s="21" t="str">
        <f>IFERROR(__xludf.DUMMYFUNCTION("""COMPUTED_VALUE"""),"2017")</f>
        <v>2017</v>
      </c>
      <c r="F34" s="22" t="str">
        <f>IFERROR(__xludf.DUMMYFUNCTION("""COMPUTED_VALUE"""),"Standard Class")</f>
        <v>Standard Class</v>
      </c>
      <c r="G34" s="22" t="str">
        <f>IFERROR(__xludf.DUMMYFUNCTION("""COMPUTED_VALUE"""),"Lena")</f>
        <v>Lena</v>
      </c>
      <c r="H34" s="22" t="str">
        <f>IFERROR(__xludf.DUMMYFUNCTION("""COMPUTED_VALUE"""),"Creighton")</f>
        <v>Creighton</v>
      </c>
      <c r="I34" s="22" t="str">
        <f>IFERROR(__xludf.DUMMYFUNCTION("""COMPUTED_VALUE"""),"Consumer")</f>
        <v>Consumer</v>
      </c>
      <c r="J34" s="22" t="str">
        <f>IFERROR(__xludf.DUMMYFUNCTION("""COMPUTED_VALUE"""),"Roseville")</f>
        <v>Roseville</v>
      </c>
      <c r="K34" s="22" t="str">
        <f>IFERROR(__xludf.DUMMYFUNCTION("""COMPUTED_VALUE"""),"California")</f>
        <v>California</v>
      </c>
      <c r="L34" s="22" t="str">
        <f>IFERROR(__xludf.DUMMYFUNCTION("""COMPUTED_VALUE"""),"West")</f>
        <v>West</v>
      </c>
      <c r="M34" s="22" t="str">
        <f>IFERROR(__xludf.DUMMYFUNCTION("""COMPUTED_VALUE"""),"Furniture")</f>
        <v>Furniture</v>
      </c>
      <c r="N34" s="18">
        <f>IFERROR(__xludf.DUMMYFUNCTION("""COMPUTED_VALUE"""),43.12)</f>
        <v>43.12</v>
      </c>
      <c r="O34" s="18">
        <f>IFERROR(__xludf.DUMMYFUNCTION("""COMPUTED_VALUE"""),42.27)</f>
        <v>42.27</v>
      </c>
      <c r="P34" s="22">
        <f>IFERROR(__xludf.DUMMYFUNCTION("""COMPUTED_VALUE"""),9.0)</f>
        <v>9</v>
      </c>
      <c r="Q34" s="18">
        <f>IFERROR(__xludf.DUMMYFUNCTION("""COMPUTED_VALUE"""),388.08)</f>
        <v>388.08</v>
      </c>
      <c r="R34" s="18">
        <f>IFERROR(__xludf.DUMMYFUNCTION("""COMPUTED_VALUE"""),345.81)</f>
        <v>345.81</v>
      </c>
    </row>
    <row r="35">
      <c r="A35" s="21">
        <f>IFERROR(__xludf.DUMMYFUNCTION("""COMPUTED_VALUE"""),43361.0)</f>
        <v>43361</v>
      </c>
      <c r="B35" s="21" t="str">
        <f>IFERROR(__xludf.DUMMYFUNCTION("""COMPUTED_VALUE"""),"Sep")</f>
        <v>Sep</v>
      </c>
      <c r="C35" s="9">
        <f>IFERROR(__xludf.DUMMYFUNCTION("""COMPUTED_VALUE"""),43366.0)</f>
        <v>43366</v>
      </c>
      <c r="D35" s="23" t="str">
        <f>IFERROR(__xludf.DUMMYFUNCTION("""COMPUTED_VALUE"""),"Sep")</f>
        <v>Sep</v>
      </c>
      <c r="E35" s="21" t="str">
        <f>IFERROR(__xludf.DUMMYFUNCTION("""COMPUTED_VALUE"""),"2018")</f>
        <v>2018</v>
      </c>
      <c r="F35" s="22" t="str">
        <f>IFERROR(__xludf.DUMMYFUNCTION("""COMPUTED_VALUE"""),"Standard Class")</f>
        <v>Standard Class</v>
      </c>
      <c r="G35" s="22" t="str">
        <f>IFERROR(__xludf.DUMMYFUNCTION("""COMPUTED_VALUE"""),"Sally")</f>
        <v>Sally</v>
      </c>
      <c r="H35" s="22" t="str">
        <f>IFERROR(__xludf.DUMMYFUNCTION("""COMPUTED_VALUE"""),"Hughsby")</f>
        <v>Hughsby</v>
      </c>
      <c r="I35" s="22" t="str">
        <f>IFERROR(__xludf.DUMMYFUNCTION("""COMPUTED_VALUE"""),"Corporate")</f>
        <v>Corporate</v>
      </c>
      <c r="J35" s="22" t="str">
        <f>IFERROR(__xludf.DUMMYFUNCTION("""COMPUTED_VALUE"""),"San Francisco")</f>
        <v>San Francisco</v>
      </c>
      <c r="K35" s="22" t="str">
        <f>IFERROR(__xludf.DUMMYFUNCTION("""COMPUTED_VALUE"""),"California")</f>
        <v>California</v>
      </c>
      <c r="L35" s="22" t="str">
        <f>IFERROR(__xludf.DUMMYFUNCTION("""COMPUTED_VALUE"""),"West")</f>
        <v>West</v>
      </c>
      <c r="M35" s="22" t="str">
        <f>IFERROR(__xludf.DUMMYFUNCTION("""COMPUTED_VALUE"""),"Office Supplies")</f>
        <v>Office Supplies</v>
      </c>
      <c r="N35" s="18">
        <f>IFERROR(__xludf.DUMMYFUNCTION("""COMPUTED_VALUE"""),8.82)</f>
        <v>8.82</v>
      </c>
      <c r="O35" s="18">
        <f>IFERROR(__xludf.DUMMYFUNCTION("""COMPUTED_VALUE"""),8.76)</f>
        <v>8.76</v>
      </c>
      <c r="P35" s="22">
        <f>IFERROR(__xludf.DUMMYFUNCTION("""COMPUTED_VALUE"""),9.0)</f>
        <v>9</v>
      </c>
      <c r="Q35" s="18">
        <f>IFERROR(__xludf.DUMMYFUNCTION("""COMPUTED_VALUE"""),79.38)</f>
        <v>79.38</v>
      </c>
      <c r="R35" s="18">
        <f>IFERROR(__xludf.DUMMYFUNCTION("""COMPUTED_VALUE"""),70.61999999999999)</f>
        <v>70.62</v>
      </c>
    </row>
    <row r="36">
      <c r="A36" s="21">
        <f>IFERROR(__xludf.DUMMYFUNCTION("""COMPUTED_VALUE"""),43361.0)</f>
        <v>43361</v>
      </c>
      <c r="B36" s="21" t="str">
        <f>IFERROR(__xludf.DUMMYFUNCTION("""COMPUTED_VALUE"""),"Sep")</f>
        <v>Sep</v>
      </c>
      <c r="C36" s="9">
        <f>IFERROR(__xludf.DUMMYFUNCTION("""COMPUTED_VALUE"""),43366.0)</f>
        <v>43366</v>
      </c>
      <c r="D36" s="23" t="str">
        <f>IFERROR(__xludf.DUMMYFUNCTION("""COMPUTED_VALUE"""),"Sep")</f>
        <v>Sep</v>
      </c>
      <c r="E36" s="21" t="str">
        <f>IFERROR(__xludf.DUMMYFUNCTION("""COMPUTED_VALUE"""),"2018")</f>
        <v>2018</v>
      </c>
      <c r="F36" s="22" t="str">
        <f>IFERROR(__xludf.DUMMYFUNCTION("""COMPUTED_VALUE"""),"Standard Class")</f>
        <v>Standard Class</v>
      </c>
      <c r="G36" s="22" t="str">
        <f>IFERROR(__xludf.DUMMYFUNCTION("""COMPUTED_VALUE"""),"Sally")</f>
        <v>Sally</v>
      </c>
      <c r="H36" s="22" t="str">
        <f>IFERROR(__xludf.DUMMYFUNCTION("""COMPUTED_VALUE"""),"Hughsby")</f>
        <v>Hughsby</v>
      </c>
      <c r="I36" s="22" t="str">
        <f>IFERROR(__xludf.DUMMYFUNCTION("""COMPUTED_VALUE"""),"Corporate")</f>
        <v>Corporate</v>
      </c>
      <c r="J36" s="22" t="str">
        <f>IFERROR(__xludf.DUMMYFUNCTION("""COMPUTED_VALUE"""),"San Francisco")</f>
        <v>San Francisco</v>
      </c>
      <c r="K36" s="22" t="str">
        <f>IFERROR(__xludf.DUMMYFUNCTION("""COMPUTED_VALUE"""),"California")</f>
        <v>California</v>
      </c>
      <c r="L36" s="22" t="str">
        <f>IFERROR(__xludf.DUMMYFUNCTION("""COMPUTED_VALUE"""),"West")</f>
        <v>West</v>
      </c>
      <c r="M36" s="22" t="str">
        <f>IFERROR(__xludf.DUMMYFUNCTION("""COMPUTED_VALUE"""),"Office Supplies")</f>
        <v>Office Supplies</v>
      </c>
      <c r="N36" s="18">
        <f>IFERROR(__xludf.DUMMYFUNCTION("""COMPUTED_VALUE"""),10.86)</f>
        <v>10.86</v>
      </c>
      <c r="O36" s="18">
        <f>IFERROR(__xludf.DUMMYFUNCTION("""COMPUTED_VALUE"""),10.56)</f>
        <v>10.56</v>
      </c>
      <c r="P36" s="22">
        <f>IFERROR(__xludf.DUMMYFUNCTION("""COMPUTED_VALUE"""),9.0)</f>
        <v>9</v>
      </c>
      <c r="Q36" s="18">
        <f>IFERROR(__xludf.DUMMYFUNCTION("""COMPUTED_VALUE"""),97.74)</f>
        <v>97.74</v>
      </c>
      <c r="R36" s="18">
        <f>IFERROR(__xludf.DUMMYFUNCTION("""COMPUTED_VALUE"""),87.17999999999999)</f>
        <v>87.18</v>
      </c>
    </row>
    <row r="37">
      <c r="A37" s="21">
        <f>IFERROR(__xludf.DUMMYFUNCTION("""COMPUTED_VALUE"""),43361.0)</f>
        <v>43361</v>
      </c>
      <c r="B37" s="21" t="str">
        <f>IFERROR(__xludf.DUMMYFUNCTION("""COMPUTED_VALUE"""),"Sep")</f>
        <v>Sep</v>
      </c>
      <c r="C37" s="9">
        <f>IFERROR(__xludf.DUMMYFUNCTION("""COMPUTED_VALUE"""),43366.0)</f>
        <v>43366</v>
      </c>
      <c r="D37" s="23" t="str">
        <f>IFERROR(__xludf.DUMMYFUNCTION("""COMPUTED_VALUE"""),"Sep")</f>
        <v>Sep</v>
      </c>
      <c r="E37" s="21" t="str">
        <f>IFERROR(__xludf.DUMMYFUNCTION("""COMPUTED_VALUE"""),"2018")</f>
        <v>2018</v>
      </c>
      <c r="F37" s="22" t="str">
        <f>IFERROR(__xludf.DUMMYFUNCTION("""COMPUTED_VALUE"""),"Standard Class")</f>
        <v>Standard Class</v>
      </c>
      <c r="G37" s="22" t="str">
        <f>IFERROR(__xludf.DUMMYFUNCTION("""COMPUTED_VALUE"""),"Sally")</f>
        <v>Sally</v>
      </c>
      <c r="H37" s="22" t="str">
        <f>IFERROR(__xludf.DUMMYFUNCTION("""COMPUTED_VALUE"""),"Hughsby")</f>
        <v>Hughsby</v>
      </c>
      <c r="I37" s="22" t="str">
        <f>IFERROR(__xludf.DUMMYFUNCTION("""COMPUTED_VALUE"""),"Corporate")</f>
        <v>Corporate</v>
      </c>
      <c r="J37" s="22" t="str">
        <f>IFERROR(__xludf.DUMMYFUNCTION("""COMPUTED_VALUE"""),"San Francisco")</f>
        <v>San Francisco</v>
      </c>
      <c r="K37" s="22" t="str">
        <f>IFERROR(__xludf.DUMMYFUNCTION("""COMPUTED_VALUE"""),"California")</f>
        <v>California</v>
      </c>
      <c r="L37" s="22" t="str">
        <f>IFERROR(__xludf.DUMMYFUNCTION("""COMPUTED_VALUE"""),"West")</f>
        <v>West</v>
      </c>
      <c r="M37" s="22" t="str">
        <f>IFERROR(__xludf.DUMMYFUNCTION("""COMPUTED_VALUE"""),"Office Supplies")</f>
        <v>Office Supplies</v>
      </c>
      <c r="N37" s="18">
        <f>IFERROR(__xludf.DUMMYFUNCTION("""COMPUTED_VALUE"""),143.7)</f>
        <v>143.7</v>
      </c>
      <c r="O37" s="18">
        <f>IFERROR(__xludf.DUMMYFUNCTION("""COMPUTED_VALUE"""),143.52)</f>
        <v>143.52</v>
      </c>
      <c r="P37" s="22">
        <f>IFERROR(__xludf.DUMMYFUNCTION("""COMPUTED_VALUE"""),9.0)</f>
        <v>9</v>
      </c>
      <c r="Q37" s="18">
        <f>IFERROR(__xludf.DUMMYFUNCTION("""COMPUTED_VALUE"""),1293.3)</f>
        <v>1293.3</v>
      </c>
      <c r="R37" s="18">
        <f>IFERROR(__xludf.DUMMYFUNCTION("""COMPUTED_VALUE"""),1149.78)</f>
        <v>1149.78</v>
      </c>
    </row>
    <row r="38">
      <c r="A38" s="21">
        <f>IFERROR(__xludf.DUMMYFUNCTION("""COMPUTED_VALUE"""),42560.0)</f>
        <v>42560</v>
      </c>
      <c r="B38" s="21" t="str">
        <f>IFERROR(__xludf.DUMMYFUNCTION("""COMPUTED_VALUE"""),"Jul")</f>
        <v>Jul</v>
      </c>
      <c r="C38" s="9">
        <f>IFERROR(__xludf.DUMMYFUNCTION("""COMPUTED_VALUE"""),42713.0)</f>
        <v>42713</v>
      </c>
      <c r="D38" s="23" t="str">
        <f>IFERROR(__xludf.DUMMYFUNCTION("""COMPUTED_VALUE"""),"Dec")</f>
        <v>Dec</v>
      </c>
      <c r="E38" s="21" t="str">
        <f>IFERROR(__xludf.DUMMYFUNCTION("""COMPUTED_VALUE"""),"2016")</f>
        <v>2016</v>
      </c>
      <c r="F38" s="22" t="str">
        <f>IFERROR(__xludf.DUMMYFUNCTION("""COMPUTED_VALUE"""),"Standard Class")</f>
        <v>Standard Class</v>
      </c>
      <c r="G38" s="22" t="str">
        <f>IFERROR(__xludf.DUMMYFUNCTION("""COMPUTED_VALUE"""),"Helen")</f>
        <v>Helen</v>
      </c>
      <c r="H38" s="22" t="str">
        <f>IFERROR(__xludf.DUMMYFUNCTION("""COMPUTED_VALUE"""),"Andreada")</f>
        <v>Andreada</v>
      </c>
      <c r="I38" s="22" t="str">
        <f>IFERROR(__xludf.DUMMYFUNCTION("""COMPUTED_VALUE"""),"Consumer")</f>
        <v>Consumer</v>
      </c>
      <c r="J38" s="22" t="str">
        <f>IFERROR(__xludf.DUMMYFUNCTION("""COMPUTED_VALUE"""),"Pasadena")</f>
        <v>Pasadena</v>
      </c>
      <c r="K38" s="22" t="str">
        <f>IFERROR(__xludf.DUMMYFUNCTION("""COMPUTED_VALUE"""),"California")</f>
        <v>California</v>
      </c>
      <c r="L38" s="22" t="str">
        <f>IFERROR(__xludf.DUMMYFUNCTION("""COMPUTED_VALUE"""),"West")</f>
        <v>West</v>
      </c>
      <c r="M38" s="22" t="str">
        <f>IFERROR(__xludf.DUMMYFUNCTION("""COMPUTED_VALUE"""),"Office Supplies")</f>
        <v>Office Supplies</v>
      </c>
      <c r="N38" s="18">
        <f>IFERROR(__xludf.DUMMYFUNCTION("""COMPUTED_VALUE"""),671.93)</f>
        <v>671.93</v>
      </c>
      <c r="O38" s="18">
        <f>IFERROR(__xludf.DUMMYFUNCTION("""COMPUTED_VALUE"""),671.11)</f>
        <v>671.11</v>
      </c>
      <c r="P38" s="22">
        <f>IFERROR(__xludf.DUMMYFUNCTION("""COMPUTED_VALUE"""),9.0)</f>
        <v>9</v>
      </c>
      <c r="Q38" s="18">
        <f>IFERROR(__xludf.DUMMYFUNCTION("""COMPUTED_VALUE"""),6047.37)</f>
        <v>6047.37</v>
      </c>
      <c r="R38" s="18">
        <f>IFERROR(__xludf.DUMMYFUNCTION("""COMPUTED_VALUE"""),5376.26)</f>
        <v>5376.26</v>
      </c>
    </row>
    <row r="39">
      <c r="A39" s="21">
        <f>IFERROR(__xludf.DUMMYFUNCTION("""COMPUTED_VALUE"""),42521.0)</f>
        <v>42521</v>
      </c>
      <c r="B39" s="21" t="str">
        <f>IFERROR(__xludf.DUMMYFUNCTION("""COMPUTED_VALUE"""),"May")</f>
        <v>May</v>
      </c>
      <c r="C39" s="9">
        <f>IFERROR(__xludf.DUMMYFUNCTION("""COMPUTED_VALUE"""),42406.0)</f>
        <v>42406</v>
      </c>
      <c r="D39" s="23" t="str">
        <f>IFERROR(__xludf.DUMMYFUNCTION("""COMPUTED_VALUE"""),"Feb")</f>
        <v>Feb</v>
      </c>
      <c r="E39" s="21" t="str">
        <f>IFERROR(__xludf.DUMMYFUNCTION("""COMPUTED_VALUE"""),"2016")</f>
        <v>2016</v>
      </c>
      <c r="F39" s="22" t="str">
        <f>IFERROR(__xludf.DUMMYFUNCTION("""COMPUTED_VALUE"""),"First Class")</f>
        <v>First Class</v>
      </c>
      <c r="G39" s="22" t="str">
        <f>IFERROR(__xludf.DUMMYFUNCTION("""COMPUTED_VALUE"""),"Stephanie")</f>
        <v>Stephanie</v>
      </c>
      <c r="H39" s="22" t="str">
        <f>IFERROR(__xludf.DUMMYFUNCTION("""COMPUTED_VALUE"""),"Phelps")</f>
        <v>Phelps</v>
      </c>
      <c r="I39" s="22" t="str">
        <f>IFERROR(__xludf.DUMMYFUNCTION("""COMPUTED_VALUE"""),"Corporate")</f>
        <v>Corporate</v>
      </c>
      <c r="J39" s="22" t="str">
        <f>IFERROR(__xludf.DUMMYFUNCTION("""COMPUTED_VALUE"""),"San Jose")</f>
        <v>San Jose</v>
      </c>
      <c r="K39" s="22" t="str">
        <f>IFERROR(__xludf.DUMMYFUNCTION("""COMPUTED_VALUE"""),"California")</f>
        <v>California</v>
      </c>
      <c r="L39" s="22" t="str">
        <f>IFERROR(__xludf.DUMMYFUNCTION("""COMPUTED_VALUE"""),"West")</f>
        <v>West</v>
      </c>
      <c r="M39" s="22" t="str">
        <f>IFERROR(__xludf.DUMMYFUNCTION("""COMPUTED_VALUE"""),"Office Supplies")</f>
        <v>Office Supplies</v>
      </c>
      <c r="N39" s="18">
        <f>IFERROR(__xludf.DUMMYFUNCTION("""COMPUTED_VALUE"""),58.38)</f>
        <v>58.38</v>
      </c>
      <c r="O39" s="18">
        <f>IFERROR(__xludf.DUMMYFUNCTION("""COMPUTED_VALUE"""),57.9)</f>
        <v>57.9</v>
      </c>
      <c r="P39" s="22">
        <f>IFERROR(__xludf.DUMMYFUNCTION("""COMPUTED_VALUE"""),9.0)</f>
        <v>9</v>
      </c>
      <c r="Q39" s="18">
        <f>IFERROR(__xludf.DUMMYFUNCTION("""COMPUTED_VALUE"""),525.4200000000001)</f>
        <v>525.42</v>
      </c>
      <c r="R39" s="18">
        <f>IFERROR(__xludf.DUMMYFUNCTION("""COMPUTED_VALUE"""),467.5200000000001)</f>
        <v>467.52</v>
      </c>
    </row>
    <row r="40">
      <c r="A40" s="21">
        <f>IFERROR(__xludf.DUMMYFUNCTION("""COMPUTED_VALUE"""),42521.0)</f>
        <v>42521</v>
      </c>
      <c r="B40" s="21" t="str">
        <f>IFERROR(__xludf.DUMMYFUNCTION("""COMPUTED_VALUE"""),"May")</f>
        <v>May</v>
      </c>
      <c r="C40" s="9">
        <f>IFERROR(__xludf.DUMMYFUNCTION("""COMPUTED_VALUE"""),42406.0)</f>
        <v>42406</v>
      </c>
      <c r="D40" s="23" t="str">
        <f>IFERROR(__xludf.DUMMYFUNCTION("""COMPUTED_VALUE"""),"Feb")</f>
        <v>Feb</v>
      </c>
      <c r="E40" s="21" t="str">
        <f>IFERROR(__xludf.DUMMYFUNCTION("""COMPUTED_VALUE"""),"2016")</f>
        <v>2016</v>
      </c>
      <c r="F40" s="22" t="str">
        <f>IFERROR(__xludf.DUMMYFUNCTION("""COMPUTED_VALUE"""),"First Class")</f>
        <v>First Class</v>
      </c>
      <c r="G40" s="22" t="str">
        <f>IFERROR(__xludf.DUMMYFUNCTION("""COMPUTED_VALUE"""),"Stephanie")</f>
        <v>Stephanie</v>
      </c>
      <c r="H40" s="22" t="str">
        <f>IFERROR(__xludf.DUMMYFUNCTION("""COMPUTED_VALUE"""),"Phelps")</f>
        <v>Phelps</v>
      </c>
      <c r="I40" s="22" t="str">
        <f>IFERROR(__xludf.DUMMYFUNCTION("""COMPUTED_VALUE"""),"Corporate")</f>
        <v>Corporate</v>
      </c>
      <c r="J40" s="22" t="str">
        <f>IFERROR(__xludf.DUMMYFUNCTION("""COMPUTED_VALUE"""),"San Jose")</f>
        <v>San Jose</v>
      </c>
      <c r="K40" s="22" t="str">
        <f>IFERROR(__xludf.DUMMYFUNCTION("""COMPUTED_VALUE"""),"California")</f>
        <v>California</v>
      </c>
      <c r="L40" s="22" t="str">
        <f>IFERROR(__xludf.DUMMYFUNCTION("""COMPUTED_VALUE"""),"West")</f>
        <v>West</v>
      </c>
      <c r="M40" s="22" t="str">
        <f>IFERROR(__xludf.DUMMYFUNCTION("""COMPUTED_VALUE"""),"Office Supplies")</f>
        <v>Office Supplies</v>
      </c>
      <c r="N40" s="18">
        <f>IFERROR(__xludf.DUMMYFUNCTION("""COMPUTED_VALUE"""),105.52)</f>
        <v>105.52</v>
      </c>
      <c r="O40" s="18">
        <f>IFERROR(__xludf.DUMMYFUNCTION("""COMPUTED_VALUE"""),104.63)</f>
        <v>104.63</v>
      </c>
      <c r="P40" s="22">
        <f>IFERROR(__xludf.DUMMYFUNCTION("""COMPUTED_VALUE"""),9.0)</f>
        <v>9</v>
      </c>
      <c r="Q40" s="18">
        <f>IFERROR(__xludf.DUMMYFUNCTION("""COMPUTED_VALUE"""),949.68)</f>
        <v>949.68</v>
      </c>
      <c r="R40" s="18">
        <f>IFERROR(__xludf.DUMMYFUNCTION("""COMPUTED_VALUE"""),845.05)</f>
        <v>845.05</v>
      </c>
    </row>
    <row r="41">
      <c r="A41" s="21">
        <f>IFERROR(__xludf.DUMMYFUNCTION("""COMPUTED_VALUE"""),42521.0)</f>
        <v>42521</v>
      </c>
      <c r="B41" s="21" t="str">
        <f>IFERROR(__xludf.DUMMYFUNCTION("""COMPUTED_VALUE"""),"May")</f>
        <v>May</v>
      </c>
      <c r="C41" s="9">
        <f>IFERROR(__xludf.DUMMYFUNCTION("""COMPUTED_VALUE"""),42406.0)</f>
        <v>42406</v>
      </c>
      <c r="D41" s="23" t="str">
        <f>IFERROR(__xludf.DUMMYFUNCTION("""COMPUTED_VALUE"""),"Feb")</f>
        <v>Feb</v>
      </c>
      <c r="E41" s="21" t="str">
        <f>IFERROR(__xludf.DUMMYFUNCTION("""COMPUTED_VALUE"""),"2016")</f>
        <v>2016</v>
      </c>
      <c r="F41" s="22" t="str">
        <f>IFERROR(__xludf.DUMMYFUNCTION("""COMPUTED_VALUE"""),"First Class")</f>
        <v>First Class</v>
      </c>
      <c r="G41" s="22" t="str">
        <f>IFERROR(__xludf.DUMMYFUNCTION("""COMPUTED_VALUE"""),"Stephanie")</f>
        <v>Stephanie</v>
      </c>
      <c r="H41" s="22" t="str">
        <f>IFERROR(__xludf.DUMMYFUNCTION("""COMPUTED_VALUE"""),"Phelps")</f>
        <v>Phelps</v>
      </c>
      <c r="I41" s="22" t="str">
        <f>IFERROR(__xludf.DUMMYFUNCTION("""COMPUTED_VALUE"""),"Corporate")</f>
        <v>Corporate</v>
      </c>
      <c r="J41" s="22" t="str">
        <f>IFERROR(__xludf.DUMMYFUNCTION("""COMPUTED_VALUE"""),"San Jose")</f>
        <v>San Jose</v>
      </c>
      <c r="K41" s="22" t="str">
        <f>IFERROR(__xludf.DUMMYFUNCTION("""COMPUTED_VALUE"""),"California")</f>
        <v>California</v>
      </c>
      <c r="L41" s="22" t="str">
        <f>IFERROR(__xludf.DUMMYFUNCTION("""COMPUTED_VALUE"""),"West")</f>
        <v>West</v>
      </c>
      <c r="M41" s="22" t="str">
        <f>IFERROR(__xludf.DUMMYFUNCTION("""COMPUTED_VALUE"""),"Office Supplies")</f>
        <v>Office Supplies</v>
      </c>
      <c r="N41" s="18">
        <f>IFERROR(__xludf.DUMMYFUNCTION("""COMPUTED_VALUE"""),80.88)</f>
        <v>80.88</v>
      </c>
      <c r="O41" s="18">
        <f>IFERROR(__xludf.DUMMYFUNCTION("""COMPUTED_VALUE"""),80.53)</f>
        <v>80.53</v>
      </c>
      <c r="P41" s="22">
        <f>IFERROR(__xludf.DUMMYFUNCTION("""COMPUTED_VALUE"""),9.0)</f>
        <v>9</v>
      </c>
      <c r="Q41" s="18">
        <f>IFERROR(__xludf.DUMMYFUNCTION("""COMPUTED_VALUE"""),727.92)</f>
        <v>727.92</v>
      </c>
      <c r="R41" s="18">
        <f>IFERROR(__xludf.DUMMYFUNCTION("""COMPUTED_VALUE"""),647.39)</f>
        <v>647.39</v>
      </c>
    </row>
    <row r="42">
      <c r="A42" s="21">
        <f>IFERROR(__xludf.DUMMYFUNCTION("""COMPUTED_VALUE"""),43044.0)</f>
        <v>43044</v>
      </c>
      <c r="B42" s="21" t="str">
        <f>IFERROR(__xludf.DUMMYFUNCTION("""COMPUTED_VALUE"""),"Nov")</f>
        <v>Nov</v>
      </c>
      <c r="C42" s="9">
        <f>IFERROR(__xludf.DUMMYFUNCTION("""COMPUTED_VALUE"""),43074.0)</f>
        <v>43074</v>
      </c>
      <c r="D42" s="23" t="str">
        <f>IFERROR(__xludf.DUMMYFUNCTION("""COMPUTED_VALUE"""),"Dec")</f>
        <v>Dec</v>
      </c>
      <c r="E42" s="21" t="str">
        <f>IFERROR(__xludf.DUMMYFUNCTION("""COMPUTED_VALUE"""),"2017")</f>
        <v>2017</v>
      </c>
      <c r="F42" s="22" t="str">
        <f>IFERROR(__xludf.DUMMYFUNCTION("""COMPUTED_VALUE"""),"First Class")</f>
        <v>First Class</v>
      </c>
      <c r="G42" s="22" t="str">
        <f>IFERROR(__xludf.DUMMYFUNCTION("""COMPUTED_VALUE"""),"Ted")</f>
        <v>Ted</v>
      </c>
      <c r="H42" s="22" t="str">
        <f>IFERROR(__xludf.DUMMYFUNCTION("""COMPUTED_VALUE"""),"Trevino")</f>
        <v>Trevino</v>
      </c>
      <c r="I42" s="22" t="str">
        <f>IFERROR(__xludf.DUMMYFUNCTION("""COMPUTED_VALUE"""),"Consumer")</f>
        <v>Consumer</v>
      </c>
      <c r="J42" s="22" t="str">
        <f>IFERROR(__xludf.DUMMYFUNCTION("""COMPUTED_VALUE"""),"Los Angeles")</f>
        <v>Los Angeles</v>
      </c>
      <c r="K42" s="22" t="str">
        <f>IFERROR(__xludf.DUMMYFUNCTION("""COMPUTED_VALUE"""),"California")</f>
        <v>California</v>
      </c>
      <c r="L42" s="22" t="str">
        <f>IFERROR(__xludf.DUMMYFUNCTION("""COMPUTED_VALUE"""),"West")</f>
        <v>West</v>
      </c>
      <c r="M42" s="22" t="str">
        <f>IFERROR(__xludf.DUMMYFUNCTION("""COMPUTED_VALUE"""),"Office Supplies")</f>
        <v>Office Supplies</v>
      </c>
      <c r="N42" s="18">
        <f>IFERROR(__xludf.DUMMYFUNCTION("""COMPUTED_VALUE"""),5.98)</f>
        <v>5.98</v>
      </c>
      <c r="O42" s="18">
        <f>IFERROR(__xludf.DUMMYFUNCTION("""COMPUTED_VALUE"""),5.79)</f>
        <v>5.79</v>
      </c>
      <c r="P42" s="22">
        <f>IFERROR(__xludf.DUMMYFUNCTION("""COMPUTED_VALUE"""),9.0)</f>
        <v>9</v>
      </c>
      <c r="Q42" s="18">
        <f>IFERROR(__xludf.DUMMYFUNCTION("""COMPUTED_VALUE"""),53.82000000000001)</f>
        <v>53.82</v>
      </c>
      <c r="R42" s="18">
        <f>IFERROR(__xludf.DUMMYFUNCTION("""COMPUTED_VALUE"""),48.03000000000001)</f>
        <v>48.03</v>
      </c>
    </row>
    <row r="43">
      <c r="A43" s="21">
        <f>IFERROR(__xludf.DUMMYFUNCTION("""COMPUTED_VALUE"""),42132.0)</f>
        <v>42132</v>
      </c>
      <c r="B43" s="21" t="str">
        <f>IFERROR(__xludf.DUMMYFUNCTION("""COMPUTED_VALUE"""),"May")</f>
        <v>May</v>
      </c>
      <c r="C43" s="9">
        <f>IFERROR(__xludf.DUMMYFUNCTION("""COMPUTED_VALUE"""),42255.0)</f>
        <v>42255</v>
      </c>
      <c r="D43" s="23" t="str">
        <f>IFERROR(__xludf.DUMMYFUNCTION("""COMPUTED_VALUE"""),"Sep")</f>
        <v>Sep</v>
      </c>
      <c r="E43" s="21" t="str">
        <f>IFERROR(__xludf.DUMMYFUNCTION("""COMPUTED_VALUE"""),"2015")</f>
        <v>2015</v>
      </c>
      <c r="F43" s="22" t="str">
        <f>IFERROR(__xludf.DUMMYFUNCTION("""COMPUTED_VALUE"""),"Standard Class")</f>
        <v>Standard Class</v>
      </c>
      <c r="G43" s="22" t="str">
        <f>IFERROR(__xludf.DUMMYFUNCTION("""COMPUTED_VALUE"""),"Chad")</f>
        <v>Chad</v>
      </c>
      <c r="H43" s="22" t="str">
        <f>IFERROR(__xludf.DUMMYFUNCTION("""COMPUTED_VALUE"""),"Sievert")</f>
        <v>Sievert</v>
      </c>
      <c r="I43" s="22" t="str">
        <f>IFERROR(__xludf.DUMMYFUNCTION("""COMPUTED_VALUE"""),"Consumer")</f>
        <v>Consumer</v>
      </c>
      <c r="J43" s="22" t="str">
        <f>IFERROR(__xludf.DUMMYFUNCTION("""COMPUTED_VALUE"""),"Los Angeles")</f>
        <v>Los Angeles</v>
      </c>
      <c r="K43" s="22" t="str">
        <f>IFERROR(__xludf.DUMMYFUNCTION("""COMPUTED_VALUE"""),"California")</f>
        <v>California</v>
      </c>
      <c r="L43" s="22" t="str">
        <f>IFERROR(__xludf.DUMMYFUNCTION("""COMPUTED_VALUE"""),"West")</f>
        <v>West</v>
      </c>
      <c r="M43" s="22" t="str">
        <f>IFERROR(__xludf.DUMMYFUNCTION("""COMPUTED_VALUE"""),"Office Supplies")</f>
        <v>Office Supplies</v>
      </c>
      <c r="N43" s="18">
        <f>IFERROR(__xludf.DUMMYFUNCTION("""COMPUTED_VALUE"""),20.94)</f>
        <v>20.94</v>
      </c>
      <c r="O43" s="18">
        <f>IFERROR(__xludf.DUMMYFUNCTION("""COMPUTED_VALUE"""),20.32)</f>
        <v>20.32</v>
      </c>
      <c r="P43" s="22">
        <f>IFERROR(__xludf.DUMMYFUNCTION("""COMPUTED_VALUE"""),9.0)</f>
        <v>9</v>
      </c>
      <c r="Q43" s="18">
        <f>IFERROR(__xludf.DUMMYFUNCTION("""COMPUTED_VALUE"""),188.46)</f>
        <v>188.46</v>
      </c>
      <c r="R43" s="18">
        <f>IFERROR(__xludf.DUMMYFUNCTION("""COMPUTED_VALUE"""),168.14000000000001)</f>
        <v>168.14</v>
      </c>
    </row>
    <row r="44">
      <c r="A44" s="21">
        <f>IFERROR(__xludf.DUMMYFUNCTION("""COMPUTED_VALUE"""),42132.0)</f>
        <v>42132</v>
      </c>
      <c r="B44" s="21" t="str">
        <f>IFERROR(__xludf.DUMMYFUNCTION("""COMPUTED_VALUE"""),"May")</f>
        <v>May</v>
      </c>
      <c r="C44" s="9">
        <f>IFERROR(__xludf.DUMMYFUNCTION("""COMPUTED_VALUE"""),42255.0)</f>
        <v>42255</v>
      </c>
      <c r="D44" s="23" t="str">
        <f>IFERROR(__xludf.DUMMYFUNCTION("""COMPUTED_VALUE"""),"Sep")</f>
        <v>Sep</v>
      </c>
      <c r="E44" s="21" t="str">
        <f>IFERROR(__xludf.DUMMYFUNCTION("""COMPUTED_VALUE"""),"2015")</f>
        <v>2015</v>
      </c>
      <c r="F44" s="22" t="str">
        <f>IFERROR(__xludf.DUMMYFUNCTION("""COMPUTED_VALUE"""),"Standard Class")</f>
        <v>Standard Class</v>
      </c>
      <c r="G44" s="22" t="str">
        <f>IFERROR(__xludf.DUMMYFUNCTION("""COMPUTED_VALUE"""),"Chad")</f>
        <v>Chad</v>
      </c>
      <c r="H44" s="22" t="str">
        <f>IFERROR(__xludf.DUMMYFUNCTION("""COMPUTED_VALUE"""),"Sievert")</f>
        <v>Sievert</v>
      </c>
      <c r="I44" s="22" t="str">
        <f>IFERROR(__xludf.DUMMYFUNCTION("""COMPUTED_VALUE"""),"Consumer")</f>
        <v>Consumer</v>
      </c>
      <c r="J44" s="22" t="str">
        <f>IFERROR(__xludf.DUMMYFUNCTION("""COMPUTED_VALUE"""),"Los Angeles")</f>
        <v>Los Angeles</v>
      </c>
      <c r="K44" s="22" t="str">
        <f>IFERROR(__xludf.DUMMYFUNCTION("""COMPUTED_VALUE"""),"California")</f>
        <v>California</v>
      </c>
      <c r="L44" s="22" t="str">
        <f>IFERROR(__xludf.DUMMYFUNCTION("""COMPUTED_VALUE"""),"West")</f>
        <v>West</v>
      </c>
      <c r="M44" s="22" t="str">
        <f>IFERROR(__xludf.DUMMYFUNCTION("""COMPUTED_VALUE"""),"Office Supplies")</f>
        <v>Office Supplies</v>
      </c>
      <c r="N44" s="18">
        <f>IFERROR(__xludf.DUMMYFUNCTION("""COMPUTED_VALUE"""),110.96)</f>
        <v>110.96</v>
      </c>
      <c r="O44" s="18">
        <f>IFERROR(__xludf.DUMMYFUNCTION("""COMPUTED_VALUE"""),110.3)</f>
        <v>110.3</v>
      </c>
      <c r="P44" s="22">
        <f>IFERROR(__xludf.DUMMYFUNCTION("""COMPUTED_VALUE"""),9.0)</f>
        <v>9</v>
      </c>
      <c r="Q44" s="18">
        <f>IFERROR(__xludf.DUMMYFUNCTION("""COMPUTED_VALUE"""),998.64)</f>
        <v>998.64</v>
      </c>
      <c r="R44" s="18">
        <f>IFERROR(__xludf.DUMMYFUNCTION("""COMPUTED_VALUE"""),888.34)</f>
        <v>888.34</v>
      </c>
    </row>
    <row r="45">
      <c r="A45" s="21">
        <f>IFERROR(__xludf.DUMMYFUNCTION("""COMPUTED_VALUE"""),42132.0)</f>
        <v>42132</v>
      </c>
      <c r="B45" s="21" t="str">
        <f>IFERROR(__xludf.DUMMYFUNCTION("""COMPUTED_VALUE"""),"May")</f>
        <v>May</v>
      </c>
      <c r="C45" s="9">
        <f>IFERROR(__xludf.DUMMYFUNCTION("""COMPUTED_VALUE"""),42255.0)</f>
        <v>42255</v>
      </c>
      <c r="D45" s="23" t="str">
        <f>IFERROR(__xludf.DUMMYFUNCTION("""COMPUTED_VALUE"""),"Sep")</f>
        <v>Sep</v>
      </c>
      <c r="E45" s="21" t="str">
        <f>IFERROR(__xludf.DUMMYFUNCTION("""COMPUTED_VALUE"""),"2015")</f>
        <v>2015</v>
      </c>
      <c r="F45" s="22" t="str">
        <f>IFERROR(__xludf.DUMMYFUNCTION("""COMPUTED_VALUE"""),"Standard Class")</f>
        <v>Standard Class</v>
      </c>
      <c r="G45" s="22" t="str">
        <f>IFERROR(__xludf.DUMMYFUNCTION("""COMPUTED_VALUE"""),"Chad")</f>
        <v>Chad</v>
      </c>
      <c r="H45" s="22" t="str">
        <f>IFERROR(__xludf.DUMMYFUNCTION("""COMPUTED_VALUE"""),"Sievert")</f>
        <v>Sievert</v>
      </c>
      <c r="I45" s="22" t="str">
        <f>IFERROR(__xludf.DUMMYFUNCTION("""COMPUTED_VALUE"""),"Consumer")</f>
        <v>Consumer</v>
      </c>
      <c r="J45" s="22" t="str">
        <f>IFERROR(__xludf.DUMMYFUNCTION("""COMPUTED_VALUE"""),"Los Angeles")</f>
        <v>Los Angeles</v>
      </c>
      <c r="K45" s="22" t="str">
        <f>IFERROR(__xludf.DUMMYFUNCTION("""COMPUTED_VALUE"""),"California")</f>
        <v>California</v>
      </c>
      <c r="L45" s="22" t="str">
        <f>IFERROR(__xludf.DUMMYFUNCTION("""COMPUTED_VALUE"""),"West")</f>
        <v>West</v>
      </c>
      <c r="M45" s="22" t="str">
        <f>IFERROR(__xludf.DUMMYFUNCTION("""COMPUTED_VALUE"""),"Furniture")</f>
        <v>Furniture</v>
      </c>
      <c r="N45" s="18">
        <f>IFERROR(__xludf.DUMMYFUNCTION("""COMPUTED_VALUE"""),340.144)</f>
        <v>340.144</v>
      </c>
      <c r="O45" s="18">
        <f>IFERROR(__xludf.DUMMYFUNCTION("""COMPUTED_VALUE"""),339.46)</f>
        <v>339.46</v>
      </c>
      <c r="P45" s="22">
        <f>IFERROR(__xludf.DUMMYFUNCTION("""COMPUTED_VALUE"""),9.0)</f>
        <v>9</v>
      </c>
      <c r="Q45" s="18">
        <f>IFERROR(__xludf.DUMMYFUNCTION("""COMPUTED_VALUE"""),3061.2960000000003)</f>
        <v>3061.296</v>
      </c>
      <c r="R45" s="18">
        <f>IFERROR(__xludf.DUMMYFUNCTION("""COMPUTED_VALUE"""),2721.8360000000002)</f>
        <v>2721.836</v>
      </c>
    </row>
    <row r="46">
      <c r="A46" s="21">
        <f>IFERROR(__xludf.DUMMYFUNCTION("""COMPUTED_VALUE"""),42242.0)</f>
        <v>42242</v>
      </c>
      <c r="B46" s="21" t="str">
        <f>IFERROR(__xludf.DUMMYFUNCTION("""COMPUTED_VALUE"""),"Aug")</f>
        <v>Aug</v>
      </c>
      <c r="C46" s="9">
        <f>IFERROR(__xludf.DUMMYFUNCTION("""COMPUTED_VALUE"""),42246.0)</f>
        <v>42246</v>
      </c>
      <c r="D46" s="23" t="str">
        <f>IFERROR(__xludf.DUMMYFUNCTION("""COMPUTED_VALUE"""),"Aug")</f>
        <v>Aug</v>
      </c>
      <c r="E46" s="21" t="str">
        <f>IFERROR(__xludf.DUMMYFUNCTION("""COMPUTED_VALUE"""),"2015")</f>
        <v>2015</v>
      </c>
      <c r="F46" s="22" t="str">
        <f>IFERROR(__xludf.DUMMYFUNCTION("""COMPUTED_VALUE"""),"Standard Class")</f>
        <v>Standard Class</v>
      </c>
      <c r="G46" s="22" t="str">
        <f>IFERROR(__xludf.DUMMYFUNCTION("""COMPUTED_VALUE"""),"Frank")</f>
        <v>Frank</v>
      </c>
      <c r="H46" s="22" t="str">
        <f>IFERROR(__xludf.DUMMYFUNCTION("""COMPUTED_VALUE"""),"Merwin")</f>
        <v>Merwin</v>
      </c>
      <c r="I46" s="22" t="str">
        <f>IFERROR(__xludf.DUMMYFUNCTION("""COMPUTED_VALUE"""),"Home Office")</f>
        <v>Home Office</v>
      </c>
      <c r="J46" s="22" t="str">
        <f>IFERROR(__xludf.DUMMYFUNCTION("""COMPUTED_VALUE"""),"Los Angeles")</f>
        <v>Los Angeles</v>
      </c>
      <c r="K46" s="22" t="str">
        <f>IFERROR(__xludf.DUMMYFUNCTION("""COMPUTED_VALUE"""),"California")</f>
        <v>California</v>
      </c>
      <c r="L46" s="22" t="str">
        <f>IFERROR(__xludf.DUMMYFUNCTION("""COMPUTED_VALUE"""),"West")</f>
        <v>West</v>
      </c>
      <c r="M46" s="22" t="str">
        <f>IFERROR(__xludf.DUMMYFUNCTION("""COMPUTED_VALUE"""),"Technology")</f>
        <v>Technology</v>
      </c>
      <c r="N46" s="18">
        <f>IFERROR(__xludf.DUMMYFUNCTION("""COMPUTED_VALUE"""),176.8)</f>
        <v>176.8</v>
      </c>
      <c r="O46" s="18">
        <f>IFERROR(__xludf.DUMMYFUNCTION("""COMPUTED_VALUE"""),176.49)</f>
        <v>176.49</v>
      </c>
      <c r="P46" s="22">
        <f>IFERROR(__xludf.DUMMYFUNCTION("""COMPUTED_VALUE"""),9.0)</f>
        <v>9</v>
      </c>
      <c r="Q46" s="18">
        <f>IFERROR(__xludf.DUMMYFUNCTION("""COMPUTED_VALUE"""),1591.2)</f>
        <v>1591.2</v>
      </c>
      <c r="R46" s="18">
        <f>IFERROR(__xludf.DUMMYFUNCTION("""COMPUTED_VALUE"""),1414.71)</f>
        <v>1414.71</v>
      </c>
    </row>
    <row r="47">
      <c r="A47" s="21">
        <f>IFERROR(__xludf.DUMMYFUNCTION("""COMPUTED_VALUE"""),42674.0)</f>
        <v>42674</v>
      </c>
      <c r="B47" s="21" t="str">
        <f>IFERROR(__xludf.DUMMYFUNCTION("""COMPUTED_VALUE"""),"Oct")</f>
        <v>Oct</v>
      </c>
      <c r="C47" s="9">
        <f>IFERROR(__xludf.DUMMYFUNCTION("""COMPUTED_VALUE"""),42532.0)</f>
        <v>42532</v>
      </c>
      <c r="D47" s="23" t="str">
        <f>IFERROR(__xludf.DUMMYFUNCTION("""COMPUTED_VALUE"""),"Jun")</f>
        <v>Jun</v>
      </c>
      <c r="E47" s="21" t="str">
        <f>IFERROR(__xludf.DUMMYFUNCTION("""COMPUTED_VALUE"""),"2016")</f>
        <v>2016</v>
      </c>
      <c r="F47" s="22" t="str">
        <f>IFERROR(__xludf.DUMMYFUNCTION("""COMPUTED_VALUE"""),"Standard Class")</f>
        <v>Standard Class</v>
      </c>
      <c r="G47" s="22" t="str">
        <f>IFERROR(__xludf.DUMMYFUNCTION("""COMPUTED_VALUE"""),"Mary")</f>
        <v>Mary</v>
      </c>
      <c r="H47" s="22" t="str">
        <f>IFERROR(__xludf.DUMMYFUNCTION("""COMPUTED_VALUE"""),"Zewe")</f>
        <v>Zewe</v>
      </c>
      <c r="I47" s="22" t="str">
        <f>IFERROR(__xludf.DUMMYFUNCTION("""COMPUTED_VALUE"""),"Corporate")</f>
        <v>Corporate</v>
      </c>
      <c r="J47" s="22" t="str">
        <f>IFERROR(__xludf.DUMMYFUNCTION("""COMPUTED_VALUE"""),"Redlands")</f>
        <v>Redlands</v>
      </c>
      <c r="K47" s="22" t="str">
        <f>IFERROR(__xludf.DUMMYFUNCTION("""COMPUTED_VALUE"""),"California")</f>
        <v>California</v>
      </c>
      <c r="L47" s="22" t="str">
        <f>IFERROR(__xludf.DUMMYFUNCTION("""COMPUTED_VALUE"""),"West")</f>
        <v>West</v>
      </c>
      <c r="M47" s="22" t="str">
        <f>IFERROR(__xludf.DUMMYFUNCTION("""COMPUTED_VALUE"""),"Office Supplies")</f>
        <v>Office Supplies</v>
      </c>
      <c r="N47" s="18">
        <f>IFERROR(__xludf.DUMMYFUNCTION("""COMPUTED_VALUE"""),14.28)</f>
        <v>14.28</v>
      </c>
      <c r="O47" s="18">
        <f>IFERROR(__xludf.DUMMYFUNCTION("""COMPUTED_VALUE"""),14.19)</f>
        <v>14.19</v>
      </c>
      <c r="P47" s="22">
        <f>IFERROR(__xludf.DUMMYFUNCTION("""COMPUTED_VALUE"""),9.0)</f>
        <v>9</v>
      </c>
      <c r="Q47" s="18">
        <f>IFERROR(__xludf.DUMMYFUNCTION("""COMPUTED_VALUE"""),128.51999999999998)</f>
        <v>128.52</v>
      </c>
      <c r="R47" s="18">
        <f>IFERROR(__xludf.DUMMYFUNCTION("""COMPUTED_VALUE"""),114.32999999999998)</f>
        <v>114.33</v>
      </c>
    </row>
    <row r="48">
      <c r="A48" s="21">
        <f>IFERROR(__xludf.DUMMYFUNCTION("""COMPUTED_VALUE"""),43355.0)</f>
        <v>43355</v>
      </c>
      <c r="B48" s="21" t="str">
        <f>IFERROR(__xludf.DUMMYFUNCTION("""COMPUTED_VALUE"""),"Sep")</f>
        <v>Sep</v>
      </c>
      <c r="C48" s="9">
        <f>IFERROR(__xludf.DUMMYFUNCTION("""COMPUTED_VALUE"""),43448.0)</f>
        <v>43448</v>
      </c>
      <c r="D48" s="23" t="str">
        <f>IFERROR(__xludf.DUMMYFUNCTION("""COMPUTED_VALUE"""),"Dec")</f>
        <v>Dec</v>
      </c>
      <c r="E48" s="21" t="str">
        <f>IFERROR(__xludf.DUMMYFUNCTION("""COMPUTED_VALUE"""),"2018")</f>
        <v>2018</v>
      </c>
      <c r="F48" s="22" t="str">
        <f>IFERROR(__xludf.DUMMYFUNCTION("""COMPUTED_VALUE"""),"Standard Class")</f>
        <v>Standard Class</v>
      </c>
      <c r="G48" s="22" t="str">
        <f>IFERROR(__xludf.DUMMYFUNCTION("""COMPUTED_VALUE"""),"Laurel")</f>
        <v>Laurel</v>
      </c>
      <c r="H48" s="22" t="str">
        <f>IFERROR(__xludf.DUMMYFUNCTION("""COMPUTED_VALUE"""),"Elliston")</f>
        <v>Elliston</v>
      </c>
      <c r="I48" s="22" t="str">
        <f>IFERROR(__xludf.DUMMYFUNCTION("""COMPUTED_VALUE"""),"Consumer")</f>
        <v>Consumer</v>
      </c>
      <c r="J48" s="22" t="str">
        <f>IFERROR(__xludf.DUMMYFUNCTION("""COMPUTED_VALUE"""),"Whittier")</f>
        <v>Whittier</v>
      </c>
      <c r="K48" s="22" t="str">
        <f>IFERROR(__xludf.DUMMYFUNCTION("""COMPUTED_VALUE"""),"California")</f>
        <v>California</v>
      </c>
      <c r="L48" s="22" t="str">
        <f>IFERROR(__xludf.DUMMYFUNCTION("""COMPUTED_VALUE"""),"West")</f>
        <v>West</v>
      </c>
      <c r="M48" s="22" t="str">
        <f>IFERROR(__xludf.DUMMYFUNCTION("""COMPUTED_VALUE"""),"Technology")</f>
        <v>Technology</v>
      </c>
      <c r="N48" s="18">
        <f>IFERROR(__xludf.DUMMYFUNCTION("""COMPUTED_VALUE"""),444.768)</f>
        <v>444.768</v>
      </c>
      <c r="O48" s="18">
        <f>IFERROR(__xludf.DUMMYFUNCTION("""COMPUTED_VALUE"""),444.02)</f>
        <v>444.02</v>
      </c>
      <c r="P48" s="22">
        <f>IFERROR(__xludf.DUMMYFUNCTION("""COMPUTED_VALUE"""),9.0)</f>
        <v>9</v>
      </c>
      <c r="Q48" s="18">
        <f>IFERROR(__xludf.DUMMYFUNCTION("""COMPUTED_VALUE"""),4002.912)</f>
        <v>4002.912</v>
      </c>
      <c r="R48" s="18">
        <f>IFERROR(__xludf.DUMMYFUNCTION("""COMPUTED_VALUE"""),3558.892)</f>
        <v>3558.892</v>
      </c>
    </row>
    <row r="49">
      <c r="A49" s="21">
        <f>IFERROR(__xludf.DUMMYFUNCTION("""COMPUTED_VALUE"""),43036.0)</f>
        <v>43036</v>
      </c>
      <c r="B49" s="21" t="str">
        <f>IFERROR(__xludf.DUMMYFUNCTION("""COMPUTED_VALUE"""),"Oct")</f>
        <v>Oct</v>
      </c>
      <c r="C49" s="9">
        <f>IFERROR(__xludf.DUMMYFUNCTION("""COMPUTED_VALUE"""),42746.0)</f>
        <v>42746</v>
      </c>
      <c r="D49" s="23" t="str">
        <f>IFERROR(__xludf.DUMMYFUNCTION("""COMPUTED_VALUE"""),"Jan")</f>
        <v>Jan</v>
      </c>
      <c r="E49" s="21" t="str">
        <f>IFERROR(__xludf.DUMMYFUNCTION("""COMPUTED_VALUE"""),"2017")</f>
        <v>2017</v>
      </c>
      <c r="F49" s="22" t="str">
        <f>IFERROR(__xludf.DUMMYFUNCTION("""COMPUTED_VALUE"""),"Standard Class")</f>
        <v>Standard Class</v>
      </c>
      <c r="G49" s="22" t="str">
        <f>IFERROR(__xludf.DUMMYFUNCTION("""COMPUTED_VALUE"""),"Jonathan")</f>
        <v>Jonathan</v>
      </c>
      <c r="H49" s="22" t="str">
        <f>IFERROR(__xludf.DUMMYFUNCTION("""COMPUTED_VALUE"""),"Howell")</f>
        <v>Howell</v>
      </c>
      <c r="I49" s="22" t="str">
        <f>IFERROR(__xludf.DUMMYFUNCTION("""COMPUTED_VALUE"""),"Consumer")</f>
        <v>Consumer</v>
      </c>
      <c r="J49" s="22" t="str">
        <f>IFERROR(__xludf.DUMMYFUNCTION("""COMPUTED_VALUE"""),"Los Angeles")</f>
        <v>Los Angeles</v>
      </c>
      <c r="K49" s="22" t="str">
        <f>IFERROR(__xludf.DUMMYFUNCTION("""COMPUTED_VALUE"""),"California")</f>
        <v>California</v>
      </c>
      <c r="L49" s="22" t="str">
        <f>IFERROR(__xludf.DUMMYFUNCTION("""COMPUTED_VALUE"""),"West")</f>
        <v>West</v>
      </c>
      <c r="M49" s="22" t="str">
        <f>IFERROR(__xludf.DUMMYFUNCTION("""COMPUTED_VALUE"""),"Office Supplies")</f>
        <v>Office Supplies</v>
      </c>
      <c r="N49" s="18">
        <f>IFERROR(__xludf.DUMMYFUNCTION("""COMPUTED_VALUE"""),93.06)</f>
        <v>93.06</v>
      </c>
      <c r="O49" s="18">
        <f>IFERROR(__xludf.DUMMYFUNCTION("""COMPUTED_VALUE"""),92.37)</f>
        <v>92.37</v>
      </c>
      <c r="P49" s="22">
        <f>IFERROR(__xludf.DUMMYFUNCTION("""COMPUTED_VALUE"""),9.0)</f>
        <v>9</v>
      </c>
      <c r="Q49" s="18">
        <f>IFERROR(__xludf.DUMMYFUNCTION("""COMPUTED_VALUE"""),837.54)</f>
        <v>837.54</v>
      </c>
      <c r="R49" s="18">
        <f>IFERROR(__xludf.DUMMYFUNCTION("""COMPUTED_VALUE"""),745.17)</f>
        <v>745.17</v>
      </c>
    </row>
    <row r="50">
      <c r="A50" s="21">
        <f>IFERROR(__xludf.DUMMYFUNCTION("""COMPUTED_VALUE"""),43036.0)</f>
        <v>43036</v>
      </c>
      <c r="B50" s="21" t="str">
        <f>IFERROR(__xludf.DUMMYFUNCTION("""COMPUTED_VALUE"""),"Oct")</f>
        <v>Oct</v>
      </c>
      <c r="C50" s="9">
        <f>IFERROR(__xludf.DUMMYFUNCTION("""COMPUTED_VALUE"""),42746.0)</f>
        <v>42746</v>
      </c>
      <c r="D50" s="23" t="str">
        <f>IFERROR(__xludf.DUMMYFUNCTION("""COMPUTED_VALUE"""),"Jan")</f>
        <v>Jan</v>
      </c>
      <c r="E50" s="21" t="str">
        <f>IFERROR(__xludf.DUMMYFUNCTION("""COMPUTED_VALUE"""),"2017")</f>
        <v>2017</v>
      </c>
      <c r="F50" s="22" t="str">
        <f>IFERROR(__xludf.DUMMYFUNCTION("""COMPUTED_VALUE"""),"Standard Class")</f>
        <v>Standard Class</v>
      </c>
      <c r="G50" s="22" t="str">
        <f>IFERROR(__xludf.DUMMYFUNCTION("""COMPUTED_VALUE"""),"Jonathan")</f>
        <v>Jonathan</v>
      </c>
      <c r="H50" s="22" t="str">
        <f>IFERROR(__xludf.DUMMYFUNCTION("""COMPUTED_VALUE"""),"Howell")</f>
        <v>Howell</v>
      </c>
      <c r="I50" s="22" t="str">
        <f>IFERROR(__xludf.DUMMYFUNCTION("""COMPUTED_VALUE"""),"Consumer")</f>
        <v>Consumer</v>
      </c>
      <c r="J50" s="22" t="str">
        <f>IFERROR(__xludf.DUMMYFUNCTION("""COMPUTED_VALUE"""),"Los Angeles")</f>
        <v>Los Angeles</v>
      </c>
      <c r="K50" s="22" t="str">
        <f>IFERROR(__xludf.DUMMYFUNCTION("""COMPUTED_VALUE"""),"California")</f>
        <v>California</v>
      </c>
      <c r="L50" s="22" t="str">
        <f>IFERROR(__xludf.DUMMYFUNCTION("""COMPUTED_VALUE"""),"West")</f>
        <v>West</v>
      </c>
      <c r="M50" s="22" t="str">
        <f>IFERROR(__xludf.DUMMYFUNCTION("""COMPUTED_VALUE"""),"Technology")</f>
        <v>Technology</v>
      </c>
      <c r="N50" s="18">
        <f>IFERROR(__xludf.DUMMYFUNCTION("""COMPUTED_VALUE"""),302.376)</f>
        <v>302.376</v>
      </c>
      <c r="O50" s="18">
        <f>IFERROR(__xludf.DUMMYFUNCTION("""COMPUTED_VALUE"""),301.89)</f>
        <v>301.89</v>
      </c>
      <c r="P50" s="22">
        <f>IFERROR(__xludf.DUMMYFUNCTION("""COMPUTED_VALUE"""),9.0)</f>
        <v>9</v>
      </c>
      <c r="Q50" s="18">
        <f>IFERROR(__xludf.DUMMYFUNCTION("""COMPUTED_VALUE"""),2721.384)</f>
        <v>2721.384</v>
      </c>
      <c r="R50" s="18">
        <f>IFERROR(__xludf.DUMMYFUNCTION("""COMPUTED_VALUE"""),2419.494)</f>
        <v>2419.494</v>
      </c>
    </row>
    <row r="51">
      <c r="A51" s="21">
        <f>IFERROR(__xludf.DUMMYFUNCTION("""COMPUTED_VALUE"""),43445.0)</f>
        <v>43445</v>
      </c>
      <c r="B51" s="21" t="str">
        <f>IFERROR(__xludf.DUMMYFUNCTION("""COMPUTED_VALUE"""),"Dec")</f>
        <v>Dec</v>
      </c>
      <c r="C51" s="9">
        <f>IFERROR(__xludf.DUMMYFUNCTION("""COMPUTED_VALUE"""),43420.0)</f>
        <v>43420</v>
      </c>
      <c r="D51" s="23" t="str">
        <f>IFERROR(__xludf.DUMMYFUNCTION("""COMPUTED_VALUE"""),"Nov")</f>
        <v>Nov</v>
      </c>
      <c r="E51" s="21" t="str">
        <f>IFERROR(__xludf.DUMMYFUNCTION("""COMPUTED_VALUE"""),"2018")</f>
        <v>2018</v>
      </c>
      <c r="F51" s="22" t="str">
        <f>IFERROR(__xludf.DUMMYFUNCTION("""COMPUTED_VALUE"""),"Standard Class")</f>
        <v>Standard Class</v>
      </c>
      <c r="G51" s="22" t="str">
        <f>IFERROR(__xludf.DUMMYFUNCTION("""COMPUTED_VALUE"""),"David")</f>
        <v>David</v>
      </c>
      <c r="H51" s="22" t="str">
        <f>IFERROR(__xludf.DUMMYFUNCTION("""COMPUTED_VALUE"""),"Bremer")</f>
        <v>Bremer</v>
      </c>
      <c r="I51" s="22" t="str">
        <f>IFERROR(__xludf.DUMMYFUNCTION("""COMPUTED_VALUE"""),"Corporate")</f>
        <v>Corporate</v>
      </c>
      <c r="J51" s="22" t="str">
        <f>IFERROR(__xludf.DUMMYFUNCTION("""COMPUTED_VALUE"""),"Santa Clara")</f>
        <v>Santa Clara</v>
      </c>
      <c r="K51" s="22" t="str">
        <f>IFERROR(__xludf.DUMMYFUNCTION("""COMPUTED_VALUE"""),"California")</f>
        <v>California</v>
      </c>
      <c r="L51" s="22" t="str">
        <f>IFERROR(__xludf.DUMMYFUNCTION("""COMPUTED_VALUE"""),"West")</f>
        <v>West</v>
      </c>
      <c r="M51" s="22" t="str">
        <f>IFERROR(__xludf.DUMMYFUNCTION("""COMPUTED_VALUE"""),"Office Supplies")</f>
        <v>Office Supplies</v>
      </c>
      <c r="N51" s="18">
        <f>IFERROR(__xludf.DUMMYFUNCTION("""COMPUTED_VALUE"""),10.56)</f>
        <v>10.56</v>
      </c>
      <c r="O51" s="18">
        <f>IFERROR(__xludf.DUMMYFUNCTION("""COMPUTED_VALUE"""),9.71)</f>
        <v>9.71</v>
      </c>
      <c r="P51" s="22">
        <f>IFERROR(__xludf.DUMMYFUNCTION("""COMPUTED_VALUE"""),9.0)</f>
        <v>9</v>
      </c>
      <c r="Q51" s="18">
        <f>IFERROR(__xludf.DUMMYFUNCTION("""COMPUTED_VALUE"""),95.04)</f>
        <v>95.04</v>
      </c>
      <c r="R51" s="18">
        <f>IFERROR(__xludf.DUMMYFUNCTION("""COMPUTED_VALUE"""),85.33000000000001)</f>
        <v>85.33</v>
      </c>
    </row>
    <row r="52">
      <c r="A52" s="21">
        <f>IFERROR(__xludf.DUMMYFUNCTION("""COMPUTED_VALUE"""),43020.0)</f>
        <v>43020</v>
      </c>
      <c r="B52" s="21" t="str">
        <f>IFERROR(__xludf.DUMMYFUNCTION("""COMPUTED_VALUE"""),"Oct")</f>
        <v>Oct</v>
      </c>
      <c r="C52" s="9">
        <f>IFERROR(__xludf.DUMMYFUNCTION("""COMPUTED_VALUE"""),43084.0)</f>
        <v>43084</v>
      </c>
      <c r="D52" s="23" t="str">
        <f>IFERROR(__xludf.DUMMYFUNCTION("""COMPUTED_VALUE"""),"Dec")</f>
        <v>Dec</v>
      </c>
      <c r="E52" s="21" t="str">
        <f>IFERROR(__xludf.DUMMYFUNCTION("""COMPUTED_VALUE"""),"2017")</f>
        <v>2017</v>
      </c>
      <c r="F52" s="22" t="str">
        <f>IFERROR(__xludf.DUMMYFUNCTION("""COMPUTED_VALUE"""),"Second Class")</f>
        <v>Second Class</v>
      </c>
      <c r="G52" s="22" t="str">
        <f>IFERROR(__xludf.DUMMYFUNCTION("""COMPUTED_VALUE"""),"Logan")</f>
        <v>Logan</v>
      </c>
      <c r="H52" s="22" t="str">
        <f>IFERROR(__xludf.DUMMYFUNCTION("""COMPUTED_VALUE"""),"Haushalter")</f>
        <v>Haushalter</v>
      </c>
      <c r="I52" s="22" t="str">
        <f>IFERROR(__xludf.DUMMYFUNCTION("""COMPUTED_VALUE"""),"Consumer")</f>
        <v>Consumer</v>
      </c>
      <c r="J52" s="22" t="str">
        <f>IFERROR(__xludf.DUMMYFUNCTION("""COMPUTED_VALUE"""),"San Francisco")</f>
        <v>San Francisco</v>
      </c>
      <c r="K52" s="22" t="str">
        <f>IFERROR(__xludf.DUMMYFUNCTION("""COMPUTED_VALUE"""),"California")</f>
        <v>California</v>
      </c>
      <c r="L52" s="22" t="str">
        <f>IFERROR(__xludf.DUMMYFUNCTION("""COMPUTED_VALUE"""),"West")</f>
        <v>West</v>
      </c>
      <c r="M52" s="22" t="str">
        <f>IFERROR(__xludf.DUMMYFUNCTION("""COMPUTED_VALUE"""),"Furniture")</f>
        <v>Furniture</v>
      </c>
      <c r="N52" s="18">
        <f>IFERROR(__xludf.DUMMYFUNCTION("""COMPUTED_VALUE"""),321.568)</f>
        <v>321.568</v>
      </c>
      <c r="O52" s="18">
        <f>IFERROR(__xludf.DUMMYFUNCTION("""COMPUTED_VALUE"""),320.85)</f>
        <v>320.85</v>
      </c>
      <c r="P52" s="22">
        <f>IFERROR(__xludf.DUMMYFUNCTION("""COMPUTED_VALUE"""),9.0)</f>
        <v>9</v>
      </c>
      <c r="Q52" s="18">
        <f>IFERROR(__xludf.DUMMYFUNCTION("""COMPUTED_VALUE"""),2894.112)</f>
        <v>2894.112</v>
      </c>
      <c r="R52" s="18">
        <f>IFERROR(__xludf.DUMMYFUNCTION("""COMPUTED_VALUE"""),2573.262)</f>
        <v>2573.262</v>
      </c>
    </row>
    <row r="53">
      <c r="A53" s="21">
        <f>IFERROR(__xludf.DUMMYFUNCTION("""COMPUTED_VALUE"""),43048.0)</f>
        <v>43048</v>
      </c>
      <c r="B53" s="21" t="str">
        <f>IFERROR(__xludf.DUMMYFUNCTION("""COMPUTED_VALUE"""),"Nov")</f>
        <v>Nov</v>
      </c>
      <c r="C53" s="9">
        <f>IFERROR(__xludf.DUMMYFUNCTION("""COMPUTED_VALUE"""),42995.0)</f>
        <v>42995</v>
      </c>
      <c r="D53" s="23" t="str">
        <f>IFERROR(__xludf.DUMMYFUNCTION("""COMPUTED_VALUE"""),"Sep")</f>
        <v>Sep</v>
      </c>
      <c r="E53" s="21" t="str">
        <f>IFERROR(__xludf.DUMMYFUNCTION("""COMPUTED_VALUE"""),"2017")</f>
        <v>2017</v>
      </c>
      <c r="F53" s="22" t="str">
        <f>IFERROR(__xludf.DUMMYFUNCTION("""COMPUTED_VALUE"""),"Standard Class")</f>
        <v>Standard Class</v>
      </c>
      <c r="G53" s="22" t="str">
        <f>IFERROR(__xludf.DUMMYFUNCTION("""COMPUTED_VALUE"""),"Kelly")</f>
        <v>Kelly</v>
      </c>
      <c r="H53" s="22" t="str">
        <f>IFERROR(__xludf.DUMMYFUNCTION("""COMPUTED_VALUE"""),"Collister")</f>
        <v>Collister</v>
      </c>
      <c r="I53" s="22" t="str">
        <f>IFERROR(__xludf.DUMMYFUNCTION("""COMPUTED_VALUE"""),"Consumer")</f>
        <v>Consumer</v>
      </c>
      <c r="J53" s="22" t="str">
        <f>IFERROR(__xludf.DUMMYFUNCTION("""COMPUTED_VALUE"""),"San Diego")</f>
        <v>San Diego</v>
      </c>
      <c r="K53" s="22" t="str">
        <f>IFERROR(__xludf.DUMMYFUNCTION("""COMPUTED_VALUE"""),"California")</f>
        <v>California</v>
      </c>
      <c r="L53" s="22" t="str">
        <f>IFERROR(__xludf.DUMMYFUNCTION("""COMPUTED_VALUE"""),"West")</f>
        <v>West</v>
      </c>
      <c r="M53" s="22" t="str">
        <f>IFERROR(__xludf.DUMMYFUNCTION("""COMPUTED_VALUE"""),"Office Supplies")</f>
        <v>Office Supplies</v>
      </c>
      <c r="N53" s="18">
        <f>IFERROR(__xludf.DUMMYFUNCTION("""COMPUTED_VALUE"""),7.61)</f>
        <v>7.61</v>
      </c>
      <c r="O53" s="18">
        <f>IFERROR(__xludf.DUMMYFUNCTION("""COMPUTED_VALUE"""),7.3)</f>
        <v>7.3</v>
      </c>
      <c r="P53" s="22">
        <f>IFERROR(__xludf.DUMMYFUNCTION("""COMPUTED_VALUE"""),9.0)</f>
        <v>9</v>
      </c>
      <c r="Q53" s="18">
        <f>IFERROR(__xludf.DUMMYFUNCTION("""COMPUTED_VALUE"""),68.49000000000001)</f>
        <v>68.49</v>
      </c>
      <c r="R53" s="18">
        <f>IFERROR(__xludf.DUMMYFUNCTION("""COMPUTED_VALUE"""),61.19000000000001)</f>
        <v>61.19</v>
      </c>
    </row>
    <row r="54">
      <c r="A54" s="21">
        <f>IFERROR(__xludf.DUMMYFUNCTION("""COMPUTED_VALUE"""),43048.0)</f>
        <v>43048</v>
      </c>
      <c r="B54" s="21" t="str">
        <f>IFERROR(__xludf.DUMMYFUNCTION("""COMPUTED_VALUE"""),"Nov")</f>
        <v>Nov</v>
      </c>
      <c r="C54" s="9">
        <f>IFERROR(__xludf.DUMMYFUNCTION("""COMPUTED_VALUE"""),42995.0)</f>
        <v>42995</v>
      </c>
      <c r="D54" s="23" t="str">
        <f>IFERROR(__xludf.DUMMYFUNCTION("""COMPUTED_VALUE"""),"Sep")</f>
        <v>Sep</v>
      </c>
      <c r="E54" s="21" t="str">
        <f>IFERROR(__xludf.DUMMYFUNCTION("""COMPUTED_VALUE"""),"2017")</f>
        <v>2017</v>
      </c>
      <c r="F54" s="22" t="str">
        <f>IFERROR(__xludf.DUMMYFUNCTION("""COMPUTED_VALUE"""),"Standard Class")</f>
        <v>Standard Class</v>
      </c>
      <c r="G54" s="22" t="str">
        <f>IFERROR(__xludf.DUMMYFUNCTION("""COMPUTED_VALUE"""),"Kelly")</f>
        <v>Kelly</v>
      </c>
      <c r="H54" s="22" t="str">
        <f>IFERROR(__xludf.DUMMYFUNCTION("""COMPUTED_VALUE"""),"Collister")</f>
        <v>Collister</v>
      </c>
      <c r="I54" s="22" t="str">
        <f>IFERROR(__xludf.DUMMYFUNCTION("""COMPUTED_VALUE"""),"Consumer")</f>
        <v>Consumer</v>
      </c>
      <c r="J54" s="22" t="str">
        <f>IFERROR(__xludf.DUMMYFUNCTION("""COMPUTED_VALUE"""),"San Diego")</f>
        <v>San Diego</v>
      </c>
      <c r="K54" s="22" t="str">
        <f>IFERROR(__xludf.DUMMYFUNCTION("""COMPUTED_VALUE"""),"California")</f>
        <v>California</v>
      </c>
      <c r="L54" s="22" t="str">
        <f>IFERROR(__xludf.DUMMYFUNCTION("""COMPUTED_VALUE"""),"West")</f>
        <v>West</v>
      </c>
      <c r="M54" s="22" t="str">
        <f>IFERROR(__xludf.DUMMYFUNCTION("""COMPUTED_VALUE"""),"Technology")</f>
        <v>Technology</v>
      </c>
      <c r="N54" s="18">
        <f>IFERROR(__xludf.DUMMYFUNCTION("""COMPUTED_VALUE"""),3347.37)</f>
        <v>3347.37</v>
      </c>
      <c r="O54" s="18">
        <f>IFERROR(__xludf.DUMMYFUNCTION("""COMPUTED_VALUE"""),3347.33)</f>
        <v>3347.33</v>
      </c>
      <c r="P54" s="22">
        <f>IFERROR(__xludf.DUMMYFUNCTION("""COMPUTED_VALUE"""),9.0)</f>
        <v>9</v>
      </c>
      <c r="Q54" s="18">
        <f>IFERROR(__xludf.DUMMYFUNCTION("""COMPUTED_VALUE"""),30126.329999999998)</f>
        <v>30126.33</v>
      </c>
      <c r="R54" s="18">
        <f>IFERROR(__xludf.DUMMYFUNCTION("""COMPUTED_VALUE"""),26779.0)</f>
        <v>26779</v>
      </c>
    </row>
    <row r="55">
      <c r="A55" s="21">
        <f>IFERROR(__xludf.DUMMYFUNCTION("""COMPUTED_VALUE"""),42654.0)</f>
        <v>42654</v>
      </c>
      <c r="B55" s="21" t="str">
        <f>IFERROR(__xludf.DUMMYFUNCTION("""COMPUTED_VALUE"""),"Oct")</f>
        <v>Oct</v>
      </c>
      <c r="C55" s="9">
        <f>IFERROR(__xludf.DUMMYFUNCTION("""COMPUTED_VALUE"""),42689.0)</f>
        <v>42689</v>
      </c>
      <c r="D55" s="23" t="str">
        <f>IFERROR(__xludf.DUMMYFUNCTION("""COMPUTED_VALUE"""),"Nov")</f>
        <v>Nov</v>
      </c>
      <c r="E55" s="21" t="str">
        <f>IFERROR(__xludf.DUMMYFUNCTION("""COMPUTED_VALUE"""),"2016")</f>
        <v>2016</v>
      </c>
      <c r="F55" s="22" t="str">
        <f>IFERROR(__xludf.DUMMYFUNCTION("""COMPUTED_VALUE"""),"Standard Class")</f>
        <v>Standard Class</v>
      </c>
      <c r="G55" s="22" t="str">
        <f>IFERROR(__xludf.DUMMYFUNCTION("""COMPUTED_VALUE"""),"Alan")</f>
        <v>Alan</v>
      </c>
      <c r="H55" s="22" t="str">
        <f>IFERROR(__xludf.DUMMYFUNCTION("""COMPUTED_VALUE"""),"Hwang")</f>
        <v>Hwang</v>
      </c>
      <c r="I55" s="22" t="str">
        <f>IFERROR(__xludf.DUMMYFUNCTION("""COMPUTED_VALUE"""),"Consumer")</f>
        <v>Consumer</v>
      </c>
      <c r="J55" s="22" t="str">
        <f>IFERROR(__xludf.DUMMYFUNCTION("""COMPUTED_VALUE"""),"Brentwood")</f>
        <v>Brentwood</v>
      </c>
      <c r="K55" s="22" t="str">
        <f>IFERROR(__xludf.DUMMYFUNCTION("""COMPUTED_VALUE"""),"California")</f>
        <v>California</v>
      </c>
      <c r="L55" s="22" t="str">
        <f>IFERROR(__xludf.DUMMYFUNCTION("""COMPUTED_VALUE"""),"West")</f>
        <v>West</v>
      </c>
      <c r="M55" s="22" t="str">
        <f>IFERROR(__xludf.DUMMYFUNCTION("""COMPUTED_VALUE"""),"Technology")</f>
        <v>Technology</v>
      </c>
      <c r="N55" s="18">
        <f>IFERROR(__xludf.DUMMYFUNCTION("""COMPUTED_VALUE"""),79.9)</f>
        <v>79.9</v>
      </c>
      <c r="O55" s="18">
        <f>IFERROR(__xludf.DUMMYFUNCTION("""COMPUTED_VALUE"""),79.2)</f>
        <v>79.2</v>
      </c>
      <c r="P55" s="22">
        <f>IFERROR(__xludf.DUMMYFUNCTION("""COMPUTED_VALUE"""),9.0)</f>
        <v>9</v>
      </c>
      <c r="Q55" s="18">
        <f>IFERROR(__xludf.DUMMYFUNCTION("""COMPUTED_VALUE"""),719.1)</f>
        <v>719.1</v>
      </c>
      <c r="R55" s="18">
        <f>IFERROR(__xludf.DUMMYFUNCTION("""COMPUTED_VALUE"""),639.9)</f>
        <v>639.9</v>
      </c>
    </row>
    <row r="56">
      <c r="A56" s="21">
        <f>IFERROR(__xludf.DUMMYFUNCTION("""COMPUTED_VALUE"""),43462.0)</f>
        <v>43462</v>
      </c>
      <c r="B56" s="21" t="str">
        <f>IFERROR(__xludf.DUMMYFUNCTION("""COMPUTED_VALUE"""),"Dec")</f>
        <v>Dec</v>
      </c>
      <c r="C56" s="9">
        <f>IFERROR(__xludf.DUMMYFUNCTION("""COMPUTED_VALUE"""),43497.0)</f>
        <v>43497</v>
      </c>
      <c r="D56" s="23" t="str">
        <f>IFERROR(__xludf.DUMMYFUNCTION("""COMPUTED_VALUE"""),"Feb")</f>
        <v>Feb</v>
      </c>
      <c r="E56" s="21" t="str">
        <f>IFERROR(__xludf.DUMMYFUNCTION("""COMPUTED_VALUE"""),"2019")</f>
        <v>2019</v>
      </c>
      <c r="F56" s="22" t="str">
        <f>IFERROR(__xludf.DUMMYFUNCTION("""COMPUTED_VALUE"""),"Second Class")</f>
        <v>Second Class</v>
      </c>
      <c r="G56" s="22" t="str">
        <f>IFERROR(__xludf.DUMMYFUNCTION("""COMPUTED_VALUE"""),"Kristen")</f>
        <v>Kristen</v>
      </c>
      <c r="H56" s="22" t="str">
        <f>IFERROR(__xludf.DUMMYFUNCTION("""COMPUTED_VALUE"""),"Hastings")</f>
        <v>Hastings</v>
      </c>
      <c r="I56" s="22" t="str">
        <f>IFERROR(__xludf.DUMMYFUNCTION("""COMPUTED_VALUE"""),"Corporate")</f>
        <v>Corporate</v>
      </c>
      <c r="J56" s="22" t="str">
        <f>IFERROR(__xludf.DUMMYFUNCTION("""COMPUTED_VALUE"""),"San Francisco")</f>
        <v>San Francisco</v>
      </c>
      <c r="K56" s="22" t="str">
        <f>IFERROR(__xludf.DUMMYFUNCTION("""COMPUTED_VALUE"""),"California")</f>
        <v>California</v>
      </c>
      <c r="L56" s="22" t="str">
        <f>IFERROR(__xludf.DUMMYFUNCTION("""COMPUTED_VALUE"""),"West")</f>
        <v>West</v>
      </c>
      <c r="M56" s="22" t="str">
        <f>IFERROR(__xludf.DUMMYFUNCTION("""COMPUTED_VALUE"""),"Office Supplies")</f>
        <v>Office Supplies</v>
      </c>
      <c r="N56" s="18">
        <f>IFERROR(__xludf.DUMMYFUNCTION("""COMPUTED_VALUE"""),725.84)</f>
        <v>725.84</v>
      </c>
      <c r="O56" s="18">
        <f>IFERROR(__xludf.DUMMYFUNCTION("""COMPUTED_VALUE"""),725.11)</f>
        <v>725.11</v>
      </c>
      <c r="P56" s="22">
        <f>IFERROR(__xludf.DUMMYFUNCTION("""COMPUTED_VALUE"""),9.0)</f>
        <v>9</v>
      </c>
      <c r="Q56" s="18">
        <f>IFERROR(__xludf.DUMMYFUNCTION("""COMPUTED_VALUE"""),6532.56)</f>
        <v>6532.56</v>
      </c>
      <c r="R56" s="18">
        <f>IFERROR(__xludf.DUMMYFUNCTION("""COMPUTED_VALUE"""),5807.450000000001)</f>
        <v>5807.45</v>
      </c>
    </row>
    <row r="57">
      <c r="A57" s="21">
        <f>IFERROR(__xludf.DUMMYFUNCTION("""COMPUTED_VALUE"""),42581.0)</f>
        <v>42581</v>
      </c>
      <c r="B57" s="21" t="str">
        <f>IFERROR(__xludf.DUMMYFUNCTION("""COMPUTED_VALUE"""),"Jul")</f>
        <v>Jul</v>
      </c>
      <c r="C57" s="9">
        <f>IFERROR(__xludf.DUMMYFUNCTION("""COMPUTED_VALUE"""),42582.0)</f>
        <v>42582</v>
      </c>
      <c r="D57" s="23" t="str">
        <f>IFERROR(__xludf.DUMMYFUNCTION("""COMPUTED_VALUE"""),"Jul")</f>
        <v>Jul</v>
      </c>
      <c r="E57" s="21" t="str">
        <f>IFERROR(__xludf.DUMMYFUNCTION("""COMPUTED_VALUE"""),"2016")</f>
        <v>2016</v>
      </c>
      <c r="F57" s="22" t="str">
        <f>IFERROR(__xludf.DUMMYFUNCTION("""COMPUTED_VALUE"""),"First Class")</f>
        <v>First Class</v>
      </c>
      <c r="G57" s="22" t="str">
        <f>IFERROR(__xludf.DUMMYFUNCTION("""COMPUTED_VALUE"""),"Helen")</f>
        <v>Helen</v>
      </c>
      <c r="H57" s="22" t="str">
        <f>IFERROR(__xludf.DUMMYFUNCTION("""COMPUTED_VALUE"""),"Andreada")</f>
        <v>Andreada</v>
      </c>
      <c r="I57" s="22" t="str">
        <f>IFERROR(__xludf.DUMMYFUNCTION("""COMPUTED_VALUE"""),"Consumer")</f>
        <v>Consumer</v>
      </c>
      <c r="J57" s="22" t="str">
        <f>IFERROR(__xludf.DUMMYFUNCTION("""COMPUTED_VALUE"""),"San Francisco")</f>
        <v>San Francisco</v>
      </c>
      <c r="K57" s="22" t="str">
        <f>IFERROR(__xludf.DUMMYFUNCTION("""COMPUTED_VALUE"""),"California")</f>
        <v>California</v>
      </c>
      <c r="L57" s="22" t="str">
        <f>IFERROR(__xludf.DUMMYFUNCTION("""COMPUTED_VALUE"""),"West")</f>
        <v>West</v>
      </c>
      <c r="M57" s="22" t="str">
        <f>IFERROR(__xludf.DUMMYFUNCTION("""COMPUTED_VALUE"""),"Technology")</f>
        <v>Technology</v>
      </c>
      <c r="N57" s="18">
        <f>IFERROR(__xludf.DUMMYFUNCTION("""COMPUTED_VALUE"""),209.93)</f>
        <v>209.93</v>
      </c>
      <c r="O57" s="18">
        <f>IFERROR(__xludf.DUMMYFUNCTION("""COMPUTED_VALUE"""),209.15)</f>
        <v>209.15</v>
      </c>
      <c r="P57" s="22">
        <f>IFERROR(__xludf.DUMMYFUNCTION("""COMPUTED_VALUE"""),9.0)</f>
        <v>9</v>
      </c>
      <c r="Q57" s="18">
        <f>IFERROR(__xludf.DUMMYFUNCTION("""COMPUTED_VALUE"""),1889.3700000000001)</f>
        <v>1889.37</v>
      </c>
      <c r="R57" s="18">
        <f>IFERROR(__xludf.DUMMYFUNCTION("""COMPUTED_VALUE"""),1680.22)</f>
        <v>1680.22</v>
      </c>
    </row>
    <row r="58">
      <c r="A58" s="21">
        <f>IFERROR(__xludf.DUMMYFUNCTION("""COMPUTED_VALUE"""),42581.0)</f>
        <v>42581</v>
      </c>
      <c r="B58" s="21" t="str">
        <f>IFERROR(__xludf.DUMMYFUNCTION("""COMPUTED_VALUE"""),"Jul")</f>
        <v>Jul</v>
      </c>
      <c r="C58" s="9">
        <f>IFERROR(__xludf.DUMMYFUNCTION("""COMPUTED_VALUE"""),42582.0)</f>
        <v>42582</v>
      </c>
      <c r="D58" s="23" t="str">
        <f>IFERROR(__xludf.DUMMYFUNCTION("""COMPUTED_VALUE"""),"Jul")</f>
        <v>Jul</v>
      </c>
      <c r="E58" s="21" t="str">
        <f>IFERROR(__xludf.DUMMYFUNCTION("""COMPUTED_VALUE"""),"2016")</f>
        <v>2016</v>
      </c>
      <c r="F58" s="22" t="str">
        <f>IFERROR(__xludf.DUMMYFUNCTION("""COMPUTED_VALUE"""),"First Class")</f>
        <v>First Class</v>
      </c>
      <c r="G58" s="22" t="str">
        <f>IFERROR(__xludf.DUMMYFUNCTION("""COMPUTED_VALUE"""),"Helen")</f>
        <v>Helen</v>
      </c>
      <c r="H58" s="22" t="str">
        <f>IFERROR(__xludf.DUMMYFUNCTION("""COMPUTED_VALUE"""),"Andreada")</f>
        <v>Andreada</v>
      </c>
      <c r="I58" s="22" t="str">
        <f>IFERROR(__xludf.DUMMYFUNCTION("""COMPUTED_VALUE"""),"Consumer")</f>
        <v>Consumer</v>
      </c>
      <c r="J58" s="22" t="str">
        <f>IFERROR(__xludf.DUMMYFUNCTION("""COMPUTED_VALUE"""),"San Francisco")</f>
        <v>San Francisco</v>
      </c>
      <c r="K58" s="22" t="str">
        <f>IFERROR(__xludf.DUMMYFUNCTION("""COMPUTED_VALUE"""),"California")</f>
        <v>California</v>
      </c>
      <c r="L58" s="22" t="str">
        <f>IFERROR(__xludf.DUMMYFUNCTION("""COMPUTED_VALUE"""),"West")</f>
        <v>West</v>
      </c>
      <c r="M58" s="22" t="str">
        <f>IFERROR(__xludf.DUMMYFUNCTION("""COMPUTED_VALUE"""),"Furniture")</f>
        <v>Furniture</v>
      </c>
      <c r="N58" s="18">
        <f>IFERROR(__xludf.DUMMYFUNCTION("""COMPUTED_VALUE"""),5.28)</f>
        <v>5.28</v>
      </c>
      <c r="O58" s="18">
        <f>IFERROR(__xludf.DUMMYFUNCTION("""COMPUTED_VALUE"""),4.86)</f>
        <v>4.86</v>
      </c>
      <c r="P58" s="22">
        <f>IFERROR(__xludf.DUMMYFUNCTION("""COMPUTED_VALUE"""),9.0)</f>
        <v>9</v>
      </c>
      <c r="Q58" s="18">
        <f>IFERROR(__xludf.DUMMYFUNCTION("""COMPUTED_VALUE"""),47.52)</f>
        <v>47.52</v>
      </c>
      <c r="R58" s="18">
        <f>IFERROR(__xludf.DUMMYFUNCTION("""COMPUTED_VALUE"""),42.660000000000004)</f>
        <v>42.66</v>
      </c>
    </row>
    <row r="59">
      <c r="A59" s="21">
        <f>IFERROR(__xludf.DUMMYFUNCTION("""COMPUTED_VALUE"""),42581.0)</f>
        <v>42581</v>
      </c>
      <c r="B59" s="21" t="str">
        <f>IFERROR(__xludf.DUMMYFUNCTION("""COMPUTED_VALUE"""),"Jul")</f>
        <v>Jul</v>
      </c>
      <c r="C59" s="9">
        <f>IFERROR(__xludf.DUMMYFUNCTION("""COMPUTED_VALUE"""),42582.0)</f>
        <v>42582</v>
      </c>
      <c r="D59" s="23" t="str">
        <f>IFERROR(__xludf.DUMMYFUNCTION("""COMPUTED_VALUE"""),"Jul")</f>
        <v>Jul</v>
      </c>
      <c r="E59" s="21" t="str">
        <f>IFERROR(__xludf.DUMMYFUNCTION("""COMPUTED_VALUE"""),"2016")</f>
        <v>2016</v>
      </c>
      <c r="F59" s="22" t="str">
        <f>IFERROR(__xludf.DUMMYFUNCTION("""COMPUTED_VALUE"""),"First Class")</f>
        <v>First Class</v>
      </c>
      <c r="G59" s="22" t="str">
        <f>IFERROR(__xludf.DUMMYFUNCTION("""COMPUTED_VALUE"""),"Helen")</f>
        <v>Helen</v>
      </c>
      <c r="H59" s="22" t="str">
        <f>IFERROR(__xludf.DUMMYFUNCTION("""COMPUTED_VALUE"""),"Andreada")</f>
        <v>Andreada</v>
      </c>
      <c r="I59" s="22" t="str">
        <f>IFERROR(__xludf.DUMMYFUNCTION("""COMPUTED_VALUE"""),"Consumer")</f>
        <v>Consumer</v>
      </c>
      <c r="J59" s="22" t="str">
        <f>IFERROR(__xludf.DUMMYFUNCTION("""COMPUTED_VALUE"""),"San Francisco")</f>
        <v>San Francisco</v>
      </c>
      <c r="K59" s="22" t="str">
        <f>IFERROR(__xludf.DUMMYFUNCTION("""COMPUTED_VALUE"""),"California")</f>
        <v>California</v>
      </c>
      <c r="L59" s="22" t="str">
        <f>IFERROR(__xludf.DUMMYFUNCTION("""COMPUTED_VALUE"""),"West")</f>
        <v>West</v>
      </c>
      <c r="M59" s="22" t="str">
        <f>IFERROR(__xludf.DUMMYFUNCTION("""COMPUTED_VALUE"""),"Office Supplies")</f>
        <v>Office Supplies</v>
      </c>
      <c r="N59" s="18">
        <f>IFERROR(__xludf.DUMMYFUNCTION("""COMPUTED_VALUE"""),10.92)</f>
        <v>10.92</v>
      </c>
      <c r="O59" s="18">
        <f>IFERROR(__xludf.DUMMYFUNCTION("""COMPUTED_VALUE"""),10.3)</f>
        <v>10.3</v>
      </c>
      <c r="P59" s="22">
        <f>IFERROR(__xludf.DUMMYFUNCTION("""COMPUTED_VALUE"""),9.0)</f>
        <v>9</v>
      </c>
      <c r="Q59" s="18">
        <f>IFERROR(__xludf.DUMMYFUNCTION("""COMPUTED_VALUE"""),98.28)</f>
        <v>98.28</v>
      </c>
      <c r="R59" s="18">
        <f>IFERROR(__xludf.DUMMYFUNCTION("""COMPUTED_VALUE"""),87.98)</f>
        <v>87.98</v>
      </c>
    </row>
    <row r="60">
      <c r="A60" s="21">
        <f>IFERROR(__xludf.DUMMYFUNCTION("""COMPUTED_VALUE"""),43359.0)</f>
        <v>43359</v>
      </c>
      <c r="B60" s="21" t="str">
        <f>IFERROR(__xludf.DUMMYFUNCTION("""COMPUTED_VALUE"""),"Sep")</f>
        <v>Sep</v>
      </c>
      <c r="C60" s="9">
        <f>IFERROR(__xludf.DUMMYFUNCTION("""COMPUTED_VALUE"""),43360.0)</f>
        <v>43360</v>
      </c>
      <c r="D60" s="23" t="str">
        <f>IFERROR(__xludf.DUMMYFUNCTION("""COMPUTED_VALUE"""),"Sep")</f>
        <v>Sep</v>
      </c>
      <c r="E60" s="21" t="str">
        <f>IFERROR(__xludf.DUMMYFUNCTION("""COMPUTED_VALUE"""),"2018")</f>
        <v>2018</v>
      </c>
      <c r="F60" s="22" t="str">
        <f>IFERROR(__xludf.DUMMYFUNCTION("""COMPUTED_VALUE"""),"First Class")</f>
        <v>First Class</v>
      </c>
      <c r="G60" s="22" t="str">
        <f>IFERROR(__xludf.DUMMYFUNCTION("""COMPUTED_VALUE"""),"Barry")</f>
        <v>Barry</v>
      </c>
      <c r="H60" s="22" t="str">
        <f>IFERROR(__xludf.DUMMYFUNCTION("""COMPUTED_VALUE"""),"Blumstein")</f>
        <v>Blumstein</v>
      </c>
      <c r="I60" s="22" t="str">
        <f>IFERROR(__xludf.DUMMYFUNCTION("""COMPUTED_VALUE"""),"Corporate")</f>
        <v>Corporate</v>
      </c>
      <c r="J60" s="22" t="str">
        <f>IFERROR(__xludf.DUMMYFUNCTION("""COMPUTED_VALUE"""),"Inglewood")</f>
        <v>Inglewood</v>
      </c>
      <c r="K60" s="22" t="str">
        <f>IFERROR(__xludf.DUMMYFUNCTION("""COMPUTED_VALUE"""),"California")</f>
        <v>California</v>
      </c>
      <c r="L60" s="22" t="str">
        <f>IFERROR(__xludf.DUMMYFUNCTION("""COMPUTED_VALUE"""),"West")</f>
        <v>West</v>
      </c>
      <c r="M60" s="22" t="str">
        <f>IFERROR(__xludf.DUMMYFUNCTION("""COMPUTED_VALUE"""),"Office Supplies")</f>
        <v>Office Supplies</v>
      </c>
      <c r="N60" s="18">
        <f>IFERROR(__xludf.DUMMYFUNCTION("""COMPUTED_VALUE"""),8.82)</f>
        <v>8.82</v>
      </c>
      <c r="O60" s="18">
        <f>IFERROR(__xludf.DUMMYFUNCTION("""COMPUTED_VALUE"""),8.48)</f>
        <v>8.48</v>
      </c>
      <c r="P60" s="22">
        <f>IFERROR(__xludf.DUMMYFUNCTION("""COMPUTED_VALUE"""),9.0)</f>
        <v>9</v>
      </c>
      <c r="Q60" s="18">
        <f>IFERROR(__xludf.DUMMYFUNCTION("""COMPUTED_VALUE"""),79.38)</f>
        <v>79.38</v>
      </c>
      <c r="R60" s="18">
        <f>IFERROR(__xludf.DUMMYFUNCTION("""COMPUTED_VALUE"""),70.89999999999999)</f>
        <v>70.9</v>
      </c>
    </row>
    <row r="61">
      <c r="A61" s="21">
        <f>IFERROR(__xludf.DUMMYFUNCTION("""COMPUTED_VALUE"""),43359.0)</f>
        <v>43359</v>
      </c>
      <c r="B61" s="21" t="str">
        <f>IFERROR(__xludf.DUMMYFUNCTION("""COMPUTED_VALUE"""),"Sep")</f>
        <v>Sep</v>
      </c>
      <c r="C61" s="9">
        <f>IFERROR(__xludf.DUMMYFUNCTION("""COMPUTED_VALUE"""),43360.0)</f>
        <v>43360</v>
      </c>
      <c r="D61" s="23" t="str">
        <f>IFERROR(__xludf.DUMMYFUNCTION("""COMPUTED_VALUE"""),"Sep")</f>
        <v>Sep</v>
      </c>
      <c r="E61" s="21" t="str">
        <f>IFERROR(__xludf.DUMMYFUNCTION("""COMPUTED_VALUE"""),"2018")</f>
        <v>2018</v>
      </c>
      <c r="F61" s="22" t="str">
        <f>IFERROR(__xludf.DUMMYFUNCTION("""COMPUTED_VALUE"""),"First Class")</f>
        <v>First Class</v>
      </c>
      <c r="G61" s="22" t="str">
        <f>IFERROR(__xludf.DUMMYFUNCTION("""COMPUTED_VALUE"""),"Barry")</f>
        <v>Barry</v>
      </c>
      <c r="H61" s="22" t="str">
        <f>IFERROR(__xludf.DUMMYFUNCTION("""COMPUTED_VALUE"""),"Blumstein")</f>
        <v>Blumstein</v>
      </c>
      <c r="I61" s="22" t="str">
        <f>IFERROR(__xludf.DUMMYFUNCTION("""COMPUTED_VALUE"""),"Corporate")</f>
        <v>Corporate</v>
      </c>
      <c r="J61" s="22" t="str">
        <f>IFERROR(__xludf.DUMMYFUNCTION("""COMPUTED_VALUE"""),"Inglewood")</f>
        <v>Inglewood</v>
      </c>
      <c r="K61" s="22" t="str">
        <f>IFERROR(__xludf.DUMMYFUNCTION("""COMPUTED_VALUE"""),"California")</f>
        <v>California</v>
      </c>
      <c r="L61" s="22" t="str">
        <f>IFERROR(__xludf.DUMMYFUNCTION("""COMPUTED_VALUE"""),"West")</f>
        <v>West</v>
      </c>
      <c r="M61" s="22" t="str">
        <f>IFERROR(__xludf.DUMMYFUNCTION("""COMPUTED_VALUE"""),"Office Supplies")</f>
        <v>Office Supplies</v>
      </c>
      <c r="N61" s="18">
        <f>IFERROR(__xludf.DUMMYFUNCTION("""COMPUTED_VALUE"""),5.98)</f>
        <v>5.98</v>
      </c>
      <c r="O61" s="18">
        <f>IFERROR(__xludf.DUMMYFUNCTION("""COMPUTED_VALUE"""),5.94)</f>
        <v>5.94</v>
      </c>
      <c r="P61" s="22">
        <f>IFERROR(__xludf.DUMMYFUNCTION("""COMPUTED_VALUE"""),9.0)</f>
        <v>9</v>
      </c>
      <c r="Q61" s="18">
        <f>IFERROR(__xludf.DUMMYFUNCTION("""COMPUTED_VALUE"""),53.82000000000001)</f>
        <v>53.82</v>
      </c>
      <c r="R61" s="18">
        <f>IFERROR(__xludf.DUMMYFUNCTION("""COMPUTED_VALUE"""),47.88000000000001)</f>
        <v>47.88</v>
      </c>
    </row>
    <row r="62">
      <c r="A62" s="21">
        <f>IFERROR(__xludf.DUMMYFUNCTION("""COMPUTED_VALUE"""),42411.0)</f>
        <v>42411</v>
      </c>
      <c r="B62" s="21" t="str">
        <f>IFERROR(__xludf.DUMMYFUNCTION("""COMPUTED_VALUE"""),"Feb")</f>
        <v>Feb</v>
      </c>
      <c r="C62" s="9">
        <f>IFERROR(__xludf.DUMMYFUNCTION("""COMPUTED_VALUE"""),42532.0)</f>
        <v>42532</v>
      </c>
      <c r="D62" s="23" t="str">
        <f>IFERROR(__xludf.DUMMYFUNCTION("""COMPUTED_VALUE"""),"Jun")</f>
        <v>Jun</v>
      </c>
      <c r="E62" s="21" t="str">
        <f>IFERROR(__xludf.DUMMYFUNCTION("""COMPUTED_VALUE"""),"2016")</f>
        <v>2016</v>
      </c>
      <c r="F62" s="22" t="str">
        <f>IFERROR(__xludf.DUMMYFUNCTION("""COMPUTED_VALUE"""),"Standard Class")</f>
        <v>Standard Class</v>
      </c>
      <c r="G62" s="22" t="str">
        <f>IFERROR(__xludf.DUMMYFUNCTION("""COMPUTED_VALUE"""),"Jas")</f>
        <v>Jas</v>
      </c>
      <c r="H62" s="22" t="str">
        <f>IFERROR(__xludf.DUMMYFUNCTION("""COMPUTED_VALUE"""),"O'Carroll")</f>
        <v>O'Carroll</v>
      </c>
      <c r="I62" s="22" t="str">
        <f>IFERROR(__xludf.DUMMYFUNCTION("""COMPUTED_VALUE"""),"Consumer")</f>
        <v>Consumer</v>
      </c>
      <c r="J62" s="22" t="str">
        <f>IFERROR(__xludf.DUMMYFUNCTION("""COMPUTED_VALUE"""),"Los Angeles")</f>
        <v>Los Angeles</v>
      </c>
      <c r="K62" s="22" t="str">
        <f>IFERROR(__xludf.DUMMYFUNCTION("""COMPUTED_VALUE"""),"California")</f>
        <v>California</v>
      </c>
      <c r="L62" s="22" t="str">
        <f>IFERROR(__xludf.DUMMYFUNCTION("""COMPUTED_VALUE"""),"West")</f>
        <v>West</v>
      </c>
      <c r="M62" s="22" t="str">
        <f>IFERROR(__xludf.DUMMYFUNCTION("""COMPUTED_VALUE"""),"Furniture")</f>
        <v>Furniture</v>
      </c>
      <c r="N62" s="18">
        <f>IFERROR(__xludf.DUMMYFUNCTION("""COMPUTED_VALUE"""),1038.84)</f>
        <v>1038.84</v>
      </c>
      <c r="O62" s="18">
        <f>IFERROR(__xludf.DUMMYFUNCTION("""COMPUTED_VALUE"""),1038.1)</f>
        <v>1038.1</v>
      </c>
      <c r="P62" s="22">
        <f>IFERROR(__xludf.DUMMYFUNCTION("""COMPUTED_VALUE"""),9.0)</f>
        <v>9</v>
      </c>
      <c r="Q62" s="18">
        <f>IFERROR(__xludf.DUMMYFUNCTION("""COMPUTED_VALUE"""),9349.56)</f>
        <v>9349.56</v>
      </c>
      <c r="R62" s="18">
        <f>IFERROR(__xludf.DUMMYFUNCTION("""COMPUTED_VALUE"""),8311.46)</f>
        <v>8311.46</v>
      </c>
    </row>
    <row r="63">
      <c r="A63" s="21">
        <f>IFERROR(__xludf.DUMMYFUNCTION("""COMPUTED_VALUE"""),42266.0)</f>
        <v>42266</v>
      </c>
      <c r="B63" s="21" t="str">
        <f>IFERROR(__xludf.DUMMYFUNCTION("""COMPUTED_VALUE"""),"Sep")</f>
        <v>Sep</v>
      </c>
      <c r="C63" s="9">
        <f>IFERROR(__xludf.DUMMYFUNCTION("""COMPUTED_VALUE"""),42271.0)</f>
        <v>42271</v>
      </c>
      <c r="D63" s="23" t="str">
        <f>IFERROR(__xludf.DUMMYFUNCTION("""COMPUTED_VALUE"""),"Sep")</f>
        <v>Sep</v>
      </c>
      <c r="E63" s="21" t="str">
        <f>IFERROR(__xludf.DUMMYFUNCTION("""COMPUTED_VALUE"""),"2015")</f>
        <v>2015</v>
      </c>
      <c r="F63" s="22" t="str">
        <f>IFERROR(__xludf.DUMMYFUNCTION("""COMPUTED_VALUE"""),"Standard Class")</f>
        <v>Standard Class</v>
      </c>
      <c r="G63" s="22" t="str">
        <f>IFERROR(__xludf.DUMMYFUNCTION("""COMPUTED_VALUE"""),"Frank")</f>
        <v>Frank</v>
      </c>
      <c r="H63" s="22" t="str">
        <f>IFERROR(__xludf.DUMMYFUNCTION("""COMPUTED_VALUE"""),"Atkinson")</f>
        <v>Atkinson</v>
      </c>
      <c r="I63" s="22" t="str">
        <f>IFERROR(__xludf.DUMMYFUNCTION("""COMPUTED_VALUE"""),"Corporate")</f>
        <v>Corporate</v>
      </c>
      <c r="J63" s="22" t="str">
        <f>IFERROR(__xludf.DUMMYFUNCTION("""COMPUTED_VALUE"""),"Long Beach")</f>
        <v>Long Beach</v>
      </c>
      <c r="K63" s="22" t="str">
        <f>IFERROR(__xludf.DUMMYFUNCTION("""COMPUTED_VALUE"""),"California")</f>
        <v>California</v>
      </c>
      <c r="L63" s="22" t="str">
        <f>IFERROR(__xludf.DUMMYFUNCTION("""COMPUTED_VALUE"""),"West")</f>
        <v>West</v>
      </c>
      <c r="M63" s="22" t="str">
        <f>IFERROR(__xludf.DUMMYFUNCTION("""COMPUTED_VALUE"""),"Office Supplies")</f>
        <v>Office Supplies</v>
      </c>
      <c r="N63" s="18">
        <f>IFERROR(__xludf.DUMMYFUNCTION("""COMPUTED_VALUE"""),7.16)</f>
        <v>7.16</v>
      </c>
      <c r="O63" s="18">
        <f>IFERROR(__xludf.DUMMYFUNCTION("""COMPUTED_VALUE"""),6.57)</f>
        <v>6.57</v>
      </c>
      <c r="P63" s="22">
        <f>IFERROR(__xludf.DUMMYFUNCTION("""COMPUTED_VALUE"""),9.0)</f>
        <v>9</v>
      </c>
      <c r="Q63" s="18">
        <f>IFERROR(__xludf.DUMMYFUNCTION("""COMPUTED_VALUE"""),64.44)</f>
        <v>64.44</v>
      </c>
      <c r="R63" s="18">
        <f>IFERROR(__xludf.DUMMYFUNCTION("""COMPUTED_VALUE"""),57.87)</f>
        <v>57.87</v>
      </c>
    </row>
    <row r="64">
      <c r="A64" s="21">
        <f>IFERROR(__xludf.DUMMYFUNCTION("""COMPUTED_VALUE"""),42848.0)</f>
        <v>42848</v>
      </c>
      <c r="B64" s="21" t="str">
        <f>IFERROR(__xludf.DUMMYFUNCTION("""COMPUTED_VALUE"""),"Apr")</f>
        <v>Apr</v>
      </c>
      <c r="C64" s="9">
        <f>IFERROR(__xludf.DUMMYFUNCTION("""COMPUTED_VALUE"""),42852.0)</f>
        <v>42852</v>
      </c>
      <c r="D64" s="23" t="str">
        <f>IFERROR(__xludf.DUMMYFUNCTION("""COMPUTED_VALUE"""),"Apr")</f>
        <v>Apr</v>
      </c>
      <c r="E64" s="21" t="str">
        <f>IFERROR(__xludf.DUMMYFUNCTION("""COMPUTED_VALUE"""),"2017")</f>
        <v>2017</v>
      </c>
      <c r="F64" s="22" t="str">
        <f>IFERROR(__xludf.DUMMYFUNCTION("""COMPUTED_VALUE"""),"Standard Class")</f>
        <v>Standard Class</v>
      </c>
      <c r="G64" s="22" t="str">
        <f>IFERROR(__xludf.DUMMYFUNCTION("""COMPUTED_VALUE"""),"Grace")</f>
        <v>Grace</v>
      </c>
      <c r="H64" s="22" t="str">
        <f>IFERROR(__xludf.DUMMYFUNCTION("""COMPUTED_VALUE"""),"Kelly")</f>
        <v>Kelly</v>
      </c>
      <c r="I64" s="22" t="str">
        <f>IFERROR(__xludf.DUMMYFUNCTION("""COMPUTED_VALUE"""),"Corporate")</f>
        <v>Corporate</v>
      </c>
      <c r="J64" s="22" t="str">
        <f>IFERROR(__xludf.DUMMYFUNCTION("""COMPUTED_VALUE"""),"Hesperia")</f>
        <v>Hesperia</v>
      </c>
      <c r="K64" s="22" t="str">
        <f>IFERROR(__xludf.DUMMYFUNCTION("""COMPUTED_VALUE"""),"California")</f>
        <v>California</v>
      </c>
      <c r="L64" s="22" t="str">
        <f>IFERROR(__xludf.DUMMYFUNCTION("""COMPUTED_VALUE"""),"West")</f>
        <v>West</v>
      </c>
      <c r="M64" s="22" t="str">
        <f>IFERROR(__xludf.DUMMYFUNCTION("""COMPUTED_VALUE"""),"Office Supplies")</f>
        <v>Office Supplies</v>
      </c>
      <c r="N64" s="18">
        <f>IFERROR(__xludf.DUMMYFUNCTION("""COMPUTED_VALUE"""),251.52)</f>
        <v>251.52</v>
      </c>
      <c r="O64" s="18">
        <f>IFERROR(__xludf.DUMMYFUNCTION("""COMPUTED_VALUE"""),250.57)</f>
        <v>250.57</v>
      </c>
      <c r="P64" s="22">
        <f>IFERROR(__xludf.DUMMYFUNCTION("""COMPUTED_VALUE"""),9.0)</f>
        <v>9</v>
      </c>
      <c r="Q64" s="18">
        <f>IFERROR(__xludf.DUMMYFUNCTION("""COMPUTED_VALUE"""),2263.6800000000003)</f>
        <v>2263.68</v>
      </c>
      <c r="R64" s="18">
        <f>IFERROR(__xludf.DUMMYFUNCTION("""COMPUTED_VALUE"""),2013.1100000000004)</f>
        <v>2013.11</v>
      </c>
    </row>
    <row r="65">
      <c r="A65" s="21">
        <f>IFERROR(__xludf.DUMMYFUNCTION("""COMPUTED_VALUE"""),42848.0)</f>
        <v>42848</v>
      </c>
      <c r="B65" s="21" t="str">
        <f>IFERROR(__xludf.DUMMYFUNCTION("""COMPUTED_VALUE"""),"Apr")</f>
        <v>Apr</v>
      </c>
      <c r="C65" s="9">
        <f>IFERROR(__xludf.DUMMYFUNCTION("""COMPUTED_VALUE"""),42852.0)</f>
        <v>42852</v>
      </c>
      <c r="D65" s="23" t="str">
        <f>IFERROR(__xludf.DUMMYFUNCTION("""COMPUTED_VALUE"""),"Apr")</f>
        <v>Apr</v>
      </c>
      <c r="E65" s="21" t="str">
        <f>IFERROR(__xludf.DUMMYFUNCTION("""COMPUTED_VALUE"""),"2017")</f>
        <v>2017</v>
      </c>
      <c r="F65" s="22" t="str">
        <f>IFERROR(__xludf.DUMMYFUNCTION("""COMPUTED_VALUE"""),"Standard Class")</f>
        <v>Standard Class</v>
      </c>
      <c r="G65" s="22" t="str">
        <f>IFERROR(__xludf.DUMMYFUNCTION("""COMPUTED_VALUE"""),"Grace")</f>
        <v>Grace</v>
      </c>
      <c r="H65" s="22" t="str">
        <f>IFERROR(__xludf.DUMMYFUNCTION("""COMPUTED_VALUE"""),"Kelly")</f>
        <v>Kelly</v>
      </c>
      <c r="I65" s="22" t="str">
        <f>IFERROR(__xludf.DUMMYFUNCTION("""COMPUTED_VALUE"""),"Corporate")</f>
        <v>Corporate</v>
      </c>
      <c r="J65" s="22" t="str">
        <f>IFERROR(__xludf.DUMMYFUNCTION("""COMPUTED_VALUE"""),"Hesperia")</f>
        <v>Hesperia</v>
      </c>
      <c r="K65" s="22" t="str">
        <f>IFERROR(__xludf.DUMMYFUNCTION("""COMPUTED_VALUE"""),"California")</f>
        <v>California</v>
      </c>
      <c r="L65" s="22" t="str">
        <f>IFERROR(__xludf.DUMMYFUNCTION("""COMPUTED_VALUE"""),"West")</f>
        <v>West</v>
      </c>
      <c r="M65" s="22" t="str">
        <f>IFERROR(__xludf.DUMMYFUNCTION("""COMPUTED_VALUE"""),"Technology")</f>
        <v>Technology</v>
      </c>
      <c r="N65" s="18">
        <f>IFERROR(__xludf.DUMMYFUNCTION("""COMPUTED_VALUE"""),99.99)</f>
        <v>99.99</v>
      </c>
      <c r="O65" s="18">
        <f>IFERROR(__xludf.DUMMYFUNCTION("""COMPUTED_VALUE"""),99.99)</f>
        <v>99.99</v>
      </c>
      <c r="P65" s="22">
        <f>IFERROR(__xludf.DUMMYFUNCTION("""COMPUTED_VALUE"""),9.0)</f>
        <v>9</v>
      </c>
      <c r="Q65" s="18">
        <f>IFERROR(__xludf.DUMMYFUNCTION("""COMPUTED_VALUE"""),899.91)</f>
        <v>899.91</v>
      </c>
      <c r="R65" s="18">
        <f>IFERROR(__xludf.DUMMYFUNCTION("""COMPUTED_VALUE"""),799.92)</f>
        <v>799.92</v>
      </c>
    </row>
    <row r="66">
      <c r="A66" s="21">
        <f>IFERROR(__xludf.DUMMYFUNCTION("""COMPUTED_VALUE"""),42378.0)</f>
        <v>42378</v>
      </c>
      <c r="B66" s="21" t="str">
        <f>IFERROR(__xludf.DUMMYFUNCTION("""COMPUTED_VALUE"""),"Jan")</f>
        <v>Jan</v>
      </c>
      <c r="C66" s="9">
        <f>IFERROR(__xludf.DUMMYFUNCTION("""COMPUTED_VALUE"""),42469.0)</f>
        <v>42469</v>
      </c>
      <c r="D66" s="23" t="str">
        <f>IFERROR(__xludf.DUMMYFUNCTION("""COMPUTED_VALUE"""),"Apr")</f>
        <v>Apr</v>
      </c>
      <c r="E66" s="21" t="str">
        <f>IFERROR(__xludf.DUMMYFUNCTION("""COMPUTED_VALUE"""),"2016")</f>
        <v>2016</v>
      </c>
      <c r="F66" s="22" t="str">
        <f>IFERROR(__xludf.DUMMYFUNCTION("""COMPUTED_VALUE"""),"Second Class")</f>
        <v>Second Class</v>
      </c>
      <c r="G66" s="22" t="str">
        <f>IFERROR(__xludf.DUMMYFUNCTION("""COMPUTED_VALUE"""),"Doug")</f>
        <v>Doug</v>
      </c>
      <c r="H66" s="22" t="str">
        <f>IFERROR(__xludf.DUMMYFUNCTION("""COMPUTED_VALUE"""),"Bickford")</f>
        <v>Bickford</v>
      </c>
      <c r="I66" s="22" t="str">
        <f>IFERROR(__xludf.DUMMYFUNCTION("""COMPUTED_VALUE"""),"Consumer")</f>
        <v>Consumer</v>
      </c>
      <c r="J66" s="22" t="str">
        <f>IFERROR(__xludf.DUMMYFUNCTION("""COMPUTED_VALUE"""),"Los Angeles")</f>
        <v>Los Angeles</v>
      </c>
      <c r="K66" s="22" t="str">
        <f>IFERROR(__xludf.DUMMYFUNCTION("""COMPUTED_VALUE"""),"California")</f>
        <v>California</v>
      </c>
      <c r="L66" s="22" t="str">
        <f>IFERROR(__xludf.DUMMYFUNCTION("""COMPUTED_VALUE"""),"West")</f>
        <v>West</v>
      </c>
      <c r="M66" s="22" t="str">
        <f>IFERROR(__xludf.DUMMYFUNCTION("""COMPUTED_VALUE"""),"Office Supplies")</f>
        <v>Office Supplies</v>
      </c>
      <c r="N66" s="18">
        <f>IFERROR(__xludf.DUMMYFUNCTION("""COMPUTED_VALUE"""),4.752)</f>
        <v>4.752</v>
      </c>
      <c r="O66" s="18">
        <f>IFERROR(__xludf.DUMMYFUNCTION("""COMPUTED_VALUE"""),4.63)</f>
        <v>4.63</v>
      </c>
      <c r="P66" s="22">
        <f>IFERROR(__xludf.DUMMYFUNCTION("""COMPUTED_VALUE"""),9.0)</f>
        <v>9</v>
      </c>
      <c r="Q66" s="18">
        <f>IFERROR(__xludf.DUMMYFUNCTION("""COMPUTED_VALUE"""),42.768)</f>
        <v>42.768</v>
      </c>
      <c r="R66" s="18">
        <f>IFERROR(__xludf.DUMMYFUNCTION("""COMPUTED_VALUE"""),38.138)</f>
        <v>38.138</v>
      </c>
    </row>
    <row r="67">
      <c r="A67" s="21">
        <f>IFERROR(__xludf.DUMMYFUNCTION("""COMPUTED_VALUE"""),42378.0)</f>
        <v>42378</v>
      </c>
      <c r="B67" s="21" t="str">
        <f>IFERROR(__xludf.DUMMYFUNCTION("""COMPUTED_VALUE"""),"Jan")</f>
        <v>Jan</v>
      </c>
      <c r="C67" s="9">
        <f>IFERROR(__xludf.DUMMYFUNCTION("""COMPUTED_VALUE"""),42469.0)</f>
        <v>42469</v>
      </c>
      <c r="D67" s="23" t="str">
        <f>IFERROR(__xludf.DUMMYFUNCTION("""COMPUTED_VALUE"""),"Apr")</f>
        <v>Apr</v>
      </c>
      <c r="E67" s="21" t="str">
        <f>IFERROR(__xludf.DUMMYFUNCTION("""COMPUTED_VALUE"""),"2016")</f>
        <v>2016</v>
      </c>
      <c r="F67" s="22" t="str">
        <f>IFERROR(__xludf.DUMMYFUNCTION("""COMPUTED_VALUE"""),"Second Class")</f>
        <v>Second Class</v>
      </c>
      <c r="G67" s="22" t="str">
        <f>IFERROR(__xludf.DUMMYFUNCTION("""COMPUTED_VALUE"""),"Doug")</f>
        <v>Doug</v>
      </c>
      <c r="H67" s="22" t="str">
        <f>IFERROR(__xludf.DUMMYFUNCTION("""COMPUTED_VALUE"""),"Bickford")</f>
        <v>Bickford</v>
      </c>
      <c r="I67" s="22" t="str">
        <f>IFERROR(__xludf.DUMMYFUNCTION("""COMPUTED_VALUE"""),"Consumer")</f>
        <v>Consumer</v>
      </c>
      <c r="J67" s="22" t="str">
        <f>IFERROR(__xludf.DUMMYFUNCTION("""COMPUTED_VALUE"""),"Los Angeles")</f>
        <v>Los Angeles</v>
      </c>
      <c r="K67" s="22" t="str">
        <f>IFERROR(__xludf.DUMMYFUNCTION("""COMPUTED_VALUE"""),"California")</f>
        <v>California</v>
      </c>
      <c r="L67" s="22" t="str">
        <f>IFERROR(__xludf.DUMMYFUNCTION("""COMPUTED_VALUE"""),"West")</f>
        <v>West</v>
      </c>
      <c r="M67" s="22" t="str">
        <f>IFERROR(__xludf.DUMMYFUNCTION("""COMPUTED_VALUE"""),"Technology")</f>
        <v>Technology</v>
      </c>
      <c r="N67" s="18">
        <f>IFERROR(__xludf.DUMMYFUNCTION("""COMPUTED_VALUE"""),959.984)</f>
        <v>959.984</v>
      </c>
      <c r="O67" s="18">
        <f>IFERROR(__xludf.DUMMYFUNCTION("""COMPUTED_VALUE"""),959.68)</f>
        <v>959.68</v>
      </c>
      <c r="P67" s="22">
        <f>IFERROR(__xludf.DUMMYFUNCTION("""COMPUTED_VALUE"""),9.0)</f>
        <v>9</v>
      </c>
      <c r="Q67" s="18">
        <f>IFERROR(__xludf.DUMMYFUNCTION("""COMPUTED_VALUE"""),8639.856)</f>
        <v>8639.856</v>
      </c>
      <c r="R67" s="18">
        <f>IFERROR(__xludf.DUMMYFUNCTION("""COMPUTED_VALUE"""),7680.1759999999995)</f>
        <v>7680.176</v>
      </c>
    </row>
    <row r="68">
      <c r="A68" s="21">
        <f>IFERROR(__xludf.DUMMYFUNCTION("""COMPUTED_VALUE"""),42378.0)</f>
        <v>42378</v>
      </c>
      <c r="B68" s="21" t="str">
        <f>IFERROR(__xludf.DUMMYFUNCTION("""COMPUTED_VALUE"""),"Jan")</f>
        <v>Jan</v>
      </c>
      <c r="C68" s="9">
        <f>IFERROR(__xludf.DUMMYFUNCTION("""COMPUTED_VALUE"""),42469.0)</f>
        <v>42469</v>
      </c>
      <c r="D68" s="23" t="str">
        <f>IFERROR(__xludf.DUMMYFUNCTION("""COMPUTED_VALUE"""),"Apr")</f>
        <v>Apr</v>
      </c>
      <c r="E68" s="21" t="str">
        <f>IFERROR(__xludf.DUMMYFUNCTION("""COMPUTED_VALUE"""),"2016")</f>
        <v>2016</v>
      </c>
      <c r="F68" s="22" t="str">
        <f>IFERROR(__xludf.DUMMYFUNCTION("""COMPUTED_VALUE"""),"Second Class")</f>
        <v>Second Class</v>
      </c>
      <c r="G68" s="22" t="str">
        <f>IFERROR(__xludf.DUMMYFUNCTION("""COMPUTED_VALUE"""),"Doug")</f>
        <v>Doug</v>
      </c>
      <c r="H68" s="22" t="str">
        <f>IFERROR(__xludf.DUMMYFUNCTION("""COMPUTED_VALUE"""),"Bickford")</f>
        <v>Bickford</v>
      </c>
      <c r="I68" s="22" t="str">
        <f>IFERROR(__xludf.DUMMYFUNCTION("""COMPUTED_VALUE"""),"Consumer")</f>
        <v>Consumer</v>
      </c>
      <c r="J68" s="22" t="str">
        <f>IFERROR(__xludf.DUMMYFUNCTION("""COMPUTED_VALUE"""),"Los Angeles")</f>
        <v>Los Angeles</v>
      </c>
      <c r="K68" s="22" t="str">
        <f>IFERROR(__xludf.DUMMYFUNCTION("""COMPUTED_VALUE"""),"California")</f>
        <v>California</v>
      </c>
      <c r="L68" s="22" t="str">
        <f>IFERROR(__xludf.DUMMYFUNCTION("""COMPUTED_VALUE"""),"West")</f>
        <v>West</v>
      </c>
      <c r="M68" s="22" t="str">
        <f>IFERROR(__xludf.DUMMYFUNCTION("""COMPUTED_VALUE"""),"Office Supplies")</f>
        <v>Office Supplies</v>
      </c>
      <c r="N68" s="18">
        <f>IFERROR(__xludf.DUMMYFUNCTION("""COMPUTED_VALUE"""),14.368)</f>
        <v>14.368</v>
      </c>
      <c r="O68" s="18">
        <f>IFERROR(__xludf.DUMMYFUNCTION("""COMPUTED_VALUE"""),13.73)</f>
        <v>13.73</v>
      </c>
      <c r="P68" s="22">
        <f>IFERROR(__xludf.DUMMYFUNCTION("""COMPUTED_VALUE"""),9.0)</f>
        <v>9</v>
      </c>
      <c r="Q68" s="18">
        <f>IFERROR(__xludf.DUMMYFUNCTION("""COMPUTED_VALUE"""),129.312)</f>
        <v>129.312</v>
      </c>
      <c r="R68" s="18">
        <f>IFERROR(__xludf.DUMMYFUNCTION("""COMPUTED_VALUE"""),115.58200000000001)</f>
        <v>115.582</v>
      </c>
    </row>
    <row r="69">
      <c r="A69" s="21">
        <f>IFERROR(__xludf.DUMMYFUNCTION("""COMPUTED_VALUE"""),42345.0)</f>
        <v>42345</v>
      </c>
      <c r="B69" s="21" t="str">
        <f>IFERROR(__xludf.DUMMYFUNCTION("""COMPUTED_VALUE"""),"Dec")</f>
        <v>Dec</v>
      </c>
      <c r="C69" s="9">
        <f>IFERROR(__xludf.DUMMYFUNCTION("""COMPUTED_VALUE"""),42202.0)</f>
        <v>42202</v>
      </c>
      <c r="D69" s="23" t="str">
        <f>IFERROR(__xludf.DUMMYFUNCTION("""COMPUTED_VALUE"""),"Jul")</f>
        <v>Jul</v>
      </c>
      <c r="E69" s="21" t="str">
        <f>IFERROR(__xludf.DUMMYFUNCTION("""COMPUTED_VALUE"""),"2015")</f>
        <v>2015</v>
      </c>
      <c r="F69" s="22" t="str">
        <f>IFERROR(__xludf.DUMMYFUNCTION("""COMPUTED_VALUE"""),"Standard Class")</f>
        <v>Standard Class</v>
      </c>
      <c r="G69" s="22" t="str">
        <f>IFERROR(__xludf.DUMMYFUNCTION("""COMPUTED_VALUE"""),"Alyssa")</f>
        <v>Alyssa</v>
      </c>
      <c r="H69" s="22" t="str">
        <f>IFERROR(__xludf.DUMMYFUNCTION("""COMPUTED_VALUE"""),"Crouse")</f>
        <v>Crouse</v>
      </c>
      <c r="I69" s="22" t="str">
        <f>IFERROR(__xludf.DUMMYFUNCTION("""COMPUTED_VALUE"""),"Corporate")</f>
        <v>Corporate</v>
      </c>
      <c r="J69" s="22" t="str">
        <f>IFERROR(__xludf.DUMMYFUNCTION("""COMPUTED_VALUE"""),"San Francisco")</f>
        <v>San Francisco</v>
      </c>
      <c r="K69" s="22" t="str">
        <f>IFERROR(__xludf.DUMMYFUNCTION("""COMPUTED_VALUE"""),"California")</f>
        <v>California</v>
      </c>
      <c r="L69" s="22" t="str">
        <f>IFERROR(__xludf.DUMMYFUNCTION("""COMPUTED_VALUE"""),"West")</f>
        <v>West</v>
      </c>
      <c r="M69" s="22" t="str">
        <f>IFERROR(__xludf.DUMMYFUNCTION("""COMPUTED_VALUE"""),"Office Supplies")</f>
        <v>Office Supplies</v>
      </c>
      <c r="N69" s="18">
        <f>IFERROR(__xludf.DUMMYFUNCTION("""COMPUTED_VALUE"""),7.712)</f>
        <v>7.712</v>
      </c>
      <c r="O69" s="18">
        <f>IFERROR(__xludf.DUMMYFUNCTION("""COMPUTED_VALUE"""),7.19)</f>
        <v>7.19</v>
      </c>
      <c r="P69" s="22">
        <f>IFERROR(__xludf.DUMMYFUNCTION("""COMPUTED_VALUE"""),9.0)</f>
        <v>9</v>
      </c>
      <c r="Q69" s="18">
        <f>IFERROR(__xludf.DUMMYFUNCTION("""COMPUTED_VALUE"""),69.408)</f>
        <v>69.408</v>
      </c>
      <c r="R69" s="18">
        <f>IFERROR(__xludf.DUMMYFUNCTION("""COMPUTED_VALUE"""),62.218)</f>
        <v>62.218</v>
      </c>
    </row>
    <row r="70">
      <c r="A70" s="21">
        <f>IFERROR(__xludf.DUMMYFUNCTION("""COMPUTED_VALUE"""),42345.0)</f>
        <v>42345</v>
      </c>
      <c r="B70" s="21" t="str">
        <f>IFERROR(__xludf.DUMMYFUNCTION("""COMPUTED_VALUE"""),"Dec")</f>
        <v>Dec</v>
      </c>
      <c r="C70" s="9">
        <f>IFERROR(__xludf.DUMMYFUNCTION("""COMPUTED_VALUE"""),42202.0)</f>
        <v>42202</v>
      </c>
      <c r="D70" s="23" t="str">
        <f>IFERROR(__xludf.DUMMYFUNCTION("""COMPUTED_VALUE"""),"Jul")</f>
        <v>Jul</v>
      </c>
      <c r="E70" s="21" t="str">
        <f>IFERROR(__xludf.DUMMYFUNCTION("""COMPUTED_VALUE"""),"2015")</f>
        <v>2015</v>
      </c>
      <c r="F70" s="22" t="str">
        <f>IFERROR(__xludf.DUMMYFUNCTION("""COMPUTED_VALUE"""),"Standard Class")</f>
        <v>Standard Class</v>
      </c>
      <c r="G70" s="22" t="str">
        <f>IFERROR(__xludf.DUMMYFUNCTION("""COMPUTED_VALUE"""),"Alyssa")</f>
        <v>Alyssa</v>
      </c>
      <c r="H70" s="22" t="str">
        <f>IFERROR(__xludf.DUMMYFUNCTION("""COMPUTED_VALUE"""),"Crouse")</f>
        <v>Crouse</v>
      </c>
      <c r="I70" s="22" t="str">
        <f>IFERROR(__xludf.DUMMYFUNCTION("""COMPUTED_VALUE"""),"Corporate")</f>
        <v>Corporate</v>
      </c>
      <c r="J70" s="22" t="str">
        <f>IFERROR(__xludf.DUMMYFUNCTION("""COMPUTED_VALUE"""),"San Francisco")</f>
        <v>San Francisco</v>
      </c>
      <c r="K70" s="22" t="str">
        <f>IFERROR(__xludf.DUMMYFUNCTION("""COMPUTED_VALUE"""),"California")</f>
        <v>California</v>
      </c>
      <c r="L70" s="22" t="str">
        <f>IFERROR(__xludf.DUMMYFUNCTION("""COMPUTED_VALUE"""),"West")</f>
        <v>West</v>
      </c>
      <c r="M70" s="22" t="str">
        <f>IFERROR(__xludf.DUMMYFUNCTION("""COMPUTED_VALUE"""),"Furniture")</f>
        <v>Furniture</v>
      </c>
      <c r="N70" s="18">
        <f>IFERROR(__xludf.DUMMYFUNCTION("""COMPUTED_VALUE"""),698.352)</f>
        <v>698.352</v>
      </c>
      <c r="O70" s="18">
        <f>IFERROR(__xludf.DUMMYFUNCTION("""COMPUTED_VALUE"""),698.24)</f>
        <v>698.24</v>
      </c>
      <c r="P70" s="22">
        <f>IFERROR(__xludf.DUMMYFUNCTION("""COMPUTED_VALUE"""),9.0)</f>
        <v>9</v>
      </c>
      <c r="Q70" s="18">
        <f>IFERROR(__xludf.DUMMYFUNCTION("""COMPUTED_VALUE"""),6285.168)</f>
        <v>6285.168</v>
      </c>
      <c r="R70" s="18">
        <f>IFERROR(__xludf.DUMMYFUNCTION("""COMPUTED_VALUE"""),5586.928)</f>
        <v>5586.928</v>
      </c>
    </row>
    <row r="71">
      <c r="A71" s="21">
        <f>IFERROR(__xludf.DUMMYFUNCTION("""COMPUTED_VALUE"""),43266.0)</f>
        <v>43266</v>
      </c>
      <c r="B71" s="21" t="str">
        <f>IFERROR(__xludf.DUMMYFUNCTION("""COMPUTED_VALUE"""),"Jun")</f>
        <v>Jun</v>
      </c>
      <c r="C71" s="9">
        <f>IFERROR(__xludf.DUMMYFUNCTION("""COMPUTED_VALUE"""),43270.0)</f>
        <v>43270</v>
      </c>
      <c r="D71" s="23" t="str">
        <f>IFERROR(__xludf.DUMMYFUNCTION("""COMPUTED_VALUE"""),"Jun")</f>
        <v>Jun</v>
      </c>
      <c r="E71" s="21" t="str">
        <f>IFERROR(__xludf.DUMMYFUNCTION("""COMPUTED_VALUE"""),"2018")</f>
        <v>2018</v>
      </c>
      <c r="F71" s="22" t="str">
        <f>IFERROR(__xludf.DUMMYFUNCTION("""COMPUTED_VALUE"""),"Standard Class")</f>
        <v>Standard Class</v>
      </c>
      <c r="G71" s="22" t="str">
        <f>IFERROR(__xludf.DUMMYFUNCTION("""COMPUTED_VALUE"""),"Clay")</f>
        <v>Clay</v>
      </c>
      <c r="H71" s="22" t="str">
        <f>IFERROR(__xludf.DUMMYFUNCTION("""COMPUTED_VALUE"""),"Cheatham")</f>
        <v>Cheatham</v>
      </c>
      <c r="I71" s="22" t="str">
        <f>IFERROR(__xludf.DUMMYFUNCTION("""COMPUTED_VALUE"""),"Consumer")</f>
        <v>Consumer</v>
      </c>
      <c r="J71" s="22" t="str">
        <f>IFERROR(__xludf.DUMMYFUNCTION("""COMPUTED_VALUE"""),"San Francisco")</f>
        <v>San Francisco</v>
      </c>
      <c r="K71" s="22" t="str">
        <f>IFERROR(__xludf.DUMMYFUNCTION("""COMPUTED_VALUE"""),"California")</f>
        <v>California</v>
      </c>
      <c r="L71" s="22" t="str">
        <f>IFERROR(__xludf.DUMMYFUNCTION("""COMPUTED_VALUE"""),"West")</f>
        <v>West</v>
      </c>
      <c r="M71" s="22" t="str">
        <f>IFERROR(__xludf.DUMMYFUNCTION("""COMPUTED_VALUE"""),"Technology")</f>
        <v>Technology</v>
      </c>
      <c r="N71" s="18">
        <f>IFERROR(__xludf.DUMMYFUNCTION("""COMPUTED_VALUE"""),47.976)</f>
        <v>47.976</v>
      </c>
      <c r="O71" s="18">
        <f>IFERROR(__xludf.DUMMYFUNCTION("""COMPUTED_VALUE"""),47.57)</f>
        <v>47.57</v>
      </c>
      <c r="P71" s="22">
        <f>IFERROR(__xludf.DUMMYFUNCTION("""COMPUTED_VALUE"""),9.0)</f>
        <v>9</v>
      </c>
      <c r="Q71" s="18">
        <f>IFERROR(__xludf.DUMMYFUNCTION("""COMPUTED_VALUE"""),431.784)</f>
        <v>431.784</v>
      </c>
      <c r="R71" s="18">
        <f>IFERROR(__xludf.DUMMYFUNCTION("""COMPUTED_VALUE"""),384.214)</f>
        <v>384.214</v>
      </c>
    </row>
    <row r="72">
      <c r="A72" s="21">
        <f>IFERROR(__xludf.DUMMYFUNCTION("""COMPUTED_VALUE"""),42271.0)</f>
        <v>42271</v>
      </c>
      <c r="B72" s="21" t="str">
        <f>IFERROR(__xludf.DUMMYFUNCTION("""COMPUTED_VALUE"""),"Sep")</f>
        <v>Sep</v>
      </c>
      <c r="C72" s="9">
        <f>IFERROR(__xludf.DUMMYFUNCTION("""COMPUTED_VALUE"""),42276.0)</f>
        <v>42276</v>
      </c>
      <c r="D72" s="23" t="str">
        <f>IFERROR(__xludf.DUMMYFUNCTION("""COMPUTED_VALUE"""),"Sep")</f>
        <v>Sep</v>
      </c>
      <c r="E72" s="21" t="str">
        <f>IFERROR(__xludf.DUMMYFUNCTION("""COMPUTED_VALUE"""),"2015")</f>
        <v>2015</v>
      </c>
      <c r="F72" s="22" t="str">
        <f>IFERROR(__xludf.DUMMYFUNCTION("""COMPUTED_VALUE"""),"Standard Class")</f>
        <v>Standard Class</v>
      </c>
      <c r="G72" s="22" t="str">
        <f>IFERROR(__xludf.DUMMYFUNCTION("""COMPUTED_VALUE"""),"Julia")</f>
        <v>Julia</v>
      </c>
      <c r="H72" s="22" t="str">
        <f>IFERROR(__xludf.DUMMYFUNCTION("""COMPUTED_VALUE"""),"Dunbar")</f>
        <v>Dunbar</v>
      </c>
      <c r="I72" s="22" t="str">
        <f>IFERROR(__xludf.DUMMYFUNCTION("""COMPUTED_VALUE"""),"Consumer")</f>
        <v>Consumer</v>
      </c>
      <c r="J72" s="22" t="str">
        <f>IFERROR(__xludf.DUMMYFUNCTION("""COMPUTED_VALUE"""),"San Francisco")</f>
        <v>San Francisco</v>
      </c>
      <c r="K72" s="22" t="str">
        <f>IFERROR(__xludf.DUMMYFUNCTION("""COMPUTED_VALUE"""),"California")</f>
        <v>California</v>
      </c>
      <c r="L72" s="22" t="str">
        <f>IFERROR(__xludf.DUMMYFUNCTION("""COMPUTED_VALUE"""),"West")</f>
        <v>West</v>
      </c>
      <c r="M72" s="22" t="str">
        <f>IFERROR(__xludf.DUMMYFUNCTION("""COMPUTED_VALUE"""),"Office Supplies")</f>
        <v>Office Supplies</v>
      </c>
      <c r="N72" s="18">
        <f>IFERROR(__xludf.DUMMYFUNCTION("""COMPUTED_VALUE"""),211.96)</f>
        <v>211.96</v>
      </c>
      <c r="O72" s="18">
        <f>IFERROR(__xludf.DUMMYFUNCTION("""COMPUTED_VALUE"""),211.15)</f>
        <v>211.15</v>
      </c>
      <c r="P72" s="22">
        <f>IFERROR(__xludf.DUMMYFUNCTION("""COMPUTED_VALUE"""),9.0)</f>
        <v>9</v>
      </c>
      <c r="Q72" s="18">
        <f>IFERROR(__xludf.DUMMYFUNCTION("""COMPUTED_VALUE"""),1907.64)</f>
        <v>1907.64</v>
      </c>
      <c r="R72" s="18">
        <f>IFERROR(__xludf.DUMMYFUNCTION("""COMPUTED_VALUE"""),1696.49)</f>
        <v>1696.49</v>
      </c>
    </row>
    <row r="73">
      <c r="A73" s="21">
        <f>IFERROR(__xludf.DUMMYFUNCTION("""COMPUTED_VALUE"""),43036.0)</f>
        <v>43036</v>
      </c>
      <c r="B73" s="21" t="str">
        <f>IFERROR(__xludf.DUMMYFUNCTION("""COMPUTED_VALUE"""),"Oct")</f>
        <v>Oct</v>
      </c>
      <c r="C73" s="9">
        <f>IFERROR(__xludf.DUMMYFUNCTION("""COMPUTED_VALUE"""),43037.0)</f>
        <v>43037</v>
      </c>
      <c r="D73" s="23" t="str">
        <f>IFERROR(__xludf.DUMMYFUNCTION("""COMPUTED_VALUE"""),"Oct")</f>
        <v>Oct</v>
      </c>
      <c r="E73" s="21" t="str">
        <f>IFERROR(__xludf.DUMMYFUNCTION("""COMPUTED_VALUE"""),"2017")</f>
        <v>2017</v>
      </c>
      <c r="F73" s="22" t="str">
        <f>IFERROR(__xludf.DUMMYFUNCTION("""COMPUTED_VALUE"""),"First Class")</f>
        <v>First Class</v>
      </c>
      <c r="G73" s="22" t="str">
        <f>IFERROR(__xludf.DUMMYFUNCTION("""COMPUTED_VALUE"""),"Alejandro")</f>
        <v>Alejandro</v>
      </c>
      <c r="H73" s="22" t="str">
        <f>IFERROR(__xludf.DUMMYFUNCTION("""COMPUTED_VALUE"""),"Savely")</f>
        <v>Savely</v>
      </c>
      <c r="I73" s="22" t="str">
        <f>IFERROR(__xludf.DUMMYFUNCTION("""COMPUTED_VALUE"""),"Corporate")</f>
        <v>Corporate</v>
      </c>
      <c r="J73" s="22" t="str">
        <f>IFERROR(__xludf.DUMMYFUNCTION("""COMPUTED_VALUE"""),"San Francisco")</f>
        <v>San Francisco</v>
      </c>
      <c r="K73" s="22" t="str">
        <f>IFERROR(__xludf.DUMMYFUNCTION("""COMPUTED_VALUE"""),"California")</f>
        <v>California</v>
      </c>
      <c r="L73" s="22" t="str">
        <f>IFERROR(__xludf.DUMMYFUNCTION("""COMPUTED_VALUE"""),"West")</f>
        <v>West</v>
      </c>
      <c r="M73" s="22" t="str">
        <f>IFERROR(__xludf.DUMMYFUNCTION("""COMPUTED_VALUE"""),"Office Supplies")</f>
        <v>Office Supplies</v>
      </c>
      <c r="N73" s="18">
        <f>IFERROR(__xludf.DUMMYFUNCTION("""COMPUTED_VALUE"""),50.96)</f>
        <v>50.96</v>
      </c>
      <c r="O73" s="18">
        <f>IFERROR(__xludf.DUMMYFUNCTION("""COMPUTED_VALUE"""),50.41)</f>
        <v>50.41</v>
      </c>
      <c r="P73" s="22">
        <f>IFERROR(__xludf.DUMMYFUNCTION("""COMPUTED_VALUE"""),9.0)</f>
        <v>9</v>
      </c>
      <c r="Q73" s="18">
        <f>IFERROR(__xludf.DUMMYFUNCTION("""COMPUTED_VALUE"""),458.64)</f>
        <v>458.64</v>
      </c>
      <c r="R73" s="18">
        <f>IFERROR(__xludf.DUMMYFUNCTION("""COMPUTED_VALUE"""),408.23)</f>
        <v>408.23</v>
      </c>
    </row>
    <row r="74">
      <c r="A74" s="21">
        <f>IFERROR(__xludf.DUMMYFUNCTION("""COMPUTED_VALUE"""),43036.0)</f>
        <v>43036</v>
      </c>
      <c r="B74" s="21" t="str">
        <f>IFERROR(__xludf.DUMMYFUNCTION("""COMPUTED_VALUE"""),"Oct")</f>
        <v>Oct</v>
      </c>
      <c r="C74" s="9">
        <f>IFERROR(__xludf.DUMMYFUNCTION("""COMPUTED_VALUE"""),43037.0)</f>
        <v>43037</v>
      </c>
      <c r="D74" s="23" t="str">
        <f>IFERROR(__xludf.DUMMYFUNCTION("""COMPUTED_VALUE"""),"Oct")</f>
        <v>Oct</v>
      </c>
      <c r="E74" s="21" t="str">
        <f>IFERROR(__xludf.DUMMYFUNCTION("""COMPUTED_VALUE"""),"2017")</f>
        <v>2017</v>
      </c>
      <c r="F74" s="22" t="str">
        <f>IFERROR(__xludf.DUMMYFUNCTION("""COMPUTED_VALUE"""),"First Class")</f>
        <v>First Class</v>
      </c>
      <c r="G74" s="22" t="str">
        <f>IFERROR(__xludf.DUMMYFUNCTION("""COMPUTED_VALUE"""),"Alejandro")</f>
        <v>Alejandro</v>
      </c>
      <c r="H74" s="22" t="str">
        <f>IFERROR(__xludf.DUMMYFUNCTION("""COMPUTED_VALUE"""),"Savely")</f>
        <v>Savely</v>
      </c>
      <c r="I74" s="22" t="str">
        <f>IFERROR(__xludf.DUMMYFUNCTION("""COMPUTED_VALUE"""),"Corporate")</f>
        <v>Corporate</v>
      </c>
      <c r="J74" s="22" t="str">
        <f>IFERROR(__xludf.DUMMYFUNCTION("""COMPUTED_VALUE"""),"San Francisco")</f>
        <v>San Francisco</v>
      </c>
      <c r="K74" s="22" t="str">
        <f>IFERROR(__xludf.DUMMYFUNCTION("""COMPUTED_VALUE"""),"California")</f>
        <v>California</v>
      </c>
      <c r="L74" s="22" t="str">
        <f>IFERROR(__xludf.DUMMYFUNCTION("""COMPUTED_VALUE"""),"West")</f>
        <v>West</v>
      </c>
      <c r="M74" s="22" t="str">
        <f>IFERROR(__xludf.DUMMYFUNCTION("""COMPUTED_VALUE"""),"Office Supplies")</f>
        <v>Office Supplies</v>
      </c>
      <c r="N74" s="18">
        <f>IFERROR(__xludf.DUMMYFUNCTION("""COMPUTED_VALUE"""),49.536)</f>
        <v>49.536</v>
      </c>
      <c r="O74" s="18">
        <f>IFERROR(__xludf.DUMMYFUNCTION("""COMPUTED_VALUE"""),49.01)</f>
        <v>49.01</v>
      </c>
      <c r="P74" s="22">
        <f>IFERROR(__xludf.DUMMYFUNCTION("""COMPUTED_VALUE"""),9.0)</f>
        <v>9</v>
      </c>
      <c r="Q74" s="18">
        <f>IFERROR(__xludf.DUMMYFUNCTION("""COMPUTED_VALUE"""),445.824)</f>
        <v>445.824</v>
      </c>
      <c r="R74" s="18">
        <f>IFERROR(__xludf.DUMMYFUNCTION("""COMPUTED_VALUE"""),396.814)</f>
        <v>396.814</v>
      </c>
    </row>
    <row r="75">
      <c r="A75" s="21">
        <f>IFERROR(__xludf.DUMMYFUNCTION("""COMPUTED_VALUE"""),43324.0)</f>
        <v>43324</v>
      </c>
      <c r="B75" s="21" t="str">
        <f>IFERROR(__xludf.DUMMYFUNCTION("""COMPUTED_VALUE"""),"Aug")</f>
        <v>Aug</v>
      </c>
      <c r="C75" s="9">
        <f>IFERROR(__xludf.DUMMYFUNCTION("""COMPUTED_VALUE"""),43446.0)</f>
        <v>43446</v>
      </c>
      <c r="D75" s="23" t="str">
        <f>IFERROR(__xludf.DUMMYFUNCTION("""COMPUTED_VALUE"""),"Dec")</f>
        <v>Dec</v>
      </c>
      <c r="E75" s="21" t="str">
        <f>IFERROR(__xludf.DUMMYFUNCTION("""COMPUTED_VALUE"""),"2018")</f>
        <v>2018</v>
      </c>
      <c r="F75" s="22" t="str">
        <f>IFERROR(__xludf.DUMMYFUNCTION("""COMPUTED_VALUE"""),"Standard Class")</f>
        <v>Standard Class</v>
      </c>
      <c r="G75" s="22" t="str">
        <f>IFERROR(__xludf.DUMMYFUNCTION("""COMPUTED_VALUE"""),"Keith")</f>
        <v>Keith</v>
      </c>
      <c r="H75" s="22" t="str">
        <f>IFERROR(__xludf.DUMMYFUNCTION("""COMPUTED_VALUE"""),"Herrera")</f>
        <v>Herrera</v>
      </c>
      <c r="I75" s="22" t="str">
        <f>IFERROR(__xludf.DUMMYFUNCTION("""COMPUTED_VALUE"""),"Consumer")</f>
        <v>Consumer</v>
      </c>
      <c r="J75" s="22" t="str">
        <f>IFERROR(__xludf.DUMMYFUNCTION("""COMPUTED_VALUE"""),"San Francisco")</f>
        <v>San Francisco</v>
      </c>
      <c r="K75" s="22" t="str">
        <f>IFERROR(__xludf.DUMMYFUNCTION("""COMPUTED_VALUE"""),"California")</f>
        <v>California</v>
      </c>
      <c r="L75" s="22" t="str">
        <f>IFERROR(__xludf.DUMMYFUNCTION("""COMPUTED_VALUE"""),"West")</f>
        <v>West</v>
      </c>
      <c r="M75" s="22" t="str">
        <f>IFERROR(__xludf.DUMMYFUNCTION("""COMPUTED_VALUE"""),"Technology")</f>
        <v>Technology</v>
      </c>
      <c r="N75" s="18">
        <f>IFERROR(__xludf.DUMMYFUNCTION("""COMPUTED_VALUE"""),179.95)</f>
        <v>179.95</v>
      </c>
      <c r="O75" s="18">
        <f>IFERROR(__xludf.DUMMYFUNCTION("""COMPUTED_VALUE"""),179.62)</f>
        <v>179.62</v>
      </c>
      <c r="P75" s="22">
        <f>IFERROR(__xludf.DUMMYFUNCTION("""COMPUTED_VALUE"""),9.0)</f>
        <v>9</v>
      </c>
      <c r="Q75" s="18">
        <f>IFERROR(__xludf.DUMMYFUNCTION("""COMPUTED_VALUE"""),1619.55)</f>
        <v>1619.55</v>
      </c>
      <c r="R75" s="18">
        <f>IFERROR(__xludf.DUMMYFUNCTION("""COMPUTED_VALUE"""),1439.9299999999998)</f>
        <v>1439.93</v>
      </c>
    </row>
    <row r="76">
      <c r="A76" s="21">
        <f>IFERROR(__xludf.DUMMYFUNCTION("""COMPUTED_VALUE"""),43324.0)</f>
        <v>43324</v>
      </c>
      <c r="B76" s="21" t="str">
        <f>IFERROR(__xludf.DUMMYFUNCTION("""COMPUTED_VALUE"""),"Aug")</f>
        <v>Aug</v>
      </c>
      <c r="C76" s="9">
        <f>IFERROR(__xludf.DUMMYFUNCTION("""COMPUTED_VALUE"""),43446.0)</f>
        <v>43446</v>
      </c>
      <c r="D76" s="23" t="str">
        <f>IFERROR(__xludf.DUMMYFUNCTION("""COMPUTED_VALUE"""),"Dec")</f>
        <v>Dec</v>
      </c>
      <c r="E76" s="21" t="str">
        <f>IFERROR(__xludf.DUMMYFUNCTION("""COMPUTED_VALUE"""),"2018")</f>
        <v>2018</v>
      </c>
      <c r="F76" s="22" t="str">
        <f>IFERROR(__xludf.DUMMYFUNCTION("""COMPUTED_VALUE"""),"Standard Class")</f>
        <v>Standard Class</v>
      </c>
      <c r="G76" s="22" t="str">
        <f>IFERROR(__xludf.DUMMYFUNCTION("""COMPUTED_VALUE"""),"Keith")</f>
        <v>Keith</v>
      </c>
      <c r="H76" s="22" t="str">
        <f>IFERROR(__xludf.DUMMYFUNCTION("""COMPUTED_VALUE"""),"Herrera")</f>
        <v>Herrera</v>
      </c>
      <c r="I76" s="22" t="str">
        <f>IFERROR(__xludf.DUMMYFUNCTION("""COMPUTED_VALUE"""),"Consumer")</f>
        <v>Consumer</v>
      </c>
      <c r="J76" s="22" t="str">
        <f>IFERROR(__xludf.DUMMYFUNCTION("""COMPUTED_VALUE"""),"San Francisco")</f>
        <v>San Francisco</v>
      </c>
      <c r="K76" s="22" t="str">
        <f>IFERROR(__xludf.DUMMYFUNCTION("""COMPUTED_VALUE"""),"California")</f>
        <v>California</v>
      </c>
      <c r="L76" s="22" t="str">
        <f>IFERROR(__xludf.DUMMYFUNCTION("""COMPUTED_VALUE"""),"West")</f>
        <v>West</v>
      </c>
      <c r="M76" s="22" t="str">
        <f>IFERROR(__xludf.DUMMYFUNCTION("""COMPUTED_VALUE"""),"Technology")</f>
        <v>Technology</v>
      </c>
      <c r="N76" s="18">
        <f>IFERROR(__xludf.DUMMYFUNCTION("""COMPUTED_VALUE"""),1199.976)</f>
        <v>1199.976</v>
      </c>
      <c r="O76" s="18">
        <f>IFERROR(__xludf.DUMMYFUNCTION("""COMPUTED_VALUE"""),1199.86)</f>
        <v>1199.86</v>
      </c>
      <c r="P76" s="22">
        <f>IFERROR(__xludf.DUMMYFUNCTION("""COMPUTED_VALUE"""),9.0)</f>
        <v>9</v>
      </c>
      <c r="Q76" s="18">
        <f>IFERROR(__xludf.DUMMYFUNCTION("""COMPUTED_VALUE"""),10799.784000000001)</f>
        <v>10799.784</v>
      </c>
      <c r="R76" s="18">
        <f>IFERROR(__xludf.DUMMYFUNCTION("""COMPUTED_VALUE"""),9599.924)</f>
        <v>9599.924</v>
      </c>
    </row>
    <row r="77">
      <c r="A77" s="21">
        <f>IFERROR(__xludf.DUMMYFUNCTION("""COMPUTED_VALUE"""),43324.0)</f>
        <v>43324</v>
      </c>
      <c r="B77" s="21" t="str">
        <f>IFERROR(__xludf.DUMMYFUNCTION("""COMPUTED_VALUE"""),"Aug")</f>
        <v>Aug</v>
      </c>
      <c r="C77" s="9">
        <f>IFERROR(__xludf.DUMMYFUNCTION("""COMPUTED_VALUE"""),43446.0)</f>
        <v>43446</v>
      </c>
      <c r="D77" s="23" t="str">
        <f>IFERROR(__xludf.DUMMYFUNCTION("""COMPUTED_VALUE"""),"Dec")</f>
        <v>Dec</v>
      </c>
      <c r="E77" s="21" t="str">
        <f>IFERROR(__xludf.DUMMYFUNCTION("""COMPUTED_VALUE"""),"2018")</f>
        <v>2018</v>
      </c>
      <c r="F77" s="22" t="str">
        <f>IFERROR(__xludf.DUMMYFUNCTION("""COMPUTED_VALUE"""),"Standard Class")</f>
        <v>Standard Class</v>
      </c>
      <c r="G77" s="22" t="str">
        <f>IFERROR(__xludf.DUMMYFUNCTION("""COMPUTED_VALUE"""),"Keith")</f>
        <v>Keith</v>
      </c>
      <c r="H77" s="22" t="str">
        <f>IFERROR(__xludf.DUMMYFUNCTION("""COMPUTED_VALUE"""),"Herrera")</f>
        <v>Herrera</v>
      </c>
      <c r="I77" s="22" t="str">
        <f>IFERROR(__xludf.DUMMYFUNCTION("""COMPUTED_VALUE"""),"Consumer")</f>
        <v>Consumer</v>
      </c>
      <c r="J77" s="22" t="str">
        <f>IFERROR(__xludf.DUMMYFUNCTION("""COMPUTED_VALUE"""),"San Francisco")</f>
        <v>San Francisco</v>
      </c>
      <c r="K77" s="22" t="str">
        <f>IFERROR(__xludf.DUMMYFUNCTION("""COMPUTED_VALUE"""),"California")</f>
        <v>California</v>
      </c>
      <c r="L77" s="22" t="str">
        <f>IFERROR(__xludf.DUMMYFUNCTION("""COMPUTED_VALUE"""),"West")</f>
        <v>West</v>
      </c>
      <c r="M77" s="22" t="str">
        <f>IFERROR(__xludf.DUMMYFUNCTION("""COMPUTED_VALUE"""),"Office Supplies")</f>
        <v>Office Supplies</v>
      </c>
      <c r="N77" s="18">
        <f>IFERROR(__xludf.DUMMYFUNCTION("""COMPUTED_VALUE"""),27.15)</f>
        <v>27.15</v>
      </c>
      <c r="O77" s="18">
        <f>IFERROR(__xludf.DUMMYFUNCTION("""COMPUTED_VALUE"""),27.07)</f>
        <v>27.07</v>
      </c>
      <c r="P77" s="22">
        <f>IFERROR(__xludf.DUMMYFUNCTION("""COMPUTED_VALUE"""),9.0)</f>
        <v>9</v>
      </c>
      <c r="Q77" s="18">
        <f>IFERROR(__xludf.DUMMYFUNCTION("""COMPUTED_VALUE"""),244.35)</f>
        <v>244.35</v>
      </c>
      <c r="R77" s="18">
        <f>IFERROR(__xludf.DUMMYFUNCTION("""COMPUTED_VALUE"""),217.28)</f>
        <v>217.28</v>
      </c>
    </row>
    <row r="78">
      <c r="A78" s="21">
        <f>IFERROR(__xludf.DUMMYFUNCTION("""COMPUTED_VALUE"""),43324.0)</f>
        <v>43324</v>
      </c>
      <c r="B78" s="21" t="str">
        <f>IFERROR(__xludf.DUMMYFUNCTION("""COMPUTED_VALUE"""),"Aug")</f>
        <v>Aug</v>
      </c>
      <c r="C78" s="9">
        <f>IFERROR(__xludf.DUMMYFUNCTION("""COMPUTED_VALUE"""),43446.0)</f>
        <v>43446</v>
      </c>
      <c r="D78" s="23" t="str">
        <f>IFERROR(__xludf.DUMMYFUNCTION("""COMPUTED_VALUE"""),"Dec")</f>
        <v>Dec</v>
      </c>
      <c r="E78" s="21" t="str">
        <f>IFERROR(__xludf.DUMMYFUNCTION("""COMPUTED_VALUE"""),"2018")</f>
        <v>2018</v>
      </c>
      <c r="F78" s="22" t="str">
        <f>IFERROR(__xludf.DUMMYFUNCTION("""COMPUTED_VALUE"""),"Standard Class")</f>
        <v>Standard Class</v>
      </c>
      <c r="G78" s="22" t="str">
        <f>IFERROR(__xludf.DUMMYFUNCTION("""COMPUTED_VALUE"""),"Keith")</f>
        <v>Keith</v>
      </c>
      <c r="H78" s="22" t="str">
        <f>IFERROR(__xludf.DUMMYFUNCTION("""COMPUTED_VALUE"""),"Herrera")</f>
        <v>Herrera</v>
      </c>
      <c r="I78" s="22" t="str">
        <f>IFERROR(__xludf.DUMMYFUNCTION("""COMPUTED_VALUE"""),"Consumer")</f>
        <v>Consumer</v>
      </c>
      <c r="J78" s="22" t="str">
        <f>IFERROR(__xludf.DUMMYFUNCTION("""COMPUTED_VALUE"""),"San Francisco")</f>
        <v>San Francisco</v>
      </c>
      <c r="K78" s="22" t="str">
        <f>IFERROR(__xludf.DUMMYFUNCTION("""COMPUTED_VALUE"""),"California")</f>
        <v>California</v>
      </c>
      <c r="L78" s="22" t="str">
        <f>IFERROR(__xludf.DUMMYFUNCTION("""COMPUTED_VALUE"""),"West")</f>
        <v>West</v>
      </c>
      <c r="M78" s="22" t="str">
        <f>IFERROR(__xludf.DUMMYFUNCTION("""COMPUTED_VALUE"""),"Furniture")</f>
        <v>Furniture</v>
      </c>
      <c r="N78" s="18">
        <f>IFERROR(__xludf.DUMMYFUNCTION("""COMPUTED_VALUE"""),1004.024)</f>
        <v>1004.024</v>
      </c>
      <c r="O78" s="18">
        <f>IFERROR(__xludf.DUMMYFUNCTION("""COMPUTED_VALUE"""),1003.74)</f>
        <v>1003.74</v>
      </c>
      <c r="P78" s="22">
        <f>IFERROR(__xludf.DUMMYFUNCTION("""COMPUTED_VALUE"""),9.0)</f>
        <v>9</v>
      </c>
      <c r="Q78" s="18">
        <f>IFERROR(__xludf.DUMMYFUNCTION("""COMPUTED_VALUE"""),9036.216)</f>
        <v>9036.216</v>
      </c>
      <c r="R78" s="18">
        <f>IFERROR(__xludf.DUMMYFUNCTION("""COMPUTED_VALUE"""),8032.476000000001)</f>
        <v>8032.476</v>
      </c>
    </row>
    <row r="79">
      <c r="A79" s="21">
        <f>IFERROR(__xludf.DUMMYFUNCTION("""COMPUTED_VALUE"""),43324.0)</f>
        <v>43324</v>
      </c>
      <c r="B79" s="21" t="str">
        <f>IFERROR(__xludf.DUMMYFUNCTION("""COMPUTED_VALUE"""),"Aug")</f>
        <v>Aug</v>
      </c>
      <c r="C79" s="9">
        <f>IFERROR(__xludf.DUMMYFUNCTION("""COMPUTED_VALUE"""),43446.0)</f>
        <v>43446</v>
      </c>
      <c r="D79" s="23" t="str">
        <f>IFERROR(__xludf.DUMMYFUNCTION("""COMPUTED_VALUE"""),"Dec")</f>
        <v>Dec</v>
      </c>
      <c r="E79" s="21" t="str">
        <f>IFERROR(__xludf.DUMMYFUNCTION("""COMPUTED_VALUE"""),"2018")</f>
        <v>2018</v>
      </c>
      <c r="F79" s="22" t="str">
        <f>IFERROR(__xludf.DUMMYFUNCTION("""COMPUTED_VALUE"""),"Standard Class")</f>
        <v>Standard Class</v>
      </c>
      <c r="G79" s="22" t="str">
        <f>IFERROR(__xludf.DUMMYFUNCTION("""COMPUTED_VALUE"""),"Keith")</f>
        <v>Keith</v>
      </c>
      <c r="H79" s="22" t="str">
        <f>IFERROR(__xludf.DUMMYFUNCTION("""COMPUTED_VALUE"""),"Herrera")</f>
        <v>Herrera</v>
      </c>
      <c r="I79" s="22" t="str">
        <f>IFERROR(__xludf.DUMMYFUNCTION("""COMPUTED_VALUE"""),"Consumer")</f>
        <v>Consumer</v>
      </c>
      <c r="J79" s="22" t="str">
        <f>IFERROR(__xludf.DUMMYFUNCTION("""COMPUTED_VALUE"""),"San Francisco")</f>
        <v>San Francisco</v>
      </c>
      <c r="K79" s="22" t="str">
        <f>IFERROR(__xludf.DUMMYFUNCTION("""COMPUTED_VALUE"""),"California")</f>
        <v>California</v>
      </c>
      <c r="L79" s="22" t="str">
        <f>IFERROR(__xludf.DUMMYFUNCTION("""COMPUTED_VALUE"""),"West")</f>
        <v>West</v>
      </c>
      <c r="M79" s="22" t="str">
        <f>IFERROR(__xludf.DUMMYFUNCTION("""COMPUTED_VALUE"""),"Office Supplies")</f>
        <v>Office Supplies</v>
      </c>
      <c r="N79" s="18">
        <f>IFERROR(__xludf.DUMMYFUNCTION("""COMPUTED_VALUE"""),9.68)</f>
        <v>9.68</v>
      </c>
      <c r="O79" s="18">
        <f>IFERROR(__xludf.DUMMYFUNCTION("""COMPUTED_VALUE"""),8.77)</f>
        <v>8.77</v>
      </c>
      <c r="P79" s="22">
        <f>IFERROR(__xludf.DUMMYFUNCTION("""COMPUTED_VALUE"""),9.0)</f>
        <v>9</v>
      </c>
      <c r="Q79" s="18">
        <f>IFERROR(__xludf.DUMMYFUNCTION("""COMPUTED_VALUE"""),87.12)</f>
        <v>87.12</v>
      </c>
      <c r="R79" s="18">
        <f>IFERROR(__xludf.DUMMYFUNCTION("""COMPUTED_VALUE"""),78.35000000000001)</f>
        <v>78.35</v>
      </c>
    </row>
    <row r="80">
      <c r="A80" s="21">
        <f>IFERROR(__xludf.DUMMYFUNCTION("""COMPUTED_VALUE"""),43324.0)</f>
        <v>43324</v>
      </c>
      <c r="B80" s="21" t="str">
        <f>IFERROR(__xludf.DUMMYFUNCTION("""COMPUTED_VALUE"""),"Aug")</f>
        <v>Aug</v>
      </c>
      <c r="C80" s="9">
        <f>IFERROR(__xludf.DUMMYFUNCTION("""COMPUTED_VALUE"""),43446.0)</f>
        <v>43446</v>
      </c>
      <c r="D80" s="23" t="str">
        <f>IFERROR(__xludf.DUMMYFUNCTION("""COMPUTED_VALUE"""),"Dec")</f>
        <v>Dec</v>
      </c>
      <c r="E80" s="21" t="str">
        <f>IFERROR(__xludf.DUMMYFUNCTION("""COMPUTED_VALUE"""),"2018")</f>
        <v>2018</v>
      </c>
      <c r="F80" s="22" t="str">
        <f>IFERROR(__xludf.DUMMYFUNCTION("""COMPUTED_VALUE"""),"Standard Class")</f>
        <v>Standard Class</v>
      </c>
      <c r="G80" s="22" t="str">
        <f>IFERROR(__xludf.DUMMYFUNCTION("""COMPUTED_VALUE"""),"Keith")</f>
        <v>Keith</v>
      </c>
      <c r="H80" s="22" t="str">
        <f>IFERROR(__xludf.DUMMYFUNCTION("""COMPUTED_VALUE"""),"Herrera")</f>
        <v>Herrera</v>
      </c>
      <c r="I80" s="22" t="str">
        <f>IFERROR(__xludf.DUMMYFUNCTION("""COMPUTED_VALUE"""),"Consumer")</f>
        <v>Consumer</v>
      </c>
      <c r="J80" s="22" t="str">
        <f>IFERROR(__xludf.DUMMYFUNCTION("""COMPUTED_VALUE"""),"San Francisco")</f>
        <v>San Francisco</v>
      </c>
      <c r="K80" s="22" t="str">
        <f>IFERROR(__xludf.DUMMYFUNCTION("""COMPUTED_VALUE"""),"California")</f>
        <v>California</v>
      </c>
      <c r="L80" s="22" t="str">
        <f>IFERROR(__xludf.DUMMYFUNCTION("""COMPUTED_VALUE"""),"West")</f>
        <v>West</v>
      </c>
      <c r="M80" s="22" t="str">
        <f>IFERROR(__xludf.DUMMYFUNCTION("""COMPUTED_VALUE"""),"Office Supplies")</f>
        <v>Office Supplies</v>
      </c>
      <c r="N80" s="18">
        <f>IFERROR(__xludf.DUMMYFUNCTION("""COMPUTED_VALUE"""),28.35)</f>
        <v>28.35</v>
      </c>
      <c r="O80" s="18">
        <f>IFERROR(__xludf.DUMMYFUNCTION("""COMPUTED_VALUE"""),27.45)</f>
        <v>27.45</v>
      </c>
      <c r="P80" s="22">
        <f>IFERROR(__xludf.DUMMYFUNCTION("""COMPUTED_VALUE"""),9.0)</f>
        <v>9</v>
      </c>
      <c r="Q80" s="18">
        <f>IFERROR(__xludf.DUMMYFUNCTION("""COMPUTED_VALUE"""),255.15)</f>
        <v>255.15</v>
      </c>
      <c r="R80" s="18">
        <f>IFERROR(__xludf.DUMMYFUNCTION("""COMPUTED_VALUE"""),227.70000000000002)</f>
        <v>227.7</v>
      </c>
    </row>
    <row r="81">
      <c r="A81" s="21">
        <f>IFERROR(__xludf.DUMMYFUNCTION("""COMPUTED_VALUE"""),43324.0)</f>
        <v>43324</v>
      </c>
      <c r="B81" s="21" t="str">
        <f>IFERROR(__xludf.DUMMYFUNCTION("""COMPUTED_VALUE"""),"Aug")</f>
        <v>Aug</v>
      </c>
      <c r="C81" s="9">
        <f>IFERROR(__xludf.DUMMYFUNCTION("""COMPUTED_VALUE"""),43446.0)</f>
        <v>43446</v>
      </c>
      <c r="D81" s="23" t="str">
        <f>IFERROR(__xludf.DUMMYFUNCTION("""COMPUTED_VALUE"""),"Dec")</f>
        <v>Dec</v>
      </c>
      <c r="E81" s="21" t="str">
        <f>IFERROR(__xludf.DUMMYFUNCTION("""COMPUTED_VALUE"""),"2018")</f>
        <v>2018</v>
      </c>
      <c r="F81" s="22" t="str">
        <f>IFERROR(__xludf.DUMMYFUNCTION("""COMPUTED_VALUE"""),"Standard Class")</f>
        <v>Standard Class</v>
      </c>
      <c r="G81" s="22" t="str">
        <f>IFERROR(__xludf.DUMMYFUNCTION("""COMPUTED_VALUE"""),"Keith")</f>
        <v>Keith</v>
      </c>
      <c r="H81" s="22" t="str">
        <f>IFERROR(__xludf.DUMMYFUNCTION("""COMPUTED_VALUE"""),"Herrera")</f>
        <v>Herrera</v>
      </c>
      <c r="I81" s="22" t="str">
        <f>IFERROR(__xludf.DUMMYFUNCTION("""COMPUTED_VALUE"""),"Consumer")</f>
        <v>Consumer</v>
      </c>
      <c r="J81" s="22" t="str">
        <f>IFERROR(__xludf.DUMMYFUNCTION("""COMPUTED_VALUE"""),"San Francisco")</f>
        <v>San Francisco</v>
      </c>
      <c r="K81" s="22" t="str">
        <f>IFERROR(__xludf.DUMMYFUNCTION("""COMPUTED_VALUE"""),"California")</f>
        <v>California</v>
      </c>
      <c r="L81" s="22" t="str">
        <f>IFERROR(__xludf.DUMMYFUNCTION("""COMPUTED_VALUE"""),"West")</f>
        <v>West</v>
      </c>
      <c r="M81" s="22" t="str">
        <f>IFERROR(__xludf.DUMMYFUNCTION("""COMPUTED_VALUE"""),"Office Supplies")</f>
        <v>Office Supplies</v>
      </c>
      <c r="N81" s="18">
        <f>IFERROR(__xludf.DUMMYFUNCTION("""COMPUTED_VALUE"""),55.98)</f>
        <v>55.98</v>
      </c>
      <c r="O81" s="18">
        <f>IFERROR(__xludf.DUMMYFUNCTION("""COMPUTED_VALUE"""),55.71)</f>
        <v>55.71</v>
      </c>
      <c r="P81" s="22">
        <f>IFERROR(__xludf.DUMMYFUNCTION("""COMPUTED_VALUE"""),9.0)</f>
        <v>9</v>
      </c>
      <c r="Q81" s="18">
        <f>IFERROR(__xludf.DUMMYFUNCTION("""COMPUTED_VALUE"""),503.82)</f>
        <v>503.82</v>
      </c>
      <c r="R81" s="18">
        <f>IFERROR(__xludf.DUMMYFUNCTION("""COMPUTED_VALUE"""),448.11)</f>
        <v>448.11</v>
      </c>
    </row>
    <row r="82">
      <c r="A82" s="21">
        <f>IFERROR(__xludf.DUMMYFUNCTION("""COMPUTED_VALUE"""),43324.0)</f>
        <v>43324</v>
      </c>
      <c r="B82" s="21" t="str">
        <f>IFERROR(__xludf.DUMMYFUNCTION("""COMPUTED_VALUE"""),"Aug")</f>
        <v>Aug</v>
      </c>
      <c r="C82" s="9">
        <f>IFERROR(__xludf.DUMMYFUNCTION("""COMPUTED_VALUE"""),43446.0)</f>
        <v>43446</v>
      </c>
      <c r="D82" s="23" t="str">
        <f>IFERROR(__xludf.DUMMYFUNCTION("""COMPUTED_VALUE"""),"Dec")</f>
        <v>Dec</v>
      </c>
      <c r="E82" s="21" t="str">
        <f>IFERROR(__xludf.DUMMYFUNCTION("""COMPUTED_VALUE"""),"2018")</f>
        <v>2018</v>
      </c>
      <c r="F82" s="22" t="str">
        <f>IFERROR(__xludf.DUMMYFUNCTION("""COMPUTED_VALUE"""),"Standard Class")</f>
        <v>Standard Class</v>
      </c>
      <c r="G82" s="22" t="str">
        <f>IFERROR(__xludf.DUMMYFUNCTION("""COMPUTED_VALUE"""),"Keith")</f>
        <v>Keith</v>
      </c>
      <c r="H82" s="22" t="str">
        <f>IFERROR(__xludf.DUMMYFUNCTION("""COMPUTED_VALUE"""),"Herrera")</f>
        <v>Herrera</v>
      </c>
      <c r="I82" s="22" t="str">
        <f>IFERROR(__xludf.DUMMYFUNCTION("""COMPUTED_VALUE"""),"Consumer")</f>
        <v>Consumer</v>
      </c>
      <c r="J82" s="22" t="str">
        <f>IFERROR(__xludf.DUMMYFUNCTION("""COMPUTED_VALUE"""),"San Francisco")</f>
        <v>San Francisco</v>
      </c>
      <c r="K82" s="22" t="str">
        <f>IFERROR(__xludf.DUMMYFUNCTION("""COMPUTED_VALUE"""),"California")</f>
        <v>California</v>
      </c>
      <c r="L82" s="22" t="str">
        <f>IFERROR(__xludf.DUMMYFUNCTION("""COMPUTED_VALUE"""),"West")</f>
        <v>West</v>
      </c>
      <c r="M82" s="22" t="str">
        <f>IFERROR(__xludf.DUMMYFUNCTION("""COMPUTED_VALUE"""),"Furniture")</f>
        <v>Furniture</v>
      </c>
      <c r="N82" s="18">
        <f>IFERROR(__xludf.DUMMYFUNCTION("""COMPUTED_VALUE"""),1336.829)</f>
        <v>1336.829</v>
      </c>
      <c r="O82" s="18">
        <f>IFERROR(__xludf.DUMMYFUNCTION("""COMPUTED_VALUE"""),1336.39)</f>
        <v>1336.39</v>
      </c>
      <c r="P82" s="22">
        <f>IFERROR(__xludf.DUMMYFUNCTION("""COMPUTED_VALUE"""),9.0)</f>
        <v>9</v>
      </c>
      <c r="Q82" s="18">
        <f>IFERROR(__xludf.DUMMYFUNCTION("""COMPUTED_VALUE"""),12031.461)</f>
        <v>12031.461</v>
      </c>
      <c r="R82" s="18">
        <f>IFERROR(__xludf.DUMMYFUNCTION("""COMPUTED_VALUE"""),10695.071)</f>
        <v>10695.071</v>
      </c>
    </row>
    <row r="83">
      <c r="A83" s="21">
        <f>IFERROR(__xludf.DUMMYFUNCTION("""COMPUTED_VALUE"""),43324.0)</f>
        <v>43324</v>
      </c>
      <c r="B83" s="21" t="str">
        <f>IFERROR(__xludf.DUMMYFUNCTION("""COMPUTED_VALUE"""),"Aug")</f>
        <v>Aug</v>
      </c>
      <c r="C83" s="9">
        <f>IFERROR(__xludf.DUMMYFUNCTION("""COMPUTED_VALUE"""),43446.0)</f>
        <v>43446</v>
      </c>
      <c r="D83" s="23" t="str">
        <f>IFERROR(__xludf.DUMMYFUNCTION("""COMPUTED_VALUE"""),"Dec")</f>
        <v>Dec</v>
      </c>
      <c r="E83" s="21" t="str">
        <f>IFERROR(__xludf.DUMMYFUNCTION("""COMPUTED_VALUE"""),"2018")</f>
        <v>2018</v>
      </c>
      <c r="F83" s="22" t="str">
        <f>IFERROR(__xludf.DUMMYFUNCTION("""COMPUTED_VALUE"""),"Standard Class")</f>
        <v>Standard Class</v>
      </c>
      <c r="G83" s="22" t="str">
        <f>IFERROR(__xludf.DUMMYFUNCTION("""COMPUTED_VALUE"""),"Keith")</f>
        <v>Keith</v>
      </c>
      <c r="H83" s="22" t="str">
        <f>IFERROR(__xludf.DUMMYFUNCTION("""COMPUTED_VALUE"""),"Herrera")</f>
        <v>Herrera</v>
      </c>
      <c r="I83" s="22" t="str">
        <f>IFERROR(__xludf.DUMMYFUNCTION("""COMPUTED_VALUE"""),"Consumer")</f>
        <v>Consumer</v>
      </c>
      <c r="J83" s="22" t="str">
        <f>IFERROR(__xludf.DUMMYFUNCTION("""COMPUTED_VALUE"""),"San Francisco")</f>
        <v>San Francisco</v>
      </c>
      <c r="K83" s="22" t="str">
        <f>IFERROR(__xludf.DUMMYFUNCTION("""COMPUTED_VALUE"""),"California")</f>
        <v>California</v>
      </c>
      <c r="L83" s="22" t="str">
        <f>IFERROR(__xludf.DUMMYFUNCTION("""COMPUTED_VALUE"""),"West")</f>
        <v>West</v>
      </c>
      <c r="M83" s="22" t="str">
        <f>IFERROR(__xludf.DUMMYFUNCTION("""COMPUTED_VALUE"""),"Furniture")</f>
        <v>Furniture</v>
      </c>
      <c r="N83" s="18">
        <f>IFERROR(__xludf.DUMMYFUNCTION("""COMPUTED_VALUE"""),113.568)</f>
        <v>113.568</v>
      </c>
      <c r="O83" s="18">
        <f>IFERROR(__xludf.DUMMYFUNCTION("""COMPUTED_VALUE"""),113.48)</f>
        <v>113.48</v>
      </c>
      <c r="P83" s="22">
        <f>IFERROR(__xludf.DUMMYFUNCTION("""COMPUTED_VALUE"""),9.0)</f>
        <v>9</v>
      </c>
      <c r="Q83" s="18">
        <f>IFERROR(__xludf.DUMMYFUNCTION("""COMPUTED_VALUE"""),1022.112)</f>
        <v>1022.112</v>
      </c>
      <c r="R83" s="18">
        <f>IFERROR(__xludf.DUMMYFUNCTION("""COMPUTED_VALUE"""),908.632)</f>
        <v>908.632</v>
      </c>
    </row>
    <row r="84">
      <c r="A84" s="21">
        <f>IFERROR(__xludf.DUMMYFUNCTION("""COMPUTED_VALUE"""),43275.0)</f>
        <v>43275</v>
      </c>
      <c r="B84" s="21" t="str">
        <f>IFERROR(__xludf.DUMMYFUNCTION("""COMPUTED_VALUE"""),"Jun")</f>
        <v>Jun</v>
      </c>
      <c r="C84" s="9">
        <f>IFERROR(__xludf.DUMMYFUNCTION("""COMPUTED_VALUE"""),43279.0)</f>
        <v>43279</v>
      </c>
      <c r="D84" s="23" t="str">
        <f>IFERROR(__xludf.DUMMYFUNCTION("""COMPUTED_VALUE"""),"Jun")</f>
        <v>Jun</v>
      </c>
      <c r="E84" s="21" t="str">
        <f>IFERROR(__xludf.DUMMYFUNCTION("""COMPUTED_VALUE"""),"2018")</f>
        <v>2018</v>
      </c>
      <c r="F84" s="22" t="str">
        <f>IFERROR(__xludf.DUMMYFUNCTION("""COMPUTED_VALUE"""),"Standard Class")</f>
        <v>Standard Class</v>
      </c>
      <c r="G84" s="22" t="str">
        <f>IFERROR(__xludf.DUMMYFUNCTION("""COMPUTED_VALUE"""),"Caroline")</f>
        <v>Caroline</v>
      </c>
      <c r="H84" s="22" t="str">
        <f>IFERROR(__xludf.DUMMYFUNCTION("""COMPUTED_VALUE"""),"Jumper")</f>
        <v>Jumper</v>
      </c>
      <c r="I84" s="22" t="str">
        <f>IFERROR(__xludf.DUMMYFUNCTION("""COMPUTED_VALUE"""),"Consumer")</f>
        <v>Consumer</v>
      </c>
      <c r="J84" s="22" t="str">
        <f>IFERROR(__xludf.DUMMYFUNCTION("""COMPUTED_VALUE"""),"Huntington Beach")</f>
        <v>Huntington Beach</v>
      </c>
      <c r="K84" s="22" t="str">
        <f>IFERROR(__xludf.DUMMYFUNCTION("""COMPUTED_VALUE"""),"California")</f>
        <v>California</v>
      </c>
      <c r="L84" s="22" t="str">
        <f>IFERROR(__xludf.DUMMYFUNCTION("""COMPUTED_VALUE"""),"West")</f>
        <v>West</v>
      </c>
      <c r="M84" s="22" t="str">
        <f>IFERROR(__xludf.DUMMYFUNCTION("""COMPUTED_VALUE"""),"Office Supplies")</f>
        <v>Office Supplies</v>
      </c>
      <c r="N84" s="18">
        <f>IFERROR(__xludf.DUMMYFUNCTION("""COMPUTED_VALUE"""),95.92)</f>
        <v>95.92</v>
      </c>
      <c r="O84" s="18">
        <f>IFERROR(__xludf.DUMMYFUNCTION("""COMPUTED_VALUE"""),95.2)</f>
        <v>95.2</v>
      </c>
      <c r="P84" s="22">
        <f>IFERROR(__xludf.DUMMYFUNCTION("""COMPUTED_VALUE"""),9.0)</f>
        <v>9</v>
      </c>
      <c r="Q84" s="18">
        <f>IFERROR(__xludf.DUMMYFUNCTION("""COMPUTED_VALUE"""),863.28)</f>
        <v>863.28</v>
      </c>
      <c r="R84" s="18">
        <f>IFERROR(__xludf.DUMMYFUNCTION("""COMPUTED_VALUE"""),768.0799999999999)</f>
        <v>768.08</v>
      </c>
    </row>
    <row r="85">
      <c r="A85" s="21">
        <f>IFERROR(__xludf.DUMMYFUNCTION("""COMPUTED_VALUE"""),42839.0)</f>
        <v>42839</v>
      </c>
      <c r="B85" s="21" t="str">
        <f>IFERROR(__xludf.DUMMYFUNCTION("""COMPUTED_VALUE"""),"Apr")</f>
        <v>Apr</v>
      </c>
      <c r="C85" s="9">
        <f>IFERROR(__xludf.DUMMYFUNCTION("""COMPUTED_VALUE"""),42843.0)</f>
        <v>42843</v>
      </c>
      <c r="D85" s="23" t="str">
        <f>IFERROR(__xludf.DUMMYFUNCTION("""COMPUTED_VALUE"""),"Apr")</f>
        <v>Apr</v>
      </c>
      <c r="E85" s="21" t="str">
        <f>IFERROR(__xludf.DUMMYFUNCTION("""COMPUTED_VALUE"""),"2017")</f>
        <v>2017</v>
      </c>
      <c r="F85" s="22" t="str">
        <f>IFERROR(__xludf.DUMMYFUNCTION("""COMPUTED_VALUE"""),"Standard Class")</f>
        <v>Standard Class</v>
      </c>
      <c r="G85" s="22" t="str">
        <f>IFERROR(__xludf.DUMMYFUNCTION("""COMPUTED_VALUE"""),"Philip")</f>
        <v>Philip</v>
      </c>
      <c r="H85" s="22" t="str">
        <f>IFERROR(__xludf.DUMMYFUNCTION("""COMPUTED_VALUE"""),"Brown")</f>
        <v>Brown</v>
      </c>
      <c r="I85" s="22" t="str">
        <f>IFERROR(__xludf.DUMMYFUNCTION("""COMPUTED_VALUE"""),"Consumer")</f>
        <v>Consumer</v>
      </c>
      <c r="J85" s="22" t="str">
        <f>IFERROR(__xludf.DUMMYFUNCTION("""COMPUTED_VALUE"""),"Los Angeles")</f>
        <v>Los Angeles</v>
      </c>
      <c r="K85" s="22" t="str">
        <f>IFERROR(__xludf.DUMMYFUNCTION("""COMPUTED_VALUE"""),"California")</f>
        <v>California</v>
      </c>
      <c r="L85" s="22" t="str">
        <f>IFERROR(__xludf.DUMMYFUNCTION("""COMPUTED_VALUE"""),"West")</f>
        <v>West</v>
      </c>
      <c r="M85" s="22" t="str">
        <f>IFERROR(__xludf.DUMMYFUNCTION("""COMPUTED_VALUE"""),"Furniture")</f>
        <v>Furniture</v>
      </c>
      <c r="N85" s="18">
        <f>IFERROR(__xludf.DUMMYFUNCTION("""COMPUTED_VALUE"""),383.8)</f>
        <v>383.8</v>
      </c>
      <c r="O85" s="18">
        <f>IFERROR(__xludf.DUMMYFUNCTION("""COMPUTED_VALUE"""),383.39)</f>
        <v>383.39</v>
      </c>
      <c r="P85" s="22">
        <f>IFERROR(__xludf.DUMMYFUNCTION("""COMPUTED_VALUE"""),9.0)</f>
        <v>9</v>
      </c>
      <c r="Q85" s="18">
        <f>IFERROR(__xludf.DUMMYFUNCTION("""COMPUTED_VALUE"""),3454.2000000000003)</f>
        <v>3454.2</v>
      </c>
      <c r="R85" s="18">
        <f>IFERROR(__xludf.DUMMYFUNCTION("""COMPUTED_VALUE"""),3070.8100000000004)</f>
        <v>3070.81</v>
      </c>
    </row>
    <row r="86">
      <c r="A86" s="21">
        <f>IFERROR(__xludf.DUMMYFUNCTION("""COMPUTED_VALUE"""),43193.0)</f>
        <v>43193</v>
      </c>
      <c r="B86" s="21" t="str">
        <f>IFERROR(__xludf.DUMMYFUNCTION("""COMPUTED_VALUE"""),"Apr")</f>
        <v>Apr</v>
      </c>
      <c r="C86" s="9">
        <f>IFERROR(__xludf.DUMMYFUNCTION("""COMPUTED_VALUE"""),43346.0)</f>
        <v>43346</v>
      </c>
      <c r="D86" s="23" t="str">
        <f>IFERROR(__xludf.DUMMYFUNCTION("""COMPUTED_VALUE"""),"Sep")</f>
        <v>Sep</v>
      </c>
      <c r="E86" s="21" t="str">
        <f>IFERROR(__xludf.DUMMYFUNCTION("""COMPUTED_VALUE"""),"2018")</f>
        <v>2018</v>
      </c>
      <c r="F86" s="22" t="str">
        <f>IFERROR(__xludf.DUMMYFUNCTION("""COMPUTED_VALUE"""),"Standard Class")</f>
        <v>Standard Class</v>
      </c>
      <c r="G86" s="22" t="str">
        <f>IFERROR(__xludf.DUMMYFUNCTION("""COMPUTED_VALUE"""),"Sung")</f>
        <v>Sung</v>
      </c>
      <c r="H86" s="22" t="str">
        <f>IFERROR(__xludf.DUMMYFUNCTION("""COMPUTED_VALUE"""),"Pak")</f>
        <v>Pak</v>
      </c>
      <c r="I86" s="22" t="str">
        <f>IFERROR(__xludf.DUMMYFUNCTION("""COMPUTED_VALUE"""),"Corporate")</f>
        <v>Corporate</v>
      </c>
      <c r="J86" s="22" t="str">
        <f>IFERROR(__xludf.DUMMYFUNCTION("""COMPUTED_VALUE"""),"Los Angeles")</f>
        <v>Los Angeles</v>
      </c>
      <c r="K86" s="22" t="str">
        <f>IFERROR(__xludf.DUMMYFUNCTION("""COMPUTED_VALUE"""),"California")</f>
        <v>California</v>
      </c>
      <c r="L86" s="22" t="str">
        <f>IFERROR(__xludf.DUMMYFUNCTION("""COMPUTED_VALUE"""),"West")</f>
        <v>West</v>
      </c>
      <c r="M86" s="22" t="str">
        <f>IFERROR(__xludf.DUMMYFUNCTION("""COMPUTED_VALUE"""),"Office Supplies")</f>
        <v>Office Supplies</v>
      </c>
      <c r="N86" s="18">
        <f>IFERROR(__xludf.DUMMYFUNCTION("""COMPUTED_VALUE"""),9.32)</f>
        <v>9.32</v>
      </c>
      <c r="O86" s="18">
        <f>IFERROR(__xludf.DUMMYFUNCTION("""COMPUTED_VALUE"""),8.95)</f>
        <v>8.95</v>
      </c>
      <c r="P86" s="22">
        <f>IFERROR(__xludf.DUMMYFUNCTION("""COMPUTED_VALUE"""),9.0)</f>
        <v>9</v>
      </c>
      <c r="Q86" s="18">
        <f>IFERROR(__xludf.DUMMYFUNCTION("""COMPUTED_VALUE"""),83.88)</f>
        <v>83.88</v>
      </c>
      <c r="R86" s="18">
        <f>IFERROR(__xludf.DUMMYFUNCTION("""COMPUTED_VALUE"""),74.92999999999999)</f>
        <v>74.93</v>
      </c>
    </row>
    <row r="87">
      <c r="A87" s="21">
        <f>IFERROR(__xludf.DUMMYFUNCTION("""COMPUTED_VALUE"""),43193.0)</f>
        <v>43193</v>
      </c>
      <c r="B87" s="21" t="str">
        <f>IFERROR(__xludf.DUMMYFUNCTION("""COMPUTED_VALUE"""),"Apr")</f>
        <v>Apr</v>
      </c>
      <c r="C87" s="9">
        <f>IFERROR(__xludf.DUMMYFUNCTION("""COMPUTED_VALUE"""),43346.0)</f>
        <v>43346</v>
      </c>
      <c r="D87" s="23" t="str">
        <f>IFERROR(__xludf.DUMMYFUNCTION("""COMPUTED_VALUE"""),"Sep")</f>
        <v>Sep</v>
      </c>
      <c r="E87" s="21" t="str">
        <f>IFERROR(__xludf.DUMMYFUNCTION("""COMPUTED_VALUE"""),"2018")</f>
        <v>2018</v>
      </c>
      <c r="F87" s="22" t="str">
        <f>IFERROR(__xludf.DUMMYFUNCTION("""COMPUTED_VALUE"""),"Standard Class")</f>
        <v>Standard Class</v>
      </c>
      <c r="G87" s="22" t="str">
        <f>IFERROR(__xludf.DUMMYFUNCTION("""COMPUTED_VALUE"""),"Sung")</f>
        <v>Sung</v>
      </c>
      <c r="H87" s="22" t="str">
        <f>IFERROR(__xludf.DUMMYFUNCTION("""COMPUTED_VALUE"""),"Pak")</f>
        <v>Pak</v>
      </c>
      <c r="I87" s="22" t="str">
        <f>IFERROR(__xludf.DUMMYFUNCTION("""COMPUTED_VALUE"""),"Corporate")</f>
        <v>Corporate</v>
      </c>
      <c r="J87" s="22" t="str">
        <f>IFERROR(__xludf.DUMMYFUNCTION("""COMPUTED_VALUE"""),"Los Angeles")</f>
        <v>Los Angeles</v>
      </c>
      <c r="K87" s="22" t="str">
        <f>IFERROR(__xludf.DUMMYFUNCTION("""COMPUTED_VALUE"""),"California")</f>
        <v>California</v>
      </c>
      <c r="L87" s="22" t="str">
        <f>IFERROR(__xludf.DUMMYFUNCTION("""COMPUTED_VALUE"""),"West")</f>
        <v>West</v>
      </c>
      <c r="M87" s="22" t="str">
        <f>IFERROR(__xludf.DUMMYFUNCTION("""COMPUTED_VALUE"""),"Office Supplies")</f>
        <v>Office Supplies</v>
      </c>
      <c r="N87" s="18">
        <f>IFERROR(__xludf.DUMMYFUNCTION("""COMPUTED_VALUE"""),15.25)</f>
        <v>15.25</v>
      </c>
      <c r="O87" s="18">
        <f>IFERROR(__xludf.DUMMYFUNCTION("""COMPUTED_VALUE"""),15.23)</f>
        <v>15.23</v>
      </c>
      <c r="P87" s="22">
        <f>IFERROR(__xludf.DUMMYFUNCTION("""COMPUTED_VALUE"""),9.0)</f>
        <v>9</v>
      </c>
      <c r="Q87" s="18">
        <f>IFERROR(__xludf.DUMMYFUNCTION("""COMPUTED_VALUE"""),137.25)</f>
        <v>137.25</v>
      </c>
      <c r="R87" s="18">
        <f>IFERROR(__xludf.DUMMYFUNCTION("""COMPUTED_VALUE"""),122.02)</f>
        <v>122.02</v>
      </c>
    </row>
    <row r="88">
      <c r="A88" s="21">
        <f>IFERROR(__xludf.DUMMYFUNCTION("""COMPUTED_VALUE"""),42340.0)</f>
        <v>42340</v>
      </c>
      <c r="B88" s="21" t="str">
        <f>IFERROR(__xludf.DUMMYFUNCTION("""COMPUTED_VALUE"""),"Dec")</f>
        <v>Dec</v>
      </c>
      <c r="C88" s="9">
        <f>IFERROR(__xludf.DUMMYFUNCTION("""COMPUTED_VALUE"""),42053.0)</f>
        <v>42053</v>
      </c>
      <c r="D88" s="23" t="str">
        <f>IFERROR(__xludf.DUMMYFUNCTION("""COMPUTED_VALUE"""),"Feb")</f>
        <v>Feb</v>
      </c>
      <c r="E88" s="21" t="str">
        <f>IFERROR(__xludf.DUMMYFUNCTION("""COMPUTED_VALUE"""),"2015")</f>
        <v>2015</v>
      </c>
      <c r="F88" s="22" t="str">
        <f>IFERROR(__xludf.DUMMYFUNCTION("""COMPUTED_VALUE"""),"Standard Class")</f>
        <v>Standard Class</v>
      </c>
      <c r="G88" s="22" t="str">
        <f>IFERROR(__xludf.DUMMYFUNCTION("""COMPUTED_VALUE"""),"Sanjit")</f>
        <v>Sanjit</v>
      </c>
      <c r="H88" s="22" t="str">
        <f>IFERROR(__xludf.DUMMYFUNCTION("""COMPUTED_VALUE"""),"Chand")</f>
        <v>Chand</v>
      </c>
      <c r="I88" s="22" t="str">
        <f>IFERROR(__xludf.DUMMYFUNCTION("""COMPUTED_VALUE"""),"Consumer")</f>
        <v>Consumer</v>
      </c>
      <c r="J88" s="22" t="str">
        <f>IFERROR(__xludf.DUMMYFUNCTION("""COMPUTED_VALUE"""),"Concord")</f>
        <v>Concord</v>
      </c>
      <c r="K88" s="22" t="str">
        <f>IFERROR(__xludf.DUMMYFUNCTION("""COMPUTED_VALUE"""),"California")</f>
        <v>California</v>
      </c>
      <c r="L88" s="22" t="str">
        <f>IFERROR(__xludf.DUMMYFUNCTION("""COMPUTED_VALUE"""),"West")</f>
        <v>West</v>
      </c>
      <c r="M88" s="22" t="str">
        <f>IFERROR(__xludf.DUMMYFUNCTION("""COMPUTED_VALUE"""),"Furniture")</f>
        <v>Furniture</v>
      </c>
      <c r="N88" s="18">
        <f>IFERROR(__xludf.DUMMYFUNCTION("""COMPUTED_VALUE"""),129.568)</f>
        <v>129.568</v>
      </c>
      <c r="O88" s="18">
        <f>IFERROR(__xludf.DUMMYFUNCTION("""COMPUTED_VALUE"""),129.15)</f>
        <v>129.15</v>
      </c>
      <c r="P88" s="22">
        <f>IFERROR(__xludf.DUMMYFUNCTION("""COMPUTED_VALUE"""),9.0)</f>
        <v>9</v>
      </c>
      <c r="Q88" s="18">
        <f>IFERROR(__xludf.DUMMYFUNCTION("""COMPUTED_VALUE"""),1166.112)</f>
        <v>1166.112</v>
      </c>
      <c r="R88" s="18">
        <f>IFERROR(__xludf.DUMMYFUNCTION("""COMPUTED_VALUE"""),1036.962)</f>
        <v>1036.962</v>
      </c>
    </row>
    <row r="89">
      <c r="A89" s="21">
        <f>IFERROR(__xludf.DUMMYFUNCTION("""COMPUTED_VALUE"""),42258.0)</f>
        <v>42258</v>
      </c>
      <c r="B89" s="21" t="str">
        <f>IFERROR(__xludf.DUMMYFUNCTION("""COMPUTED_VALUE"""),"Sep")</f>
        <v>Sep</v>
      </c>
      <c r="C89" s="9">
        <f>IFERROR(__xludf.DUMMYFUNCTION("""COMPUTED_VALUE"""),42319.0)</f>
        <v>42319</v>
      </c>
      <c r="D89" s="23" t="str">
        <f>IFERROR(__xludf.DUMMYFUNCTION("""COMPUTED_VALUE"""),"Nov")</f>
        <v>Nov</v>
      </c>
      <c r="E89" s="21" t="str">
        <f>IFERROR(__xludf.DUMMYFUNCTION("""COMPUTED_VALUE"""),"2015")</f>
        <v>2015</v>
      </c>
      <c r="F89" s="22" t="str">
        <f>IFERROR(__xludf.DUMMYFUNCTION("""COMPUTED_VALUE"""),"Second Class")</f>
        <v>Second Class</v>
      </c>
      <c r="G89" s="22" t="str">
        <f>IFERROR(__xludf.DUMMYFUNCTION("""COMPUTED_VALUE"""),"Jeremy")</f>
        <v>Jeremy</v>
      </c>
      <c r="H89" s="22" t="str">
        <f>IFERROR(__xludf.DUMMYFUNCTION("""COMPUTED_VALUE"""),"Pistek")</f>
        <v>Pistek</v>
      </c>
      <c r="I89" s="22" t="str">
        <f>IFERROR(__xludf.DUMMYFUNCTION("""COMPUTED_VALUE"""),"Consumer")</f>
        <v>Consumer</v>
      </c>
      <c r="J89" s="22" t="str">
        <f>IFERROR(__xludf.DUMMYFUNCTION("""COMPUTED_VALUE"""),"San Francisco")</f>
        <v>San Francisco</v>
      </c>
      <c r="K89" s="22" t="str">
        <f>IFERROR(__xludf.DUMMYFUNCTION("""COMPUTED_VALUE"""),"California")</f>
        <v>California</v>
      </c>
      <c r="L89" s="22" t="str">
        <f>IFERROR(__xludf.DUMMYFUNCTION("""COMPUTED_VALUE"""),"West")</f>
        <v>West</v>
      </c>
      <c r="M89" s="22" t="str">
        <f>IFERROR(__xludf.DUMMYFUNCTION("""COMPUTED_VALUE"""),"Office Supplies")</f>
        <v>Office Supplies</v>
      </c>
      <c r="N89" s="18">
        <f>IFERROR(__xludf.DUMMYFUNCTION("""COMPUTED_VALUE"""),340.92)</f>
        <v>340.92</v>
      </c>
      <c r="O89" s="18">
        <f>IFERROR(__xludf.DUMMYFUNCTION("""COMPUTED_VALUE"""),340.43)</f>
        <v>340.43</v>
      </c>
      <c r="P89" s="22">
        <f>IFERROR(__xludf.DUMMYFUNCTION("""COMPUTED_VALUE"""),9.0)</f>
        <v>9</v>
      </c>
      <c r="Q89" s="18">
        <f>IFERROR(__xludf.DUMMYFUNCTION("""COMPUTED_VALUE"""),3068.28)</f>
        <v>3068.28</v>
      </c>
      <c r="R89" s="18">
        <f>IFERROR(__xludf.DUMMYFUNCTION("""COMPUTED_VALUE"""),2727.8500000000004)</f>
        <v>2727.85</v>
      </c>
    </row>
    <row r="90">
      <c r="A90" s="21">
        <f>IFERROR(__xludf.DUMMYFUNCTION("""COMPUTED_VALUE"""),42258.0)</f>
        <v>42258</v>
      </c>
      <c r="B90" s="21" t="str">
        <f>IFERROR(__xludf.DUMMYFUNCTION("""COMPUTED_VALUE"""),"Sep")</f>
        <v>Sep</v>
      </c>
      <c r="C90" s="9">
        <f>IFERROR(__xludf.DUMMYFUNCTION("""COMPUTED_VALUE"""),42319.0)</f>
        <v>42319</v>
      </c>
      <c r="D90" s="23" t="str">
        <f>IFERROR(__xludf.DUMMYFUNCTION("""COMPUTED_VALUE"""),"Nov")</f>
        <v>Nov</v>
      </c>
      <c r="E90" s="21" t="str">
        <f>IFERROR(__xludf.DUMMYFUNCTION("""COMPUTED_VALUE"""),"2015")</f>
        <v>2015</v>
      </c>
      <c r="F90" s="22" t="str">
        <f>IFERROR(__xludf.DUMMYFUNCTION("""COMPUTED_VALUE"""),"Second Class")</f>
        <v>Second Class</v>
      </c>
      <c r="G90" s="22" t="str">
        <f>IFERROR(__xludf.DUMMYFUNCTION("""COMPUTED_VALUE"""),"Jeremy")</f>
        <v>Jeremy</v>
      </c>
      <c r="H90" s="22" t="str">
        <f>IFERROR(__xludf.DUMMYFUNCTION("""COMPUTED_VALUE"""),"Pistek")</f>
        <v>Pistek</v>
      </c>
      <c r="I90" s="22" t="str">
        <f>IFERROR(__xludf.DUMMYFUNCTION("""COMPUTED_VALUE"""),"Consumer")</f>
        <v>Consumer</v>
      </c>
      <c r="J90" s="22" t="str">
        <f>IFERROR(__xludf.DUMMYFUNCTION("""COMPUTED_VALUE"""),"San Francisco")</f>
        <v>San Francisco</v>
      </c>
      <c r="K90" s="22" t="str">
        <f>IFERROR(__xludf.DUMMYFUNCTION("""COMPUTED_VALUE"""),"California")</f>
        <v>California</v>
      </c>
      <c r="L90" s="22" t="str">
        <f>IFERROR(__xludf.DUMMYFUNCTION("""COMPUTED_VALUE"""),"West")</f>
        <v>West</v>
      </c>
      <c r="M90" s="22" t="str">
        <f>IFERROR(__xludf.DUMMYFUNCTION("""COMPUTED_VALUE"""),"Furniture")</f>
        <v>Furniture</v>
      </c>
      <c r="N90" s="18">
        <f>IFERROR(__xludf.DUMMYFUNCTION("""COMPUTED_VALUE"""),222.666)</f>
        <v>222.666</v>
      </c>
      <c r="O90" s="18">
        <f>IFERROR(__xludf.DUMMYFUNCTION("""COMPUTED_VALUE"""),221.73)</f>
        <v>221.73</v>
      </c>
      <c r="P90" s="22">
        <f>IFERROR(__xludf.DUMMYFUNCTION("""COMPUTED_VALUE"""),9.0)</f>
        <v>9</v>
      </c>
      <c r="Q90" s="18">
        <f>IFERROR(__xludf.DUMMYFUNCTION("""COMPUTED_VALUE"""),2003.994)</f>
        <v>2003.994</v>
      </c>
      <c r="R90" s="18">
        <f>IFERROR(__xludf.DUMMYFUNCTION("""COMPUTED_VALUE"""),1782.264)</f>
        <v>1782.264</v>
      </c>
    </row>
    <row r="91">
      <c r="A91" s="21">
        <f>IFERROR(__xludf.DUMMYFUNCTION("""COMPUTED_VALUE"""),42258.0)</f>
        <v>42258</v>
      </c>
      <c r="B91" s="21" t="str">
        <f>IFERROR(__xludf.DUMMYFUNCTION("""COMPUTED_VALUE"""),"Sep")</f>
        <v>Sep</v>
      </c>
      <c r="C91" s="9">
        <f>IFERROR(__xludf.DUMMYFUNCTION("""COMPUTED_VALUE"""),42319.0)</f>
        <v>42319</v>
      </c>
      <c r="D91" s="23" t="str">
        <f>IFERROR(__xludf.DUMMYFUNCTION("""COMPUTED_VALUE"""),"Nov")</f>
        <v>Nov</v>
      </c>
      <c r="E91" s="21" t="str">
        <f>IFERROR(__xludf.DUMMYFUNCTION("""COMPUTED_VALUE"""),"2015")</f>
        <v>2015</v>
      </c>
      <c r="F91" s="22" t="str">
        <f>IFERROR(__xludf.DUMMYFUNCTION("""COMPUTED_VALUE"""),"Second Class")</f>
        <v>Second Class</v>
      </c>
      <c r="G91" s="22" t="str">
        <f>IFERROR(__xludf.DUMMYFUNCTION("""COMPUTED_VALUE"""),"Jeremy")</f>
        <v>Jeremy</v>
      </c>
      <c r="H91" s="22" t="str">
        <f>IFERROR(__xludf.DUMMYFUNCTION("""COMPUTED_VALUE"""),"Pistek")</f>
        <v>Pistek</v>
      </c>
      <c r="I91" s="22" t="str">
        <f>IFERROR(__xludf.DUMMYFUNCTION("""COMPUTED_VALUE"""),"Consumer")</f>
        <v>Consumer</v>
      </c>
      <c r="J91" s="22" t="str">
        <f>IFERROR(__xludf.DUMMYFUNCTION("""COMPUTED_VALUE"""),"San Francisco")</f>
        <v>San Francisco</v>
      </c>
      <c r="K91" s="22" t="str">
        <f>IFERROR(__xludf.DUMMYFUNCTION("""COMPUTED_VALUE"""),"California")</f>
        <v>California</v>
      </c>
      <c r="L91" s="22" t="str">
        <f>IFERROR(__xludf.DUMMYFUNCTION("""COMPUTED_VALUE"""),"West")</f>
        <v>West</v>
      </c>
      <c r="M91" s="22" t="str">
        <f>IFERROR(__xludf.DUMMYFUNCTION("""COMPUTED_VALUE"""),"Technology")</f>
        <v>Technology</v>
      </c>
      <c r="N91" s="18">
        <f>IFERROR(__xludf.DUMMYFUNCTION("""COMPUTED_VALUE"""),703.968)</f>
        <v>703.968</v>
      </c>
      <c r="O91" s="18">
        <f>IFERROR(__xludf.DUMMYFUNCTION("""COMPUTED_VALUE"""),703.77)</f>
        <v>703.77</v>
      </c>
      <c r="P91" s="22">
        <f>IFERROR(__xludf.DUMMYFUNCTION("""COMPUTED_VALUE"""),9.0)</f>
        <v>9</v>
      </c>
      <c r="Q91" s="18">
        <f>IFERROR(__xludf.DUMMYFUNCTION("""COMPUTED_VALUE"""),6335.7119999999995)</f>
        <v>6335.712</v>
      </c>
      <c r="R91" s="18">
        <f>IFERROR(__xludf.DUMMYFUNCTION("""COMPUTED_VALUE"""),5631.941999999999)</f>
        <v>5631.942</v>
      </c>
    </row>
    <row r="92">
      <c r="A92" s="21">
        <f>IFERROR(__xludf.DUMMYFUNCTION("""COMPUTED_VALUE"""),42258.0)</f>
        <v>42258</v>
      </c>
      <c r="B92" s="21" t="str">
        <f>IFERROR(__xludf.DUMMYFUNCTION("""COMPUTED_VALUE"""),"Sep")</f>
        <v>Sep</v>
      </c>
      <c r="C92" s="9">
        <f>IFERROR(__xludf.DUMMYFUNCTION("""COMPUTED_VALUE"""),42319.0)</f>
        <v>42319</v>
      </c>
      <c r="D92" s="23" t="str">
        <f>IFERROR(__xludf.DUMMYFUNCTION("""COMPUTED_VALUE"""),"Nov")</f>
        <v>Nov</v>
      </c>
      <c r="E92" s="21" t="str">
        <f>IFERROR(__xludf.DUMMYFUNCTION("""COMPUTED_VALUE"""),"2015")</f>
        <v>2015</v>
      </c>
      <c r="F92" s="22" t="str">
        <f>IFERROR(__xludf.DUMMYFUNCTION("""COMPUTED_VALUE"""),"Second Class")</f>
        <v>Second Class</v>
      </c>
      <c r="G92" s="22" t="str">
        <f>IFERROR(__xludf.DUMMYFUNCTION("""COMPUTED_VALUE"""),"Jeremy")</f>
        <v>Jeremy</v>
      </c>
      <c r="H92" s="22" t="str">
        <f>IFERROR(__xludf.DUMMYFUNCTION("""COMPUTED_VALUE"""),"Pistek")</f>
        <v>Pistek</v>
      </c>
      <c r="I92" s="22" t="str">
        <f>IFERROR(__xludf.DUMMYFUNCTION("""COMPUTED_VALUE"""),"Consumer")</f>
        <v>Consumer</v>
      </c>
      <c r="J92" s="22" t="str">
        <f>IFERROR(__xludf.DUMMYFUNCTION("""COMPUTED_VALUE"""),"San Francisco")</f>
        <v>San Francisco</v>
      </c>
      <c r="K92" s="22" t="str">
        <f>IFERROR(__xludf.DUMMYFUNCTION("""COMPUTED_VALUE"""),"California")</f>
        <v>California</v>
      </c>
      <c r="L92" s="22" t="str">
        <f>IFERROR(__xludf.DUMMYFUNCTION("""COMPUTED_VALUE"""),"West")</f>
        <v>West</v>
      </c>
      <c r="M92" s="22" t="str">
        <f>IFERROR(__xludf.DUMMYFUNCTION("""COMPUTED_VALUE"""),"Office Supplies")</f>
        <v>Office Supplies</v>
      </c>
      <c r="N92" s="18">
        <f>IFERROR(__xludf.DUMMYFUNCTION("""COMPUTED_VALUE"""),92.52)</f>
        <v>92.52</v>
      </c>
      <c r="O92" s="18">
        <f>IFERROR(__xludf.DUMMYFUNCTION("""COMPUTED_VALUE"""),91.76)</f>
        <v>91.76</v>
      </c>
      <c r="P92" s="22">
        <f>IFERROR(__xludf.DUMMYFUNCTION("""COMPUTED_VALUE"""),9.0)</f>
        <v>9</v>
      </c>
      <c r="Q92" s="18">
        <f>IFERROR(__xludf.DUMMYFUNCTION("""COMPUTED_VALUE"""),832.68)</f>
        <v>832.68</v>
      </c>
      <c r="R92" s="18">
        <f>IFERROR(__xludf.DUMMYFUNCTION("""COMPUTED_VALUE"""),740.92)</f>
        <v>740.92</v>
      </c>
    </row>
    <row r="93">
      <c r="A93" s="21">
        <f>IFERROR(__xludf.DUMMYFUNCTION("""COMPUTED_VALUE"""),42258.0)</f>
        <v>42258</v>
      </c>
      <c r="B93" s="21" t="str">
        <f>IFERROR(__xludf.DUMMYFUNCTION("""COMPUTED_VALUE"""),"Sep")</f>
        <v>Sep</v>
      </c>
      <c r="C93" s="9">
        <f>IFERROR(__xludf.DUMMYFUNCTION("""COMPUTED_VALUE"""),42319.0)</f>
        <v>42319</v>
      </c>
      <c r="D93" s="23" t="str">
        <f>IFERROR(__xludf.DUMMYFUNCTION("""COMPUTED_VALUE"""),"Nov")</f>
        <v>Nov</v>
      </c>
      <c r="E93" s="21" t="str">
        <f>IFERROR(__xludf.DUMMYFUNCTION("""COMPUTED_VALUE"""),"2015")</f>
        <v>2015</v>
      </c>
      <c r="F93" s="22" t="str">
        <f>IFERROR(__xludf.DUMMYFUNCTION("""COMPUTED_VALUE"""),"Second Class")</f>
        <v>Second Class</v>
      </c>
      <c r="G93" s="22" t="str">
        <f>IFERROR(__xludf.DUMMYFUNCTION("""COMPUTED_VALUE"""),"Jeremy")</f>
        <v>Jeremy</v>
      </c>
      <c r="H93" s="22" t="str">
        <f>IFERROR(__xludf.DUMMYFUNCTION("""COMPUTED_VALUE"""),"Pistek")</f>
        <v>Pistek</v>
      </c>
      <c r="I93" s="22" t="str">
        <f>IFERROR(__xludf.DUMMYFUNCTION("""COMPUTED_VALUE"""),"Consumer")</f>
        <v>Consumer</v>
      </c>
      <c r="J93" s="22" t="str">
        <f>IFERROR(__xludf.DUMMYFUNCTION("""COMPUTED_VALUE"""),"San Francisco")</f>
        <v>San Francisco</v>
      </c>
      <c r="K93" s="22" t="str">
        <f>IFERROR(__xludf.DUMMYFUNCTION("""COMPUTED_VALUE"""),"California")</f>
        <v>California</v>
      </c>
      <c r="L93" s="22" t="str">
        <f>IFERROR(__xludf.DUMMYFUNCTION("""COMPUTED_VALUE"""),"West")</f>
        <v>West</v>
      </c>
      <c r="M93" s="22" t="str">
        <f>IFERROR(__xludf.DUMMYFUNCTION("""COMPUTED_VALUE"""),"Office Supplies")</f>
        <v>Office Supplies</v>
      </c>
      <c r="N93" s="18">
        <f>IFERROR(__xludf.DUMMYFUNCTION("""COMPUTED_VALUE"""),62.65)</f>
        <v>62.65</v>
      </c>
      <c r="O93" s="18">
        <f>IFERROR(__xludf.DUMMYFUNCTION("""COMPUTED_VALUE"""),61.71)</f>
        <v>61.71</v>
      </c>
      <c r="P93" s="22">
        <f>IFERROR(__xludf.DUMMYFUNCTION("""COMPUTED_VALUE"""),9.0)</f>
        <v>9</v>
      </c>
      <c r="Q93" s="18">
        <f>IFERROR(__xludf.DUMMYFUNCTION("""COMPUTED_VALUE"""),563.85)</f>
        <v>563.85</v>
      </c>
      <c r="R93" s="18">
        <f>IFERROR(__xludf.DUMMYFUNCTION("""COMPUTED_VALUE"""),502.14000000000004)</f>
        <v>502.14</v>
      </c>
    </row>
    <row r="94">
      <c r="A94" s="21">
        <f>IFERROR(__xludf.DUMMYFUNCTION("""COMPUTED_VALUE"""),42258.0)</f>
        <v>42258</v>
      </c>
      <c r="B94" s="21" t="str">
        <f>IFERROR(__xludf.DUMMYFUNCTION("""COMPUTED_VALUE"""),"Sep")</f>
        <v>Sep</v>
      </c>
      <c r="C94" s="9">
        <f>IFERROR(__xludf.DUMMYFUNCTION("""COMPUTED_VALUE"""),42319.0)</f>
        <v>42319</v>
      </c>
      <c r="D94" s="23" t="str">
        <f>IFERROR(__xludf.DUMMYFUNCTION("""COMPUTED_VALUE"""),"Nov")</f>
        <v>Nov</v>
      </c>
      <c r="E94" s="21" t="str">
        <f>IFERROR(__xludf.DUMMYFUNCTION("""COMPUTED_VALUE"""),"2015")</f>
        <v>2015</v>
      </c>
      <c r="F94" s="22" t="str">
        <f>IFERROR(__xludf.DUMMYFUNCTION("""COMPUTED_VALUE"""),"Second Class")</f>
        <v>Second Class</v>
      </c>
      <c r="G94" s="22" t="str">
        <f>IFERROR(__xludf.DUMMYFUNCTION("""COMPUTED_VALUE"""),"Jeremy")</f>
        <v>Jeremy</v>
      </c>
      <c r="H94" s="22" t="str">
        <f>IFERROR(__xludf.DUMMYFUNCTION("""COMPUTED_VALUE"""),"Pistek")</f>
        <v>Pistek</v>
      </c>
      <c r="I94" s="22" t="str">
        <f>IFERROR(__xludf.DUMMYFUNCTION("""COMPUTED_VALUE"""),"Consumer")</f>
        <v>Consumer</v>
      </c>
      <c r="J94" s="22" t="str">
        <f>IFERROR(__xludf.DUMMYFUNCTION("""COMPUTED_VALUE"""),"San Francisco")</f>
        <v>San Francisco</v>
      </c>
      <c r="K94" s="22" t="str">
        <f>IFERROR(__xludf.DUMMYFUNCTION("""COMPUTED_VALUE"""),"California")</f>
        <v>California</v>
      </c>
      <c r="L94" s="22" t="str">
        <f>IFERROR(__xludf.DUMMYFUNCTION("""COMPUTED_VALUE"""),"West")</f>
        <v>West</v>
      </c>
      <c r="M94" s="22" t="str">
        <f>IFERROR(__xludf.DUMMYFUNCTION("""COMPUTED_VALUE"""),"Office Supplies")</f>
        <v>Office Supplies</v>
      </c>
      <c r="N94" s="18">
        <f>IFERROR(__xludf.DUMMYFUNCTION("""COMPUTED_VALUE"""),94.85)</f>
        <v>94.85</v>
      </c>
      <c r="O94" s="18">
        <f>IFERROR(__xludf.DUMMYFUNCTION("""COMPUTED_VALUE"""),94.19)</f>
        <v>94.19</v>
      </c>
      <c r="P94" s="22">
        <f>IFERROR(__xludf.DUMMYFUNCTION("""COMPUTED_VALUE"""),9.0)</f>
        <v>9</v>
      </c>
      <c r="Q94" s="18">
        <f>IFERROR(__xludf.DUMMYFUNCTION("""COMPUTED_VALUE"""),853.65)</f>
        <v>853.65</v>
      </c>
      <c r="R94" s="18">
        <f>IFERROR(__xludf.DUMMYFUNCTION("""COMPUTED_VALUE"""),759.46)</f>
        <v>759.46</v>
      </c>
    </row>
    <row r="95">
      <c r="A95" s="21">
        <f>IFERROR(__xludf.DUMMYFUNCTION("""COMPUTED_VALUE"""),43076.0)</f>
        <v>43076</v>
      </c>
      <c r="B95" s="21" t="str">
        <f>IFERROR(__xludf.DUMMYFUNCTION("""COMPUTED_VALUE"""),"Dec")</f>
        <v>Dec</v>
      </c>
      <c r="C95" s="9">
        <f>IFERROR(__xludf.DUMMYFUNCTION("""COMPUTED_VALUE"""),42935.0)</f>
        <v>42935</v>
      </c>
      <c r="D95" s="23" t="str">
        <f>IFERROR(__xludf.DUMMYFUNCTION("""COMPUTED_VALUE"""),"Jul")</f>
        <v>Jul</v>
      </c>
      <c r="E95" s="21" t="str">
        <f>IFERROR(__xludf.DUMMYFUNCTION("""COMPUTED_VALUE"""),"2017")</f>
        <v>2017</v>
      </c>
      <c r="F95" s="22" t="str">
        <f>IFERROR(__xludf.DUMMYFUNCTION("""COMPUTED_VALUE"""),"Standard Class")</f>
        <v>Standard Class</v>
      </c>
      <c r="G95" s="22" t="str">
        <f>IFERROR(__xludf.DUMMYFUNCTION("""COMPUTED_VALUE"""),"Kristen")</f>
        <v>Kristen</v>
      </c>
      <c r="H95" s="22" t="str">
        <f>IFERROR(__xludf.DUMMYFUNCTION("""COMPUTED_VALUE"""),"Hastings")</f>
        <v>Hastings</v>
      </c>
      <c r="I95" s="22" t="str">
        <f>IFERROR(__xludf.DUMMYFUNCTION("""COMPUTED_VALUE"""),"Corporate")</f>
        <v>Corporate</v>
      </c>
      <c r="J95" s="22" t="str">
        <f>IFERROR(__xludf.DUMMYFUNCTION("""COMPUTED_VALUE"""),"Los Angeles")</f>
        <v>Los Angeles</v>
      </c>
      <c r="K95" s="22" t="str">
        <f>IFERROR(__xludf.DUMMYFUNCTION("""COMPUTED_VALUE"""),"California")</f>
        <v>California</v>
      </c>
      <c r="L95" s="22" t="str">
        <f>IFERROR(__xludf.DUMMYFUNCTION("""COMPUTED_VALUE"""),"West")</f>
        <v>West</v>
      </c>
      <c r="M95" s="22" t="str">
        <f>IFERROR(__xludf.DUMMYFUNCTION("""COMPUTED_VALUE"""),"Technology")</f>
        <v>Technology</v>
      </c>
      <c r="N95" s="18">
        <f>IFERROR(__xludf.DUMMYFUNCTION("""COMPUTED_VALUE"""),95.76)</f>
        <v>95.76</v>
      </c>
      <c r="O95" s="18">
        <f>IFERROR(__xludf.DUMMYFUNCTION("""COMPUTED_VALUE"""),95.18)</f>
        <v>95.18</v>
      </c>
      <c r="P95" s="22">
        <f>IFERROR(__xludf.DUMMYFUNCTION("""COMPUTED_VALUE"""),9.0)</f>
        <v>9</v>
      </c>
      <c r="Q95" s="18">
        <f>IFERROR(__xludf.DUMMYFUNCTION("""COMPUTED_VALUE"""),861.84)</f>
        <v>861.84</v>
      </c>
      <c r="R95" s="18">
        <f>IFERROR(__xludf.DUMMYFUNCTION("""COMPUTED_VALUE"""),766.6600000000001)</f>
        <v>766.66</v>
      </c>
    </row>
    <row r="96">
      <c r="A96" s="21">
        <f>IFERROR(__xludf.DUMMYFUNCTION("""COMPUTED_VALUE"""),42165.0)</f>
        <v>42165</v>
      </c>
      <c r="B96" s="21" t="str">
        <f>IFERROR(__xludf.DUMMYFUNCTION("""COMPUTED_VALUE"""),"Jun")</f>
        <v>Jun</v>
      </c>
      <c r="C96" s="9">
        <f>IFERROR(__xludf.DUMMYFUNCTION("""COMPUTED_VALUE"""),42287.0)</f>
        <v>42287</v>
      </c>
      <c r="D96" s="23" t="str">
        <f>IFERROR(__xludf.DUMMYFUNCTION("""COMPUTED_VALUE"""),"Oct")</f>
        <v>Oct</v>
      </c>
      <c r="E96" s="21" t="str">
        <f>IFERROR(__xludf.DUMMYFUNCTION("""COMPUTED_VALUE"""),"2015")</f>
        <v>2015</v>
      </c>
      <c r="F96" s="22" t="str">
        <f>IFERROR(__xludf.DUMMYFUNCTION("""COMPUTED_VALUE"""),"Standard Class")</f>
        <v>Standard Class</v>
      </c>
      <c r="G96" s="22" t="str">
        <f>IFERROR(__xludf.DUMMYFUNCTION("""COMPUTED_VALUE"""),"Xylona")</f>
        <v>Xylona</v>
      </c>
      <c r="H96" s="22" t="str">
        <f>IFERROR(__xludf.DUMMYFUNCTION("""COMPUTED_VALUE"""),"Preis")</f>
        <v>Preis</v>
      </c>
      <c r="I96" s="22" t="str">
        <f>IFERROR(__xludf.DUMMYFUNCTION("""COMPUTED_VALUE"""),"Consumer")</f>
        <v>Consumer</v>
      </c>
      <c r="J96" s="22" t="str">
        <f>IFERROR(__xludf.DUMMYFUNCTION("""COMPUTED_VALUE"""),"San Diego")</f>
        <v>San Diego</v>
      </c>
      <c r="K96" s="22" t="str">
        <f>IFERROR(__xludf.DUMMYFUNCTION("""COMPUTED_VALUE"""),"California")</f>
        <v>California</v>
      </c>
      <c r="L96" s="22" t="str">
        <f>IFERROR(__xludf.DUMMYFUNCTION("""COMPUTED_VALUE"""),"West")</f>
        <v>West</v>
      </c>
      <c r="M96" s="22" t="str">
        <f>IFERROR(__xludf.DUMMYFUNCTION("""COMPUTED_VALUE"""),"Technology")</f>
        <v>Technology</v>
      </c>
      <c r="N96" s="18">
        <f>IFERROR(__xludf.DUMMYFUNCTION("""COMPUTED_VALUE"""),9.09)</f>
        <v>9.09</v>
      </c>
      <c r="O96" s="18">
        <f>IFERROR(__xludf.DUMMYFUNCTION("""COMPUTED_VALUE"""),8.9)</f>
        <v>8.9</v>
      </c>
      <c r="P96" s="22">
        <f>IFERROR(__xludf.DUMMYFUNCTION("""COMPUTED_VALUE"""),9.0)</f>
        <v>9</v>
      </c>
      <c r="Q96" s="18">
        <f>IFERROR(__xludf.DUMMYFUNCTION("""COMPUTED_VALUE"""),81.81)</f>
        <v>81.81</v>
      </c>
      <c r="R96" s="18">
        <f>IFERROR(__xludf.DUMMYFUNCTION("""COMPUTED_VALUE"""),72.91)</f>
        <v>72.91</v>
      </c>
    </row>
    <row r="97">
      <c r="A97" s="21">
        <f>IFERROR(__xludf.DUMMYFUNCTION("""COMPUTED_VALUE"""),43379.0)</f>
        <v>43379</v>
      </c>
      <c r="B97" s="21" t="str">
        <f>IFERROR(__xludf.DUMMYFUNCTION("""COMPUTED_VALUE"""),"Oct")</f>
        <v>Oct</v>
      </c>
      <c r="C97" s="9">
        <f>IFERROR(__xludf.DUMMYFUNCTION("""COMPUTED_VALUE"""),43264.0)</f>
        <v>43264</v>
      </c>
      <c r="D97" s="23" t="str">
        <f>IFERROR(__xludf.DUMMYFUNCTION("""COMPUTED_VALUE"""),"Jun")</f>
        <v>Jun</v>
      </c>
      <c r="E97" s="21" t="str">
        <f>IFERROR(__xludf.DUMMYFUNCTION("""COMPUTED_VALUE"""),"2018")</f>
        <v>2018</v>
      </c>
      <c r="F97" s="22" t="str">
        <f>IFERROR(__xludf.DUMMYFUNCTION("""COMPUTED_VALUE"""),"First Class")</f>
        <v>First Class</v>
      </c>
      <c r="G97" s="22" t="str">
        <f>IFERROR(__xludf.DUMMYFUNCTION("""COMPUTED_VALUE"""),"Michelle")</f>
        <v>Michelle</v>
      </c>
      <c r="H97" s="22" t="str">
        <f>IFERROR(__xludf.DUMMYFUNCTION("""COMPUTED_VALUE"""),"Tran")</f>
        <v>Tran</v>
      </c>
      <c r="I97" s="22" t="str">
        <f>IFERROR(__xludf.DUMMYFUNCTION("""COMPUTED_VALUE"""),"Home Office")</f>
        <v>Home Office</v>
      </c>
      <c r="J97" s="22" t="str">
        <f>IFERROR(__xludf.DUMMYFUNCTION("""COMPUTED_VALUE"""),"Los Angeles")</f>
        <v>Los Angeles</v>
      </c>
      <c r="K97" s="22" t="str">
        <f>IFERROR(__xludf.DUMMYFUNCTION("""COMPUTED_VALUE"""),"California")</f>
        <v>California</v>
      </c>
      <c r="L97" s="22" t="str">
        <f>IFERROR(__xludf.DUMMYFUNCTION("""COMPUTED_VALUE"""),"West")</f>
        <v>West</v>
      </c>
      <c r="M97" s="22" t="str">
        <f>IFERROR(__xludf.DUMMYFUNCTION("""COMPUTED_VALUE"""),"Office Supplies")</f>
        <v>Office Supplies</v>
      </c>
      <c r="N97" s="18">
        <f>IFERROR(__xludf.DUMMYFUNCTION("""COMPUTED_VALUE"""),29.6)</f>
        <v>29.6</v>
      </c>
      <c r="O97" s="18">
        <f>IFERROR(__xludf.DUMMYFUNCTION("""COMPUTED_VALUE"""),29.14)</f>
        <v>29.14</v>
      </c>
      <c r="P97" s="22">
        <f>IFERROR(__xludf.DUMMYFUNCTION("""COMPUTED_VALUE"""),9.0)</f>
        <v>9</v>
      </c>
      <c r="Q97" s="18">
        <f>IFERROR(__xludf.DUMMYFUNCTION("""COMPUTED_VALUE"""),266.40000000000003)</f>
        <v>266.4</v>
      </c>
      <c r="R97" s="18">
        <f>IFERROR(__xludf.DUMMYFUNCTION("""COMPUTED_VALUE"""),237.26000000000005)</f>
        <v>237.26</v>
      </c>
    </row>
    <row r="98">
      <c r="A98" s="21">
        <f>IFERROR(__xludf.DUMMYFUNCTION("""COMPUTED_VALUE"""),43379.0)</f>
        <v>43379</v>
      </c>
      <c r="B98" s="21" t="str">
        <f>IFERROR(__xludf.DUMMYFUNCTION("""COMPUTED_VALUE"""),"Oct")</f>
        <v>Oct</v>
      </c>
      <c r="C98" s="9">
        <f>IFERROR(__xludf.DUMMYFUNCTION("""COMPUTED_VALUE"""),43264.0)</f>
        <v>43264</v>
      </c>
      <c r="D98" s="23" t="str">
        <f>IFERROR(__xludf.DUMMYFUNCTION("""COMPUTED_VALUE"""),"Jun")</f>
        <v>Jun</v>
      </c>
      <c r="E98" s="21" t="str">
        <f>IFERROR(__xludf.DUMMYFUNCTION("""COMPUTED_VALUE"""),"2018")</f>
        <v>2018</v>
      </c>
      <c r="F98" s="22" t="str">
        <f>IFERROR(__xludf.DUMMYFUNCTION("""COMPUTED_VALUE"""),"First Class")</f>
        <v>First Class</v>
      </c>
      <c r="G98" s="22" t="str">
        <f>IFERROR(__xludf.DUMMYFUNCTION("""COMPUTED_VALUE"""),"Michelle")</f>
        <v>Michelle</v>
      </c>
      <c r="H98" s="22" t="str">
        <f>IFERROR(__xludf.DUMMYFUNCTION("""COMPUTED_VALUE"""),"Tran")</f>
        <v>Tran</v>
      </c>
      <c r="I98" s="22" t="str">
        <f>IFERROR(__xludf.DUMMYFUNCTION("""COMPUTED_VALUE"""),"Home Office")</f>
        <v>Home Office</v>
      </c>
      <c r="J98" s="22" t="str">
        <f>IFERROR(__xludf.DUMMYFUNCTION("""COMPUTED_VALUE"""),"Los Angeles")</f>
        <v>Los Angeles</v>
      </c>
      <c r="K98" s="22" t="str">
        <f>IFERROR(__xludf.DUMMYFUNCTION("""COMPUTED_VALUE"""),"California")</f>
        <v>California</v>
      </c>
      <c r="L98" s="22" t="str">
        <f>IFERROR(__xludf.DUMMYFUNCTION("""COMPUTED_VALUE"""),"West")</f>
        <v>West</v>
      </c>
      <c r="M98" s="22" t="str">
        <f>IFERROR(__xludf.DUMMYFUNCTION("""COMPUTED_VALUE"""),"Furniture")</f>
        <v>Furniture</v>
      </c>
      <c r="N98" s="18">
        <f>IFERROR(__xludf.DUMMYFUNCTION("""COMPUTED_VALUE"""),514.165)</f>
        <v>514.165</v>
      </c>
      <c r="O98" s="18">
        <f>IFERROR(__xludf.DUMMYFUNCTION("""COMPUTED_VALUE"""),513.37)</f>
        <v>513.37</v>
      </c>
      <c r="P98" s="22">
        <f>IFERROR(__xludf.DUMMYFUNCTION("""COMPUTED_VALUE"""),9.0)</f>
        <v>9</v>
      </c>
      <c r="Q98" s="18">
        <f>IFERROR(__xludf.DUMMYFUNCTION("""COMPUTED_VALUE"""),4627.485)</f>
        <v>4627.485</v>
      </c>
      <c r="R98" s="18">
        <f>IFERROR(__xludf.DUMMYFUNCTION("""COMPUTED_VALUE"""),4114.115)</f>
        <v>4114.115</v>
      </c>
    </row>
    <row r="99">
      <c r="A99" s="21">
        <f>IFERROR(__xludf.DUMMYFUNCTION("""COMPUTED_VALUE"""),43379.0)</f>
        <v>43379</v>
      </c>
      <c r="B99" s="21" t="str">
        <f>IFERROR(__xludf.DUMMYFUNCTION("""COMPUTED_VALUE"""),"Oct")</f>
        <v>Oct</v>
      </c>
      <c r="C99" s="9">
        <f>IFERROR(__xludf.DUMMYFUNCTION("""COMPUTED_VALUE"""),43264.0)</f>
        <v>43264</v>
      </c>
      <c r="D99" s="23" t="str">
        <f>IFERROR(__xludf.DUMMYFUNCTION("""COMPUTED_VALUE"""),"Jun")</f>
        <v>Jun</v>
      </c>
      <c r="E99" s="21" t="str">
        <f>IFERROR(__xludf.DUMMYFUNCTION("""COMPUTED_VALUE"""),"2018")</f>
        <v>2018</v>
      </c>
      <c r="F99" s="22" t="str">
        <f>IFERROR(__xludf.DUMMYFUNCTION("""COMPUTED_VALUE"""),"First Class")</f>
        <v>First Class</v>
      </c>
      <c r="G99" s="22" t="str">
        <f>IFERROR(__xludf.DUMMYFUNCTION("""COMPUTED_VALUE"""),"Michelle")</f>
        <v>Michelle</v>
      </c>
      <c r="H99" s="22" t="str">
        <f>IFERROR(__xludf.DUMMYFUNCTION("""COMPUTED_VALUE"""),"Tran")</f>
        <v>Tran</v>
      </c>
      <c r="I99" s="22" t="str">
        <f>IFERROR(__xludf.DUMMYFUNCTION("""COMPUTED_VALUE"""),"Home Office")</f>
        <v>Home Office</v>
      </c>
      <c r="J99" s="22" t="str">
        <f>IFERROR(__xludf.DUMMYFUNCTION("""COMPUTED_VALUE"""),"Los Angeles")</f>
        <v>Los Angeles</v>
      </c>
      <c r="K99" s="22" t="str">
        <f>IFERROR(__xludf.DUMMYFUNCTION("""COMPUTED_VALUE"""),"California")</f>
        <v>California</v>
      </c>
      <c r="L99" s="22" t="str">
        <f>IFERROR(__xludf.DUMMYFUNCTION("""COMPUTED_VALUE"""),"West")</f>
        <v>West</v>
      </c>
      <c r="M99" s="22" t="str">
        <f>IFERROR(__xludf.DUMMYFUNCTION("""COMPUTED_VALUE"""),"Technology")</f>
        <v>Technology</v>
      </c>
      <c r="N99" s="18">
        <f>IFERROR(__xludf.DUMMYFUNCTION("""COMPUTED_VALUE"""),279.96)</f>
        <v>279.96</v>
      </c>
      <c r="O99" s="18">
        <f>IFERROR(__xludf.DUMMYFUNCTION("""COMPUTED_VALUE"""),279.24)</f>
        <v>279.24</v>
      </c>
      <c r="P99" s="22">
        <f>IFERROR(__xludf.DUMMYFUNCTION("""COMPUTED_VALUE"""),9.0)</f>
        <v>9</v>
      </c>
      <c r="Q99" s="18">
        <f>IFERROR(__xludf.DUMMYFUNCTION("""COMPUTED_VALUE"""),2519.64)</f>
        <v>2519.64</v>
      </c>
      <c r="R99" s="18">
        <f>IFERROR(__xludf.DUMMYFUNCTION("""COMPUTED_VALUE"""),2240.3999999999996)</f>
        <v>2240.4</v>
      </c>
    </row>
    <row r="100">
      <c r="A100" s="21">
        <f>IFERROR(__xludf.DUMMYFUNCTION("""COMPUTED_VALUE"""),42941.0)</f>
        <v>42941</v>
      </c>
      <c r="B100" s="21" t="str">
        <f>IFERROR(__xludf.DUMMYFUNCTION("""COMPUTED_VALUE"""),"Jul")</f>
        <v>Jul</v>
      </c>
      <c r="C100" s="9">
        <f>IFERROR(__xludf.DUMMYFUNCTION("""COMPUTED_VALUE"""),42947.0)</f>
        <v>42947</v>
      </c>
      <c r="D100" s="23" t="str">
        <f>IFERROR(__xludf.DUMMYFUNCTION("""COMPUTED_VALUE"""),"Jul")</f>
        <v>Jul</v>
      </c>
      <c r="E100" s="21" t="str">
        <f>IFERROR(__xludf.DUMMYFUNCTION("""COMPUTED_VALUE"""),"2017")</f>
        <v>2017</v>
      </c>
      <c r="F100" s="22" t="str">
        <f>IFERROR(__xludf.DUMMYFUNCTION("""COMPUTED_VALUE"""),"Standard Class")</f>
        <v>Standard Class</v>
      </c>
      <c r="G100" s="22" t="str">
        <f>IFERROR(__xludf.DUMMYFUNCTION("""COMPUTED_VALUE"""),"Sanjit")</f>
        <v>Sanjit</v>
      </c>
      <c r="H100" s="22" t="str">
        <f>IFERROR(__xludf.DUMMYFUNCTION("""COMPUTED_VALUE"""),"Chand")</f>
        <v>Chand</v>
      </c>
      <c r="I100" s="22" t="str">
        <f>IFERROR(__xludf.DUMMYFUNCTION("""COMPUTED_VALUE"""),"Consumer")</f>
        <v>Consumer</v>
      </c>
      <c r="J100" s="22" t="str">
        <f>IFERROR(__xludf.DUMMYFUNCTION("""COMPUTED_VALUE"""),"Costa Mesa")</f>
        <v>Costa Mesa</v>
      </c>
      <c r="K100" s="22" t="str">
        <f>IFERROR(__xludf.DUMMYFUNCTION("""COMPUTED_VALUE"""),"California")</f>
        <v>California</v>
      </c>
      <c r="L100" s="22" t="str">
        <f>IFERROR(__xludf.DUMMYFUNCTION("""COMPUTED_VALUE"""),"West")</f>
        <v>West</v>
      </c>
      <c r="M100" s="22" t="str">
        <f>IFERROR(__xludf.DUMMYFUNCTION("""COMPUTED_VALUE"""),"Office Supplies")</f>
        <v>Office Supplies</v>
      </c>
      <c r="N100" s="18">
        <f>IFERROR(__xludf.DUMMYFUNCTION("""COMPUTED_VALUE"""),119.616)</f>
        <v>119.616</v>
      </c>
      <c r="O100" s="18">
        <f>IFERROR(__xludf.DUMMYFUNCTION("""COMPUTED_VALUE"""),119.1)</f>
        <v>119.1</v>
      </c>
      <c r="P100" s="22">
        <f>IFERROR(__xludf.DUMMYFUNCTION("""COMPUTED_VALUE"""),9.0)</f>
        <v>9</v>
      </c>
      <c r="Q100" s="18">
        <f>IFERROR(__xludf.DUMMYFUNCTION("""COMPUTED_VALUE"""),1076.544)</f>
        <v>1076.544</v>
      </c>
      <c r="R100" s="18">
        <f>IFERROR(__xludf.DUMMYFUNCTION("""COMPUTED_VALUE"""),957.4440000000001)</f>
        <v>957.444</v>
      </c>
    </row>
    <row r="101">
      <c r="A101" s="21">
        <f>IFERROR(__xludf.DUMMYFUNCTION("""COMPUTED_VALUE"""),42941.0)</f>
        <v>42941</v>
      </c>
      <c r="B101" s="21" t="str">
        <f>IFERROR(__xludf.DUMMYFUNCTION("""COMPUTED_VALUE"""),"Jul")</f>
        <v>Jul</v>
      </c>
      <c r="C101" s="9">
        <f>IFERROR(__xludf.DUMMYFUNCTION("""COMPUTED_VALUE"""),42947.0)</f>
        <v>42947</v>
      </c>
      <c r="D101" s="23" t="str">
        <f>IFERROR(__xludf.DUMMYFUNCTION("""COMPUTED_VALUE"""),"Jul")</f>
        <v>Jul</v>
      </c>
      <c r="E101" s="21" t="str">
        <f>IFERROR(__xludf.DUMMYFUNCTION("""COMPUTED_VALUE"""),"2017")</f>
        <v>2017</v>
      </c>
      <c r="F101" s="22" t="str">
        <f>IFERROR(__xludf.DUMMYFUNCTION("""COMPUTED_VALUE"""),"Standard Class")</f>
        <v>Standard Class</v>
      </c>
      <c r="G101" s="22" t="str">
        <f>IFERROR(__xludf.DUMMYFUNCTION("""COMPUTED_VALUE"""),"Sanjit")</f>
        <v>Sanjit</v>
      </c>
      <c r="H101" s="22" t="str">
        <f>IFERROR(__xludf.DUMMYFUNCTION("""COMPUTED_VALUE"""),"Chand")</f>
        <v>Chand</v>
      </c>
      <c r="I101" s="22" t="str">
        <f>IFERROR(__xludf.DUMMYFUNCTION("""COMPUTED_VALUE"""),"Consumer")</f>
        <v>Consumer</v>
      </c>
      <c r="J101" s="22" t="str">
        <f>IFERROR(__xludf.DUMMYFUNCTION("""COMPUTED_VALUE"""),"Costa Mesa")</f>
        <v>Costa Mesa</v>
      </c>
      <c r="K101" s="22" t="str">
        <f>IFERROR(__xludf.DUMMYFUNCTION("""COMPUTED_VALUE"""),"California")</f>
        <v>California</v>
      </c>
      <c r="L101" s="22" t="str">
        <f>IFERROR(__xludf.DUMMYFUNCTION("""COMPUTED_VALUE"""),"West")</f>
        <v>West</v>
      </c>
      <c r="M101" s="22" t="str">
        <f>IFERROR(__xludf.DUMMYFUNCTION("""COMPUTED_VALUE"""),"Furniture")</f>
        <v>Furniture</v>
      </c>
      <c r="N101" s="18">
        <f>IFERROR(__xludf.DUMMYFUNCTION("""COMPUTED_VALUE"""),255.76)</f>
        <v>255.76</v>
      </c>
      <c r="O101" s="18">
        <f>IFERROR(__xludf.DUMMYFUNCTION("""COMPUTED_VALUE"""),254.81)</f>
        <v>254.81</v>
      </c>
      <c r="P101" s="22">
        <f>IFERROR(__xludf.DUMMYFUNCTION("""COMPUTED_VALUE"""),9.0)</f>
        <v>9</v>
      </c>
      <c r="Q101" s="18">
        <f>IFERROR(__xludf.DUMMYFUNCTION("""COMPUTED_VALUE"""),2301.84)</f>
        <v>2301.84</v>
      </c>
      <c r="R101" s="18">
        <f>IFERROR(__xludf.DUMMYFUNCTION("""COMPUTED_VALUE"""),2047.0300000000002)</f>
        <v>2047.03</v>
      </c>
    </row>
    <row r="102">
      <c r="A102" s="21">
        <f>IFERROR(__xludf.DUMMYFUNCTION("""COMPUTED_VALUE"""),42941.0)</f>
        <v>42941</v>
      </c>
      <c r="B102" s="21" t="str">
        <f>IFERROR(__xludf.DUMMYFUNCTION("""COMPUTED_VALUE"""),"Jul")</f>
        <v>Jul</v>
      </c>
      <c r="C102" s="9">
        <f>IFERROR(__xludf.DUMMYFUNCTION("""COMPUTED_VALUE"""),42947.0)</f>
        <v>42947</v>
      </c>
      <c r="D102" s="23" t="str">
        <f>IFERROR(__xludf.DUMMYFUNCTION("""COMPUTED_VALUE"""),"Jul")</f>
        <v>Jul</v>
      </c>
      <c r="E102" s="21" t="str">
        <f>IFERROR(__xludf.DUMMYFUNCTION("""COMPUTED_VALUE"""),"2017")</f>
        <v>2017</v>
      </c>
      <c r="F102" s="22" t="str">
        <f>IFERROR(__xludf.DUMMYFUNCTION("""COMPUTED_VALUE"""),"Standard Class")</f>
        <v>Standard Class</v>
      </c>
      <c r="G102" s="22" t="str">
        <f>IFERROR(__xludf.DUMMYFUNCTION("""COMPUTED_VALUE"""),"Sanjit")</f>
        <v>Sanjit</v>
      </c>
      <c r="H102" s="22" t="str">
        <f>IFERROR(__xludf.DUMMYFUNCTION("""COMPUTED_VALUE"""),"Chand")</f>
        <v>Chand</v>
      </c>
      <c r="I102" s="22" t="str">
        <f>IFERROR(__xludf.DUMMYFUNCTION("""COMPUTED_VALUE"""),"Consumer")</f>
        <v>Consumer</v>
      </c>
      <c r="J102" s="22" t="str">
        <f>IFERROR(__xludf.DUMMYFUNCTION("""COMPUTED_VALUE"""),"Costa Mesa")</f>
        <v>Costa Mesa</v>
      </c>
      <c r="K102" s="22" t="str">
        <f>IFERROR(__xludf.DUMMYFUNCTION("""COMPUTED_VALUE"""),"California")</f>
        <v>California</v>
      </c>
      <c r="L102" s="22" t="str">
        <f>IFERROR(__xludf.DUMMYFUNCTION("""COMPUTED_VALUE"""),"West")</f>
        <v>West</v>
      </c>
      <c r="M102" s="22" t="str">
        <f>IFERROR(__xludf.DUMMYFUNCTION("""COMPUTED_VALUE"""),"Furniture")</f>
        <v>Furniture</v>
      </c>
      <c r="N102" s="18">
        <f>IFERROR(__xludf.DUMMYFUNCTION("""COMPUTED_VALUE"""),241.568)</f>
        <v>241.568</v>
      </c>
      <c r="O102" s="18">
        <f>IFERROR(__xludf.DUMMYFUNCTION("""COMPUTED_VALUE"""),240.79)</f>
        <v>240.79</v>
      </c>
      <c r="P102" s="22">
        <f>IFERROR(__xludf.DUMMYFUNCTION("""COMPUTED_VALUE"""),9.0)</f>
        <v>9</v>
      </c>
      <c r="Q102" s="18">
        <f>IFERROR(__xludf.DUMMYFUNCTION("""COMPUTED_VALUE"""),2174.112)</f>
        <v>2174.112</v>
      </c>
      <c r="R102" s="18">
        <f>IFERROR(__xludf.DUMMYFUNCTION("""COMPUTED_VALUE"""),1933.3220000000001)</f>
        <v>1933.322</v>
      </c>
    </row>
    <row r="103">
      <c r="A103" s="21">
        <f>IFERROR(__xludf.DUMMYFUNCTION("""COMPUTED_VALUE"""),42941.0)</f>
        <v>42941</v>
      </c>
      <c r="B103" s="21" t="str">
        <f>IFERROR(__xludf.DUMMYFUNCTION("""COMPUTED_VALUE"""),"Jul")</f>
        <v>Jul</v>
      </c>
      <c r="C103" s="9">
        <f>IFERROR(__xludf.DUMMYFUNCTION("""COMPUTED_VALUE"""),42947.0)</f>
        <v>42947</v>
      </c>
      <c r="D103" s="23" t="str">
        <f>IFERROR(__xludf.DUMMYFUNCTION("""COMPUTED_VALUE"""),"Jul")</f>
        <v>Jul</v>
      </c>
      <c r="E103" s="21" t="str">
        <f>IFERROR(__xludf.DUMMYFUNCTION("""COMPUTED_VALUE"""),"2017")</f>
        <v>2017</v>
      </c>
      <c r="F103" s="22" t="str">
        <f>IFERROR(__xludf.DUMMYFUNCTION("""COMPUTED_VALUE"""),"Standard Class")</f>
        <v>Standard Class</v>
      </c>
      <c r="G103" s="22" t="str">
        <f>IFERROR(__xludf.DUMMYFUNCTION("""COMPUTED_VALUE"""),"Sanjit")</f>
        <v>Sanjit</v>
      </c>
      <c r="H103" s="22" t="str">
        <f>IFERROR(__xludf.DUMMYFUNCTION("""COMPUTED_VALUE"""),"Chand")</f>
        <v>Chand</v>
      </c>
      <c r="I103" s="22" t="str">
        <f>IFERROR(__xludf.DUMMYFUNCTION("""COMPUTED_VALUE"""),"Consumer")</f>
        <v>Consumer</v>
      </c>
      <c r="J103" s="22" t="str">
        <f>IFERROR(__xludf.DUMMYFUNCTION("""COMPUTED_VALUE"""),"Costa Mesa")</f>
        <v>Costa Mesa</v>
      </c>
      <c r="K103" s="22" t="str">
        <f>IFERROR(__xludf.DUMMYFUNCTION("""COMPUTED_VALUE"""),"California")</f>
        <v>California</v>
      </c>
      <c r="L103" s="22" t="str">
        <f>IFERROR(__xludf.DUMMYFUNCTION("""COMPUTED_VALUE"""),"West")</f>
        <v>West</v>
      </c>
      <c r="M103" s="22" t="str">
        <f>IFERROR(__xludf.DUMMYFUNCTION("""COMPUTED_VALUE"""),"Furniture")</f>
        <v>Furniture</v>
      </c>
      <c r="N103" s="18">
        <f>IFERROR(__xludf.DUMMYFUNCTION("""COMPUTED_VALUE"""),69.3)</f>
        <v>69.3</v>
      </c>
      <c r="O103" s="18">
        <f>IFERROR(__xludf.DUMMYFUNCTION("""COMPUTED_VALUE"""),68.37)</f>
        <v>68.37</v>
      </c>
      <c r="P103" s="22">
        <f>IFERROR(__xludf.DUMMYFUNCTION("""COMPUTED_VALUE"""),9.0)</f>
        <v>9</v>
      </c>
      <c r="Q103" s="18">
        <f>IFERROR(__xludf.DUMMYFUNCTION("""COMPUTED_VALUE"""),623.6999999999999)</f>
        <v>623.7</v>
      </c>
      <c r="R103" s="18">
        <f>IFERROR(__xludf.DUMMYFUNCTION("""COMPUTED_VALUE"""),555.3299999999999)</f>
        <v>555.33</v>
      </c>
    </row>
    <row r="104">
      <c r="A104" s="21">
        <f>IFERROR(__xludf.DUMMYFUNCTION("""COMPUTED_VALUE"""),43455.0)</f>
        <v>43455</v>
      </c>
      <c r="B104" s="21" t="str">
        <f>IFERROR(__xludf.DUMMYFUNCTION("""COMPUTED_VALUE"""),"Dec")</f>
        <v>Dec</v>
      </c>
      <c r="C104" s="9">
        <f>IFERROR(__xludf.DUMMYFUNCTION("""COMPUTED_VALUE"""),43459.0)</f>
        <v>43459</v>
      </c>
      <c r="D104" s="23" t="str">
        <f>IFERROR(__xludf.DUMMYFUNCTION("""COMPUTED_VALUE"""),"Dec")</f>
        <v>Dec</v>
      </c>
      <c r="E104" s="21" t="str">
        <f>IFERROR(__xludf.DUMMYFUNCTION("""COMPUTED_VALUE"""),"2018")</f>
        <v>2018</v>
      </c>
      <c r="F104" s="22" t="str">
        <f>IFERROR(__xludf.DUMMYFUNCTION("""COMPUTED_VALUE"""),"Standard Class")</f>
        <v>Standard Class</v>
      </c>
      <c r="G104" s="22" t="str">
        <f>IFERROR(__xludf.DUMMYFUNCTION("""COMPUTED_VALUE"""),"Bradley")</f>
        <v>Bradley</v>
      </c>
      <c r="H104" s="22" t="str">
        <f>IFERROR(__xludf.DUMMYFUNCTION("""COMPUTED_VALUE"""),"Nguyen")</f>
        <v>Nguyen</v>
      </c>
      <c r="I104" s="22" t="str">
        <f>IFERROR(__xludf.DUMMYFUNCTION("""COMPUTED_VALUE"""),"Consumer")</f>
        <v>Consumer</v>
      </c>
      <c r="J104" s="22" t="str">
        <f>IFERROR(__xludf.DUMMYFUNCTION("""COMPUTED_VALUE"""),"Los Angeles")</f>
        <v>Los Angeles</v>
      </c>
      <c r="K104" s="22" t="str">
        <f>IFERROR(__xludf.DUMMYFUNCTION("""COMPUTED_VALUE"""),"California")</f>
        <v>California</v>
      </c>
      <c r="L104" s="22" t="str">
        <f>IFERROR(__xludf.DUMMYFUNCTION("""COMPUTED_VALUE"""),"West")</f>
        <v>West</v>
      </c>
      <c r="M104" s="22" t="str">
        <f>IFERROR(__xludf.DUMMYFUNCTION("""COMPUTED_VALUE"""),"Office Supplies")</f>
        <v>Office Supplies</v>
      </c>
      <c r="N104" s="18">
        <f>IFERROR(__xludf.DUMMYFUNCTION("""COMPUTED_VALUE"""),6.63)</f>
        <v>6.63</v>
      </c>
      <c r="O104" s="18">
        <f>IFERROR(__xludf.DUMMYFUNCTION("""COMPUTED_VALUE"""),6.52)</f>
        <v>6.52</v>
      </c>
      <c r="P104" s="22">
        <f>IFERROR(__xludf.DUMMYFUNCTION("""COMPUTED_VALUE"""),9.0)</f>
        <v>9</v>
      </c>
      <c r="Q104" s="18">
        <f>IFERROR(__xludf.DUMMYFUNCTION("""COMPUTED_VALUE"""),59.67)</f>
        <v>59.67</v>
      </c>
      <c r="R104" s="18">
        <f>IFERROR(__xludf.DUMMYFUNCTION("""COMPUTED_VALUE"""),53.150000000000006)</f>
        <v>53.15</v>
      </c>
    </row>
    <row r="105">
      <c r="A105" s="21">
        <f>IFERROR(__xludf.DUMMYFUNCTION("""COMPUTED_VALUE"""),43455.0)</f>
        <v>43455</v>
      </c>
      <c r="B105" s="21" t="str">
        <f>IFERROR(__xludf.DUMMYFUNCTION("""COMPUTED_VALUE"""),"Dec")</f>
        <v>Dec</v>
      </c>
      <c r="C105" s="9">
        <f>IFERROR(__xludf.DUMMYFUNCTION("""COMPUTED_VALUE"""),43459.0)</f>
        <v>43459</v>
      </c>
      <c r="D105" s="23" t="str">
        <f>IFERROR(__xludf.DUMMYFUNCTION("""COMPUTED_VALUE"""),"Dec")</f>
        <v>Dec</v>
      </c>
      <c r="E105" s="21" t="str">
        <f>IFERROR(__xludf.DUMMYFUNCTION("""COMPUTED_VALUE"""),"2018")</f>
        <v>2018</v>
      </c>
      <c r="F105" s="22" t="str">
        <f>IFERROR(__xludf.DUMMYFUNCTION("""COMPUTED_VALUE"""),"Standard Class")</f>
        <v>Standard Class</v>
      </c>
      <c r="G105" s="22" t="str">
        <f>IFERROR(__xludf.DUMMYFUNCTION("""COMPUTED_VALUE"""),"Bradley")</f>
        <v>Bradley</v>
      </c>
      <c r="H105" s="22" t="str">
        <f>IFERROR(__xludf.DUMMYFUNCTION("""COMPUTED_VALUE"""),"Nguyen")</f>
        <v>Nguyen</v>
      </c>
      <c r="I105" s="22" t="str">
        <f>IFERROR(__xludf.DUMMYFUNCTION("""COMPUTED_VALUE"""),"Consumer")</f>
        <v>Consumer</v>
      </c>
      <c r="J105" s="22" t="str">
        <f>IFERROR(__xludf.DUMMYFUNCTION("""COMPUTED_VALUE"""),"Los Angeles")</f>
        <v>Los Angeles</v>
      </c>
      <c r="K105" s="22" t="str">
        <f>IFERROR(__xludf.DUMMYFUNCTION("""COMPUTED_VALUE"""),"California")</f>
        <v>California</v>
      </c>
      <c r="L105" s="22" t="str">
        <f>IFERROR(__xludf.DUMMYFUNCTION("""COMPUTED_VALUE"""),"West")</f>
        <v>West</v>
      </c>
      <c r="M105" s="22" t="str">
        <f>IFERROR(__xludf.DUMMYFUNCTION("""COMPUTED_VALUE"""),"Office Supplies")</f>
        <v>Office Supplies</v>
      </c>
      <c r="N105" s="18">
        <f>IFERROR(__xludf.DUMMYFUNCTION("""COMPUTED_VALUE"""),5.88)</f>
        <v>5.88</v>
      </c>
      <c r="O105" s="18">
        <f>IFERROR(__xludf.DUMMYFUNCTION("""COMPUTED_VALUE"""),5.42)</f>
        <v>5.42</v>
      </c>
      <c r="P105" s="22">
        <f>IFERROR(__xludf.DUMMYFUNCTION("""COMPUTED_VALUE"""),9.0)</f>
        <v>9</v>
      </c>
      <c r="Q105" s="18">
        <f>IFERROR(__xludf.DUMMYFUNCTION("""COMPUTED_VALUE"""),52.92)</f>
        <v>52.92</v>
      </c>
      <c r="R105" s="18">
        <f>IFERROR(__xludf.DUMMYFUNCTION("""COMPUTED_VALUE"""),47.5)</f>
        <v>47.5</v>
      </c>
    </row>
    <row r="106">
      <c r="A106" s="21">
        <f>IFERROR(__xludf.DUMMYFUNCTION("""COMPUTED_VALUE"""),42876.0)</f>
        <v>42876</v>
      </c>
      <c r="B106" s="21" t="str">
        <f>IFERROR(__xludf.DUMMYFUNCTION("""COMPUTED_VALUE"""),"May")</f>
        <v>May</v>
      </c>
      <c r="C106" s="9">
        <f>IFERROR(__xludf.DUMMYFUNCTION("""COMPUTED_VALUE"""),42878.0)</f>
        <v>42878</v>
      </c>
      <c r="D106" s="23" t="str">
        <f>IFERROR(__xludf.DUMMYFUNCTION("""COMPUTED_VALUE"""),"May")</f>
        <v>May</v>
      </c>
      <c r="E106" s="21" t="str">
        <f>IFERROR(__xludf.DUMMYFUNCTION("""COMPUTED_VALUE"""),"2017")</f>
        <v>2017</v>
      </c>
      <c r="F106" s="22" t="str">
        <f>IFERROR(__xludf.DUMMYFUNCTION("""COMPUTED_VALUE"""),"First Class")</f>
        <v>First Class</v>
      </c>
      <c r="G106" s="22" t="str">
        <f>IFERROR(__xludf.DUMMYFUNCTION("""COMPUTED_VALUE"""),"Logan")</f>
        <v>Logan</v>
      </c>
      <c r="H106" s="22" t="str">
        <f>IFERROR(__xludf.DUMMYFUNCTION("""COMPUTED_VALUE"""),"Haushalter")</f>
        <v>Haushalter</v>
      </c>
      <c r="I106" s="22" t="str">
        <f>IFERROR(__xludf.DUMMYFUNCTION("""COMPUTED_VALUE"""),"Consumer")</f>
        <v>Consumer</v>
      </c>
      <c r="J106" s="22" t="str">
        <f>IFERROR(__xludf.DUMMYFUNCTION("""COMPUTED_VALUE"""),"Los Angeles")</f>
        <v>Los Angeles</v>
      </c>
      <c r="K106" s="22" t="str">
        <f>IFERROR(__xludf.DUMMYFUNCTION("""COMPUTED_VALUE"""),"California")</f>
        <v>California</v>
      </c>
      <c r="L106" s="22" t="str">
        <f>IFERROR(__xludf.DUMMYFUNCTION("""COMPUTED_VALUE"""),"West")</f>
        <v>West</v>
      </c>
      <c r="M106" s="22" t="str">
        <f>IFERROR(__xludf.DUMMYFUNCTION("""COMPUTED_VALUE"""),"Technology")</f>
        <v>Technology</v>
      </c>
      <c r="N106" s="18">
        <f>IFERROR(__xludf.DUMMYFUNCTION("""COMPUTED_VALUE"""),55.176)</f>
        <v>55.176</v>
      </c>
      <c r="O106" s="18">
        <f>IFERROR(__xludf.DUMMYFUNCTION("""COMPUTED_VALUE"""),54.96)</f>
        <v>54.96</v>
      </c>
      <c r="P106" s="22">
        <f>IFERROR(__xludf.DUMMYFUNCTION("""COMPUTED_VALUE"""),9.0)</f>
        <v>9</v>
      </c>
      <c r="Q106" s="18">
        <f>IFERROR(__xludf.DUMMYFUNCTION("""COMPUTED_VALUE"""),496.584)</f>
        <v>496.584</v>
      </c>
      <c r="R106" s="18">
        <f>IFERROR(__xludf.DUMMYFUNCTION("""COMPUTED_VALUE"""),441.624)</f>
        <v>441.624</v>
      </c>
    </row>
    <row r="107">
      <c r="A107" s="21">
        <f>IFERROR(__xludf.DUMMYFUNCTION("""COMPUTED_VALUE"""),42876.0)</f>
        <v>42876</v>
      </c>
      <c r="B107" s="21" t="str">
        <f>IFERROR(__xludf.DUMMYFUNCTION("""COMPUTED_VALUE"""),"May")</f>
        <v>May</v>
      </c>
      <c r="C107" s="9">
        <f>IFERROR(__xludf.DUMMYFUNCTION("""COMPUTED_VALUE"""),42878.0)</f>
        <v>42878</v>
      </c>
      <c r="D107" s="23" t="str">
        <f>IFERROR(__xludf.DUMMYFUNCTION("""COMPUTED_VALUE"""),"May")</f>
        <v>May</v>
      </c>
      <c r="E107" s="21" t="str">
        <f>IFERROR(__xludf.DUMMYFUNCTION("""COMPUTED_VALUE"""),"2017")</f>
        <v>2017</v>
      </c>
      <c r="F107" s="22" t="str">
        <f>IFERROR(__xludf.DUMMYFUNCTION("""COMPUTED_VALUE"""),"First Class")</f>
        <v>First Class</v>
      </c>
      <c r="G107" s="22" t="str">
        <f>IFERROR(__xludf.DUMMYFUNCTION("""COMPUTED_VALUE"""),"Logan")</f>
        <v>Logan</v>
      </c>
      <c r="H107" s="22" t="str">
        <f>IFERROR(__xludf.DUMMYFUNCTION("""COMPUTED_VALUE"""),"Haushalter")</f>
        <v>Haushalter</v>
      </c>
      <c r="I107" s="22" t="str">
        <f>IFERROR(__xludf.DUMMYFUNCTION("""COMPUTED_VALUE"""),"Consumer")</f>
        <v>Consumer</v>
      </c>
      <c r="J107" s="22" t="str">
        <f>IFERROR(__xludf.DUMMYFUNCTION("""COMPUTED_VALUE"""),"Los Angeles")</f>
        <v>Los Angeles</v>
      </c>
      <c r="K107" s="22" t="str">
        <f>IFERROR(__xludf.DUMMYFUNCTION("""COMPUTED_VALUE"""),"California")</f>
        <v>California</v>
      </c>
      <c r="L107" s="22" t="str">
        <f>IFERROR(__xludf.DUMMYFUNCTION("""COMPUTED_VALUE"""),"West")</f>
        <v>West</v>
      </c>
      <c r="M107" s="22" t="str">
        <f>IFERROR(__xludf.DUMMYFUNCTION("""COMPUTED_VALUE"""),"Technology")</f>
        <v>Technology</v>
      </c>
      <c r="N107" s="18">
        <f>IFERROR(__xludf.DUMMYFUNCTION("""COMPUTED_VALUE"""),66.26)</f>
        <v>66.26</v>
      </c>
      <c r="O107" s="18">
        <f>IFERROR(__xludf.DUMMYFUNCTION("""COMPUTED_VALUE"""),66.07)</f>
        <v>66.07</v>
      </c>
      <c r="P107" s="22">
        <f>IFERROR(__xludf.DUMMYFUNCTION("""COMPUTED_VALUE"""),9.0)</f>
        <v>9</v>
      </c>
      <c r="Q107" s="18">
        <f>IFERROR(__xludf.DUMMYFUNCTION("""COMPUTED_VALUE"""),596.34)</f>
        <v>596.34</v>
      </c>
      <c r="R107" s="18">
        <f>IFERROR(__xludf.DUMMYFUNCTION("""COMPUTED_VALUE"""),530.27)</f>
        <v>530.27</v>
      </c>
    </row>
    <row r="108">
      <c r="A108" s="21">
        <f>IFERROR(__xludf.DUMMYFUNCTION("""COMPUTED_VALUE"""),42562.0)</f>
        <v>42562</v>
      </c>
      <c r="B108" s="21" t="str">
        <f>IFERROR(__xludf.DUMMYFUNCTION("""COMPUTED_VALUE"""),"Jul")</f>
        <v>Jul</v>
      </c>
      <c r="C108" s="9">
        <f>IFERROR(__xludf.DUMMYFUNCTION("""COMPUTED_VALUE"""),42624.0)</f>
        <v>42624</v>
      </c>
      <c r="D108" s="23" t="str">
        <f>IFERROR(__xludf.DUMMYFUNCTION("""COMPUTED_VALUE"""),"Sep")</f>
        <v>Sep</v>
      </c>
      <c r="E108" s="21" t="str">
        <f>IFERROR(__xludf.DUMMYFUNCTION("""COMPUTED_VALUE"""),"2016")</f>
        <v>2016</v>
      </c>
      <c r="F108" s="22" t="str">
        <f>IFERROR(__xludf.DUMMYFUNCTION("""COMPUTED_VALUE"""),"Second Class")</f>
        <v>Second Class</v>
      </c>
      <c r="G108" s="22" t="str">
        <f>IFERROR(__xludf.DUMMYFUNCTION("""COMPUTED_VALUE"""),"Karen")</f>
        <v>Karen</v>
      </c>
      <c r="H108" s="22" t="str">
        <f>IFERROR(__xludf.DUMMYFUNCTION("""COMPUTED_VALUE"""),"Bern")</f>
        <v>Bern</v>
      </c>
      <c r="I108" s="22" t="str">
        <f>IFERROR(__xludf.DUMMYFUNCTION("""COMPUTED_VALUE"""),"Corporate")</f>
        <v>Corporate</v>
      </c>
      <c r="J108" s="22" t="str">
        <f>IFERROR(__xludf.DUMMYFUNCTION("""COMPUTED_VALUE"""),"Los Angeles")</f>
        <v>Los Angeles</v>
      </c>
      <c r="K108" s="22" t="str">
        <f>IFERROR(__xludf.DUMMYFUNCTION("""COMPUTED_VALUE"""),"California")</f>
        <v>California</v>
      </c>
      <c r="L108" s="22" t="str">
        <f>IFERROR(__xludf.DUMMYFUNCTION("""COMPUTED_VALUE"""),"West")</f>
        <v>West</v>
      </c>
      <c r="M108" s="22" t="str">
        <f>IFERROR(__xludf.DUMMYFUNCTION("""COMPUTED_VALUE"""),"Furniture")</f>
        <v>Furniture</v>
      </c>
      <c r="N108" s="18">
        <f>IFERROR(__xludf.DUMMYFUNCTION("""COMPUTED_VALUE"""),190.72)</f>
        <v>190.72</v>
      </c>
      <c r="O108" s="18">
        <f>IFERROR(__xludf.DUMMYFUNCTION("""COMPUTED_VALUE"""),190.15)</f>
        <v>190.15</v>
      </c>
      <c r="P108" s="22">
        <f>IFERROR(__xludf.DUMMYFUNCTION("""COMPUTED_VALUE"""),9.0)</f>
        <v>9</v>
      </c>
      <c r="Q108" s="18">
        <f>IFERROR(__xludf.DUMMYFUNCTION("""COMPUTED_VALUE"""),1716.48)</f>
        <v>1716.48</v>
      </c>
      <c r="R108" s="18">
        <f>IFERROR(__xludf.DUMMYFUNCTION("""COMPUTED_VALUE"""),1526.33)</f>
        <v>1526.33</v>
      </c>
    </row>
    <row r="109">
      <c r="A109" s="21">
        <f>IFERROR(__xludf.DUMMYFUNCTION("""COMPUTED_VALUE"""),43290.0)</f>
        <v>43290</v>
      </c>
      <c r="B109" s="21" t="str">
        <f>IFERROR(__xludf.DUMMYFUNCTION("""COMPUTED_VALUE"""),"Jul")</f>
        <v>Jul</v>
      </c>
      <c r="C109" s="9">
        <f>IFERROR(__xludf.DUMMYFUNCTION("""COMPUTED_VALUE"""),43413.0)</f>
        <v>43413</v>
      </c>
      <c r="D109" s="23" t="str">
        <f>IFERROR(__xludf.DUMMYFUNCTION("""COMPUTED_VALUE"""),"Nov")</f>
        <v>Nov</v>
      </c>
      <c r="E109" s="21" t="str">
        <f>IFERROR(__xludf.DUMMYFUNCTION("""COMPUTED_VALUE"""),"2018")</f>
        <v>2018</v>
      </c>
      <c r="F109" s="22" t="str">
        <f>IFERROR(__xludf.DUMMYFUNCTION("""COMPUTED_VALUE"""),"Standard Class")</f>
        <v>Standard Class</v>
      </c>
      <c r="G109" s="22" t="str">
        <f>IFERROR(__xludf.DUMMYFUNCTION("""COMPUTED_VALUE"""),"Jasper")</f>
        <v>Jasper</v>
      </c>
      <c r="H109" s="22" t="str">
        <f>IFERROR(__xludf.DUMMYFUNCTION("""COMPUTED_VALUE"""),"Cacioppo")</f>
        <v>Cacioppo</v>
      </c>
      <c r="I109" s="22" t="str">
        <f>IFERROR(__xludf.DUMMYFUNCTION("""COMPUTED_VALUE"""),"Consumer")</f>
        <v>Consumer</v>
      </c>
      <c r="J109" s="22" t="str">
        <f>IFERROR(__xludf.DUMMYFUNCTION("""COMPUTED_VALUE"""),"Los Angeles")</f>
        <v>Los Angeles</v>
      </c>
      <c r="K109" s="22" t="str">
        <f>IFERROR(__xludf.DUMMYFUNCTION("""COMPUTED_VALUE"""),"California")</f>
        <v>California</v>
      </c>
      <c r="L109" s="22" t="str">
        <f>IFERROR(__xludf.DUMMYFUNCTION("""COMPUTED_VALUE"""),"West")</f>
        <v>West</v>
      </c>
      <c r="M109" s="22" t="str">
        <f>IFERROR(__xludf.DUMMYFUNCTION("""COMPUTED_VALUE"""),"Furniture")</f>
        <v>Furniture</v>
      </c>
      <c r="N109" s="18">
        <f>IFERROR(__xludf.DUMMYFUNCTION("""COMPUTED_VALUE"""),47.94)</f>
        <v>47.94</v>
      </c>
      <c r="O109" s="18">
        <f>IFERROR(__xludf.DUMMYFUNCTION("""COMPUTED_VALUE"""),47.47)</f>
        <v>47.47</v>
      </c>
      <c r="P109" s="22">
        <f>IFERROR(__xludf.DUMMYFUNCTION("""COMPUTED_VALUE"""),9.0)</f>
        <v>9</v>
      </c>
      <c r="Q109" s="18">
        <f>IFERROR(__xludf.DUMMYFUNCTION("""COMPUTED_VALUE"""),431.46)</f>
        <v>431.46</v>
      </c>
      <c r="R109" s="18">
        <f>IFERROR(__xludf.DUMMYFUNCTION("""COMPUTED_VALUE"""),383.99)</f>
        <v>383.99</v>
      </c>
    </row>
    <row r="110">
      <c r="A110" s="21">
        <f>IFERROR(__xludf.DUMMYFUNCTION("""COMPUTED_VALUE"""),42840.0)</f>
        <v>42840</v>
      </c>
      <c r="B110" s="21" t="str">
        <f>IFERROR(__xludf.DUMMYFUNCTION("""COMPUTED_VALUE"""),"Apr")</f>
        <v>Apr</v>
      </c>
      <c r="C110" s="9">
        <f>IFERROR(__xludf.DUMMYFUNCTION("""COMPUTED_VALUE"""),42842.0)</f>
        <v>42842</v>
      </c>
      <c r="D110" s="23" t="str">
        <f>IFERROR(__xludf.DUMMYFUNCTION("""COMPUTED_VALUE"""),"Apr")</f>
        <v>Apr</v>
      </c>
      <c r="E110" s="21" t="str">
        <f>IFERROR(__xludf.DUMMYFUNCTION("""COMPUTED_VALUE"""),"2017")</f>
        <v>2017</v>
      </c>
      <c r="F110" s="22" t="str">
        <f>IFERROR(__xludf.DUMMYFUNCTION("""COMPUTED_VALUE"""),"Second Class")</f>
        <v>Second Class</v>
      </c>
      <c r="G110" s="22" t="str">
        <f>IFERROR(__xludf.DUMMYFUNCTION("""COMPUTED_VALUE"""),"Bill")</f>
        <v>Bill</v>
      </c>
      <c r="H110" s="22" t="str">
        <f>IFERROR(__xludf.DUMMYFUNCTION("""COMPUTED_VALUE"""),"Donatelli")</f>
        <v>Donatelli</v>
      </c>
      <c r="I110" s="22" t="str">
        <f>IFERROR(__xludf.DUMMYFUNCTION("""COMPUTED_VALUE"""),"Consumer")</f>
        <v>Consumer</v>
      </c>
      <c r="J110" s="22" t="str">
        <f>IFERROR(__xludf.DUMMYFUNCTION("""COMPUTED_VALUE"""),"San Francisco")</f>
        <v>San Francisco</v>
      </c>
      <c r="K110" s="22" t="str">
        <f>IFERROR(__xludf.DUMMYFUNCTION("""COMPUTED_VALUE"""),"California")</f>
        <v>California</v>
      </c>
      <c r="L110" s="22" t="str">
        <f>IFERROR(__xludf.DUMMYFUNCTION("""COMPUTED_VALUE"""),"West")</f>
        <v>West</v>
      </c>
      <c r="M110" s="22" t="str">
        <f>IFERROR(__xludf.DUMMYFUNCTION("""COMPUTED_VALUE"""),"Furniture")</f>
        <v>Furniture</v>
      </c>
      <c r="N110" s="18">
        <f>IFERROR(__xludf.DUMMYFUNCTION("""COMPUTED_VALUE"""),1121.568)</f>
        <v>1121.568</v>
      </c>
      <c r="O110" s="18">
        <f>IFERROR(__xludf.DUMMYFUNCTION("""COMPUTED_VALUE"""),1120.83)</f>
        <v>1120.83</v>
      </c>
      <c r="P110" s="22">
        <f>IFERROR(__xludf.DUMMYFUNCTION("""COMPUTED_VALUE"""),9.0)</f>
        <v>9</v>
      </c>
      <c r="Q110" s="18">
        <f>IFERROR(__xludf.DUMMYFUNCTION("""COMPUTED_VALUE"""),10094.112)</f>
        <v>10094.112</v>
      </c>
      <c r="R110" s="18">
        <f>IFERROR(__xludf.DUMMYFUNCTION("""COMPUTED_VALUE"""),8973.282)</f>
        <v>8973.282</v>
      </c>
    </row>
    <row r="111">
      <c r="A111" s="21">
        <f>IFERROR(__xludf.DUMMYFUNCTION("""COMPUTED_VALUE"""),43280.0)</f>
        <v>43280</v>
      </c>
      <c r="B111" s="21" t="str">
        <f>IFERROR(__xludf.DUMMYFUNCTION("""COMPUTED_VALUE"""),"Jun")</f>
        <v>Jun</v>
      </c>
      <c r="C111" s="9">
        <f>IFERROR(__xludf.DUMMYFUNCTION("""COMPUTED_VALUE"""),43166.0)</f>
        <v>43166</v>
      </c>
      <c r="D111" s="23" t="str">
        <f>IFERROR(__xludf.DUMMYFUNCTION("""COMPUTED_VALUE"""),"Mar")</f>
        <v>Mar</v>
      </c>
      <c r="E111" s="21" t="str">
        <f>IFERROR(__xludf.DUMMYFUNCTION("""COMPUTED_VALUE"""),"2018")</f>
        <v>2018</v>
      </c>
      <c r="F111" s="22" t="str">
        <f>IFERROR(__xludf.DUMMYFUNCTION("""COMPUTED_VALUE"""),"Second Class")</f>
        <v>Second Class</v>
      </c>
      <c r="G111" s="22" t="str">
        <f>IFERROR(__xludf.DUMMYFUNCTION("""COMPUTED_VALUE"""),"Dean")</f>
        <v>Dean</v>
      </c>
      <c r="H111" s="22" t="str">
        <f>IFERROR(__xludf.DUMMYFUNCTION("""COMPUTED_VALUE"""),"Katz")</f>
        <v>Katz</v>
      </c>
      <c r="I111" s="22" t="str">
        <f>IFERROR(__xludf.DUMMYFUNCTION("""COMPUTED_VALUE"""),"Corporate")</f>
        <v>Corporate</v>
      </c>
      <c r="J111" s="22" t="str">
        <f>IFERROR(__xludf.DUMMYFUNCTION("""COMPUTED_VALUE"""),"Anaheim")</f>
        <v>Anaheim</v>
      </c>
      <c r="K111" s="22" t="str">
        <f>IFERROR(__xludf.DUMMYFUNCTION("""COMPUTED_VALUE"""),"California")</f>
        <v>California</v>
      </c>
      <c r="L111" s="22" t="str">
        <f>IFERROR(__xludf.DUMMYFUNCTION("""COMPUTED_VALUE"""),"West")</f>
        <v>West</v>
      </c>
      <c r="M111" s="22" t="str">
        <f>IFERROR(__xludf.DUMMYFUNCTION("""COMPUTED_VALUE"""),"Office Supplies")</f>
        <v>Office Supplies</v>
      </c>
      <c r="N111" s="18">
        <f>IFERROR(__xludf.DUMMYFUNCTION("""COMPUTED_VALUE"""),1295.78)</f>
        <v>1295.78</v>
      </c>
      <c r="O111" s="18">
        <f>IFERROR(__xludf.DUMMYFUNCTION("""COMPUTED_VALUE"""),1295.24)</f>
        <v>1295.24</v>
      </c>
      <c r="P111" s="22">
        <f>IFERROR(__xludf.DUMMYFUNCTION("""COMPUTED_VALUE"""),9.0)</f>
        <v>9</v>
      </c>
      <c r="Q111" s="18">
        <f>IFERROR(__xludf.DUMMYFUNCTION("""COMPUTED_VALUE"""),11662.02)</f>
        <v>11662.02</v>
      </c>
      <c r="R111" s="18">
        <f>IFERROR(__xludf.DUMMYFUNCTION("""COMPUTED_VALUE"""),10366.78)</f>
        <v>10366.78</v>
      </c>
    </row>
    <row r="112">
      <c r="A112" s="21">
        <f>IFERROR(__xludf.DUMMYFUNCTION("""COMPUTED_VALUE"""),43014.0)</f>
        <v>43014</v>
      </c>
      <c r="B112" s="21" t="str">
        <f>IFERROR(__xludf.DUMMYFUNCTION("""COMPUTED_VALUE"""),"Oct")</f>
        <v>Oct</v>
      </c>
      <c r="C112" s="9">
        <f>IFERROR(__xludf.DUMMYFUNCTION("""COMPUTED_VALUE"""),42901.0)</f>
        <v>42901</v>
      </c>
      <c r="D112" s="23" t="str">
        <f>IFERROR(__xludf.DUMMYFUNCTION("""COMPUTED_VALUE"""),"Jun")</f>
        <v>Jun</v>
      </c>
      <c r="E112" s="21" t="str">
        <f>IFERROR(__xludf.DUMMYFUNCTION("""COMPUTED_VALUE"""),"2017")</f>
        <v>2017</v>
      </c>
      <c r="F112" s="22" t="str">
        <f>IFERROR(__xludf.DUMMYFUNCTION("""COMPUTED_VALUE"""),"Standard Class")</f>
        <v>Standard Class</v>
      </c>
      <c r="G112" s="22" t="str">
        <f>IFERROR(__xludf.DUMMYFUNCTION("""COMPUTED_VALUE"""),"Olvera")</f>
        <v>Olvera</v>
      </c>
      <c r="H112" s="22" t="str">
        <f>IFERROR(__xludf.DUMMYFUNCTION("""COMPUTED_VALUE"""),"Toch")</f>
        <v>Toch</v>
      </c>
      <c r="I112" s="22" t="str">
        <f>IFERROR(__xludf.DUMMYFUNCTION("""COMPUTED_VALUE"""),"Consumer")</f>
        <v>Consumer</v>
      </c>
      <c r="J112" s="22" t="str">
        <f>IFERROR(__xludf.DUMMYFUNCTION("""COMPUTED_VALUE"""),"Los Angeles")</f>
        <v>Los Angeles</v>
      </c>
      <c r="K112" s="22" t="str">
        <f>IFERROR(__xludf.DUMMYFUNCTION("""COMPUTED_VALUE"""),"California")</f>
        <v>California</v>
      </c>
      <c r="L112" s="22" t="str">
        <f>IFERROR(__xludf.DUMMYFUNCTION("""COMPUTED_VALUE"""),"West")</f>
        <v>West</v>
      </c>
      <c r="M112" s="22" t="str">
        <f>IFERROR(__xludf.DUMMYFUNCTION("""COMPUTED_VALUE"""),"Office Supplies")</f>
        <v>Office Supplies</v>
      </c>
      <c r="N112" s="18">
        <f>IFERROR(__xludf.DUMMYFUNCTION("""COMPUTED_VALUE"""),20.7)</f>
        <v>20.7</v>
      </c>
      <c r="O112" s="18">
        <f>IFERROR(__xludf.DUMMYFUNCTION("""COMPUTED_VALUE"""),20.46)</f>
        <v>20.46</v>
      </c>
      <c r="P112" s="22">
        <f>IFERROR(__xludf.DUMMYFUNCTION("""COMPUTED_VALUE"""),9.0)</f>
        <v>9</v>
      </c>
      <c r="Q112" s="18">
        <f>IFERROR(__xludf.DUMMYFUNCTION("""COMPUTED_VALUE"""),186.29999999999998)</f>
        <v>186.3</v>
      </c>
      <c r="R112" s="18">
        <f>IFERROR(__xludf.DUMMYFUNCTION("""COMPUTED_VALUE"""),165.83999999999997)</f>
        <v>165.84</v>
      </c>
    </row>
    <row r="113">
      <c r="A113" s="21">
        <f>IFERROR(__xludf.DUMMYFUNCTION("""COMPUTED_VALUE"""),43014.0)</f>
        <v>43014</v>
      </c>
      <c r="B113" s="21" t="str">
        <f>IFERROR(__xludf.DUMMYFUNCTION("""COMPUTED_VALUE"""),"Oct")</f>
        <v>Oct</v>
      </c>
      <c r="C113" s="9">
        <f>IFERROR(__xludf.DUMMYFUNCTION("""COMPUTED_VALUE"""),42901.0)</f>
        <v>42901</v>
      </c>
      <c r="D113" s="23" t="str">
        <f>IFERROR(__xludf.DUMMYFUNCTION("""COMPUTED_VALUE"""),"Jun")</f>
        <v>Jun</v>
      </c>
      <c r="E113" s="21" t="str">
        <f>IFERROR(__xludf.DUMMYFUNCTION("""COMPUTED_VALUE"""),"2017")</f>
        <v>2017</v>
      </c>
      <c r="F113" s="22" t="str">
        <f>IFERROR(__xludf.DUMMYFUNCTION("""COMPUTED_VALUE"""),"Standard Class")</f>
        <v>Standard Class</v>
      </c>
      <c r="G113" s="22" t="str">
        <f>IFERROR(__xludf.DUMMYFUNCTION("""COMPUTED_VALUE"""),"Olvera")</f>
        <v>Olvera</v>
      </c>
      <c r="H113" s="22" t="str">
        <f>IFERROR(__xludf.DUMMYFUNCTION("""COMPUTED_VALUE"""),"Toch")</f>
        <v>Toch</v>
      </c>
      <c r="I113" s="22" t="str">
        <f>IFERROR(__xludf.DUMMYFUNCTION("""COMPUTED_VALUE"""),"Consumer")</f>
        <v>Consumer</v>
      </c>
      <c r="J113" s="22" t="str">
        <f>IFERROR(__xludf.DUMMYFUNCTION("""COMPUTED_VALUE"""),"Los Angeles")</f>
        <v>Los Angeles</v>
      </c>
      <c r="K113" s="22" t="str">
        <f>IFERROR(__xludf.DUMMYFUNCTION("""COMPUTED_VALUE"""),"California")</f>
        <v>California</v>
      </c>
      <c r="L113" s="22" t="str">
        <f>IFERROR(__xludf.DUMMYFUNCTION("""COMPUTED_VALUE"""),"West")</f>
        <v>West</v>
      </c>
      <c r="M113" s="22" t="str">
        <f>IFERROR(__xludf.DUMMYFUNCTION("""COMPUTED_VALUE"""),"Furniture")</f>
        <v>Furniture</v>
      </c>
      <c r="N113" s="18">
        <f>IFERROR(__xludf.DUMMYFUNCTION("""COMPUTED_VALUE"""),1335.68)</f>
        <v>1335.68</v>
      </c>
      <c r="O113" s="18">
        <f>IFERROR(__xludf.DUMMYFUNCTION("""COMPUTED_VALUE"""),1335.12)</f>
        <v>1335.12</v>
      </c>
      <c r="P113" s="22">
        <f>IFERROR(__xludf.DUMMYFUNCTION("""COMPUTED_VALUE"""),9.0)</f>
        <v>9</v>
      </c>
      <c r="Q113" s="18">
        <f>IFERROR(__xludf.DUMMYFUNCTION("""COMPUTED_VALUE"""),12021.12)</f>
        <v>12021.12</v>
      </c>
      <c r="R113" s="18">
        <f>IFERROR(__xludf.DUMMYFUNCTION("""COMPUTED_VALUE"""),10686.0)</f>
        <v>10686</v>
      </c>
    </row>
    <row r="114">
      <c r="A114" s="21">
        <f>IFERROR(__xludf.DUMMYFUNCTION("""COMPUTED_VALUE"""),43014.0)</f>
        <v>43014</v>
      </c>
      <c r="B114" s="21" t="str">
        <f>IFERROR(__xludf.DUMMYFUNCTION("""COMPUTED_VALUE"""),"Oct")</f>
        <v>Oct</v>
      </c>
      <c r="C114" s="9">
        <f>IFERROR(__xludf.DUMMYFUNCTION("""COMPUTED_VALUE"""),42901.0)</f>
        <v>42901</v>
      </c>
      <c r="D114" s="23" t="str">
        <f>IFERROR(__xludf.DUMMYFUNCTION("""COMPUTED_VALUE"""),"Jun")</f>
        <v>Jun</v>
      </c>
      <c r="E114" s="21" t="str">
        <f>IFERROR(__xludf.DUMMYFUNCTION("""COMPUTED_VALUE"""),"2017")</f>
        <v>2017</v>
      </c>
      <c r="F114" s="22" t="str">
        <f>IFERROR(__xludf.DUMMYFUNCTION("""COMPUTED_VALUE"""),"Standard Class")</f>
        <v>Standard Class</v>
      </c>
      <c r="G114" s="22" t="str">
        <f>IFERROR(__xludf.DUMMYFUNCTION("""COMPUTED_VALUE"""),"Olvera")</f>
        <v>Olvera</v>
      </c>
      <c r="H114" s="22" t="str">
        <f>IFERROR(__xludf.DUMMYFUNCTION("""COMPUTED_VALUE"""),"Toch")</f>
        <v>Toch</v>
      </c>
      <c r="I114" s="22" t="str">
        <f>IFERROR(__xludf.DUMMYFUNCTION("""COMPUTED_VALUE"""),"Consumer")</f>
        <v>Consumer</v>
      </c>
      <c r="J114" s="22" t="str">
        <f>IFERROR(__xludf.DUMMYFUNCTION("""COMPUTED_VALUE"""),"Los Angeles")</f>
        <v>Los Angeles</v>
      </c>
      <c r="K114" s="22" t="str">
        <f>IFERROR(__xludf.DUMMYFUNCTION("""COMPUTED_VALUE"""),"California")</f>
        <v>California</v>
      </c>
      <c r="L114" s="22" t="str">
        <f>IFERROR(__xludf.DUMMYFUNCTION("""COMPUTED_VALUE"""),"West")</f>
        <v>West</v>
      </c>
      <c r="M114" s="22" t="str">
        <f>IFERROR(__xludf.DUMMYFUNCTION("""COMPUTED_VALUE"""),"Office Supplies")</f>
        <v>Office Supplies</v>
      </c>
      <c r="N114" s="18">
        <f>IFERROR(__xludf.DUMMYFUNCTION("""COMPUTED_VALUE"""),32.4)</f>
        <v>32.4</v>
      </c>
      <c r="O114" s="18">
        <f>IFERROR(__xludf.DUMMYFUNCTION("""COMPUTED_VALUE"""),31.82)</f>
        <v>31.82</v>
      </c>
      <c r="P114" s="22">
        <f>IFERROR(__xludf.DUMMYFUNCTION("""COMPUTED_VALUE"""),9.0)</f>
        <v>9</v>
      </c>
      <c r="Q114" s="18">
        <f>IFERROR(__xludf.DUMMYFUNCTION("""COMPUTED_VALUE"""),291.59999999999997)</f>
        <v>291.6</v>
      </c>
      <c r="R114" s="18">
        <f>IFERROR(__xludf.DUMMYFUNCTION("""COMPUTED_VALUE"""),259.78)</f>
        <v>259.78</v>
      </c>
    </row>
    <row r="115">
      <c r="A115" s="21">
        <f>IFERROR(__xludf.DUMMYFUNCTION("""COMPUTED_VALUE"""),43424.0)</f>
        <v>43424</v>
      </c>
      <c r="B115" s="21" t="str">
        <f>IFERROR(__xludf.DUMMYFUNCTION("""COMPUTED_VALUE"""),"Nov")</f>
        <v>Nov</v>
      </c>
      <c r="C115" s="9">
        <f>IFERROR(__xludf.DUMMYFUNCTION("""COMPUTED_VALUE"""),43426.0)</f>
        <v>43426</v>
      </c>
      <c r="D115" s="23" t="str">
        <f>IFERROR(__xludf.DUMMYFUNCTION("""COMPUTED_VALUE"""),"Nov")</f>
        <v>Nov</v>
      </c>
      <c r="E115" s="21" t="str">
        <f>IFERROR(__xludf.DUMMYFUNCTION("""COMPUTED_VALUE"""),"2018")</f>
        <v>2018</v>
      </c>
      <c r="F115" s="22" t="str">
        <f>IFERROR(__xludf.DUMMYFUNCTION("""COMPUTED_VALUE"""),"Second Class")</f>
        <v>Second Class</v>
      </c>
      <c r="G115" s="22" t="str">
        <f>IFERROR(__xludf.DUMMYFUNCTION("""COMPUTED_VALUE"""),"Liz")</f>
        <v>Liz</v>
      </c>
      <c r="H115" s="22" t="str">
        <f>IFERROR(__xludf.DUMMYFUNCTION("""COMPUTED_VALUE"""),"Pelletier")</f>
        <v>Pelletier</v>
      </c>
      <c r="I115" s="22" t="str">
        <f>IFERROR(__xludf.DUMMYFUNCTION("""COMPUTED_VALUE"""),"Consumer")</f>
        <v>Consumer</v>
      </c>
      <c r="J115" s="22" t="str">
        <f>IFERROR(__xludf.DUMMYFUNCTION("""COMPUTED_VALUE"""),"San Francisco")</f>
        <v>San Francisco</v>
      </c>
      <c r="K115" s="22" t="str">
        <f>IFERROR(__xludf.DUMMYFUNCTION("""COMPUTED_VALUE"""),"California")</f>
        <v>California</v>
      </c>
      <c r="L115" s="22" t="str">
        <f>IFERROR(__xludf.DUMMYFUNCTION("""COMPUTED_VALUE"""),"West")</f>
        <v>West</v>
      </c>
      <c r="M115" s="22" t="str">
        <f>IFERROR(__xludf.DUMMYFUNCTION("""COMPUTED_VALUE"""),"Furniture")</f>
        <v>Furniture</v>
      </c>
      <c r="N115" s="18">
        <f>IFERROR(__xludf.DUMMYFUNCTION("""COMPUTED_VALUE"""),42.6)</f>
        <v>42.6</v>
      </c>
      <c r="O115" s="18">
        <f>IFERROR(__xludf.DUMMYFUNCTION("""COMPUTED_VALUE"""),41.71)</f>
        <v>41.71</v>
      </c>
      <c r="P115" s="22">
        <f>IFERROR(__xludf.DUMMYFUNCTION("""COMPUTED_VALUE"""),9.0)</f>
        <v>9</v>
      </c>
      <c r="Q115" s="18">
        <f>IFERROR(__xludf.DUMMYFUNCTION("""COMPUTED_VALUE"""),383.40000000000003)</f>
        <v>383.4</v>
      </c>
      <c r="R115" s="18">
        <f>IFERROR(__xludf.DUMMYFUNCTION("""COMPUTED_VALUE"""),341.69000000000005)</f>
        <v>341.69</v>
      </c>
    </row>
    <row r="116">
      <c r="A116" s="21">
        <f>IFERROR(__xludf.DUMMYFUNCTION("""COMPUTED_VALUE"""),43424.0)</f>
        <v>43424</v>
      </c>
      <c r="B116" s="21" t="str">
        <f>IFERROR(__xludf.DUMMYFUNCTION("""COMPUTED_VALUE"""),"Nov")</f>
        <v>Nov</v>
      </c>
      <c r="C116" s="9">
        <f>IFERROR(__xludf.DUMMYFUNCTION("""COMPUTED_VALUE"""),43426.0)</f>
        <v>43426</v>
      </c>
      <c r="D116" s="23" t="str">
        <f>IFERROR(__xludf.DUMMYFUNCTION("""COMPUTED_VALUE"""),"Nov")</f>
        <v>Nov</v>
      </c>
      <c r="E116" s="21" t="str">
        <f>IFERROR(__xludf.DUMMYFUNCTION("""COMPUTED_VALUE"""),"2018")</f>
        <v>2018</v>
      </c>
      <c r="F116" s="22" t="str">
        <f>IFERROR(__xludf.DUMMYFUNCTION("""COMPUTED_VALUE"""),"Second Class")</f>
        <v>Second Class</v>
      </c>
      <c r="G116" s="22" t="str">
        <f>IFERROR(__xludf.DUMMYFUNCTION("""COMPUTED_VALUE"""),"Liz")</f>
        <v>Liz</v>
      </c>
      <c r="H116" s="22" t="str">
        <f>IFERROR(__xludf.DUMMYFUNCTION("""COMPUTED_VALUE"""),"Pelletier")</f>
        <v>Pelletier</v>
      </c>
      <c r="I116" s="22" t="str">
        <f>IFERROR(__xludf.DUMMYFUNCTION("""COMPUTED_VALUE"""),"Consumer")</f>
        <v>Consumer</v>
      </c>
      <c r="J116" s="22" t="str">
        <f>IFERROR(__xludf.DUMMYFUNCTION("""COMPUTED_VALUE"""),"San Francisco")</f>
        <v>San Francisco</v>
      </c>
      <c r="K116" s="22" t="str">
        <f>IFERROR(__xludf.DUMMYFUNCTION("""COMPUTED_VALUE"""),"California")</f>
        <v>California</v>
      </c>
      <c r="L116" s="22" t="str">
        <f>IFERROR(__xludf.DUMMYFUNCTION("""COMPUTED_VALUE"""),"West")</f>
        <v>West</v>
      </c>
      <c r="M116" s="22" t="str">
        <f>IFERROR(__xludf.DUMMYFUNCTION("""COMPUTED_VALUE"""),"Office Supplies")</f>
        <v>Office Supplies</v>
      </c>
      <c r="N116" s="18">
        <f>IFERROR(__xludf.DUMMYFUNCTION("""COMPUTED_VALUE"""),84.056)</f>
        <v>84.056</v>
      </c>
      <c r="O116" s="18">
        <f>IFERROR(__xludf.DUMMYFUNCTION("""COMPUTED_VALUE"""),83.54)</f>
        <v>83.54</v>
      </c>
      <c r="P116" s="22">
        <f>IFERROR(__xludf.DUMMYFUNCTION("""COMPUTED_VALUE"""),9.0)</f>
        <v>9</v>
      </c>
      <c r="Q116" s="18">
        <f>IFERROR(__xludf.DUMMYFUNCTION("""COMPUTED_VALUE"""),756.504)</f>
        <v>756.504</v>
      </c>
      <c r="R116" s="18">
        <f>IFERROR(__xludf.DUMMYFUNCTION("""COMPUTED_VALUE"""),672.964)</f>
        <v>672.964</v>
      </c>
    </row>
    <row r="117">
      <c r="A117" s="21">
        <f>IFERROR(__xludf.DUMMYFUNCTION("""COMPUTED_VALUE"""),43293.0)</f>
        <v>43293</v>
      </c>
      <c r="B117" s="21" t="str">
        <f>IFERROR(__xludf.DUMMYFUNCTION("""COMPUTED_VALUE"""),"Jul")</f>
        <v>Jul</v>
      </c>
      <c r="C117" s="9">
        <f>IFERROR(__xludf.DUMMYFUNCTION("""COMPUTED_VALUE"""),43385.0)</f>
        <v>43385</v>
      </c>
      <c r="D117" s="23" t="str">
        <f>IFERROR(__xludf.DUMMYFUNCTION("""COMPUTED_VALUE"""),"Oct")</f>
        <v>Oct</v>
      </c>
      <c r="E117" s="21" t="str">
        <f>IFERROR(__xludf.DUMMYFUNCTION("""COMPUTED_VALUE"""),"2018")</f>
        <v>2018</v>
      </c>
      <c r="F117" s="22" t="str">
        <f>IFERROR(__xludf.DUMMYFUNCTION("""COMPUTED_VALUE"""),"First Class")</f>
        <v>First Class</v>
      </c>
      <c r="G117" s="22" t="str">
        <f>IFERROR(__xludf.DUMMYFUNCTION("""COMPUTED_VALUE"""),"Frank")</f>
        <v>Frank</v>
      </c>
      <c r="H117" s="22" t="str">
        <f>IFERROR(__xludf.DUMMYFUNCTION("""COMPUTED_VALUE"""),"Preis")</f>
        <v>Preis</v>
      </c>
      <c r="I117" s="22" t="str">
        <f>IFERROR(__xludf.DUMMYFUNCTION("""COMPUTED_VALUE"""),"Consumer")</f>
        <v>Consumer</v>
      </c>
      <c r="J117" s="22" t="str">
        <f>IFERROR(__xludf.DUMMYFUNCTION("""COMPUTED_VALUE"""),"Los Angeles")</f>
        <v>Los Angeles</v>
      </c>
      <c r="K117" s="22" t="str">
        <f>IFERROR(__xludf.DUMMYFUNCTION("""COMPUTED_VALUE"""),"California")</f>
        <v>California</v>
      </c>
      <c r="L117" s="22" t="str">
        <f>IFERROR(__xludf.DUMMYFUNCTION("""COMPUTED_VALUE"""),"West")</f>
        <v>West</v>
      </c>
      <c r="M117" s="22" t="str">
        <f>IFERROR(__xludf.DUMMYFUNCTION("""COMPUTED_VALUE"""),"Technology")</f>
        <v>Technology</v>
      </c>
      <c r="N117" s="18">
        <f>IFERROR(__xludf.DUMMYFUNCTION("""COMPUTED_VALUE"""),374.376)</f>
        <v>374.376</v>
      </c>
      <c r="O117" s="18">
        <f>IFERROR(__xludf.DUMMYFUNCTION("""COMPUTED_VALUE"""),373.52)</f>
        <v>373.52</v>
      </c>
      <c r="P117" s="22">
        <f>IFERROR(__xludf.DUMMYFUNCTION("""COMPUTED_VALUE"""),9.0)</f>
        <v>9</v>
      </c>
      <c r="Q117" s="18">
        <f>IFERROR(__xludf.DUMMYFUNCTION("""COMPUTED_VALUE"""),3369.384)</f>
        <v>3369.384</v>
      </c>
      <c r="R117" s="18">
        <f>IFERROR(__xludf.DUMMYFUNCTION("""COMPUTED_VALUE"""),2995.864)</f>
        <v>2995.864</v>
      </c>
    </row>
    <row r="118">
      <c r="A118" s="21">
        <f>IFERROR(__xludf.DUMMYFUNCTION("""COMPUTED_VALUE"""),42631.0)</f>
        <v>42631</v>
      </c>
      <c r="B118" s="21" t="str">
        <f>IFERROR(__xludf.DUMMYFUNCTION("""COMPUTED_VALUE"""),"Sep")</f>
        <v>Sep</v>
      </c>
      <c r="C118" s="9">
        <f>IFERROR(__xludf.DUMMYFUNCTION("""COMPUTED_VALUE"""),42635.0)</f>
        <v>42635</v>
      </c>
      <c r="D118" s="23" t="str">
        <f>IFERROR(__xludf.DUMMYFUNCTION("""COMPUTED_VALUE"""),"Sep")</f>
        <v>Sep</v>
      </c>
      <c r="E118" s="21" t="str">
        <f>IFERROR(__xludf.DUMMYFUNCTION("""COMPUTED_VALUE"""),"2016")</f>
        <v>2016</v>
      </c>
      <c r="F118" s="22" t="str">
        <f>IFERROR(__xludf.DUMMYFUNCTION("""COMPUTED_VALUE"""),"Second Class")</f>
        <v>Second Class</v>
      </c>
      <c r="G118" s="22" t="str">
        <f>IFERROR(__xludf.DUMMYFUNCTION("""COMPUTED_VALUE"""),"Trudy")</f>
        <v>Trudy</v>
      </c>
      <c r="H118" s="22" t="str">
        <f>IFERROR(__xludf.DUMMYFUNCTION("""COMPUTED_VALUE"""),"Glocke")</f>
        <v>Glocke</v>
      </c>
      <c r="I118" s="22" t="str">
        <f>IFERROR(__xludf.DUMMYFUNCTION("""COMPUTED_VALUE"""),"Consumer")</f>
        <v>Consumer</v>
      </c>
      <c r="J118" s="22" t="str">
        <f>IFERROR(__xludf.DUMMYFUNCTION("""COMPUTED_VALUE"""),"Long Beach")</f>
        <v>Long Beach</v>
      </c>
      <c r="K118" s="22" t="str">
        <f>IFERROR(__xludf.DUMMYFUNCTION("""COMPUTED_VALUE"""),"California")</f>
        <v>California</v>
      </c>
      <c r="L118" s="22" t="str">
        <f>IFERROR(__xludf.DUMMYFUNCTION("""COMPUTED_VALUE"""),"West")</f>
        <v>West</v>
      </c>
      <c r="M118" s="22" t="str">
        <f>IFERROR(__xludf.DUMMYFUNCTION("""COMPUTED_VALUE"""),"Office Supplies")</f>
        <v>Office Supplies</v>
      </c>
      <c r="N118" s="18">
        <f>IFERROR(__xludf.DUMMYFUNCTION("""COMPUTED_VALUE"""),160.72)</f>
        <v>160.72</v>
      </c>
      <c r="O118" s="18">
        <f>IFERROR(__xludf.DUMMYFUNCTION("""COMPUTED_VALUE"""),160.1)</f>
        <v>160.1</v>
      </c>
      <c r="P118" s="22">
        <f>IFERROR(__xludf.DUMMYFUNCTION("""COMPUTED_VALUE"""),9.0)</f>
        <v>9</v>
      </c>
      <c r="Q118" s="18">
        <f>IFERROR(__xludf.DUMMYFUNCTION("""COMPUTED_VALUE"""),1446.48)</f>
        <v>1446.48</v>
      </c>
      <c r="R118" s="18">
        <f>IFERROR(__xludf.DUMMYFUNCTION("""COMPUTED_VALUE"""),1286.38)</f>
        <v>1286.38</v>
      </c>
    </row>
    <row r="119">
      <c r="A119" s="21">
        <f>IFERROR(__xludf.DUMMYFUNCTION("""COMPUTED_VALUE"""),42631.0)</f>
        <v>42631</v>
      </c>
      <c r="B119" s="21" t="str">
        <f>IFERROR(__xludf.DUMMYFUNCTION("""COMPUTED_VALUE"""),"Sep")</f>
        <v>Sep</v>
      </c>
      <c r="C119" s="9">
        <f>IFERROR(__xludf.DUMMYFUNCTION("""COMPUTED_VALUE"""),42635.0)</f>
        <v>42635</v>
      </c>
      <c r="D119" s="23" t="str">
        <f>IFERROR(__xludf.DUMMYFUNCTION("""COMPUTED_VALUE"""),"Sep")</f>
        <v>Sep</v>
      </c>
      <c r="E119" s="21" t="str">
        <f>IFERROR(__xludf.DUMMYFUNCTION("""COMPUTED_VALUE"""),"2016")</f>
        <v>2016</v>
      </c>
      <c r="F119" s="22" t="str">
        <f>IFERROR(__xludf.DUMMYFUNCTION("""COMPUTED_VALUE"""),"Second Class")</f>
        <v>Second Class</v>
      </c>
      <c r="G119" s="22" t="str">
        <f>IFERROR(__xludf.DUMMYFUNCTION("""COMPUTED_VALUE"""),"Trudy")</f>
        <v>Trudy</v>
      </c>
      <c r="H119" s="22" t="str">
        <f>IFERROR(__xludf.DUMMYFUNCTION("""COMPUTED_VALUE"""),"Glocke")</f>
        <v>Glocke</v>
      </c>
      <c r="I119" s="22" t="str">
        <f>IFERROR(__xludf.DUMMYFUNCTION("""COMPUTED_VALUE"""),"Consumer")</f>
        <v>Consumer</v>
      </c>
      <c r="J119" s="22" t="str">
        <f>IFERROR(__xludf.DUMMYFUNCTION("""COMPUTED_VALUE"""),"Long Beach")</f>
        <v>Long Beach</v>
      </c>
      <c r="K119" s="22" t="str">
        <f>IFERROR(__xludf.DUMMYFUNCTION("""COMPUTED_VALUE"""),"California")</f>
        <v>California</v>
      </c>
      <c r="L119" s="22" t="str">
        <f>IFERROR(__xludf.DUMMYFUNCTION("""COMPUTED_VALUE"""),"West")</f>
        <v>West</v>
      </c>
      <c r="M119" s="22" t="str">
        <f>IFERROR(__xludf.DUMMYFUNCTION("""COMPUTED_VALUE"""),"Office Supplies")</f>
        <v>Office Supplies</v>
      </c>
      <c r="N119" s="18">
        <f>IFERROR(__xludf.DUMMYFUNCTION("""COMPUTED_VALUE"""),19.92)</f>
        <v>19.92</v>
      </c>
      <c r="O119" s="18">
        <f>IFERROR(__xludf.DUMMYFUNCTION("""COMPUTED_VALUE"""),19.4)</f>
        <v>19.4</v>
      </c>
      <c r="P119" s="22">
        <f>IFERROR(__xludf.DUMMYFUNCTION("""COMPUTED_VALUE"""),9.0)</f>
        <v>9</v>
      </c>
      <c r="Q119" s="18">
        <f>IFERROR(__xludf.DUMMYFUNCTION("""COMPUTED_VALUE"""),179.28000000000003)</f>
        <v>179.28</v>
      </c>
      <c r="R119" s="18">
        <f>IFERROR(__xludf.DUMMYFUNCTION("""COMPUTED_VALUE"""),159.88000000000002)</f>
        <v>159.88</v>
      </c>
    </row>
    <row r="120">
      <c r="A120" s="21">
        <f>IFERROR(__xludf.DUMMYFUNCTION("""COMPUTED_VALUE"""),42631.0)</f>
        <v>42631</v>
      </c>
      <c r="B120" s="21" t="str">
        <f>IFERROR(__xludf.DUMMYFUNCTION("""COMPUTED_VALUE"""),"Sep")</f>
        <v>Sep</v>
      </c>
      <c r="C120" s="9">
        <f>IFERROR(__xludf.DUMMYFUNCTION("""COMPUTED_VALUE"""),42635.0)</f>
        <v>42635</v>
      </c>
      <c r="D120" s="23" t="str">
        <f>IFERROR(__xludf.DUMMYFUNCTION("""COMPUTED_VALUE"""),"Sep")</f>
        <v>Sep</v>
      </c>
      <c r="E120" s="21" t="str">
        <f>IFERROR(__xludf.DUMMYFUNCTION("""COMPUTED_VALUE"""),"2016")</f>
        <v>2016</v>
      </c>
      <c r="F120" s="22" t="str">
        <f>IFERROR(__xludf.DUMMYFUNCTION("""COMPUTED_VALUE"""),"Second Class")</f>
        <v>Second Class</v>
      </c>
      <c r="G120" s="22" t="str">
        <f>IFERROR(__xludf.DUMMYFUNCTION("""COMPUTED_VALUE"""),"Trudy")</f>
        <v>Trudy</v>
      </c>
      <c r="H120" s="22" t="str">
        <f>IFERROR(__xludf.DUMMYFUNCTION("""COMPUTED_VALUE"""),"Glocke")</f>
        <v>Glocke</v>
      </c>
      <c r="I120" s="22" t="str">
        <f>IFERROR(__xludf.DUMMYFUNCTION("""COMPUTED_VALUE"""),"Consumer")</f>
        <v>Consumer</v>
      </c>
      <c r="J120" s="22" t="str">
        <f>IFERROR(__xludf.DUMMYFUNCTION("""COMPUTED_VALUE"""),"Long Beach")</f>
        <v>Long Beach</v>
      </c>
      <c r="K120" s="22" t="str">
        <f>IFERROR(__xludf.DUMMYFUNCTION("""COMPUTED_VALUE"""),"California")</f>
        <v>California</v>
      </c>
      <c r="L120" s="22" t="str">
        <f>IFERROR(__xludf.DUMMYFUNCTION("""COMPUTED_VALUE"""),"West")</f>
        <v>West</v>
      </c>
      <c r="M120" s="22" t="str">
        <f>IFERROR(__xludf.DUMMYFUNCTION("""COMPUTED_VALUE"""),"Office Supplies")</f>
        <v>Office Supplies</v>
      </c>
      <c r="N120" s="18">
        <f>IFERROR(__xludf.DUMMYFUNCTION("""COMPUTED_VALUE"""),7.3)</f>
        <v>7.3</v>
      </c>
      <c r="O120" s="18">
        <f>IFERROR(__xludf.DUMMYFUNCTION("""COMPUTED_VALUE"""),6.4)</f>
        <v>6.4</v>
      </c>
      <c r="P120" s="22">
        <f>IFERROR(__xludf.DUMMYFUNCTION("""COMPUTED_VALUE"""),9.0)</f>
        <v>9</v>
      </c>
      <c r="Q120" s="18">
        <f>IFERROR(__xludf.DUMMYFUNCTION("""COMPUTED_VALUE"""),65.7)</f>
        <v>65.7</v>
      </c>
      <c r="R120" s="18">
        <f>IFERROR(__xludf.DUMMYFUNCTION("""COMPUTED_VALUE"""),59.300000000000004)</f>
        <v>59.3</v>
      </c>
    </row>
    <row r="121">
      <c r="A121" s="21">
        <f>IFERROR(__xludf.DUMMYFUNCTION("""COMPUTED_VALUE"""),42652.0)</f>
        <v>42652</v>
      </c>
      <c r="B121" s="21" t="str">
        <f>IFERROR(__xludf.DUMMYFUNCTION("""COMPUTED_VALUE"""),"Oct")</f>
        <v>Oct</v>
      </c>
      <c r="C121" s="9">
        <f>IFERROR(__xludf.DUMMYFUNCTION("""COMPUTED_VALUE"""),42627.0)</f>
        <v>42627</v>
      </c>
      <c r="D121" s="23" t="str">
        <f>IFERROR(__xludf.DUMMYFUNCTION("""COMPUTED_VALUE"""),"Sep")</f>
        <v>Sep</v>
      </c>
      <c r="E121" s="21" t="str">
        <f>IFERROR(__xludf.DUMMYFUNCTION("""COMPUTED_VALUE"""),"2016")</f>
        <v>2016</v>
      </c>
      <c r="F121" s="22" t="str">
        <f>IFERROR(__xludf.DUMMYFUNCTION("""COMPUTED_VALUE"""),"Standard Class")</f>
        <v>Standard Class</v>
      </c>
      <c r="G121" s="22" t="str">
        <f>IFERROR(__xludf.DUMMYFUNCTION("""COMPUTED_VALUE"""),"Charles")</f>
        <v>Charles</v>
      </c>
      <c r="H121" s="22" t="str">
        <f>IFERROR(__xludf.DUMMYFUNCTION("""COMPUTED_VALUE"""),"Crestani")</f>
        <v>Crestani</v>
      </c>
      <c r="I121" s="22" t="str">
        <f>IFERROR(__xludf.DUMMYFUNCTION("""COMPUTED_VALUE"""),"Consumer")</f>
        <v>Consumer</v>
      </c>
      <c r="J121" s="22" t="str">
        <f>IFERROR(__xludf.DUMMYFUNCTION("""COMPUTED_VALUE"""),"Los Angeles")</f>
        <v>Los Angeles</v>
      </c>
      <c r="K121" s="22" t="str">
        <f>IFERROR(__xludf.DUMMYFUNCTION("""COMPUTED_VALUE"""),"California")</f>
        <v>California</v>
      </c>
      <c r="L121" s="22" t="str">
        <f>IFERROR(__xludf.DUMMYFUNCTION("""COMPUTED_VALUE"""),"West")</f>
        <v>West</v>
      </c>
      <c r="M121" s="22" t="str">
        <f>IFERROR(__xludf.DUMMYFUNCTION("""COMPUTED_VALUE"""),"Office Supplies")</f>
        <v>Office Supplies</v>
      </c>
      <c r="N121" s="18">
        <f>IFERROR(__xludf.DUMMYFUNCTION("""COMPUTED_VALUE"""),51.52)</f>
        <v>51.52</v>
      </c>
      <c r="O121" s="18">
        <f>IFERROR(__xludf.DUMMYFUNCTION("""COMPUTED_VALUE"""),50.87)</f>
        <v>50.87</v>
      </c>
      <c r="P121" s="22">
        <f>IFERROR(__xludf.DUMMYFUNCTION("""COMPUTED_VALUE"""),9.0)</f>
        <v>9</v>
      </c>
      <c r="Q121" s="18">
        <f>IFERROR(__xludf.DUMMYFUNCTION("""COMPUTED_VALUE"""),463.68)</f>
        <v>463.68</v>
      </c>
      <c r="R121" s="18">
        <f>IFERROR(__xludf.DUMMYFUNCTION("""COMPUTED_VALUE"""),412.81)</f>
        <v>412.81</v>
      </c>
    </row>
    <row r="122">
      <c r="A122" s="21">
        <f>IFERROR(__xludf.DUMMYFUNCTION("""COMPUTED_VALUE"""),42224.0)</f>
        <v>42224</v>
      </c>
      <c r="B122" s="21" t="str">
        <f>IFERROR(__xludf.DUMMYFUNCTION("""COMPUTED_VALUE"""),"Aug")</f>
        <v>Aug</v>
      </c>
      <c r="C122" s="9">
        <f>IFERROR(__xludf.DUMMYFUNCTION("""COMPUTED_VALUE"""),42231.0)</f>
        <v>42231</v>
      </c>
      <c r="D122" s="23" t="str">
        <f>IFERROR(__xludf.DUMMYFUNCTION("""COMPUTED_VALUE"""),"Aug")</f>
        <v>Aug</v>
      </c>
      <c r="E122" s="21" t="str">
        <f>IFERROR(__xludf.DUMMYFUNCTION("""COMPUTED_VALUE"""),"2015")</f>
        <v>2015</v>
      </c>
      <c r="F122" s="22" t="str">
        <f>IFERROR(__xludf.DUMMYFUNCTION("""COMPUTED_VALUE"""),"Standard Class")</f>
        <v>Standard Class</v>
      </c>
      <c r="G122" s="22" t="str">
        <f>IFERROR(__xludf.DUMMYFUNCTION("""COMPUTED_VALUE"""),"Lena")</f>
        <v>Lena</v>
      </c>
      <c r="H122" s="22" t="str">
        <f>IFERROR(__xludf.DUMMYFUNCTION("""COMPUTED_VALUE"""),"Radford")</f>
        <v>Radford</v>
      </c>
      <c r="I122" s="22" t="str">
        <f>IFERROR(__xludf.DUMMYFUNCTION("""COMPUTED_VALUE"""),"Consumer")</f>
        <v>Consumer</v>
      </c>
      <c r="J122" s="22" t="str">
        <f>IFERROR(__xludf.DUMMYFUNCTION("""COMPUTED_VALUE"""),"San Diego")</f>
        <v>San Diego</v>
      </c>
      <c r="K122" s="22" t="str">
        <f>IFERROR(__xludf.DUMMYFUNCTION("""COMPUTED_VALUE"""),"California")</f>
        <v>California</v>
      </c>
      <c r="L122" s="22" t="str">
        <f>IFERROR(__xludf.DUMMYFUNCTION("""COMPUTED_VALUE"""),"West")</f>
        <v>West</v>
      </c>
      <c r="M122" s="22" t="str">
        <f>IFERROR(__xludf.DUMMYFUNCTION("""COMPUTED_VALUE"""),"Office Supplies")</f>
        <v>Office Supplies</v>
      </c>
      <c r="N122" s="18">
        <f>IFERROR(__xludf.DUMMYFUNCTION("""COMPUTED_VALUE"""),76.12)</f>
        <v>76.12</v>
      </c>
      <c r="O122" s="18">
        <f>IFERROR(__xludf.DUMMYFUNCTION("""COMPUTED_VALUE"""),75.46)</f>
        <v>75.46</v>
      </c>
      <c r="P122" s="22">
        <f>IFERROR(__xludf.DUMMYFUNCTION("""COMPUTED_VALUE"""),9.0)</f>
        <v>9</v>
      </c>
      <c r="Q122" s="18">
        <f>IFERROR(__xludf.DUMMYFUNCTION("""COMPUTED_VALUE"""),685.08)</f>
        <v>685.08</v>
      </c>
      <c r="R122" s="18">
        <f>IFERROR(__xludf.DUMMYFUNCTION("""COMPUTED_VALUE"""),609.62)</f>
        <v>609.62</v>
      </c>
    </row>
    <row r="123">
      <c r="A123" s="21">
        <f>IFERROR(__xludf.DUMMYFUNCTION("""COMPUTED_VALUE"""),42224.0)</f>
        <v>42224</v>
      </c>
      <c r="B123" s="21" t="str">
        <f>IFERROR(__xludf.DUMMYFUNCTION("""COMPUTED_VALUE"""),"Aug")</f>
        <v>Aug</v>
      </c>
      <c r="C123" s="9">
        <f>IFERROR(__xludf.DUMMYFUNCTION("""COMPUTED_VALUE"""),42231.0)</f>
        <v>42231</v>
      </c>
      <c r="D123" s="23" t="str">
        <f>IFERROR(__xludf.DUMMYFUNCTION("""COMPUTED_VALUE"""),"Aug")</f>
        <v>Aug</v>
      </c>
      <c r="E123" s="21" t="str">
        <f>IFERROR(__xludf.DUMMYFUNCTION("""COMPUTED_VALUE"""),"2015")</f>
        <v>2015</v>
      </c>
      <c r="F123" s="22" t="str">
        <f>IFERROR(__xludf.DUMMYFUNCTION("""COMPUTED_VALUE"""),"Standard Class")</f>
        <v>Standard Class</v>
      </c>
      <c r="G123" s="22" t="str">
        <f>IFERROR(__xludf.DUMMYFUNCTION("""COMPUTED_VALUE"""),"Lena")</f>
        <v>Lena</v>
      </c>
      <c r="H123" s="22" t="str">
        <f>IFERROR(__xludf.DUMMYFUNCTION("""COMPUTED_VALUE"""),"Radford")</f>
        <v>Radford</v>
      </c>
      <c r="I123" s="22" t="str">
        <f>IFERROR(__xludf.DUMMYFUNCTION("""COMPUTED_VALUE"""),"Consumer")</f>
        <v>Consumer</v>
      </c>
      <c r="J123" s="22" t="str">
        <f>IFERROR(__xludf.DUMMYFUNCTION("""COMPUTED_VALUE"""),"San Diego")</f>
        <v>San Diego</v>
      </c>
      <c r="K123" s="22" t="str">
        <f>IFERROR(__xludf.DUMMYFUNCTION("""COMPUTED_VALUE"""),"California")</f>
        <v>California</v>
      </c>
      <c r="L123" s="22" t="str">
        <f>IFERROR(__xludf.DUMMYFUNCTION("""COMPUTED_VALUE"""),"West")</f>
        <v>West</v>
      </c>
      <c r="M123" s="22" t="str">
        <f>IFERROR(__xludf.DUMMYFUNCTION("""COMPUTED_VALUE"""),"Technology")</f>
        <v>Technology</v>
      </c>
      <c r="N123" s="18">
        <f>IFERROR(__xludf.DUMMYFUNCTION("""COMPUTED_VALUE"""),1199.976)</f>
        <v>1199.976</v>
      </c>
      <c r="O123" s="18">
        <f>IFERROR(__xludf.DUMMYFUNCTION("""COMPUTED_VALUE"""),1199.23)</f>
        <v>1199.23</v>
      </c>
      <c r="P123" s="22">
        <f>IFERROR(__xludf.DUMMYFUNCTION("""COMPUTED_VALUE"""),9.0)</f>
        <v>9</v>
      </c>
      <c r="Q123" s="18">
        <f>IFERROR(__xludf.DUMMYFUNCTION("""COMPUTED_VALUE"""),10799.784000000001)</f>
        <v>10799.784</v>
      </c>
      <c r="R123" s="18">
        <f>IFERROR(__xludf.DUMMYFUNCTION("""COMPUTED_VALUE"""),9600.554000000002)</f>
        <v>9600.554</v>
      </c>
    </row>
    <row r="124">
      <c r="A124" s="21">
        <f>IFERROR(__xludf.DUMMYFUNCTION("""COMPUTED_VALUE"""),42224.0)</f>
        <v>42224</v>
      </c>
      <c r="B124" s="21" t="str">
        <f>IFERROR(__xludf.DUMMYFUNCTION("""COMPUTED_VALUE"""),"Aug")</f>
        <v>Aug</v>
      </c>
      <c r="C124" s="9">
        <f>IFERROR(__xludf.DUMMYFUNCTION("""COMPUTED_VALUE"""),42231.0)</f>
        <v>42231</v>
      </c>
      <c r="D124" s="23" t="str">
        <f>IFERROR(__xludf.DUMMYFUNCTION("""COMPUTED_VALUE"""),"Aug")</f>
        <v>Aug</v>
      </c>
      <c r="E124" s="21" t="str">
        <f>IFERROR(__xludf.DUMMYFUNCTION("""COMPUTED_VALUE"""),"2015")</f>
        <v>2015</v>
      </c>
      <c r="F124" s="22" t="str">
        <f>IFERROR(__xludf.DUMMYFUNCTION("""COMPUTED_VALUE"""),"Standard Class")</f>
        <v>Standard Class</v>
      </c>
      <c r="G124" s="22" t="str">
        <f>IFERROR(__xludf.DUMMYFUNCTION("""COMPUTED_VALUE"""),"Lena")</f>
        <v>Lena</v>
      </c>
      <c r="H124" s="22" t="str">
        <f>IFERROR(__xludf.DUMMYFUNCTION("""COMPUTED_VALUE"""),"Radford")</f>
        <v>Radford</v>
      </c>
      <c r="I124" s="22" t="str">
        <f>IFERROR(__xludf.DUMMYFUNCTION("""COMPUTED_VALUE"""),"Consumer")</f>
        <v>Consumer</v>
      </c>
      <c r="J124" s="22" t="str">
        <f>IFERROR(__xludf.DUMMYFUNCTION("""COMPUTED_VALUE"""),"San Diego")</f>
        <v>San Diego</v>
      </c>
      <c r="K124" s="22" t="str">
        <f>IFERROR(__xludf.DUMMYFUNCTION("""COMPUTED_VALUE"""),"California")</f>
        <v>California</v>
      </c>
      <c r="L124" s="22" t="str">
        <f>IFERROR(__xludf.DUMMYFUNCTION("""COMPUTED_VALUE"""),"West")</f>
        <v>West</v>
      </c>
      <c r="M124" s="22" t="str">
        <f>IFERROR(__xludf.DUMMYFUNCTION("""COMPUTED_VALUE"""),"Technology")</f>
        <v>Technology</v>
      </c>
      <c r="N124" s="18">
        <f>IFERROR(__xludf.DUMMYFUNCTION("""COMPUTED_VALUE"""),445.96)</f>
        <v>445.96</v>
      </c>
      <c r="O124" s="18">
        <f>IFERROR(__xludf.DUMMYFUNCTION("""COMPUTED_VALUE"""),445.38)</f>
        <v>445.38</v>
      </c>
      <c r="P124" s="22">
        <f>IFERROR(__xludf.DUMMYFUNCTION("""COMPUTED_VALUE"""),9.0)</f>
        <v>9</v>
      </c>
      <c r="Q124" s="18">
        <f>IFERROR(__xludf.DUMMYFUNCTION("""COMPUTED_VALUE"""),4013.64)</f>
        <v>4013.64</v>
      </c>
      <c r="R124" s="18">
        <f>IFERROR(__xludf.DUMMYFUNCTION("""COMPUTED_VALUE"""),3568.2599999999998)</f>
        <v>3568.26</v>
      </c>
    </row>
    <row r="125">
      <c r="A125" s="21">
        <f>IFERROR(__xludf.DUMMYFUNCTION("""COMPUTED_VALUE"""),42224.0)</f>
        <v>42224</v>
      </c>
      <c r="B125" s="21" t="str">
        <f>IFERROR(__xludf.DUMMYFUNCTION("""COMPUTED_VALUE"""),"Aug")</f>
        <v>Aug</v>
      </c>
      <c r="C125" s="9">
        <f>IFERROR(__xludf.DUMMYFUNCTION("""COMPUTED_VALUE"""),42231.0)</f>
        <v>42231</v>
      </c>
      <c r="D125" s="23" t="str">
        <f>IFERROR(__xludf.DUMMYFUNCTION("""COMPUTED_VALUE"""),"Aug")</f>
        <v>Aug</v>
      </c>
      <c r="E125" s="21" t="str">
        <f>IFERROR(__xludf.DUMMYFUNCTION("""COMPUTED_VALUE"""),"2015")</f>
        <v>2015</v>
      </c>
      <c r="F125" s="22" t="str">
        <f>IFERROR(__xludf.DUMMYFUNCTION("""COMPUTED_VALUE"""),"Standard Class")</f>
        <v>Standard Class</v>
      </c>
      <c r="G125" s="22" t="str">
        <f>IFERROR(__xludf.DUMMYFUNCTION("""COMPUTED_VALUE"""),"Lena")</f>
        <v>Lena</v>
      </c>
      <c r="H125" s="22" t="str">
        <f>IFERROR(__xludf.DUMMYFUNCTION("""COMPUTED_VALUE"""),"Radford")</f>
        <v>Radford</v>
      </c>
      <c r="I125" s="22" t="str">
        <f>IFERROR(__xludf.DUMMYFUNCTION("""COMPUTED_VALUE"""),"Consumer")</f>
        <v>Consumer</v>
      </c>
      <c r="J125" s="22" t="str">
        <f>IFERROR(__xludf.DUMMYFUNCTION("""COMPUTED_VALUE"""),"San Diego")</f>
        <v>San Diego</v>
      </c>
      <c r="K125" s="22" t="str">
        <f>IFERROR(__xludf.DUMMYFUNCTION("""COMPUTED_VALUE"""),"California")</f>
        <v>California</v>
      </c>
      <c r="L125" s="22" t="str">
        <f>IFERROR(__xludf.DUMMYFUNCTION("""COMPUTED_VALUE"""),"West")</f>
        <v>West</v>
      </c>
      <c r="M125" s="22" t="str">
        <f>IFERROR(__xludf.DUMMYFUNCTION("""COMPUTED_VALUE"""),"Furniture")</f>
        <v>Furniture</v>
      </c>
      <c r="N125" s="18">
        <f>IFERROR(__xludf.DUMMYFUNCTION("""COMPUTED_VALUE"""),327.76)</f>
        <v>327.76</v>
      </c>
      <c r="O125" s="18">
        <f>IFERROR(__xludf.DUMMYFUNCTION("""COMPUTED_VALUE"""),327.51)</f>
        <v>327.51</v>
      </c>
      <c r="P125" s="22">
        <f>IFERROR(__xludf.DUMMYFUNCTION("""COMPUTED_VALUE"""),9.0)</f>
        <v>9</v>
      </c>
      <c r="Q125" s="18">
        <f>IFERROR(__xludf.DUMMYFUNCTION("""COMPUTED_VALUE"""),2949.84)</f>
        <v>2949.84</v>
      </c>
      <c r="R125" s="18">
        <f>IFERROR(__xludf.DUMMYFUNCTION("""COMPUTED_VALUE"""),2622.33)</f>
        <v>2622.33</v>
      </c>
    </row>
    <row r="126">
      <c r="A126" s="21">
        <f>IFERROR(__xludf.DUMMYFUNCTION("""COMPUTED_VALUE"""),43451.0)</f>
        <v>43451</v>
      </c>
      <c r="B126" s="21" t="str">
        <f>IFERROR(__xludf.DUMMYFUNCTION("""COMPUTED_VALUE"""),"Dec")</f>
        <v>Dec</v>
      </c>
      <c r="C126" s="9">
        <f>IFERROR(__xludf.DUMMYFUNCTION("""COMPUTED_VALUE"""),43455.0)</f>
        <v>43455</v>
      </c>
      <c r="D126" s="23" t="str">
        <f>IFERROR(__xludf.DUMMYFUNCTION("""COMPUTED_VALUE"""),"Dec")</f>
        <v>Dec</v>
      </c>
      <c r="E126" s="21" t="str">
        <f>IFERROR(__xludf.DUMMYFUNCTION("""COMPUTED_VALUE"""),"2018")</f>
        <v>2018</v>
      </c>
      <c r="F126" s="22" t="str">
        <f>IFERROR(__xludf.DUMMYFUNCTION("""COMPUTED_VALUE"""),"Standard Class")</f>
        <v>Standard Class</v>
      </c>
      <c r="G126" s="22" t="str">
        <f>IFERROR(__xludf.DUMMYFUNCTION("""COMPUTED_VALUE"""),"Logan")</f>
        <v>Logan</v>
      </c>
      <c r="H126" s="22" t="str">
        <f>IFERROR(__xludf.DUMMYFUNCTION("""COMPUTED_VALUE"""),"Currie")</f>
        <v>Currie</v>
      </c>
      <c r="I126" s="22" t="str">
        <f>IFERROR(__xludf.DUMMYFUNCTION("""COMPUTED_VALUE"""),"Consumer")</f>
        <v>Consumer</v>
      </c>
      <c r="J126" s="22" t="str">
        <f>IFERROR(__xludf.DUMMYFUNCTION("""COMPUTED_VALUE"""),"San Francisco")</f>
        <v>San Francisco</v>
      </c>
      <c r="K126" s="22" t="str">
        <f>IFERROR(__xludf.DUMMYFUNCTION("""COMPUTED_VALUE"""),"California")</f>
        <v>California</v>
      </c>
      <c r="L126" s="22" t="str">
        <f>IFERROR(__xludf.DUMMYFUNCTION("""COMPUTED_VALUE"""),"West")</f>
        <v>West</v>
      </c>
      <c r="M126" s="22" t="str">
        <f>IFERROR(__xludf.DUMMYFUNCTION("""COMPUTED_VALUE"""),"Office Supplies")</f>
        <v>Office Supplies</v>
      </c>
      <c r="N126" s="18">
        <f>IFERROR(__xludf.DUMMYFUNCTION("""COMPUTED_VALUE"""),15.24)</f>
        <v>15.24</v>
      </c>
      <c r="O126" s="18">
        <f>IFERROR(__xludf.DUMMYFUNCTION("""COMPUTED_VALUE"""),14.45)</f>
        <v>14.45</v>
      </c>
      <c r="P126" s="22">
        <f>IFERROR(__xludf.DUMMYFUNCTION("""COMPUTED_VALUE"""),9.0)</f>
        <v>9</v>
      </c>
      <c r="Q126" s="18">
        <f>IFERROR(__xludf.DUMMYFUNCTION("""COMPUTED_VALUE"""),137.16)</f>
        <v>137.16</v>
      </c>
      <c r="R126" s="18">
        <f>IFERROR(__xludf.DUMMYFUNCTION("""COMPUTED_VALUE"""),122.71)</f>
        <v>122.71</v>
      </c>
    </row>
    <row r="127">
      <c r="A127" s="21">
        <f>IFERROR(__xludf.DUMMYFUNCTION("""COMPUTED_VALUE"""),43451.0)</f>
        <v>43451</v>
      </c>
      <c r="B127" s="21" t="str">
        <f>IFERROR(__xludf.DUMMYFUNCTION("""COMPUTED_VALUE"""),"Dec")</f>
        <v>Dec</v>
      </c>
      <c r="C127" s="9">
        <f>IFERROR(__xludf.DUMMYFUNCTION("""COMPUTED_VALUE"""),43455.0)</f>
        <v>43455</v>
      </c>
      <c r="D127" s="23" t="str">
        <f>IFERROR(__xludf.DUMMYFUNCTION("""COMPUTED_VALUE"""),"Dec")</f>
        <v>Dec</v>
      </c>
      <c r="E127" s="21" t="str">
        <f>IFERROR(__xludf.DUMMYFUNCTION("""COMPUTED_VALUE"""),"2018")</f>
        <v>2018</v>
      </c>
      <c r="F127" s="22" t="str">
        <f>IFERROR(__xludf.DUMMYFUNCTION("""COMPUTED_VALUE"""),"Standard Class")</f>
        <v>Standard Class</v>
      </c>
      <c r="G127" s="22" t="str">
        <f>IFERROR(__xludf.DUMMYFUNCTION("""COMPUTED_VALUE"""),"Logan")</f>
        <v>Logan</v>
      </c>
      <c r="H127" s="22" t="str">
        <f>IFERROR(__xludf.DUMMYFUNCTION("""COMPUTED_VALUE"""),"Currie")</f>
        <v>Currie</v>
      </c>
      <c r="I127" s="22" t="str">
        <f>IFERROR(__xludf.DUMMYFUNCTION("""COMPUTED_VALUE"""),"Consumer")</f>
        <v>Consumer</v>
      </c>
      <c r="J127" s="22" t="str">
        <f>IFERROR(__xludf.DUMMYFUNCTION("""COMPUTED_VALUE"""),"San Francisco")</f>
        <v>San Francisco</v>
      </c>
      <c r="K127" s="22" t="str">
        <f>IFERROR(__xludf.DUMMYFUNCTION("""COMPUTED_VALUE"""),"California")</f>
        <v>California</v>
      </c>
      <c r="L127" s="22" t="str">
        <f>IFERROR(__xludf.DUMMYFUNCTION("""COMPUTED_VALUE"""),"West")</f>
        <v>West</v>
      </c>
      <c r="M127" s="22" t="str">
        <f>IFERROR(__xludf.DUMMYFUNCTION("""COMPUTED_VALUE"""),"Office Supplies")</f>
        <v>Office Supplies</v>
      </c>
      <c r="N127" s="18">
        <f>IFERROR(__xludf.DUMMYFUNCTION("""COMPUTED_VALUE"""),13.23)</f>
        <v>13.23</v>
      </c>
      <c r="O127" s="18">
        <f>IFERROR(__xludf.DUMMYFUNCTION("""COMPUTED_VALUE"""),12.83)</f>
        <v>12.83</v>
      </c>
      <c r="P127" s="22">
        <f>IFERROR(__xludf.DUMMYFUNCTION("""COMPUTED_VALUE"""),9.0)</f>
        <v>9</v>
      </c>
      <c r="Q127" s="18">
        <f>IFERROR(__xludf.DUMMYFUNCTION("""COMPUTED_VALUE"""),119.07000000000001)</f>
        <v>119.07</v>
      </c>
      <c r="R127" s="18">
        <f>IFERROR(__xludf.DUMMYFUNCTION("""COMPUTED_VALUE"""),106.24000000000001)</f>
        <v>106.24</v>
      </c>
    </row>
    <row r="128">
      <c r="A128" s="21">
        <f>IFERROR(__xludf.DUMMYFUNCTION("""COMPUTED_VALUE"""),42875.0)</f>
        <v>42875</v>
      </c>
      <c r="B128" s="21" t="str">
        <f>IFERROR(__xludf.DUMMYFUNCTION("""COMPUTED_VALUE"""),"May")</f>
        <v>May</v>
      </c>
      <c r="C128" s="9">
        <f>IFERROR(__xludf.DUMMYFUNCTION("""COMPUTED_VALUE"""),42880.0)</f>
        <v>42880</v>
      </c>
      <c r="D128" s="23" t="str">
        <f>IFERROR(__xludf.DUMMYFUNCTION("""COMPUTED_VALUE"""),"May")</f>
        <v>May</v>
      </c>
      <c r="E128" s="21" t="str">
        <f>IFERROR(__xludf.DUMMYFUNCTION("""COMPUTED_VALUE"""),"2017")</f>
        <v>2017</v>
      </c>
      <c r="F128" s="22" t="str">
        <f>IFERROR(__xludf.DUMMYFUNCTION("""COMPUTED_VALUE"""),"Standard Class")</f>
        <v>Standard Class</v>
      </c>
      <c r="G128" s="22" t="str">
        <f>IFERROR(__xludf.DUMMYFUNCTION("""COMPUTED_VALUE"""),"Rick")</f>
        <v>Rick</v>
      </c>
      <c r="H128" s="22" t="str">
        <f>IFERROR(__xludf.DUMMYFUNCTION("""COMPUTED_VALUE"""),"Bensley")</f>
        <v>Bensley</v>
      </c>
      <c r="I128" s="22" t="str">
        <f>IFERROR(__xludf.DUMMYFUNCTION("""COMPUTED_VALUE"""),"Home Office")</f>
        <v>Home Office</v>
      </c>
      <c r="J128" s="22" t="str">
        <f>IFERROR(__xludf.DUMMYFUNCTION("""COMPUTED_VALUE"""),"Vallejo")</f>
        <v>Vallejo</v>
      </c>
      <c r="K128" s="22" t="str">
        <f>IFERROR(__xludf.DUMMYFUNCTION("""COMPUTED_VALUE"""),"California")</f>
        <v>California</v>
      </c>
      <c r="L128" s="22" t="str">
        <f>IFERROR(__xludf.DUMMYFUNCTION("""COMPUTED_VALUE"""),"West")</f>
        <v>West</v>
      </c>
      <c r="M128" s="22" t="str">
        <f>IFERROR(__xludf.DUMMYFUNCTION("""COMPUTED_VALUE"""),"Furniture")</f>
        <v>Furniture</v>
      </c>
      <c r="N128" s="18">
        <f>IFERROR(__xludf.DUMMYFUNCTION("""COMPUTED_VALUE"""),1049.2)</f>
        <v>1049.2</v>
      </c>
      <c r="O128" s="18">
        <f>IFERROR(__xludf.DUMMYFUNCTION("""COMPUTED_VALUE"""),1048.97)</f>
        <v>1048.97</v>
      </c>
      <c r="P128" s="22">
        <f>IFERROR(__xludf.DUMMYFUNCTION("""COMPUTED_VALUE"""),9.0)</f>
        <v>9</v>
      </c>
      <c r="Q128" s="18">
        <f>IFERROR(__xludf.DUMMYFUNCTION("""COMPUTED_VALUE"""),9442.800000000001)</f>
        <v>9442.8</v>
      </c>
      <c r="R128" s="18">
        <f>IFERROR(__xludf.DUMMYFUNCTION("""COMPUTED_VALUE"""),8393.830000000002)</f>
        <v>8393.83</v>
      </c>
    </row>
    <row r="129">
      <c r="A129" s="21">
        <f>IFERROR(__xludf.DUMMYFUNCTION("""COMPUTED_VALUE"""),42875.0)</f>
        <v>42875</v>
      </c>
      <c r="B129" s="21" t="str">
        <f>IFERROR(__xludf.DUMMYFUNCTION("""COMPUTED_VALUE"""),"May")</f>
        <v>May</v>
      </c>
      <c r="C129" s="9">
        <f>IFERROR(__xludf.DUMMYFUNCTION("""COMPUTED_VALUE"""),42880.0)</f>
        <v>42880</v>
      </c>
      <c r="D129" s="23" t="str">
        <f>IFERROR(__xludf.DUMMYFUNCTION("""COMPUTED_VALUE"""),"May")</f>
        <v>May</v>
      </c>
      <c r="E129" s="21" t="str">
        <f>IFERROR(__xludf.DUMMYFUNCTION("""COMPUTED_VALUE"""),"2017")</f>
        <v>2017</v>
      </c>
      <c r="F129" s="22" t="str">
        <f>IFERROR(__xludf.DUMMYFUNCTION("""COMPUTED_VALUE"""),"Standard Class")</f>
        <v>Standard Class</v>
      </c>
      <c r="G129" s="22" t="str">
        <f>IFERROR(__xludf.DUMMYFUNCTION("""COMPUTED_VALUE"""),"Rick")</f>
        <v>Rick</v>
      </c>
      <c r="H129" s="22" t="str">
        <f>IFERROR(__xludf.DUMMYFUNCTION("""COMPUTED_VALUE"""),"Bensley")</f>
        <v>Bensley</v>
      </c>
      <c r="I129" s="22" t="str">
        <f>IFERROR(__xludf.DUMMYFUNCTION("""COMPUTED_VALUE"""),"Home Office")</f>
        <v>Home Office</v>
      </c>
      <c r="J129" s="22" t="str">
        <f>IFERROR(__xludf.DUMMYFUNCTION("""COMPUTED_VALUE"""),"Vallejo")</f>
        <v>Vallejo</v>
      </c>
      <c r="K129" s="22" t="str">
        <f>IFERROR(__xludf.DUMMYFUNCTION("""COMPUTED_VALUE"""),"California")</f>
        <v>California</v>
      </c>
      <c r="L129" s="22" t="str">
        <f>IFERROR(__xludf.DUMMYFUNCTION("""COMPUTED_VALUE"""),"West")</f>
        <v>West</v>
      </c>
      <c r="M129" s="22" t="str">
        <f>IFERROR(__xludf.DUMMYFUNCTION("""COMPUTED_VALUE"""),"Office Supplies")</f>
        <v>Office Supplies</v>
      </c>
      <c r="N129" s="18">
        <f>IFERROR(__xludf.DUMMYFUNCTION("""COMPUTED_VALUE"""),15.424)</f>
        <v>15.424</v>
      </c>
      <c r="O129" s="18">
        <f>IFERROR(__xludf.DUMMYFUNCTION("""COMPUTED_VALUE"""),14.88)</f>
        <v>14.88</v>
      </c>
      <c r="P129" s="22">
        <f>IFERROR(__xludf.DUMMYFUNCTION("""COMPUTED_VALUE"""),9.0)</f>
        <v>9</v>
      </c>
      <c r="Q129" s="18">
        <f>IFERROR(__xludf.DUMMYFUNCTION("""COMPUTED_VALUE"""),138.816)</f>
        <v>138.816</v>
      </c>
      <c r="R129" s="18">
        <f>IFERROR(__xludf.DUMMYFUNCTION("""COMPUTED_VALUE"""),123.936)</f>
        <v>123.936</v>
      </c>
    </row>
    <row r="130">
      <c r="A130" s="21">
        <f>IFERROR(__xludf.DUMMYFUNCTION("""COMPUTED_VALUE"""),43311.0)</f>
        <v>43311</v>
      </c>
      <c r="B130" s="21" t="str">
        <f>IFERROR(__xludf.DUMMYFUNCTION("""COMPUTED_VALUE"""),"Jul")</f>
        <v>Jul</v>
      </c>
      <c r="C130" s="9">
        <f>IFERROR(__xludf.DUMMYFUNCTION("""COMPUTED_VALUE"""),43167.0)</f>
        <v>43167</v>
      </c>
      <c r="D130" s="23" t="str">
        <f>IFERROR(__xludf.DUMMYFUNCTION("""COMPUTED_VALUE"""),"Mar")</f>
        <v>Mar</v>
      </c>
      <c r="E130" s="21" t="str">
        <f>IFERROR(__xludf.DUMMYFUNCTION("""COMPUTED_VALUE"""),"2018")</f>
        <v>2018</v>
      </c>
      <c r="F130" s="22" t="str">
        <f>IFERROR(__xludf.DUMMYFUNCTION("""COMPUTED_VALUE"""),"Second Class")</f>
        <v>Second Class</v>
      </c>
      <c r="G130" s="22" t="str">
        <f>IFERROR(__xludf.DUMMYFUNCTION("""COMPUTED_VALUE"""),"John")</f>
        <v>John</v>
      </c>
      <c r="H130" s="22" t="str">
        <f>IFERROR(__xludf.DUMMYFUNCTION("""COMPUTED_VALUE"""),"Lee")</f>
        <v>Lee</v>
      </c>
      <c r="I130" s="22" t="str">
        <f>IFERROR(__xludf.DUMMYFUNCTION("""COMPUTED_VALUE"""),"Consumer")</f>
        <v>Consumer</v>
      </c>
      <c r="J130" s="22" t="str">
        <f>IFERROR(__xludf.DUMMYFUNCTION("""COMPUTED_VALUE"""),"Mission Viejo")</f>
        <v>Mission Viejo</v>
      </c>
      <c r="K130" s="22" t="str">
        <f>IFERROR(__xludf.DUMMYFUNCTION("""COMPUTED_VALUE"""),"California")</f>
        <v>California</v>
      </c>
      <c r="L130" s="22" t="str">
        <f>IFERROR(__xludf.DUMMYFUNCTION("""COMPUTED_VALUE"""),"West")</f>
        <v>West</v>
      </c>
      <c r="M130" s="22" t="str">
        <f>IFERROR(__xludf.DUMMYFUNCTION("""COMPUTED_VALUE"""),"Office Supplies")</f>
        <v>Office Supplies</v>
      </c>
      <c r="N130" s="18">
        <f>IFERROR(__xludf.DUMMYFUNCTION("""COMPUTED_VALUE"""),330.4)</f>
        <v>330.4</v>
      </c>
      <c r="O130" s="18">
        <f>IFERROR(__xludf.DUMMYFUNCTION("""COMPUTED_VALUE"""),330.19)</f>
        <v>330.19</v>
      </c>
      <c r="P130" s="22">
        <f>IFERROR(__xludf.DUMMYFUNCTION("""COMPUTED_VALUE"""),9.0)</f>
        <v>9</v>
      </c>
      <c r="Q130" s="18">
        <f>IFERROR(__xludf.DUMMYFUNCTION("""COMPUTED_VALUE"""),2973.6)</f>
        <v>2973.6</v>
      </c>
      <c r="R130" s="18">
        <f>IFERROR(__xludf.DUMMYFUNCTION("""COMPUTED_VALUE"""),2643.41)</f>
        <v>2643.41</v>
      </c>
    </row>
    <row r="131">
      <c r="A131" s="21">
        <f>IFERROR(__xludf.DUMMYFUNCTION("""COMPUTED_VALUE"""),43311.0)</f>
        <v>43311</v>
      </c>
      <c r="B131" s="21" t="str">
        <f>IFERROR(__xludf.DUMMYFUNCTION("""COMPUTED_VALUE"""),"Jul")</f>
        <v>Jul</v>
      </c>
      <c r="C131" s="9">
        <f>IFERROR(__xludf.DUMMYFUNCTION("""COMPUTED_VALUE"""),43167.0)</f>
        <v>43167</v>
      </c>
      <c r="D131" s="23" t="str">
        <f>IFERROR(__xludf.DUMMYFUNCTION("""COMPUTED_VALUE"""),"Mar")</f>
        <v>Mar</v>
      </c>
      <c r="E131" s="21" t="str">
        <f>IFERROR(__xludf.DUMMYFUNCTION("""COMPUTED_VALUE"""),"2018")</f>
        <v>2018</v>
      </c>
      <c r="F131" s="22" t="str">
        <f>IFERROR(__xludf.DUMMYFUNCTION("""COMPUTED_VALUE"""),"Second Class")</f>
        <v>Second Class</v>
      </c>
      <c r="G131" s="22" t="str">
        <f>IFERROR(__xludf.DUMMYFUNCTION("""COMPUTED_VALUE"""),"John")</f>
        <v>John</v>
      </c>
      <c r="H131" s="22" t="str">
        <f>IFERROR(__xludf.DUMMYFUNCTION("""COMPUTED_VALUE"""),"Lee")</f>
        <v>Lee</v>
      </c>
      <c r="I131" s="22" t="str">
        <f>IFERROR(__xludf.DUMMYFUNCTION("""COMPUTED_VALUE"""),"Consumer")</f>
        <v>Consumer</v>
      </c>
      <c r="J131" s="22" t="str">
        <f>IFERROR(__xludf.DUMMYFUNCTION("""COMPUTED_VALUE"""),"Mission Viejo")</f>
        <v>Mission Viejo</v>
      </c>
      <c r="K131" s="22" t="str">
        <f>IFERROR(__xludf.DUMMYFUNCTION("""COMPUTED_VALUE"""),"California")</f>
        <v>California</v>
      </c>
      <c r="L131" s="22" t="str">
        <f>IFERROR(__xludf.DUMMYFUNCTION("""COMPUTED_VALUE"""),"West")</f>
        <v>West</v>
      </c>
      <c r="M131" s="22" t="str">
        <f>IFERROR(__xludf.DUMMYFUNCTION("""COMPUTED_VALUE"""),"Office Supplies")</f>
        <v>Office Supplies</v>
      </c>
      <c r="N131" s="18">
        <f>IFERROR(__xludf.DUMMYFUNCTION("""COMPUTED_VALUE"""),26.25)</f>
        <v>26.25</v>
      </c>
      <c r="O131" s="18">
        <f>IFERROR(__xludf.DUMMYFUNCTION("""COMPUTED_VALUE"""),25.55)</f>
        <v>25.55</v>
      </c>
      <c r="P131" s="22">
        <f>IFERROR(__xludf.DUMMYFUNCTION("""COMPUTED_VALUE"""),9.0)</f>
        <v>9</v>
      </c>
      <c r="Q131" s="18">
        <f>IFERROR(__xludf.DUMMYFUNCTION("""COMPUTED_VALUE"""),236.25)</f>
        <v>236.25</v>
      </c>
      <c r="R131" s="18">
        <f>IFERROR(__xludf.DUMMYFUNCTION("""COMPUTED_VALUE"""),210.7)</f>
        <v>210.7</v>
      </c>
    </row>
    <row r="132">
      <c r="A132" s="21">
        <f>IFERROR(__xludf.DUMMYFUNCTION("""COMPUTED_VALUE"""),42457.0)</f>
        <v>42457</v>
      </c>
      <c r="B132" s="21" t="str">
        <f>IFERROR(__xludf.DUMMYFUNCTION("""COMPUTED_VALUE"""),"Mar")</f>
        <v>Mar</v>
      </c>
      <c r="C132" s="9">
        <f>IFERROR(__xludf.DUMMYFUNCTION("""COMPUTED_VALUE"""),42404.0)</f>
        <v>42404</v>
      </c>
      <c r="D132" s="23" t="str">
        <f>IFERROR(__xludf.DUMMYFUNCTION("""COMPUTED_VALUE"""),"Feb")</f>
        <v>Feb</v>
      </c>
      <c r="E132" s="21" t="str">
        <f>IFERROR(__xludf.DUMMYFUNCTION("""COMPUTED_VALUE"""),"2016")</f>
        <v>2016</v>
      </c>
      <c r="F132" s="22" t="str">
        <f>IFERROR(__xludf.DUMMYFUNCTION("""COMPUTED_VALUE"""),"Standard Class")</f>
        <v>Standard Class</v>
      </c>
      <c r="G132" s="22" t="str">
        <f>IFERROR(__xludf.DUMMYFUNCTION("""COMPUTED_VALUE"""),"Alan")</f>
        <v>Alan</v>
      </c>
      <c r="H132" s="22" t="str">
        <f>IFERROR(__xludf.DUMMYFUNCTION("""COMPUTED_VALUE"""),"Barnes")</f>
        <v>Barnes</v>
      </c>
      <c r="I132" s="22" t="str">
        <f>IFERROR(__xludf.DUMMYFUNCTION("""COMPUTED_VALUE"""),"Consumer")</f>
        <v>Consumer</v>
      </c>
      <c r="J132" s="22" t="str">
        <f>IFERROR(__xludf.DUMMYFUNCTION("""COMPUTED_VALUE"""),"Los Angeles")</f>
        <v>Los Angeles</v>
      </c>
      <c r="K132" s="22" t="str">
        <f>IFERROR(__xludf.DUMMYFUNCTION("""COMPUTED_VALUE"""),"California")</f>
        <v>California</v>
      </c>
      <c r="L132" s="22" t="str">
        <f>IFERROR(__xludf.DUMMYFUNCTION("""COMPUTED_VALUE"""),"West")</f>
        <v>West</v>
      </c>
      <c r="M132" s="22" t="str">
        <f>IFERROR(__xludf.DUMMYFUNCTION("""COMPUTED_VALUE"""),"Technology")</f>
        <v>Technology</v>
      </c>
      <c r="N132" s="18">
        <f>IFERROR(__xludf.DUMMYFUNCTION("""COMPUTED_VALUE"""),166.24)</f>
        <v>166.24</v>
      </c>
      <c r="O132" s="18">
        <f>IFERROR(__xludf.DUMMYFUNCTION("""COMPUTED_VALUE"""),166.08)</f>
        <v>166.08</v>
      </c>
      <c r="P132" s="22">
        <f>IFERROR(__xludf.DUMMYFUNCTION("""COMPUTED_VALUE"""),9.0)</f>
        <v>9</v>
      </c>
      <c r="Q132" s="18">
        <f>IFERROR(__xludf.DUMMYFUNCTION("""COMPUTED_VALUE"""),1496.16)</f>
        <v>1496.16</v>
      </c>
      <c r="R132" s="18">
        <f>IFERROR(__xludf.DUMMYFUNCTION("""COMPUTED_VALUE"""),1330.0800000000002)</f>
        <v>1330.08</v>
      </c>
    </row>
    <row r="133">
      <c r="A133" s="21">
        <f>IFERROR(__xludf.DUMMYFUNCTION("""COMPUTED_VALUE"""),42457.0)</f>
        <v>42457</v>
      </c>
      <c r="B133" s="21" t="str">
        <f>IFERROR(__xludf.DUMMYFUNCTION("""COMPUTED_VALUE"""),"Mar")</f>
        <v>Mar</v>
      </c>
      <c r="C133" s="9">
        <f>IFERROR(__xludf.DUMMYFUNCTION("""COMPUTED_VALUE"""),42404.0)</f>
        <v>42404</v>
      </c>
      <c r="D133" s="23" t="str">
        <f>IFERROR(__xludf.DUMMYFUNCTION("""COMPUTED_VALUE"""),"Feb")</f>
        <v>Feb</v>
      </c>
      <c r="E133" s="21" t="str">
        <f>IFERROR(__xludf.DUMMYFUNCTION("""COMPUTED_VALUE"""),"2016")</f>
        <v>2016</v>
      </c>
      <c r="F133" s="22" t="str">
        <f>IFERROR(__xludf.DUMMYFUNCTION("""COMPUTED_VALUE"""),"Standard Class")</f>
        <v>Standard Class</v>
      </c>
      <c r="G133" s="22" t="str">
        <f>IFERROR(__xludf.DUMMYFUNCTION("""COMPUTED_VALUE"""),"Alan")</f>
        <v>Alan</v>
      </c>
      <c r="H133" s="22" t="str">
        <f>IFERROR(__xludf.DUMMYFUNCTION("""COMPUTED_VALUE"""),"Barnes")</f>
        <v>Barnes</v>
      </c>
      <c r="I133" s="22" t="str">
        <f>IFERROR(__xludf.DUMMYFUNCTION("""COMPUTED_VALUE"""),"Consumer")</f>
        <v>Consumer</v>
      </c>
      <c r="J133" s="22" t="str">
        <f>IFERROR(__xludf.DUMMYFUNCTION("""COMPUTED_VALUE"""),"Los Angeles")</f>
        <v>Los Angeles</v>
      </c>
      <c r="K133" s="22" t="str">
        <f>IFERROR(__xludf.DUMMYFUNCTION("""COMPUTED_VALUE"""),"California")</f>
        <v>California</v>
      </c>
      <c r="L133" s="22" t="str">
        <f>IFERROR(__xludf.DUMMYFUNCTION("""COMPUTED_VALUE"""),"West")</f>
        <v>West</v>
      </c>
      <c r="M133" s="22" t="str">
        <f>IFERROR(__xludf.DUMMYFUNCTION("""COMPUTED_VALUE"""),"Office Supplies")</f>
        <v>Office Supplies</v>
      </c>
      <c r="N133" s="18">
        <f>IFERROR(__xludf.DUMMYFUNCTION("""COMPUTED_VALUE"""),33.4)</f>
        <v>33.4</v>
      </c>
      <c r="O133" s="18">
        <f>IFERROR(__xludf.DUMMYFUNCTION("""COMPUTED_VALUE"""),33.38)</f>
        <v>33.38</v>
      </c>
      <c r="P133" s="22">
        <f>IFERROR(__xludf.DUMMYFUNCTION("""COMPUTED_VALUE"""),9.0)</f>
        <v>9</v>
      </c>
      <c r="Q133" s="18">
        <f>IFERROR(__xludf.DUMMYFUNCTION("""COMPUTED_VALUE"""),300.59999999999997)</f>
        <v>300.6</v>
      </c>
      <c r="R133" s="18">
        <f>IFERROR(__xludf.DUMMYFUNCTION("""COMPUTED_VALUE"""),267.21999999999997)</f>
        <v>267.22</v>
      </c>
    </row>
    <row r="134">
      <c r="A134" s="21">
        <f>IFERROR(__xludf.DUMMYFUNCTION("""COMPUTED_VALUE"""),42617.0)</f>
        <v>42617</v>
      </c>
      <c r="B134" s="21" t="str">
        <f>IFERROR(__xludf.DUMMYFUNCTION("""COMPUTED_VALUE"""),"Sep")</f>
        <v>Sep</v>
      </c>
      <c r="C134" s="9">
        <f>IFERROR(__xludf.DUMMYFUNCTION("""COMPUTED_VALUE"""),42474.0)</f>
        <v>42474</v>
      </c>
      <c r="D134" s="23" t="str">
        <f>IFERROR(__xludf.DUMMYFUNCTION("""COMPUTED_VALUE"""),"Apr")</f>
        <v>Apr</v>
      </c>
      <c r="E134" s="21" t="str">
        <f>IFERROR(__xludf.DUMMYFUNCTION("""COMPUTED_VALUE"""),"2016")</f>
        <v>2016</v>
      </c>
      <c r="F134" s="22" t="str">
        <f>IFERROR(__xludf.DUMMYFUNCTION("""COMPUTED_VALUE"""),"Standard Class")</f>
        <v>Standard Class</v>
      </c>
      <c r="G134" s="22" t="str">
        <f>IFERROR(__xludf.DUMMYFUNCTION("""COMPUTED_VALUE"""),"Jay")</f>
        <v>Jay</v>
      </c>
      <c r="H134" s="22" t="str">
        <f>IFERROR(__xludf.DUMMYFUNCTION("""COMPUTED_VALUE"""),"Kimmel")</f>
        <v>Kimmel</v>
      </c>
      <c r="I134" s="22" t="str">
        <f>IFERROR(__xludf.DUMMYFUNCTION("""COMPUTED_VALUE"""),"Consumer")</f>
        <v>Consumer</v>
      </c>
      <c r="J134" s="22" t="str">
        <f>IFERROR(__xludf.DUMMYFUNCTION("""COMPUTED_VALUE"""),"Long Beach")</f>
        <v>Long Beach</v>
      </c>
      <c r="K134" s="22" t="str">
        <f>IFERROR(__xludf.DUMMYFUNCTION("""COMPUTED_VALUE"""),"California")</f>
        <v>California</v>
      </c>
      <c r="L134" s="22" t="str">
        <f>IFERROR(__xludf.DUMMYFUNCTION("""COMPUTED_VALUE"""),"West")</f>
        <v>West</v>
      </c>
      <c r="M134" s="22" t="str">
        <f>IFERROR(__xludf.DUMMYFUNCTION("""COMPUTED_VALUE"""),"Furniture")</f>
        <v>Furniture</v>
      </c>
      <c r="N134" s="18">
        <f>IFERROR(__xludf.DUMMYFUNCTION("""COMPUTED_VALUE"""),369.912)</f>
        <v>369.912</v>
      </c>
      <c r="O134" s="18">
        <f>IFERROR(__xludf.DUMMYFUNCTION("""COMPUTED_VALUE"""),369.25)</f>
        <v>369.25</v>
      </c>
      <c r="P134" s="22">
        <f>IFERROR(__xludf.DUMMYFUNCTION("""COMPUTED_VALUE"""),9.0)</f>
        <v>9</v>
      </c>
      <c r="Q134" s="18">
        <f>IFERROR(__xludf.DUMMYFUNCTION("""COMPUTED_VALUE"""),3329.2079999999996)</f>
        <v>3329.208</v>
      </c>
      <c r="R134" s="18">
        <f>IFERROR(__xludf.DUMMYFUNCTION("""COMPUTED_VALUE"""),2959.9579999999996)</f>
        <v>2959.958</v>
      </c>
    </row>
    <row r="135">
      <c r="A135" s="21">
        <f>IFERROR(__xludf.DUMMYFUNCTION("""COMPUTED_VALUE"""),42779.0)</f>
        <v>42779</v>
      </c>
      <c r="B135" s="21" t="str">
        <f>IFERROR(__xludf.DUMMYFUNCTION("""COMPUTED_VALUE"""),"Feb")</f>
        <v>Feb</v>
      </c>
      <c r="C135" s="9">
        <f>IFERROR(__xludf.DUMMYFUNCTION("""COMPUTED_VALUE"""),42784.0)</f>
        <v>42784</v>
      </c>
      <c r="D135" s="23" t="str">
        <f>IFERROR(__xludf.DUMMYFUNCTION("""COMPUTED_VALUE"""),"Feb")</f>
        <v>Feb</v>
      </c>
      <c r="E135" s="21" t="str">
        <f>IFERROR(__xludf.DUMMYFUNCTION("""COMPUTED_VALUE"""),"2017")</f>
        <v>2017</v>
      </c>
      <c r="F135" s="22" t="str">
        <f>IFERROR(__xludf.DUMMYFUNCTION("""COMPUTED_VALUE"""),"Standard Class")</f>
        <v>Standard Class</v>
      </c>
      <c r="G135" s="22" t="str">
        <f>IFERROR(__xludf.DUMMYFUNCTION("""COMPUTED_VALUE"""),"Ross")</f>
        <v>Ross</v>
      </c>
      <c r="H135" s="22" t="str">
        <f>IFERROR(__xludf.DUMMYFUNCTION("""COMPUTED_VALUE"""),"DeVincentis")</f>
        <v>DeVincentis</v>
      </c>
      <c r="I135" s="22" t="str">
        <f>IFERROR(__xludf.DUMMYFUNCTION("""COMPUTED_VALUE"""),"Home Office")</f>
        <v>Home Office</v>
      </c>
      <c r="J135" s="22" t="str">
        <f>IFERROR(__xludf.DUMMYFUNCTION("""COMPUTED_VALUE"""),"Los Angeles")</f>
        <v>Los Angeles</v>
      </c>
      <c r="K135" s="22" t="str">
        <f>IFERROR(__xludf.DUMMYFUNCTION("""COMPUTED_VALUE"""),"California")</f>
        <v>California</v>
      </c>
      <c r="L135" s="22" t="str">
        <f>IFERROR(__xludf.DUMMYFUNCTION("""COMPUTED_VALUE"""),"West")</f>
        <v>West</v>
      </c>
      <c r="M135" s="22" t="str">
        <f>IFERROR(__xludf.DUMMYFUNCTION("""COMPUTED_VALUE"""),"Office Supplies")</f>
        <v>Office Supplies</v>
      </c>
      <c r="N135" s="18">
        <f>IFERROR(__xludf.DUMMYFUNCTION("""COMPUTED_VALUE"""),146.82)</f>
        <v>146.82</v>
      </c>
      <c r="O135" s="18">
        <f>IFERROR(__xludf.DUMMYFUNCTION("""COMPUTED_VALUE"""),146.01)</f>
        <v>146.01</v>
      </c>
      <c r="P135" s="22">
        <f>IFERROR(__xludf.DUMMYFUNCTION("""COMPUTED_VALUE"""),9.0)</f>
        <v>9</v>
      </c>
      <c r="Q135" s="18">
        <f>IFERROR(__xludf.DUMMYFUNCTION("""COMPUTED_VALUE"""),1321.3799999999999)</f>
        <v>1321.38</v>
      </c>
      <c r="R135" s="18">
        <f>IFERROR(__xludf.DUMMYFUNCTION("""COMPUTED_VALUE"""),1175.37)</f>
        <v>1175.37</v>
      </c>
    </row>
    <row r="136">
      <c r="A136" s="21">
        <f>IFERROR(__xludf.DUMMYFUNCTION("""COMPUTED_VALUE"""),42225.0)</f>
        <v>42225</v>
      </c>
      <c r="B136" s="21" t="str">
        <f>IFERROR(__xludf.DUMMYFUNCTION("""COMPUTED_VALUE"""),"Aug")</f>
        <v>Aug</v>
      </c>
      <c r="C136" s="9">
        <f>IFERROR(__xludf.DUMMYFUNCTION("""COMPUTED_VALUE"""),42347.0)</f>
        <v>42347</v>
      </c>
      <c r="D136" s="23" t="str">
        <f>IFERROR(__xludf.DUMMYFUNCTION("""COMPUTED_VALUE"""),"Dec")</f>
        <v>Dec</v>
      </c>
      <c r="E136" s="21" t="str">
        <f>IFERROR(__xludf.DUMMYFUNCTION("""COMPUTED_VALUE"""),"2015")</f>
        <v>2015</v>
      </c>
      <c r="F136" s="22" t="str">
        <f>IFERROR(__xludf.DUMMYFUNCTION("""COMPUTED_VALUE"""),"Standard Class")</f>
        <v>Standard Class</v>
      </c>
      <c r="G136" s="22" t="str">
        <f>IFERROR(__xludf.DUMMYFUNCTION("""COMPUTED_VALUE"""),"Gary")</f>
        <v>Gary</v>
      </c>
      <c r="H136" s="22" t="str">
        <f>IFERROR(__xludf.DUMMYFUNCTION("""COMPUTED_VALUE"""),"Zandusky")</f>
        <v>Zandusky</v>
      </c>
      <c r="I136" s="22" t="str">
        <f>IFERROR(__xludf.DUMMYFUNCTION("""COMPUTED_VALUE"""),"Consumer")</f>
        <v>Consumer</v>
      </c>
      <c r="J136" s="22" t="str">
        <f>IFERROR(__xludf.DUMMYFUNCTION("""COMPUTED_VALUE"""),"San Francisco")</f>
        <v>San Francisco</v>
      </c>
      <c r="K136" s="22" t="str">
        <f>IFERROR(__xludf.DUMMYFUNCTION("""COMPUTED_VALUE"""),"California")</f>
        <v>California</v>
      </c>
      <c r="L136" s="22" t="str">
        <f>IFERROR(__xludf.DUMMYFUNCTION("""COMPUTED_VALUE"""),"West")</f>
        <v>West</v>
      </c>
      <c r="M136" s="22" t="str">
        <f>IFERROR(__xludf.DUMMYFUNCTION("""COMPUTED_VALUE"""),"Technology")</f>
        <v>Technology</v>
      </c>
      <c r="N136" s="18">
        <f>IFERROR(__xludf.DUMMYFUNCTION("""COMPUTED_VALUE"""),49.98)</f>
        <v>49.98</v>
      </c>
      <c r="O136" s="18">
        <f>IFERROR(__xludf.DUMMYFUNCTION("""COMPUTED_VALUE"""),49.18)</f>
        <v>49.18</v>
      </c>
      <c r="P136" s="22">
        <f>IFERROR(__xludf.DUMMYFUNCTION("""COMPUTED_VALUE"""),9.0)</f>
        <v>9</v>
      </c>
      <c r="Q136" s="18">
        <f>IFERROR(__xludf.DUMMYFUNCTION("""COMPUTED_VALUE"""),449.82)</f>
        <v>449.82</v>
      </c>
      <c r="R136" s="18">
        <f>IFERROR(__xludf.DUMMYFUNCTION("""COMPUTED_VALUE"""),400.64)</f>
        <v>400.64</v>
      </c>
    </row>
    <row r="137">
      <c r="A137" s="21">
        <f>IFERROR(__xludf.DUMMYFUNCTION("""COMPUTED_VALUE"""),42151.0)</f>
        <v>42151</v>
      </c>
      <c r="B137" s="21" t="str">
        <f>IFERROR(__xludf.DUMMYFUNCTION("""COMPUTED_VALUE"""),"May")</f>
        <v>May</v>
      </c>
      <c r="C137" s="9">
        <f>IFERROR(__xludf.DUMMYFUNCTION("""COMPUTED_VALUE"""),42151.0)</f>
        <v>42151</v>
      </c>
      <c r="D137" s="23" t="str">
        <f>IFERROR(__xludf.DUMMYFUNCTION("""COMPUTED_VALUE"""),"May")</f>
        <v>May</v>
      </c>
      <c r="E137" s="21" t="str">
        <f>IFERROR(__xludf.DUMMYFUNCTION("""COMPUTED_VALUE"""),"2015")</f>
        <v>2015</v>
      </c>
      <c r="F137" s="22" t="str">
        <f>IFERROR(__xludf.DUMMYFUNCTION("""COMPUTED_VALUE"""),"Same Day")</f>
        <v>Same Day</v>
      </c>
      <c r="G137" s="22" t="str">
        <f>IFERROR(__xludf.DUMMYFUNCTION("""COMPUTED_VALUE"""),"Maya")</f>
        <v>Maya</v>
      </c>
      <c r="H137" s="22" t="str">
        <f>IFERROR(__xludf.DUMMYFUNCTION("""COMPUTED_VALUE"""),"Herman")</f>
        <v>Herman</v>
      </c>
      <c r="I137" s="22" t="str">
        <f>IFERROR(__xludf.DUMMYFUNCTION("""COMPUTED_VALUE"""),"Corporate")</f>
        <v>Corporate</v>
      </c>
      <c r="J137" s="22" t="str">
        <f>IFERROR(__xludf.DUMMYFUNCTION("""COMPUTED_VALUE"""),"San Diego")</f>
        <v>San Diego</v>
      </c>
      <c r="K137" s="22" t="str">
        <f>IFERROR(__xludf.DUMMYFUNCTION("""COMPUTED_VALUE"""),"California")</f>
        <v>California</v>
      </c>
      <c r="L137" s="22" t="str">
        <f>IFERROR(__xludf.DUMMYFUNCTION("""COMPUTED_VALUE"""),"West")</f>
        <v>West</v>
      </c>
      <c r="M137" s="22" t="str">
        <f>IFERROR(__xludf.DUMMYFUNCTION("""COMPUTED_VALUE"""),"Furniture")</f>
        <v>Furniture</v>
      </c>
      <c r="N137" s="18">
        <f>IFERROR(__xludf.DUMMYFUNCTION("""COMPUTED_VALUE"""),567.12)</f>
        <v>567.12</v>
      </c>
      <c r="O137" s="18">
        <f>IFERROR(__xludf.DUMMYFUNCTION("""COMPUTED_VALUE"""),566.93)</f>
        <v>566.93</v>
      </c>
      <c r="P137" s="22">
        <f>IFERROR(__xludf.DUMMYFUNCTION("""COMPUTED_VALUE"""),9.0)</f>
        <v>9</v>
      </c>
      <c r="Q137" s="18">
        <f>IFERROR(__xludf.DUMMYFUNCTION("""COMPUTED_VALUE"""),5104.08)</f>
        <v>5104.08</v>
      </c>
      <c r="R137" s="18">
        <f>IFERROR(__xludf.DUMMYFUNCTION("""COMPUTED_VALUE"""),4537.15)</f>
        <v>4537.15</v>
      </c>
    </row>
    <row r="138">
      <c r="A138" s="21">
        <f>IFERROR(__xludf.DUMMYFUNCTION("""COMPUTED_VALUE"""),42151.0)</f>
        <v>42151</v>
      </c>
      <c r="B138" s="21" t="str">
        <f>IFERROR(__xludf.DUMMYFUNCTION("""COMPUTED_VALUE"""),"May")</f>
        <v>May</v>
      </c>
      <c r="C138" s="9">
        <f>IFERROR(__xludf.DUMMYFUNCTION("""COMPUTED_VALUE"""),42151.0)</f>
        <v>42151</v>
      </c>
      <c r="D138" s="23" t="str">
        <f>IFERROR(__xludf.DUMMYFUNCTION("""COMPUTED_VALUE"""),"May")</f>
        <v>May</v>
      </c>
      <c r="E138" s="21" t="str">
        <f>IFERROR(__xludf.DUMMYFUNCTION("""COMPUTED_VALUE"""),"2015")</f>
        <v>2015</v>
      </c>
      <c r="F138" s="22" t="str">
        <f>IFERROR(__xludf.DUMMYFUNCTION("""COMPUTED_VALUE"""),"Same Day")</f>
        <v>Same Day</v>
      </c>
      <c r="G138" s="22" t="str">
        <f>IFERROR(__xludf.DUMMYFUNCTION("""COMPUTED_VALUE"""),"Maya")</f>
        <v>Maya</v>
      </c>
      <c r="H138" s="22" t="str">
        <f>IFERROR(__xludf.DUMMYFUNCTION("""COMPUTED_VALUE"""),"Herman")</f>
        <v>Herman</v>
      </c>
      <c r="I138" s="22" t="str">
        <f>IFERROR(__xludf.DUMMYFUNCTION("""COMPUTED_VALUE"""),"Corporate")</f>
        <v>Corporate</v>
      </c>
      <c r="J138" s="22" t="str">
        <f>IFERROR(__xludf.DUMMYFUNCTION("""COMPUTED_VALUE"""),"San Diego")</f>
        <v>San Diego</v>
      </c>
      <c r="K138" s="22" t="str">
        <f>IFERROR(__xludf.DUMMYFUNCTION("""COMPUTED_VALUE"""),"California")</f>
        <v>California</v>
      </c>
      <c r="L138" s="22" t="str">
        <f>IFERROR(__xludf.DUMMYFUNCTION("""COMPUTED_VALUE"""),"West")</f>
        <v>West</v>
      </c>
      <c r="M138" s="22" t="str">
        <f>IFERROR(__xludf.DUMMYFUNCTION("""COMPUTED_VALUE"""),"Office Supplies")</f>
        <v>Office Supplies</v>
      </c>
      <c r="N138" s="18">
        <f>IFERROR(__xludf.DUMMYFUNCTION("""COMPUTED_VALUE"""),359.32)</f>
        <v>359.32</v>
      </c>
      <c r="O138" s="18">
        <f>IFERROR(__xludf.DUMMYFUNCTION("""COMPUTED_VALUE"""),358.74)</f>
        <v>358.74</v>
      </c>
      <c r="P138" s="22">
        <f>IFERROR(__xludf.DUMMYFUNCTION("""COMPUTED_VALUE"""),9.0)</f>
        <v>9</v>
      </c>
      <c r="Q138" s="18">
        <f>IFERROR(__xludf.DUMMYFUNCTION("""COMPUTED_VALUE"""),3233.88)</f>
        <v>3233.88</v>
      </c>
      <c r="R138" s="18">
        <f>IFERROR(__xludf.DUMMYFUNCTION("""COMPUTED_VALUE"""),2875.1400000000003)</f>
        <v>2875.14</v>
      </c>
    </row>
    <row r="139">
      <c r="A139" s="21">
        <f>IFERROR(__xludf.DUMMYFUNCTION("""COMPUTED_VALUE"""),42920.0)</f>
        <v>42920</v>
      </c>
      <c r="B139" s="21" t="str">
        <f>IFERROR(__xludf.DUMMYFUNCTION("""COMPUTED_VALUE"""),"Jul")</f>
        <v>Jul</v>
      </c>
      <c r="C139" s="9">
        <f>IFERROR(__xludf.DUMMYFUNCTION("""COMPUTED_VALUE"""),42982.0)</f>
        <v>42982</v>
      </c>
      <c r="D139" s="23" t="str">
        <f>IFERROR(__xludf.DUMMYFUNCTION("""COMPUTED_VALUE"""),"Sep")</f>
        <v>Sep</v>
      </c>
      <c r="E139" s="21" t="str">
        <f>IFERROR(__xludf.DUMMYFUNCTION("""COMPUTED_VALUE"""),"2017")</f>
        <v>2017</v>
      </c>
      <c r="F139" s="22" t="str">
        <f>IFERROR(__xludf.DUMMYFUNCTION("""COMPUTED_VALUE"""),"First Class")</f>
        <v>First Class</v>
      </c>
      <c r="G139" s="22" t="str">
        <f>IFERROR(__xludf.DUMMYFUNCTION("""COMPUTED_VALUE"""),"Yoseph")</f>
        <v>Yoseph</v>
      </c>
      <c r="H139" s="22" t="str">
        <f>IFERROR(__xludf.DUMMYFUNCTION("""COMPUTED_VALUE"""),"Carroll")</f>
        <v>Carroll</v>
      </c>
      <c r="I139" s="22" t="str">
        <f>IFERROR(__xludf.DUMMYFUNCTION("""COMPUTED_VALUE"""),"Corporate")</f>
        <v>Corporate</v>
      </c>
      <c r="J139" s="22" t="str">
        <f>IFERROR(__xludf.DUMMYFUNCTION("""COMPUTED_VALUE"""),"San Francisco")</f>
        <v>San Francisco</v>
      </c>
      <c r="K139" s="22" t="str">
        <f>IFERROR(__xludf.DUMMYFUNCTION("""COMPUTED_VALUE"""),"California")</f>
        <v>California</v>
      </c>
      <c r="L139" s="22" t="str">
        <f>IFERROR(__xludf.DUMMYFUNCTION("""COMPUTED_VALUE"""),"West")</f>
        <v>West</v>
      </c>
      <c r="M139" s="22" t="str">
        <f>IFERROR(__xludf.DUMMYFUNCTION("""COMPUTED_VALUE"""),"Technology")</f>
        <v>Technology</v>
      </c>
      <c r="N139" s="18">
        <f>IFERROR(__xludf.DUMMYFUNCTION("""COMPUTED_VALUE"""),1199.976)</f>
        <v>1199.976</v>
      </c>
      <c r="O139" s="18">
        <f>IFERROR(__xludf.DUMMYFUNCTION("""COMPUTED_VALUE"""),1199.7)</f>
        <v>1199.7</v>
      </c>
      <c r="P139" s="22">
        <f>IFERROR(__xludf.DUMMYFUNCTION("""COMPUTED_VALUE"""),9.0)</f>
        <v>9</v>
      </c>
      <c r="Q139" s="18">
        <f>IFERROR(__xludf.DUMMYFUNCTION("""COMPUTED_VALUE"""),10799.784000000001)</f>
        <v>10799.784</v>
      </c>
      <c r="R139" s="18">
        <f>IFERROR(__xludf.DUMMYFUNCTION("""COMPUTED_VALUE"""),9600.084)</f>
        <v>9600.084</v>
      </c>
    </row>
    <row r="140">
      <c r="A140" s="21">
        <f>IFERROR(__xludf.DUMMYFUNCTION("""COMPUTED_VALUE"""),42563.0)</f>
        <v>42563</v>
      </c>
      <c r="B140" s="21" t="str">
        <f>IFERROR(__xludf.DUMMYFUNCTION("""COMPUTED_VALUE"""),"Jul")</f>
        <v>Jul</v>
      </c>
      <c r="C140" s="9">
        <f>IFERROR(__xludf.DUMMYFUNCTION("""COMPUTED_VALUE"""),42716.0)</f>
        <v>42716</v>
      </c>
      <c r="D140" s="23" t="str">
        <f>IFERROR(__xludf.DUMMYFUNCTION("""COMPUTED_VALUE"""),"Dec")</f>
        <v>Dec</v>
      </c>
      <c r="E140" s="21" t="str">
        <f>IFERROR(__xludf.DUMMYFUNCTION("""COMPUTED_VALUE"""),"2016")</f>
        <v>2016</v>
      </c>
      <c r="F140" s="22" t="str">
        <f>IFERROR(__xludf.DUMMYFUNCTION("""COMPUTED_VALUE"""),"Standard Class")</f>
        <v>Standard Class</v>
      </c>
      <c r="G140" s="22" t="str">
        <f>IFERROR(__xludf.DUMMYFUNCTION("""COMPUTED_VALUE"""),"Melanie")</f>
        <v>Melanie</v>
      </c>
      <c r="H140" s="22" t="str">
        <f>IFERROR(__xludf.DUMMYFUNCTION("""COMPUTED_VALUE"""),"Seite")</f>
        <v>Seite</v>
      </c>
      <c r="I140" s="22" t="str">
        <f>IFERROR(__xludf.DUMMYFUNCTION("""COMPUTED_VALUE"""),"Consumer")</f>
        <v>Consumer</v>
      </c>
      <c r="J140" s="22" t="str">
        <f>IFERROR(__xludf.DUMMYFUNCTION("""COMPUTED_VALUE"""),"Los Angeles")</f>
        <v>Los Angeles</v>
      </c>
      <c r="K140" s="22" t="str">
        <f>IFERROR(__xludf.DUMMYFUNCTION("""COMPUTED_VALUE"""),"California")</f>
        <v>California</v>
      </c>
      <c r="L140" s="22" t="str">
        <f>IFERROR(__xludf.DUMMYFUNCTION("""COMPUTED_VALUE"""),"West")</f>
        <v>West</v>
      </c>
      <c r="M140" s="22" t="str">
        <f>IFERROR(__xludf.DUMMYFUNCTION("""COMPUTED_VALUE"""),"Furniture")</f>
        <v>Furniture</v>
      </c>
      <c r="N140" s="18">
        <f>IFERROR(__xludf.DUMMYFUNCTION("""COMPUTED_VALUE"""),79.92)</f>
        <v>79.92</v>
      </c>
      <c r="O140" s="18">
        <f>IFERROR(__xludf.DUMMYFUNCTION("""COMPUTED_VALUE"""),79.91)</f>
        <v>79.91</v>
      </c>
      <c r="P140" s="22">
        <f>IFERROR(__xludf.DUMMYFUNCTION("""COMPUTED_VALUE"""),9.0)</f>
        <v>9</v>
      </c>
      <c r="Q140" s="18">
        <f>IFERROR(__xludf.DUMMYFUNCTION("""COMPUTED_VALUE"""),719.28)</f>
        <v>719.28</v>
      </c>
      <c r="R140" s="18">
        <f>IFERROR(__xludf.DUMMYFUNCTION("""COMPUTED_VALUE"""),639.37)</f>
        <v>639.37</v>
      </c>
    </row>
    <row r="141">
      <c r="A141" s="21">
        <f>IFERROR(__xludf.DUMMYFUNCTION("""COMPUTED_VALUE"""),42613.0)</f>
        <v>42613</v>
      </c>
      <c r="B141" s="21" t="str">
        <f>IFERROR(__xludf.DUMMYFUNCTION("""COMPUTED_VALUE"""),"Aug")</f>
        <v>Aug</v>
      </c>
      <c r="C141" s="9">
        <f>IFERROR(__xludf.DUMMYFUNCTION("""COMPUTED_VALUE"""),42499.0)</f>
        <v>42499</v>
      </c>
      <c r="D141" s="23" t="str">
        <f>IFERROR(__xludf.DUMMYFUNCTION("""COMPUTED_VALUE"""),"May")</f>
        <v>May</v>
      </c>
      <c r="E141" s="21" t="str">
        <f>IFERROR(__xludf.DUMMYFUNCTION("""COMPUTED_VALUE"""),"2016")</f>
        <v>2016</v>
      </c>
      <c r="F141" s="22" t="str">
        <f>IFERROR(__xludf.DUMMYFUNCTION("""COMPUTED_VALUE"""),"Standard Class")</f>
        <v>Standard Class</v>
      </c>
      <c r="G141" s="22" t="str">
        <f>IFERROR(__xludf.DUMMYFUNCTION("""COMPUTED_VALUE"""),"Andrew")</f>
        <v>Andrew</v>
      </c>
      <c r="H141" s="22" t="str">
        <f>IFERROR(__xludf.DUMMYFUNCTION("""COMPUTED_VALUE"""),"Roberts")</f>
        <v>Roberts</v>
      </c>
      <c r="I141" s="22" t="str">
        <f>IFERROR(__xludf.DUMMYFUNCTION("""COMPUTED_VALUE"""),"Consumer")</f>
        <v>Consumer</v>
      </c>
      <c r="J141" s="22" t="str">
        <f>IFERROR(__xludf.DUMMYFUNCTION("""COMPUTED_VALUE"""),"Los Angeles")</f>
        <v>Los Angeles</v>
      </c>
      <c r="K141" s="22" t="str">
        <f>IFERROR(__xludf.DUMMYFUNCTION("""COMPUTED_VALUE"""),"California")</f>
        <v>California</v>
      </c>
      <c r="L141" s="22" t="str">
        <f>IFERROR(__xludf.DUMMYFUNCTION("""COMPUTED_VALUE"""),"West")</f>
        <v>West</v>
      </c>
      <c r="M141" s="22" t="str">
        <f>IFERROR(__xludf.DUMMYFUNCTION("""COMPUTED_VALUE"""),"Office Supplies")</f>
        <v>Office Supplies</v>
      </c>
      <c r="N141" s="18">
        <f>IFERROR(__xludf.DUMMYFUNCTION("""COMPUTED_VALUE"""),58.32)</f>
        <v>58.32</v>
      </c>
      <c r="O141" s="18">
        <f>IFERROR(__xludf.DUMMYFUNCTION("""COMPUTED_VALUE"""),58.08)</f>
        <v>58.08</v>
      </c>
      <c r="P141" s="22">
        <f>IFERROR(__xludf.DUMMYFUNCTION("""COMPUTED_VALUE"""),9.0)</f>
        <v>9</v>
      </c>
      <c r="Q141" s="18">
        <f>IFERROR(__xludf.DUMMYFUNCTION("""COMPUTED_VALUE"""),524.88)</f>
        <v>524.88</v>
      </c>
      <c r="R141" s="18">
        <f>IFERROR(__xludf.DUMMYFUNCTION("""COMPUTED_VALUE"""),466.8)</f>
        <v>466.8</v>
      </c>
    </row>
    <row r="142">
      <c r="A142" s="21">
        <f>IFERROR(__xludf.DUMMYFUNCTION("""COMPUTED_VALUE"""),42603.0)</f>
        <v>42603</v>
      </c>
      <c r="B142" s="21" t="str">
        <f>IFERROR(__xludf.DUMMYFUNCTION("""COMPUTED_VALUE"""),"Aug")</f>
        <v>Aug</v>
      </c>
      <c r="C142" s="9">
        <f>IFERROR(__xludf.DUMMYFUNCTION("""COMPUTED_VALUE"""),42605.0)</f>
        <v>42605</v>
      </c>
      <c r="D142" s="23" t="str">
        <f>IFERROR(__xludf.DUMMYFUNCTION("""COMPUTED_VALUE"""),"Aug")</f>
        <v>Aug</v>
      </c>
      <c r="E142" s="21" t="str">
        <f>IFERROR(__xludf.DUMMYFUNCTION("""COMPUTED_VALUE"""),"2016")</f>
        <v>2016</v>
      </c>
      <c r="F142" s="22" t="str">
        <f>IFERROR(__xludf.DUMMYFUNCTION("""COMPUTED_VALUE"""),"First Class")</f>
        <v>First Class</v>
      </c>
      <c r="G142" s="22" t="str">
        <f>IFERROR(__xludf.DUMMYFUNCTION("""COMPUTED_VALUE"""),"Nick")</f>
        <v>Nick</v>
      </c>
      <c r="H142" s="22" t="str">
        <f>IFERROR(__xludf.DUMMYFUNCTION("""COMPUTED_VALUE"""),"Zandusky")</f>
        <v>Zandusky</v>
      </c>
      <c r="I142" s="22" t="str">
        <f>IFERROR(__xludf.DUMMYFUNCTION("""COMPUTED_VALUE"""),"Home Office")</f>
        <v>Home Office</v>
      </c>
      <c r="J142" s="22" t="str">
        <f>IFERROR(__xludf.DUMMYFUNCTION("""COMPUTED_VALUE"""),"San Francisco")</f>
        <v>San Francisco</v>
      </c>
      <c r="K142" s="22" t="str">
        <f>IFERROR(__xludf.DUMMYFUNCTION("""COMPUTED_VALUE"""),"California")</f>
        <v>California</v>
      </c>
      <c r="L142" s="22" t="str">
        <f>IFERROR(__xludf.DUMMYFUNCTION("""COMPUTED_VALUE"""),"West")</f>
        <v>West</v>
      </c>
      <c r="M142" s="22" t="str">
        <f>IFERROR(__xludf.DUMMYFUNCTION("""COMPUTED_VALUE"""),"Furniture")</f>
        <v>Furniture</v>
      </c>
      <c r="N142" s="18">
        <f>IFERROR(__xludf.DUMMYFUNCTION("""COMPUTED_VALUE"""),544.008)</f>
        <v>544.008</v>
      </c>
      <c r="O142" s="18">
        <f>IFERROR(__xludf.DUMMYFUNCTION("""COMPUTED_VALUE"""),543.32)</f>
        <v>543.32</v>
      </c>
      <c r="P142" s="22">
        <f>IFERROR(__xludf.DUMMYFUNCTION("""COMPUTED_VALUE"""),9.0)</f>
        <v>9</v>
      </c>
      <c r="Q142" s="18">
        <f>IFERROR(__xludf.DUMMYFUNCTION("""COMPUTED_VALUE"""),4896.072)</f>
        <v>4896.072</v>
      </c>
      <c r="R142" s="18">
        <f>IFERROR(__xludf.DUMMYFUNCTION("""COMPUTED_VALUE"""),4352.752)</f>
        <v>4352.752</v>
      </c>
    </row>
    <row r="143">
      <c r="A143" s="21">
        <f>IFERROR(__xludf.DUMMYFUNCTION("""COMPUTED_VALUE"""),42603.0)</f>
        <v>42603</v>
      </c>
      <c r="B143" s="21" t="str">
        <f>IFERROR(__xludf.DUMMYFUNCTION("""COMPUTED_VALUE"""),"Aug")</f>
        <v>Aug</v>
      </c>
      <c r="C143" s="9">
        <f>IFERROR(__xludf.DUMMYFUNCTION("""COMPUTED_VALUE"""),42605.0)</f>
        <v>42605</v>
      </c>
      <c r="D143" s="23" t="str">
        <f>IFERROR(__xludf.DUMMYFUNCTION("""COMPUTED_VALUE"""),"Aug")</f>
        <v>Aug</v>
      </c>
      <c r="E143" s="21" t="str">
        <f>IFERROR(__xludf.DUMMYFUNCTION("""COMPUTED_VALUE"""),"2016")</f>
        <v>2016</v>
      </c>
      <c r="F143" s="22" t="str">
        <f>IFERROR(__xludf.DUMMYFUNCTION("""COMPUTED_VALUE"""),"First Class")</f>
        <v>First Class</v>
      </c>
      <c r="G143" s="22" t="str">
        <f>IFERROR(__xludf.DUMMYFUNCTION("""COMPUTED_VALUE"""),"Nick")</f>
        <v>Nick</v>
      </c>
      <c r="H143" s="22" t="str">
        <f>IFERROR(__xludf.DUMMYFUNCTION("""COMPUTED_VALUE"""),"Zandusky")</f>
        <v>Zandusky</v>
      </c>
      <c r="I143" s="22" t="str">
        <f>IFERROR(__xludf.DUMMYFUNCTION("""COMPUTED_VALUE"""),"Home Office")</f>
        <v>Home Office</v>
      </c>
      <c r="J143" s="22" t="str">
        <f>IFERROR(__xludf.DUMMYFUNCTION("""COMPUTED_VALUE"""),"San Francisco")</f>
        <v>San Francisco</v>
      </c>
      <c r="K143" s="22" t="str">
        <f>IFERROR(__xludf.DUMMYFUNCTION("""COMPUTED_VALUE"""),"California")</f>
        <v>California</v>
      </c>
      <c r="L143" s="22" t="str">
        <f>IFERROR(__xludf.DUMMYFUNCTION("""COMPUTED_VALUE"""),"West")</f>
        <v>West</v>
      </c>
      <c r="M143" s="22" t="str">
        <f>IFERROR(__xludf.DUMMYFUNCTION("""COMPUTED_VALUE"""),"Office Supplies")</f>
        <v>Office Supplies</v>
      </c>
      <c r="N143" s="18">
        <f>IFERROR(__xludf.DUMMYFUNCTION("""COMPUTED_VALUE"""),59.94)</f>
        <v>59.94</v>
      </c>
      <c r="O143" s="18">
        <f>IFERROR(__xludf.DUMMYFUNCTION("""COMPUTED_VALUE"""),59.49)</f>
        <v>59.49</v>
      </c>
      <c r="P143" s="22">
        <f>IFERROR(__xludf.DUMMYFUNCTION("""COMPUTED_VALUE"""),9.0)</f>
        <v>9</v>
      </c>
      <c r="Q143" s="18">
        <f>IFERROR(__xludf.DUMMYFUNCTION("""COMPUTED_VALUE"""),539.46)</f>
        <v>539.46</v>
      </c>
      <c r="R143" s="18">
        <f>IFERROR(__xludf.DUMMYFUNCTION("""COMPUTED_VALUE"""),479.97)</f>
        <v>479.97</v>
      </c>
    </row>
    <row r="144">
      <c r="A144" s="21">
        <f>IFERROR(__xludf.DUMMYFUNCTION("""COMPUTED_VALUE"""),42603.0)</f>
        <v>42603</v>
      </c>
      <c r="B144" s="21" t="str">
        <f>IFERROR(__xludf.DUMMYFUNCTION("""COMPUTED_VALUE"""),"Aug")</f>
        <v>Aug</v>
      </c>
      <c r="C144" s="9">
        <f>IFERROR(__xludf.DUMMYFUNCTION("""COMPUTED_VALUE"""),42605.0)</f>
        <v>42605</v>
      </c>
      <c r="D144" s="23" t="str">
        <f>IFERROR(__xludf.DUMMYFUNCTION("""COMPUTED_VALUE"""),"Aug")</f>
        <v>Aug</v>
      </c>
      <c r="E144" s="21" t="str">
        <f>IFERROR(__xludf.DUMMYFUNCTION("""COMPUTED_VALUE"""),"2016")</f>
        <v>2016</v>
      </c>
      <c r="F144" s="22" t="str">
        <f>IFERROR(__xludf.DUMMYFUNCTION("""COMPUTED_VALUE"""),"First Class")</f>
        <v>First Class</v>
      </c>
      <c r="G144" s="22" t="str">
        <f>IFERROR(__xludf.DUMMYFUNCTION("""COMPUTED_VALUE"""),"Nick")</f>
        <v>Nick</v>
      </c>
      <c r="H144" s="22" t="str">
        <f>IFERROR(__xludf.DUMMYFUNCTION("""COMPUTED_VALUE"""),"Zandusky")</f>
        <v>Zandusky</v>
      </c>
      <c r="I144" s="22" t="str">
        <f>IFERROR(__xludf.DUMMYFUNCTION("""COMPUTED_VALUE"""),"Home Office")</f>
        <v>Home Office</v>
      </c>
      <c r="J144" s="22" t="str">
        <f>IFERROR(__xludf.DUMMYFUNCTION("""COMPUTED_VALUE"""),"San Francisco")</f>
        <v>San Francisco</v>
      </c>
      <c r="K144" s="22" t="str">
        <f>IFERROR(__xludf.DUMMYFUNCTION("""COMPUTED_VALUE"""),"California")</f>
        <v>California</v>
      </c>
      <c r="L144" s="22" t="str">
        <f>IFERROR(__xludf.DUMMYFUNCTION("""COMPUTED_VALUE"""),"West")</f>
        <v>West</v>
      </c>
      <c r="M144" s="22" t="str">
        <f>IFERROR(__xludf.DUMMYFUNCTION("""COMPUTED_VALUE"""),"Office Supplies")</f>
        <v>Office Supplies</v>
      </c>
      <c r="N144" s="18">
        <f>IFERROR(__xludf.DUMMYFUNCTION("""COMPUTED_VALUE"""),23.92)</f>
        <v>23.92</v>
      </c>
      <c r="O144" s="18">
        <f>IFERROR(__xludf.DUMMYFUNCTION("""COMPUTED_VALUE"""),23.61)</f>
        <v>23.61</v>
      </c>
      <c r="P144" s="22">
        <f>IFERROR(__xludf.DUMMYFUNCTION("""COMPUTED_VALUE"""),9.0)</f>
        <v>9</v>
      </c>
      <c r="Q144" s="18">
        <f>IFERROR(__xludf.DUMMYFUNCTION("""COMPUTED_VALUE"""),215.28000000000003)</f>
        <v>215.28</v>
      </c>
      <c r="R144" s="18">
        <f>IFERROR(__xludf.DUMMYFUNCTION("""COMPUTED_VALUE"""),191.67000000000002)</f>
        <v>191.67</v>
      </c>
    </row>
    <row r="145">
      <c r="A145" s="21">
        <f>IFERROR(__xludf.DUMMYFUNCTION("""COMPUTED_VALUE"""),42603.0)</f>
        <v>42603</v>
      </c>
      <c r="B145" s="21" t="str">
        <f>IFERROR(__xludf.DUMMYFUNCTION("""COMPUTED_VALUE"""),"Aug")</f>
        <v>Aug</v>
      </c>
      <c r="C145" s="9">
        <f>IFERROR(__xludf.DUMMYFUNCTION("""COMPUTED_VALUE"""),42605.0)</f>
        <v>42605</v>
      </c>
      <c r="D145" s="23" t="str">
        <f>IFERROR(__xludf.DUMMYFUNCTION("""COMPUTED_VALUE"""),"Aug")</f>
        <v>Aug</v>
      </c>
      <c r="E145" s="21" t="str">
        <f>IFERROR(__xludf.DUMMYFUNCTION("""COMPUTED_VALUE"""),"2016")</f>
        <v>2016</v>
      </c>
      <c r="F145" s="22" t="str">
        <f>IFERROR(__xludf.DUMMYFUNCTION("""COMPUTED_VALUE"""),"First Class")</f>
        <v>First Class</v>
      </c>
      <c r="G145" s="22" t="str">
        <f>IFERROR(__xludf.DUMMYFUNCTION("""COMPUTED_VALUE"""),"Nick")</f>
        <v>Nick</v>
      </c>
      <c r="H145" s="22" t="str">
        <f>IFERROR(__xludf.DUMMYFUNCTION("""COMPUTED_VALUE"""),"Zandusky")</f>
        <v>Zandusky</v>
      </c>
      <c r="I145" s="22" t="str">
        <f>IFERROR(__xludf.DUMMYFUNCTION("""COMPUTED_VALUE"""),"Home Office")</f>
        <v>Home Office</v>
      </c>
      <c r="J145" s="22" t="str">
        <f>IFERROR(__xludf.DUMMYFUNCTION("""COMPUTED_VALUE"""),"San Francisco")</f>
        <v>San Francisco</v>
      </c>
      <c r="K145" s="22" t="str">
        <f>IFERROR(__xludf.DUMMYFUNCTION("""COMPUTED_VALUE"""),"California")</f>
        <v>California</v>
      </c>
      <c r="L145" s="22" t="str">
        <f>IFERROR(__xludf.DUMMYFUNCTION("""COMPUTED_VALUE"""),"West")</f>
        <v>West</v>
      </c>
      <c r="M145" s="22" t="str">
        <f>IFERROR(__xludf.DUMMYFUNCTION("""COMPUTED_VALUE"""),"Office Supplies")</f>
        <v>Office Supplies</v>
      </c>
      <c r="N145" s="18">
        <f>IFERROR(__xludf.DUMMYFUNCTION("""COMPUTED_VALUE"""),4.28)</f>
        <v>4.28</v>
      </c>
      <c r="O145" s="18">
        <f>IFERROR(__xludf.DUMMYFUNCTION("""COMPUTED_VALUE"""),4.07)</f>
        <v>4.07</v>
      </c>
      <c r="P145" s="22">
        <f>IFERROR(__xludf.DUMMYFUNCTION("""COMPUTED_VALUE"""),9.0)</f>
        <v>9</v>
      </c>
      <c r="Q145" s="18">
        <f>IFERROR(__xludf.DUMMYFUNCTION("""COMPUTED_VALUE"""),38.52)</f>
        <v>38.52</v>
      </c>
      <c r="R145" s="18">
        <f>IFERROR(__xludf.DUMMYFUNCTION("""COMPUTED_VALUE"""),34.45)</f>
        <v>34.45</v>
      </c>
    </row>
    <row r="146">
      <c r="A146" s="21">
        <f>IFERROR(__xludf.DUMMYFUNCTION("""COMPUTED_VALUE"""),43176.0)</f>
        <v>43176</v>
      </c>
      <c r="B146" s="21" t="str">
        <f>IFERROR(__xludf.DUMMYFUNCTION("""COMPUTED_VALUE"""),"Mar")</f>
        <v>Mar</v>
      </c>
      <c r="C146" s="9">
        <f>IFERROR(__xludf.DUMMYFUNCTION("""COMPUTED_VALUE"""),43180.0)</f>
        <v>43180</v>
      </c>
      <c r="D146" s="23" t="str">
        <f>IFERROR(__xludf.DUMMYFUNCTION("""COMPUTED_VALUE"""),"Mar")</f>
        <v>Mar</v>
      </c>
      <c r="E146" s="21" t="str">
        <f>IFERROR(__xludf.DUMMYFUNCTION("""COMPUTED_VALUE"""),"2018")</f>
        <v>2018</v>
      </c>
      <c r="F146" s="22" t="str">
        <f>IFERROR(__xludf.DUMMYFUNCTION("""COMPUTED_VALUE"""),"Second Class")</f>
        <v>Second Class</v>
      </c>
      <c r="G146" s="22" t="str">
        <f>IFERROR(__xludf.DUMMYFUNCTION("""COMPUTED_VALUE"""),"Clay")</f>
        <v>Clay</v>
      </c>
      <c r="H146" s="22" t="str">
        <f>IFERROR(__xludf.DUMMYFUNCTION("""COMPUTED_VALUE"""),"Ludtke")</f>
        <v>Ludtke</v>
      </c>
      <c r="I146" s="22" t="str">
        <f>IFERROR(__xludf.DUMMYFUNCTION("""COMPUTED_VALUE"""),"Consumer")</f>
        <v>Consumer</v>
      </c>
      <c r="J146" s="22" t="str">
        <f>IFERROR(__xludf.DUMMYFUNCTION("""COMPUTED_VALUE"""),"Lancaster")</f>
        <v>Lancaster</v>
      </c>
      <c r="K146" s="22" t="str">
        <f>IFERROR(__xludf.DUMMYFUNCTION("""COMPUTED_VALUE"""),"California")</f>
        <v>California</v>
      </c>
      <c r="L146" s="22" t="str">
        <f>IFERROR(__xludf.DUMMYFUNCTION("""COMPUTED_VALUE"""),"West")</f>
        <v>West</v>
      </c>
      <c r="M146" s="22" t="str">
        <f>IFERROR(__xludf.DUMMYFUNCTION("""COMPUTED_VALUE"""),"Office Supplies")</f>
        <v>Office Supplies</v>
      </c>
      <c r="N146" s="18">
        <f>IFERROR(__xludf.DUMMYFUNCTION("""COMPUTED_VALUE"""),17.456)</f>
        <v>17.456</v>
      </c>
      <c r="O146" s="18">
        <f>IFERROR(__xludf.DUMMYFUNCTION("""COMPUTED_VALUE"""),16.96)</f>
        <v>16.96</v>
      </c>
      <c r="P146" s="22">
        <f>IFERROR(__xludf.DUMMYFUNCTION("""COMPUTED_VALUE"""),9.0)</f>
        <v>9</v>
      </c>
      <c r="Q146" s="18">
        <f>IFERROR(__xludf.DUMMYFUNCTION("""COMPUTED_VALUE"""),157.10399999999998)</f>
        <v>157.104</v>
      </c>
      <c r="R146" s="18">
        <f>IFERROR(__xludf.DUMMYFUNCTION("""COMPUTED_VALUE"""),140.14399999999998)</f>
        <v>140.144</v>
      </c>
    </row>
    <row r="147">
      <c r="A147" s="21">
        <f>IFERROR(__xludf.DUMMYFUNCTION("""COMPUTED_VALUE"""),42716.0)</f>
        <v>42716</v>
      </c>
      <c r="B147" s="21" t="str">
        <f>IFERROR(__xludf.DUMMYFUNCTION("""COMPUTED_VALUE"""),"Dec")</f>
        <v>Dec</v>
      </c>
      <c r="C147" s="9">
        <f>IFERROR(__xludf.DUMMYFUNCTION("""COMPUTED_VALUE"""),42720.0)</f>
        <v>42720</v>
      </c>
      <c r="D147" s="23" t="str">
        <f>IFERROR(__xludf.DUMMYFUNCTION("""COMPUTED_VALUE"""),"Dec")</f>
        <v>Dec</v>
      </c>
      <c r="E147" s="21" t="str">
        <f>IFERROR(__xludf.DUMMYFUNCTION("""COMPUTED_VALUE"""),"2016")</f>
        <v>2016</v>
      </c>
      <c r="F147" s="22" t="str">
        <f>IFERROR(__xludf.DUMMYFUNCTION("""COMPUTED_VALUE"""),"Standard Class")</f>
        <v>Standard Class</v>
      </c>
      <c r="G147" s="22" t="str">
        <f>IFERROR(__xludf.DUMMYFUNCTION("""COMPUTED_VALUE"""),"Liz")</f>
        <v>Liz</v>
      </c>
      <c r="H147" s="22" t="str">
        <f>IFERROR(__xludf.DUMMYFUNCTION("""COMPUTED_VALUE"""),"Thompson")</f>
        <v>Thompson</v>
      </c>
      <c r="I147" s="22" t="str">
        <f>IFERROR(__xludf.DUMMYFUNCTION("""COMPUTED_VALUE"""),"Consumer")</f>
        <v>Consumer</v>
      </c>
      <c r="J147" s="22" t="str">
        <f>IFERROR(__xludf.DUMMYFUNCTION("""COMPUTED_VALUE"""),"Lancaster")</f>
        <v>Lancaster</v>
      </c>
      <c r="K147" s="22" t="str">
        <f>IFERROR(__xludf.DUMMYFUNCTION("""COMPUTED_VALUE"""),"California")</f>
        <v>California</v>
      </c>
      <c r="L147" s="22" t="str">
        <f>IFERROR(__xludf.DUMMYFUNCTION("""COMPUTED_VALUE"""),"West")</f>
        <v>West</v>
      </c>
      <c r="M147" s="22" t="str">
        <f>IFERROR(__xludf.DUMMYFUNCTION("""COMPUTED_VALUE"""),"Furniture")</f>
        <v>Furniture</v>
      </c>
      <c r="N147" s="18">
        <f>IFERROR(__xludf.DUMMYFUNCTION("""COMPUTED_VALUE"""),348.928)</f>
        <v>348.928</v>
      </c>
      <c r="O147" s="18">
        <f>IFERROR(__xludf.DUMMYFUNCTION("""COMPUTED_VALUE"""),348.61)</f>
        <v>348.61</v>
      </c>
      <c r="P147" s="22">
        <f>IFERROR(__xludf.DUMMYFUNCTION("""COMPUTED_VALUE"""),9.0)</f>
        <v>9</v>
      </c>
      <c r="Q147" s="18">
        <f>IFERROR(__xludf.DUMMYFUNCTION("""COMPUTED_VALUE"""),3140.352)</f>
        <v>3140.352</v>
      </c>
      <c r="R147" s="18">
        <f>IFERROR(__xludf.DUMMYFUNCTION("""COMPUTED_VALUE"""),2791.7419999999997)</f>
        <v>2791.742</v>
      </c>
    </row>
    <row r="148">
      <c r="A148" s="21">
        <f>IFERROR(__xludf.DUMMYFUNCTION("""COMPUTED_VALUE"""),42267.0)</f>
        <v>42267</v>
      </c>
      <c r="B148" s="21" t="str">
        <f>IFERROR(__xludf.DUMMYFUNCTION("""COMPUTED_VALUE"""),"Sep")</f>
        <v>Sep</v>
      </c>
      <c r="C148" s="9">
        <f>IFERROR(__xludf.DUMMYFUNCTION("""COMPUTED_VALUE"""),42273.0)</f>
        <v>42273</v>
      </c>
      <c r="D148" s="23" t="str">
        <f>IFERROR(__xludf.DUMMYFUNCTION("""COMPUTED_VALUE"""),"Sep")</f>
        <v>Sep</v>
      </c>
      <c r="E148" s="21" t="str">
        <f>IFERROR(__xludf.DUMMYFUNCTION("""COMPUTED_VALUE"""),"2015")</f>
        <v>2015</v>
      </c>
      <c r="F148" s="22" t="str">
        <f>IFERROR(__xludf.DUMMYFUNCTION("""COMPUTED_VALUE"""),"Standard Class")</f>
        <v>Standard Class</v>
      </c>
      <c r="G148" s="22" t="str">
        <f>IFERROR(__xludf.DUMMYFUNCTION("""COMPUTED_VALUE"""),"Erica")</f>
        <v>Erica</v>
      </c>
      <c r="H148" s="22" t="str">
        <f>IFERROR(__xludf.DUMMYFUNCTION("""COMPUTED_VALUE"""),"Smith")</f>
        <v>Smith</v>
      </c>
      <c r="I148" s="22" t="str">
        <f>IFERROR(__xludf.DUMMYFUNCTION("""COMPUTED_VALUE"""),"Consumer")</f>
        <v>Consumer</v>
      </c>
      <c r="J148" s="22" t="str">
        <f>IFERROR(__xludf.DUMMYFUNCTION("""COMPUTED_VALUE"""),"San Francisco")</f>
        <v>San Francisco</v>
      </c>
      <c r="K148" s="22" t="str">
        <f>IFERROR(__xludf.DUMMYFUNCTION("""COMPUTED_VALUE"""),"California")</f>
        <v>California</v>
      </c>
      <c r="L148" s="22" t="str">
        <f>IFERROR(__xludf.DUMMYFUNCTION("""COMPUTED_VALUE"""),"West")</f>
        <v>West</v>
      </c>
      <c r="M148" s="22" t="str">
        <f>IFERROR(__xludf.DUMMYFUNCTION("""COMPUTED_VALUE"""),"Office Supplies")</f>
        <v>Office Supplies</v>
      </c>
      <c r="N148" s="18">
        <f>IFERROR(__xludf.DUMMYFUNCTION("""COMPUTED_VALUE"""),9.96)</f>
        <v>9.96</v>
      </c>
      <c r="O148" s="18">
        <f>IFERROR(__xludf.DUMMYFUNCTION("""COMPUTED_VALUE"""),8.97)</f>
        <v>8.97</v>
      </c>
      <c r="P148" s="22">
        <f>IFERROR(__xludf.DUMMYFUNCTION("""COMPUTED_VALUE"""),9.0)</f>
        <v>9</v>
      </c>
      <c r="Q148" s="18">
        <f>IFERROR(__xludf.DUMMYFUNCTION("""COMPUTED_VALUE"""),89.64000000000001)</f>
        <v>89.64</v>
      </c>
      <c r="R148" s="18">
        <f>IFERROR(__xludf.DUMMYFUNCTION("""COMPUTED_VALUE"""),80.67000000000002)</f>
        <v>80.67</v>
      </c>
    </row>
    <row r="149">
      <c r="A149" s="21">
        <f>IFERROR(__xludf.DUMMYFUNCTION("""COMPUTED_VALUE"""),42267.0)</f>
        <v>42267</v>
      </c>
      <c r="B149" s="21" t="str">
        <f>IFERROR(__xludf.DUMMYFUNCTION("""COMPUTED_VALUE"""),"Sep")</f>
        <v>Sep</v>
      </c>
      <c r="C149" s="9">
        <f>IFERROR(__xludf.DUMMYFUNCTION("""COMPUTED_VALUE"""),42273.0)</f>
        <v>42273</v>
      </c>
      <c r="D149" s="23" t="str">
        <f>IFERROR(__xludf.DUMMYFUNCTION("""COMPUTED_VALUE"""),"Sep")</f>
        <v>Sep</v>
      </c>
      <c r="E149" s="21" t="str">
        <f>IFERROR(__xludf.DUMMYFUNCTION("""COMPUTED_VALUE"""),"2015")</f>
        <v>2015</v>
      </c>
      <c r="F149" s="22" t="str">
        <f>IFERROR(__xludf.DUMMYFUNCTION("""COMPUTED_VALUE"""),"Standard Class")</f>
        <v>Standard Class</v>
      </c>
      <c r="G149" s="22" t="str">
        <f>IFERROR(__xludf.DUMMYFUNCTION("""COMPUTED_VALUE"""),"Erica")</f>
        <v>Erica</v>
      </c>
      <c r="H149" s="22" t="str">
        <f>IFERROR(__xludf.DUMMYFUNCTION("""COMPUTED_VALUE"""),"Smith")</f>
        <v>Smith</v>
      </c>
      <c r="I149" s="22" t="str">
        <f>IFERROR(__xludf.DUMMYFUNCTION("""COMPUTED_VALUE"""),"Consumer")</f>
        <v>Consumer</v>
      </c>
      <c r="J149" s="22" t="str">
        <f>IFERROR(__xludf.DUMMYFUNCTION("""COMPUTED_VALUE"""),"San Francisco")</f>
        <v>San Francisco</v>
      </c>
      <c r="K149" s="22" t="str">
        <f>IFERROR(__xludf.DUMMYFUNCTION("""COMPUTED_VALUE"""),"California")</f>
        <v>California</v>
      </c>
      <c r="L149" s="22" t="str">
        <f>IFERROR(__xludf.DUMMYFUNCTION("""COMPUTED_VALUE"""),"West")</f>
        <v>West</v>
      </c>
      <c r="M149" s="22" t="str">
        <f>IFERROR(__xludf.DUMMYFUNCTION("""COMPUTED_VALUE"""),"Office Supplies")</f>
        <v>Office Supplies</v>
      </c>
      <c r="N149" s="18">
        <f>IFERROR(__xludf.DUMMYFUNCTION("""COMPUTED_VALUE"""),21.72)</f>
        <v>21.72</v>
      </c>
      <c r="O149" s="18">
        <f>IFERROR(__xludf.DUMMYFUNCTION("""COMPUTED_VALUE"""),21.3)</f>
        <v>21.3</v>
      </c>
      <c r="P149" s="22">
        <f>IFERROR(__xludf.DUMMYFUNCTION("""COMPUTED_VALUE"""),9.0)</f>
        <v>9</v>
      </c>
      <c r="Q149" s="18">
        <f>IFERROR(__xludf.DUMMYFUNCTION("""COMPUTED_VALUE"""),195.48)</f>
        <v>195.48</v>
      </c>
      <c r="R149" s="18">
        <f>IFERROR(__xludf.DUMMYFUNCTION("""COMPUTED_VALUE"""),174.17999999999998)</f>
        <v>174.18</v>
      </c>
    </row>
    <row r="150">
      <c r="A150" s="21">
        <f>IFERROR(__xludf.DUMMYFUNCTION("""COMPUTED_VALUE"""),42701.0)</f>
        <v>42701</v>
      </c>
      <c r="B150" s="21" t="str">
        <f>IFERROR(__xludf.DUMMYFUNCTION("""COMPUTED_VALUE"""),"Nov")</f>
        <v>Nov</v>
      </c>
      <c r="C150" s="9">
        <f>IFERROR(__xludf.DUMMYFUNCTION("""COMPUTED_VALUE"""),42441.0)</f>
        <v>42441</v>
      </c>
      <c r="D150" s="23" t="str">
        <f>IFERROR(__xludf.DUMMYFUNCTION("""COMPUTED_VALUE"""),"Mar")</f>
        <v>Mar</v>
      </c>
      <c r="E150" s="21" t="str">
        <f>IFERROR(__xludf.DUMMYFUNCTION("""COMPUTED_VALUE"""),"2016")</f>
        <v>2016</v>
      </c>
      <c r="F150" s="22" t="str">
        <f>IFERROR(__xludf.DUMMYFUNCTION("""COMPUTED_VALUE"""),"Standard Class")</f>
        <v>Standard Class</v>
      </c>
      <c r="G150" s="22" t="str">
        <f>IFERROR(__xludf.DUMMYFUNCTION("""COMPUTED_VALUE"""),"Carlos")</f>
        <v>Carlos</v>
      </c>
      <c r="H150" s="22" t="str">
        <f>IFERROR(__xludf.DUMMYFUNCTION("""COMPUTED_VALUE"""),"Daly")</f>
        <v>Daly</v>
      </c>
      <c r="I150" s="22" t="str">
        <f>IFERROR(__xludf.DUMMYFUNCTION("""COMPUTED_VALUE"""),"Consumer")</f>
        <v>Consumer</v>
      </c>
      <c r="J150" s="22" t="str">
        <f>IFERROR(__xludf.DUMMYFUNCTION("""COMPUTED_VALUE"""),"Lake Elsinore")</f>
        <v>Lake Elsinore</v>
      </c>
      <c r="K150" s="22" t="str">
        <f>IFERROR(__xludf.DUMMYFUNCTION("""COMPUTED_VALUE"""),"California")</f>
        <v>California</v>
      </c>
      <c r="L150" s="22" t="str">
        <f>IFERROR(__xludf.DUMMYFUNCTION("""COMPUTED_VALUE"""),"West")</f>
        <v>West</v>
      </c>
      <c r="M150" s="22" t="str">
        <f>IFERROR(__xludf.DUMMYFUNCTION("""COMPUTED_VALUE"""),"Furniture")</f>
        <v>Furniture</v>
      </c>
      <c r="N150" s="18">
        <f>IFERROR(__xludf.DUMMYFUNCTION("""COMPUTED_VALUE"""),283.92)</f>
        <v>283.92</v>
      </c>
      <c r="O150" s="18">
        <f>IFERROR(__xludf.DUMMYFUNCTION("""COMPUTED_VALUE"""),282.99)</f>
        <v>282.99</v>
      </c>
      <c r="P150" s="22">
        <f>IFERROR(__xludf.DUMMYFUNCTION("""COMPUTED_VALUE"""),9.0)</f>
        <v>9</v>
      </c>
      <c r="Q150" s="18">
        <f>IFERROR(__xludf.DUMMYFUNCTION("""COMPUTED_VALUE"""),2555.28)</f>
        <v>2555.28</v>
      </c>
      <c r="R150" s="18">
        <f>IFERROR(__xludf.DUMMYFUNCTION("""COMPUTED_VALUE"""),2272.29)</f>
        <v>2272.29</v>
      </c>
    </row>
    <row r="151">
      <c r="A151" s="21">
        <f>IFERROR(__xludf.DUMMYFUNCTION("""COMPUTED_VALUE"""),43151.0)</f>
        <v>43151</v>
      </c>
      <c r="B151" s="21" t="str">
        <f>IFERROR(__xludf.DUMMYFUNCTION("""COMPUTED_VALUE"""),"Feb")</f>
        <v>Feb</v>
      </c>
      <c r="C151" s="9">
        <f>IFERROR(__xludf.DUMMYFUNCTION("""COMPUTED_VALUE"""),43154.0)</f>
        <v>43154</v>
      </c>
      <c r="D151" s="23" t="str">
        <f>IFERROR(__xludf.DUMMYFUNCTION("""COMPUTED_VALUE"""),"Feb")</f>
        <v>Feb</v>
      </c>
      <c r="E151" s="21" t="str">
        <f>IFERROR(__xludf.DUMMYFUNCTION("""COMPUTED_VALUE"""),"2018")</f>
        <v>2018</v>
      </c>
      <c r="F151" s="22" t="str">
        <f>IFERROR(__xludf.DUMMYFUNCTION("""COMPUTED_VALUE"""),"First Class")</f>
        <v>First Class</v>
      </c>
      <c r="G151" s="22" t="str">
        <f>IFERROR(__xludf.DUMMYFUNCTION("""COMPUTED_VALUE"""),"Helen")</f>
        <v>Helen</v>
      </c>
      <c r="H151" s="22" t="str">
        <f>IFERROR(__xludf.DUMMYFUNCTION("""COMPUTED_VALUE"""),"Wasserman")</f>
        <v>Wasserman</v>
      </c>
      <c r="I151" s="22" t="str">
        <f>IFERROR(__xludf.DUMMYFUNCTION("""COMPUTED_VALUE"""),"Corporate")</f>
        <v>Corporate</v>
      </c>
      <c r="J151" s="22" t="str">
        <f>IFERROR(__xludf.DUMMYFUNCTION("""COMPUTED_VALUE"""),"San Diego")</f>
        <v>San Diego</v>
      </c>
      <c r="K151" s="22" t="str">
        <f>IFERROR(__xludf.DUMMYFUNCTION("""COMPUTED_VALUE"""),"California")</f>
        <v>California</v>
      </c>
      <c r="L151" s="22" t="str">
        <f>IFERROR(__xludf.DUMMYFUNCTION("""COMPUTED_VALUE"""),"West")</f>
        <v>West</v>
      </c>
      <c r="M151" s="22" t="str">
        <f>IFERROR(__xludf.DUMMYFUNCTION("""COMPUTED_VALUE"""),"Furniture")</f>
        <v>Furniture</v>
      </c>
      <c r="N151" s="18">
        <f>IFERROR(__xludf.DUMMYFUNCTION("""COMPUTED_VALUE"""),22.23)</f>
        <v>22.23</v>
      </c>
      <c r="O151" s="18">
        <f>IFERROR(__xludf.DUMMYFUNCTION("""COMPUTED_VALUE"""),21.53)</f>
        <v>21.53</v>
      </c>
      <c r="P151" s="22">
        <f>IFERROR(__xludf.DUMMYFUNCTION("""COMPUTED_VALUE"""),9.0)</f>
        <v>9</v>
      </c>
      <c r="Q151" s="18">
        <f>IFERROR(__xludf.DUMMYFUNCTION("""COMPUTED_VALUE"""),200.07)</f>
        <v>200.07</v>
      </c>
      <c r="R151" s="18">
        <f>IFERROR(__xludf.DUMMYFUNCTION("""COMPUTED_VALUE"""),178.54)</f>
        <v>178.54</v>
      </c>
    </row>
    <row r="152">
      <c r="A152" s="21">
        <f>IFERROR(__xludf.DUMMYFUNCTION("""COMPUTED_VALUE"""),43151.0)</f>
        <v>43151</v>
      </c>
      <c r="B152" s="21" t="str">
        <f>IFERROR(__xludf.DUMMYFUNCTION("""COMPUTED_VALUE"""),"Feb")</f>
        <v>Feb</v>
      </c>
      <c r="C152" s="9">
        <f>IFERROR(__xludf.DUMMYFUNCTION("""COMPUTED_VALUE"""),43154.0)</f>
        <v>43154</v>
      </c>
      <c r="D152" s="23" t="str">
        <f>IFERROR(__xludf.DUMMYFUNCTION("""COMPUTED_VALUE"""),"Feb")</f>
        <v>Feb</v>
      </c>
      <c r="E152" s="21" t="str">
        <f>IFERROR(__xludf.DUMMYFUNCTION("""COMPUTED_VALUE"""),"2018")</f>
        <v>2018</v>
      </c>
      <c r="F152" s="22" t="str">
        <f>IFERROR(__xludf.DUMMYFUNCTION("""COMPUTED_VALUE"""),"First Class")</f>
        <v>First Class</v>
      </c>
      <c r="G152" s="22" t="str">
        <f>IFERROR(__xludf.DUMMYFUNCTION("""COMPUTED_VALUE"""),"Helen")</f>
        <v>Helen</v>
      </c>
      <c r="H152" s="22" t="str">
        <f>IFERROR(__xludf.DUMMYFUNCTION("""COMPUTED_VALUE"""),"Wasserman")</f>
        <v>Wasserman</v>
      </c>
      <c r="I152" s="22" t="str">
        <f>IFERROR(__xludf.DUMMYFUNCTION("""COMPUTED_VALUE"""),"Corporate")</f>
        <v>Corporate</v>
      </c>
      <c r="J152" s="22" t="str">
        <f>IFERROR(__xludf.DUMMYFUNCTION("""COMPUTED_VALUE"""),"San Diego")</f>
        <v>San Diego</v>
      </c>
      <c r="K152" s="22" t="str">
        <f>IFERROR(__xludf.DUMMYFUNCTION("""COMPUTED_VALUE"""),"California")</f>
        <v>California</v>
      </c>
      <c r="L152" s="22" t="str">
        <f>IFERROR(__xludf.DUMMYFUNCTION("""COMPUTED_VALUE"""),"West")</f>
        <v>West</v>
      </c>
      <c r="M152" s="22" t="str">
        <f>IFERROR(__xludf.DUMMYFUNCTION("""COMPUTED_VALUE"""),"Technology")</f>
        <v>Technology</v>
      </c>
      <c r="N152" s="18">
        <f>IFERROR(__xludf.DUMMYFUNCTION("""COMPUTED_VALUE"""),215.968)</f>
        <v>215.968</v>
      </c>
      <c r="O152" s="18">
        <f>IFERROR(__xludf.DUMMYFUNCTION("""COMPUTED_VALUE"""),215.54)</f>
        <v>215.54</v>
      </c>
      <c r="P152" s="22">
        <f>IFERROR(__xludf.DUMMYFUNCTION("""COMPUTED_VALUE"""),9.0)</f>
        <v>9</v>
      </c>
      <c r="Q152" s="18">
        <f>IFERROR(__xludf.DUMMYFUNCTION("""COMPUTED_VALUE"""),1943.712)</f>
        <v>1943.712</v>
      </c>
      <c r="R152" s="18">
        <f>IFERROR(__xludf.DUMMYFUNCTION("""COMPUTED_VALUE"""),1728.172)</f>
        <v>1728.172</v>
      </c>
    </row>
    <row r="153">
      <c r="A153" s="21">
        <f>IFERROR(__xludf.DUMMYFUNCTION("""COMPUTED_VALUE"""),43212.0)</f>
        <v>43212</v>
      </c>
      <c r="B153" s="21" t="str">
        <f>IFERROR(__xludf.DUMMYFUNCTION("""COMPUTED_VALUE"""),"Apr")</f>
        <v>Apr</v>
      </c>
      <c r="C153" s="9">
        <f>IFERROR(__xludf.DUMMYFUNCTION("""COMPUTED_VALUE"""),43214.0)</f>
        <v>43214</v>
      </c>
      <c r="D153" s="23" t="str">
        <f>IFERROR(__xludf.DUMMYFUNCTION("""COMPUTED_VALUE"""),"Apr")</f>
        <v>Apr</v>
      </c>
      <c r="E153" s="21" t="str">
        <f>IFERROR(__xludf.DUMMYFUNCTION("""COMPUTED_VALUE"""),"2018")</f>
        <v>2018</v>
      </c>
      <c r="F153" s="22" t="str">
        <f>IFERROR(__xludf.DUMMYFUNCTION("""COMPUTED_VALUE"""),"First Class")</f>
        <v>First Class</v>
      </c>
      <c r="G153" s="22" t="str">
        <f>IFERROR(__xludf.DUMMYFUNCTION("""COMPUTED_VALUE"""),"Gary")</f>
        <v>Gary</v>
      </c>
      <c r="H153" s="22" t="str">
        <f>IFERROR(__xludf.DUMMYFUNCTION("""COMPUTED_VALUE"""),"McGarr")</f>
        <v>McGarr</v>
      </c>
      <c r="I153" s="22" t="str">
        <f>IFERROR(__xludf.DUMMYFUNCTION("""COMPUTED_VALUE"""),"Consumer")</f>
        <v>Consumer</v>
      </c>
      <c r="J153" s="22" t="str">
        <f>IFERROR(__xludf.DUMMYFUNCTION("""COMPUTED_VALUE"""),"San Francisco")</f>
        <v>San Francisco</v>
      </c>
      <c r="K153" s="22" t="str">
        <f>IFERROR(__xludf.DUMMYFUNCTION("""COMPUTED_VALUE"""),"California")</f>
        <v>California</v>
      </c>
      <c r="L153" s="22" t="str">
        <f>IFERROR(__xludf.DUMMYFUNCTION("""COMPUTED_VALUE"""),"West")</f>
        <v>West</v>
      </c>
      <c r="M153" s="22" t="str">
        <f>IFERROR(__xludf.DUMMYFUNCTION("""COMPUTED_VALUE"""),"Furniture")</f>
        <v>Furniture</v>
      </c>
      <c r="N153" s="18">
        <f>IFERROR(__xludf.DUMMYFUNCTION("""COMPUTED_VALUE"""),18.28)</f>
        <v>18.28</v>
      </c>
      <c r="O153" s="18">
        <f>IFERROR(__xludf.DUMMYFUNCTION("""COMPUTED_VALUE"""),17.56)</f>
        <v>17.56</v>
      </c>
      <c r="P153" s="22">
        <f>IFERROR(__xludf.DUMMYFUNCTION("""COMPUTED_VALUE"""),9.0)</f>
        <v>9</v>
      </c>
      <c r="Q153" s="18">
        <f>IFERROR(__xludf.DUMMYFUNCTION("""COMPUTED_VALUE"""),164.52)</f>
        <v>164.52</v>
      </c>
      <c r="R153" s="18">
        <f>IFERROR(__xludf.DUMMYFUNCTION("""COMPUTED_VALUE"""),146.96)</f>
        <v>146.96</v>
      </c>
    </row>
    <row r="154">
      <c r="A154" s="21">
        <f>IFERROR(__xludf.DUMMYFUNCTION("""COMPUTED_VALUE"""),43234.0)</f>
        <v>43234</v>
      </c>
      <c r="B154" s="21" t="str">
        <f>IFERROR(__xludf.DUMMYFUNCTION("""COMPUTED_VALUE"""),"May")</f>
        <v>May</v>
      </c>
      <c r="C154" s="9">
        <f>IFERROR(__xludf.DUMMYFUNCTION("""COMPUTED_VALUE"""),43234.0)</f>
        <v>43234</v>
      </c>
      <c r="D154" s="23" t="str">
        <f>IFERROR(__xludf.DUMMYFUNCTION("""COMPUTED_VALUE"""),"May")</f>
        <v>May</v>
      </c>
      <c r="E154" s="21" t="str">
        <f>IFERROR(__xludf.DUMMYFUNCTION("""COMPUTED_VALUE"""),"2018")</f>
        <v>2018</v>
      </c>
      <c r="F154" s="22" t="str">
        <f>IFERROR(__xludf.DUMMYFUNCTION("""COMPUTED_VALUE"""),"Same Day")</f>
        <v>Same Day</v>
      </c>
      <c r="G154" s="22" t="str">
        <f>IFERROR(__xludf.DUMMYFUNCTION("""COMPUTED_VALUE"""),"Pauline")</f>
        <v>Pauline</v>
      </c>
      <c r="H154" s="22" t="str">
        <f>IFERROR(__xludf.DUMMYFUNCTION("""COMPUTED_VALUE"""),"Johnson")</f>
        <v>Johnson</v>
      </c>
      <c r="I154" s="22" t="str">
        <f>IFERROR(__xludf.DUMMYFUNCTION("""COMPUTED_VALUE"""),"Consumer")</f>
        <v>Consumer</v>
      </c>
      <c r="J154" s="22" t="str">
        <f>IFERROR(__xludf.DUMMYFUNCTION("""COMPUTED_VALUE"""),"Santa Ana")</f>
        <v>Santa Ana</v>
      </c>
      <c r="K154" s="22" t="str">
        <f>IFERROR(__xludf.DUMMYFUNCTION("""COMPUTED_VALUE"""),"California")</f>
        <v>California</v>
      </c>
      <c r="L154" s="22" t="str">
        <f>IFERROR(__xludf.DUMMYFUNCTION("""COMPUTED_VALUE"""),"West")</f>
        <v>West</v>
      </c>
      <c r="M154" s="22" t="str">
        <f>IFERROR(__xludf.DUMMYFUNCTION("""COMPUTED_VALUE"""),"Furniture")</f>
        <v>Furniture</v>
      </c>
      <c r="N154" s="18">
        <f>IFERROR(__xludf.DUMMYFUNCTION("""COMPUTED_VALUE"""),18.28)</f>
        <v>18.28</v>
      </c>
      <c r="O154" s="18">
        <f>IFERROR(__xludf.DUMMYFUNCTION("""COMPUTED_VALUE"""),18.08)</f>
        <v>18.08</v>
      </c>
      <c r="P154" s="22">
        <f>IFERROR(__xludf.DUMMYFUNCTION("""COMPUTED_VALUE"""),9.0)</f>
        <v>9</v>
      </c>
      <c r="Q154" s="18">
        <f>IFERROR(__xludf.DUMMYFUNCTION("""COMPUTED_VALUE"""),164.52)</f>
        <v>164.52</v>
      </c>
      <c r="R154" s="18">
        <f>IFERROR(__xludf.DUMMYFUNCTION("""COMPUTED_VALUE"""),146.44)</f>
        <v>146.44</v>
      </c>
    </row>
    <row r="155">
      <c r="A155" s="21">
        <f>IFERROR(__xludf.DUMMYFUNCTION("""COMPUTED_VALUE"""),43234.0)</f>
        <v>43234</v>
      </c>
      <c r="B155" s="21" t="str">
        <f>IFERROR(__xludf.DUMMYFUNCTION("""COMPUTED_VALUE"""),"May")</f>
        <v>May</v>
      </c>
      <c r="C155" s="9">
        <f>IFERROR(__xludf.DUMMYFUNCTION("""COMPUTED_VALUE"""),43234.0)</f>
        <v>43234</v>
      </c>
      <c r="D155" s="23" t="str">
        <f>IFERROR(__xludf.DUMMYFUNCTION("""COMPUTED_VALUE"""),"May")</f>
        <v>May</v>
      </c>
      <c r="E155" s="21" t="str">
        <f>IFERROR(__xludf.DUMMYFUNCTION("""COMPUTED_VALUE"""),"2018")</f>
        <v>2018</v>
      </c>
      <c r="F155" s="22" t="str">
        <f>IFERROR(__xludf.DUMMYFUNCTION("""COMPUTED_VALUE"""),"Same Day")</f>
        <v>Same Day</v>
      </c>
      <c r="G155" s="22" t="str">
        <f>IFERROR(__xludf.DUMMYFUNCTION("""COMPUTED_VALUE"""),"Pauline")</f>
        <v>Pauline</v>
      </c>
      <c r="H155" s="22" t="str">
        <f>IFERROR(__xludf.DUMMYFUNCTION("""COMPUTED_VALUE"""),"Johnson")</f>
        <v>Johnson</v>
      </c>
      <c r="I155" s="22" t="str">
        <f>IFERROR(__xludf.DUMMYFUNCTION("""COMPUTED_VALUE"""),"Consumer")</f>
        <v>Consumer</v>
      </c>
      <c r="J155" s="22" t="str">
        <f>IFERROR(__xludf.DUMMYFUNCTION("""COMPUTED_VALUE"""),"Santa Ana")</f>
        <v>Santa Ana</v>
      </c>
      <c r="K155" s="22" t="str">
        <f>IFERROR(__xludf.DUMMYFUNCTION("""COMPUTED_VALUE"""),"California")</f>
        <v>California</v>
      </c>
      <c r="L155" s="22" t="str">
        <f>IFERROR(__xludf.DUMMYFUNCTION("""COMPUTED_VALUE"""),"West")</f>
        <v>West</v>
      </c>
      <c r="M155" s="22" t="str">
        <f>IFERROR(__xludf.DUMMYFUNCTION("""COMPUTED_VALUE"""),"Technology")</f>
        <v>Technology</v>
      </c>
      <c r="N155" s="18">
        <f>IFERROR(__xludf.DUMMYFUNCTION("""COMPUTED_VALUE"""),1399.93)</f>
        <v>1399.93</v>
      </c>
      <c r="O155" s="18">
        <f>IFERROR(__xludf.DUMMYFUNCTION("""COMPUTED_VALUE"""),1399.32)</f>
        <v>1399.32</v>
      </c>
      <c r="P155" s="22">
        <f>IFERROR(__xludf.DUMMYFUNCTION("""COMPUTED_VALUE"""),9.0)</f>
        <v>9</v>
      </c>
      <c r="Q155" s="18">
        <f>IFERROR(__xludf.DUMMYFUNCTION("""COMPUTED_VALUE"""),12599.37)</f>
        <v>12599.37</v>
      </c>
      <c r="R155" s="18">
        <f>IFERROR(__xludf.DUMMYFUNCTION("""COMPUTED_VALUE"""),11200.050000000001)</f>
        <v>11200.05</v>
      </c>
    </row>
    <row r="156">
      <c r="A156" s="21">
        <f>IFERROR(__xludf.DUMMYFUNCTION("""COMPUTED_VALUE"""),42252.0)</f>
        <v>42252</v>
      </c>
      <c r="B156" s="21" t="str">
        <f>IFERROR(__xludf.DUMMYFUNCTION("""COMPUTED_VALUE"""),"Sep")</f>
        <v>Sep</v>
      </c>
      <c r="C156" s="9">
        <f>IFERROR(__xludf.DUMMYFUNCTION("""COMPUTED_VALUE"""),42139.0)</f>
        <v>42139</v>
      </c>
      <c r="D156" s="23" t="str">
        <f>IFERROR(__xludf.DUMMYFUNCTION("""COMPUTED_VALUE"""),"May")</f>
        <v>May</v>
      </c>
      <c r="E156" s="21" t="str">
        <f>IFERROR(__xludf.DUMMYFUNCTION("""COMPUTED_VALUE"""),"2015")</f>
        <v>2015</v>
      </c>
      <c r="F156" s="22" t="str">
        <f>IFERROR(__xludf.DUMMYFUNCTION("""COMPUTED_VALUE"""),"Standard Class")</f>
        <v>Standard Class</v>
      </c>
      <c r="G156" s="22" t="str">
        <f>IFERROR(__xludf.DUMMYFUNCTION("""COMPUTED_VALUE"""),"Patrick")</f>
        <v>Patrick</v>
      </c>
      <c r="H156" s="22" t="str">
        <f>IFERROR(__xludf.DUMMYFUNCTION("""COMPUTED_VALUE"""),"Gardner")</f>
        <v>Gardner</v>
      </c>
      <c r="I156" s="22" t="str">
        <f>IFERROR(__xludf.DUMMYFUNCTION("""COMPUTED_VALUE"""),"Consumer")</f>
        <v>Consumer</v>
      </c>
      <c r="J156" s="22" t="str">
        <f>IFERROR(__xludf.DUMMYFUNCTION("""COMPUTED_VALUE"""),"San Francisco")</f>
        <v>San Francisco</v>
      </c>
      <c r="K156" s="22" t="str">
        <f>IFERROR(__xludf.DUMMYFUNCTION("""COMPUTED_VALUE"""),"California")</f>
        <v>California</v>
      </c>
      <c r="L156" s="22" t="str">
        <f>IFERROR(__xludf.DUMMYFUNCTION("""COMPUTED_VALUE"""),"West")</f>
        <v>West</v>
      </c>
      <c r="M156" s="22" t="str">
        <f>IFERROR(__xludf.DUMMYFUNCTION("""COMPUTED_VALUE"""),"Technology")</f>
        <v>Technology</v>
      </c>
      <c r="N156" s="18">
        <f>IFERROR(__xludf.DUMMYFUNCTION("""COMPUTED_VALUE"""),67.8)</f>
        <v>67.8</v>
      </c>
      <c r="O156" s="18">
        <f>IFERROR(__xludf.DUMMYFUNCTION("""COMPUTED_VALUE"""),66.82)</f>
        <v>66.82</v>
      </c>
      <c r="P156" s="22">
        <f>IFERROR(__xludf.DUMMYFUNCTION("""COMPUTED_VALUE"""),9.0)</f>
        <v>9</v>
      </c>
      <c r="Q156" s="18">
        <f>IFERROR(__xludf.DUMMYFUNCTION("""COMPUTED_VALUE"""),610.1999999999999)</f>
        <v>610.2</v>
      </c>
      <c r="R156" s="18">
        <f>IFERROR(__xludf.DUMMYFUNCTION("""COMPUTED_VALUE"""),543.3799999999999)</f>
        <v>543.38</v>
      </c>
    </row>
    <row r="157">
      <c r="A157" s="21">
        <f>IFERROR(__xludf.DUMMYFUNCTION("""COMPUTED_VALUE"""),42252.0)</f>
        <v>42252</v>
      </c>
      <c r="B157" s="21" t="str">
        <f>IFERROR(__xludf.DUMMYFUNCTION("""COMPUTED_VALUE"""),"Sep")</f>
        <v>Sep</v>
      </c>
      <c r="C157" s="9">
        <f>IFERROR(__xludf.DUMMYFUNCTION("""COMPUTED_VALUE"""),42139.0)</f>
        <v>42139</v>
      </c>
      <c r="D157" s="23" t="str">
        <f>IFERROR(__xludf.DUMMYFUNCTION("""COMPUTED_VALUE"""),"May")</f>
        <v>May</v>
      </c>
      <c r="E157" s="21" t="str">
        <f>IFERROR(__xludf.DUMMYFUNCTION("""COMPUTED_VALUE"""),"2015")</f>
        <v>2015</v>
      </c>
      <c r="F157" s="22" t="str">
        <f>IFERROR(__xludf.DUMMYFUNCTION("""COMPUTED_VALUE"""),"Standard Class")</f>
        <v>Standard Class</v>
      </c>
      <c r="G157" s="22" t="str">
        <f>IFERROR(__xludf.DUMMYFUNCTION("""COMPUTED_VALUE"""),"Patrick")</f>
        <v>Patrick</v>
      </c>
      <c r="H157" s="22" t="str">
        <f>IFERROR(__xludf.DUMMYFUNCTION("""COMPUTED_VALUE"""),"Gardner")</f>
        <v>Gardner</v>
      </c>
      <c r="I157" s="22" t="str">
        <f>IFERROR(__xludf.DUMMYFUNCTION("""COMPUTED_VALUE"""),"Consumer")</f>
        <v>Consumer</v>
      </c>
      <c r="J157" s="22" t="str">
        <f>IFERROR(__xludf.DUMMYFUNCTION("""COMPUTED_VALUE"""),"San Francisco")</f>
        <v>San Francisco</v>
      </c>
      <c r="K157" s="22" t="str">
        <f>IFERROR(__xludf.DUMMYFUNCTION("""COMPUTED_VALUE"""),"California")</f>
        <v>California</v>
      </c>
      <c r="L157" s="22" t="str">
        <f>IFERROR(__xludf.DUMMYFUNCTION("""COMPUTED_VALUE"""),"West")</f>
        <v>West</v>
      </c>
      <c r="M157" s="22" t="str">
        <f>IFERROR(__xludf.DUMMYFUNCTION("""COMPUTED_VALUE"""),"Technology")</f>
        <v>Technology</v>
      </c>
      <c r="N157" s="18">
        <f>IFERROR(__xludf.DUMMYFUNCTION("""COMPUTED_VALUE"""),167.97)</f>
        <v>167.97</v>
      </c>
      <c r="O157" s="18">
        <f>IFERROR(__xludf.DUMMYFUNCTION("""COMPUTED_VALUE"""),167.06)</f>
        <v>167.06</v>
      </c>
      <c r="P157" s="22">
        <f>IFERROR(__xludf.DUMMYFUNCTION("""COMPUTED_VALUE"""),9.0)</f>
        <v>9</v>
      </c>
      <c r="Q157" s="18">
        <f>IFERROR(__xludf.DUMMYFUNCTION("""COMPUTED_VALUE"""),1511.73)</f>
        <v>1511.73</v>
      </c>
      <c r="R157" s="18">
        <f>IFERROR(__xludf.DUMMYFUNCTION("""COMPUTED_VALUE"""),1344.67)</f>
        <v>1344.67</v>
      </c>
    </row>
    <row r="158">
      <c r="A158" s="21">
        <f>IFERROR(__xludf.DUMMYFUNCTION("""COMPUTED_VALUE"""),42927.0)</f>
        <v>42927</v>
      </c>
      <c r="B158" s="21" t="str">
        <f>IFERROR(__xludf.DUMMYFUNCTION("""COMPUTED_VALUE"""),"Jul")</f>
        <v>Jul</v>
      </c>
      <c r="C158" s="9">
        <f>IFERROR(__xludf.DUMMYFUNCTION("""COMPUTED_VALUE"""),42989.0)</f>
        <v>42989</v>
      </c>
      <c r="D158" s="23" t="str">
        <f>IFERROR(__xludf.DUMMYFUNCTION("""COMPUTED_VALUE"""),"Sep")</f>
        <v>Sep</v>
      </c>
      <c r="E158" s="21" t="str">
        <f>IFERROR(__xludf.DUMMYFUNCTION("""COMPUTED_VALUE"""),"2017")</f>
        <v>2017</v>
      </c>
      <c r="F158" s="22" t="str">
        <f>IFERROR(__xludf.DUMMYFUNCTION("""COMPUTED_VALUE"""),"First Class")</f>
        <v>First Class</v>
      </c>
      <c r="G158" s="22" t="str">
        <f>IFERROR(__xludf.DUMMYFUNCTION("""COMPUTED_VALUE"""),"Eudokia")</f>
        <v>Eudokia</v>
      </c>
      <c r="H158" s="22" t="str">
        <f>IFERROR(__xludf.DUMMYFUNCTION("""COMPUTED_VALUE"""),"Martin")</f>
        <v>Martin</v>
      </c>
      <c r="I158" s="22" t="str">
        <f>IFERROR(__xludf.DUMMYFUNCTION("""COMPUTED_VALUE"""),"Corporate")</f>
        <v>Corporate</v>
      </c>
      <c r="J158" s="22" t="str">
        <f>IFERROR(__xludf.DUMMYFUNCTION("""COMPUTED_VALUE"""),"Los Angeles")</f>
        <v>Los Angeles</v>
      </c>
      <c r="K158" s="22" t="str">
        <f>IFERROR(__xludf.DUMMYFUNCTION("""COMPUTED_VALUE"""),"California")</f>
        <v>California</v>
      </c>
      <c r="L158" s="22" t="str">
        <f>IFERROR(__xludf.DUMMYFUNCTION("""COMPUTED_VALUE"""),"West")</f>
        <v>West</v>
      </c>
      <c r="M158" s="22" t="str">
        <f>IFERROR(__xludf.DUMMYFUNCTION("""COMPUTED_VALUE"""),"Office Supplies")</f>
        <v>Office Supplies</v>
      </c>
      <c r="N158" s="18">
        <f>IFERROR(__xludf.DUMMYFUNCTION("""COMPUTED_VALUE"""),37.44)</f>
        <v>37.44</v>
      </c>
      <c r="O158" s="18">
        <f>IFERROR(__xludf.DUMMYFUNCTION("""COMPUTED_VALUE"""),37.17)</f>
        <v>37.17</v>
      </c>
      <c r="P158" s="22">
        <f>IFERROR(__xludf.DUMMYFUNCTION("""COMPUTED_VALUE"""),9.0)</f>
        <v>9</v>
      </c>
      <c r="Q158" s="18">
        <f>IFERROR(__xludf.DUMMYFUNCTION("""COMPUTED_VALUE"""),336.96)</f>
        <v>336.96</v>
      </c>
      <c r="R158" s="18">
        <f>IFERROR(__xludf.DUMMYFUNCTION("""COMPUTED_VALUE"""),299.78999999999996)</f>
        <v>299.79</v>
      </c>
    </row>
    <row r="159">
      <c r="A159" s="21">
        <f>IFERROR(__xludf.DUMMYFUNCTION("""COMPUTED_VALUE"""),42927.0)</f>
        <v>42927</v>
      </c>
      <c r="B159" s="21" t="str">
        <f>IFERROR(__xludf.DUMMYFUNCTION("""COMPUTED_VALUE"""),"Jul")</f>
        <v>Jul</v>
      </c>
      <c r="C159" s="9">
        <f>IFERROR(__xludf.DUMMYFUNCTION("""COMPUTED_VALUE"""),42989.0)</f>
        <v>42989</v>
      </c>
      <c r="D159" s="23" t="str">
        <f>IFERROR(__xludf.DUMMYFUNCTION("""COMPUTED_VALUE"""),"Sep")</f>
        <v>Sep</v>
      </c>
      <c r="E159" s="21" t="str">
        <f>IFERROR(__xludf.DUMMYFUNCTION("""COMPUTED_VALUE"""),"2017")</f>
        <v>2017</v>
      </c>
      <c r="F159" s="22" t="str">
        <f>IFERROR(__xludf.DUMMYFUNCTION("""COMPUTED_VALUE"""),"First Class")</f>
        <v>First Class</v>
      </c>
      <c r="G159" s="22" t="str">
        <f>IFERROR(__xludf.DUMMYFUNCTION("""COMPUTED_VALUE"""),"Eudokia")</f>
        <v>Eudokia</v>
      </c>
      <c r="H159" s="22" t="str">
        <f>IFERROR(__xludf.DUMMYFUNCTION("""COMPUTED_VALUE"""),"Martin")</f>
        <v>Martin</v>
      </c>
      <c r="I159" s="22" t="str">
        <f>IFERROR(__xludf.DUMMYFUNCTION("""COMPUTED_VALUE"""),"Corporate")</f>
        <v>Corporate</v>
      </c>
      <c r="J159" s="22" t="str">
        <f>IFERROR(__xludf.DUMMYFUNCTION("""COMPUTED_VALUE"""),"Los Angeles")</f>
        <v>Los Angeles</v>
      </c>
      <c r="K159" s="22" t="str">
        <f>IFERROR(__xludf.DUMMYFUNCTION("""COMPUTED_VALUE"""),"California")</f>
        <v>California</v>
      </c>
      <c r="L159" s="22" t="str">
        <f>IFERROR(__xludf.DUMMYFUNCTION("""COMPUTED_VALUE"""),"West")</f>
        <v>West</v>
      </c>
      <c r="M159" s="22" t="str">
        <f>IFERROR(__xludf.DUMMYFUNCTION("""COMPUTED_VALUE"""),"Office Supplies")</f>
        <v>Office Supplies</v>
      </c>
      <c r="N159" s="18">
        <f>IFERROR(__xludf.DUMMYFUNCTION("""COMPUTED_VALUE"""),26.976)</f>
        <v>26.976</v>
      </c>
      <c r="O159" s="18">
        <f>IFERROR(__xludf.DUMMYFUNCTION("""COMPUTED_VALUE"""),26.22)</f>
        <v>26.22</v>
      </c>
      <c r="P159" s="22">
        <f>IFERROR(__xludf.DUMMYFUNCTION("""COMPUTED_VALUE"""),9.0)</f>
        <v>9</v>
      </c>
      <c r="Q159" s="18">
        <f>IFERROR(__xludf.DUMMYFUNCTION("""COMPUTED_VALUE"""),242.784)</f>
        <v>242.784</v>
      </c>
      <c r="R159" s="18">
        <f>IFERROR(__xludf.DUMMYFUNCTION("""COMPUTED_VALUE"""),216.564)</f>
        <v>216.564</v>
      </c>
    </row>
    <row r="160">
      <c r="A160" s="21">
        <f>IFERROR(__xludf.DUMMYFUNCTION("""COMPUTED_VALUE"""),42927.0)</f>
        <v>42927</v>
      </c>
      <c r="B160" s="21" t="str">
        <f>IFERROR(__xludf.DUMMYFUNCTION("""COMPUTED_VALUE"""),"Jul")</f>
        <v>Jul</v>
      </c>
      <c r="C160" s="9">
        <f>IFERROR(__xludf.DUMMYFUNCTION("""COMPUTED_VALUE"""),42989.0)</f>
        <v>42989</v>
      </c>
      <c r="D160" s="23" t="str">
        <f>IFERROR(__xludf.DUMMYFUNCTION("""COMPUTED_VALUE"""),"Sep")</f>
        <v>Sep</v>
      </c>
      <c r="E160" s="21" t="str">
        <f>IFERROR(__xludf.DUMMYFUNCTION("""COMPUTED_VALUE"""),"2017")</f>
        <v>2017</v>
      </c>
      <c r="F160" s="22" t="str">
        <f>IFERROR(__xludf.DUMMYFUNCTION("""COMPUTED_VALUE"""),"First Class")</f>
        <v>First Class</v>
      </c>
      <c r="G160" s="22" t="str">
        <f>IFERROR(__xludf.DUMMYFUNCTION("""COMPUTED_VALUE"""),"Eudokia")</f>
        <v>Eudokia</v>
      </c>
      <c r="H160" s="22" t="str">
        <f>IFERROR(__xludf.DUMMYFUNCTION("""COMPUTED_VALUE"""),"Martin")</f>
        <v>Martin</v>
      </c>
      <c r="I160" s="22" t="str">
        <f>IFERROR(__xludf.DUMMYFUNCTION("""COMPUTED_VALUE"""),"Corporate")</f>
        <v>Corporate</v>
      </c>
      <c r="J160" s="22" t="str">
        <f>IFERROR(__xludf.DUMMYFUNCTION("""COMPUTED_VALUE"""),"Los Angeles")</f>
        <v>Los Angeles</v>
      </c>
      <c r="K160" s="22" t="str">
        <f>IFERROR(__xludf.DUMMYFUNCTION("""COMPUTED_VALUE"""),"California")</f>
        <v>California</v>
      </c>
      <c r="L160" s="22" t="str">
        <f>IFERROR(__xludf.DUMMYFUNCTION("""COMPUTED_VALUE"""),"West")</f>
        <v>West</v>
      </c>
      <c r="M160" s="22" t="str">
        <f>IFERROR(__xludf.DUMMYFUNCTION("""COMPUTED_VALUE"""),"Office Supplies")</f>
        <v>Office Supplies</v>
      </c>
      <c r="N160" s="18">
        <f>IFERROR(__xludf.DUMMYFUNCTION("""COMPUTED_VALUE"""),11.36)</f>
        <v>11.36</v>
      </c>
      <c r="O160" s="18">
        <f>IFERROR(__xludf.DUMMYFUNCTION("""COMPUTED_VALUE"""),11.28)</f>
        <v>11.28</v>
      </c>
      <c r="P160" s="22">
        <f>IFERROR(__xludf.DUMMYFUNCTION("""COMPUTED_VALUE"""),9.0)</f>
        <v>9</v>
      </c>
      <c r="Q160" s="18">
        <f>IFERROR(__xludf.DUMMYFUNCTION("""COMPUTED_VALUE"""),102.24)</f>
        <v>102.24</v>
      </c>
      <c r="R160" s="18">
        <f>IFERROR(__xludf.DUMMYFUNCTION("""COMPUTED_VALUE"""),90.96)</f>
        <v>90.96</v>
      </c>
    </row>
    <row r="161">
      <c r="A161" s="21">
        <f>IFERROR(__xludf.DUMMYFUNCTION("""COMPUTED_VALUE"""),42927.0)</f>
        <v>42927</v>
      </c>
      <c r="B161" s="21" t="str">
        <f>IFERROR(__xludf.DUMMYFUNCTION("""COMPUTED_VALUE"""),"Jul")</f>
        <v>Jul</v>
      </c>
      <c r="C161" s="9">
        <f>IFERROR(__xludf.DUMMYFUNCTION("""COMPUTED_VALUE"""),42989.0)</f>
        <v>42989</v>
      </c>
      <c r="D161" s="23" t="str">
        <f>IFERROR(__xludf.DUMMYFUNCTION("""COMPUTED_VALUE"""),"Sep")</f>
        <v>Sep</v>
      </c>
      <c r="E161" s="21" t="str">
        <f>IFERROR(__xludf.DUMMYFUNCTION("""COMPUTED_VALUE"""),"2017")</f>
        <v>2017</v>
      </c>
      <c r="F161" s="22" t="str">
        <f>IFERROR(__xludf.DUMMYFUNCTION("""COMPUTED_VALUE"""),"First Class")</f>
        <v>First Class</v>
      </c>
      <c r="G161" s="22" t="str">
        <f>IFERROR(__xludf.DUMMYFUNCTION("""COMPUTED_VALUE"""),"Eudokia")</f>
        <v>Eudokia</v>
      </c>
      <c r="H161" s="22" t="str">
        <f>IFERROR(__xludf.DUMMYFUNCTION("""COMPUTED_VALUE"""),"Martin")</f>
        <v>Martin</v>
      </c>
      <c r="I161" s="22" t="str">
        <f>IFERROR(__xludf.DUMMYFUNCTION("""COMPUTED_VALUE"""),"Corporate")</f>
        <v>Corporate</v>
      </c>
      <c r="J161" s="22" t="str">
        <f>IFERROR(__xludf.DUMMYFUNCTION("""COMPUTED_VALUE"""),"Los Angeles")</f>
        <v>Los Angeles</v>
      </c>
      <c r="K161" s="22" t="str">
        <f>IFERROR(__xludf.DUMMYFUNCTION("""COMPUTED_VALUE"""),"California")</f>
        <v>California</v>
      </c>
      <c r="L161" s="22" t="str">
        <f>IFERROR(__xludf.DUMMYFUNCTION("""COMPUTED_VALUE"""),"West")</f>
        <v>West</v>
      </c>
      <c r="M161" s="22" t="str">
        <f>IFERROR(__xludf.DUMMYFUNCTION("""COMPUTED_VALUE"""),"Office Supplies")</f>
        <v>Office Supplies</v>
      </c>
      <c r="N161" s="18">
        <f>IFERROR(__xludf.DUMMYFUNCTION("""COMPUTED_VALUE"""),14.62)</f>
        <v>14.62</v>
      </c>
      <c r="O161" s="18">
        <f>IFERROR(__xludf.DUMMYFUNCTION("""COMPUTED_VALUE"""),14.55)</f>
        <v>14.55</v>
      </c>
      <c r="P161" s="22">
        <f>IFERROR(__xludf.DUMMYFUNCTION("""COMPUTED_VALUE"""),9.0)</f>
        <v>9</v>
      </c>
      <c r="Q161" s="18">
        <f>IFERROR(__xludf.DUMMYFUNCTION("""COMPUTED_VALUE"""),131.57999999999998)</f>
        <v>131.58</v>
      </c>
      <c r="R161" s="18">
        <f>IFERROR(__xludf.DUMMYFUNCTION("""COMPUTED_VALUE"""),117.02999999999999)</f>
        <v>117.03</v>
      </c>
    </row>
    <row r="162">
      <c r="A162" s="21">
        <f>IFERROR(__xludf.DUMMYFUNCTION("""COMPUTED_VALUE"""),42906.0)</f>
        <v>42906</v>
      </c>
      <c r="B162" s="21" t="str">
        <f>IFERROR(__xludf.DUMMYFUNCTION("""COMPUTED_VALUE"""),"Jun")</f>
        <v>Jun</v>
      </c>
      <c r="C162" s="9">
        <f>IFERROR(__xludf.DUMMYFUNCTION("""COMPUTED_VALUE"""),42911.0)</f>
        <v>42911</v>
      </c>
      <c r="D162" s="23" t="str">
        <f>IFERROR(__xludf.DUMMYFUNCTION("""COMPUTED_VALUE"""),"Jun")</f>
        <v>Jun</v>
      </c>
      <c r="E162" s="21" t="str">
        <f>IFERROR(__xludf.DUMMYFUNCTION("""COMPUTED_VALUE"""),"2017")</f>
        <v>2017</v>
      </c>
      <c r="F162" s="22" t="str">
        <f>IFERROR(__xludf.DUMMYFUNCTION("""COMPUTED_VALUE"""),"Second Class")</f>
        <v>Second Class</v>
      </c>
      <c r="G162" s="22" t="str">
        <f>IFERROR(__xludf.DUMMYFUNCTION("""COMPUTED_VALUE"""),"Dave")</f>
        <v>Dave</v>
      </c>
      <c r="H162" s="22" t="str">
        <f>IFERROR(__xludf.DUMMYFUNCTION("""COMPUTED_VALUE"""),"Poirier")</f>
        <v>Poirier</v>
      </c>
      <c r="I162" s="22" t="str">
        <f>IFERROR(__xludf.DUMMYFUNCTION("""COMPUTED_VALUE"""),"Corporate")</f>
        <v>Corporate</v>
      </c>
      <c r="J162" s="22" t="str">
        <f>IFERROR(__xludf.DUMMYFUNCTION("""COMPUTED_VALUE"""),"Salinas")</f>
        <v>Salinas</v>
      </c>
      <c r="K162" s="22" t="str">
        <f>IFERROR(__xludf.DUMMYFUNCTION("""COMPUTED_VALUE"""),"California")</f>
        <v>California</v>
      </c>
      <c r="L162" s="22" t="str">
        <f>IFERROR(__xludf.DUMMYFUNCTION("""COMPUTED_VALUE"""),"West")</f>
        <v>West</v>
      </c>
      <c r="M162" s="22" t="str">
        <f>IFERROR(__xludf.DUMMYFUNCTION("""COMPUTED_VALUE"""),"Office Supplies")</f>
        <v>Office Supplies</v>
      </c>
      <c r="N162" s="18">
        <f>IFERROR(__xludf.DUMMYFUNCTION("""COMPUTED_VALUE"""),5.16)</f>
        <v>5.16</v>
      </c>
      <c r="O162" s="18">
        <f>IFERROR(__xludf.DUMMYFUNCTION("""COMPUTED_VALUE"""),5.02)</f>
        <v>5.02</v>
      </c>
      <c r="P162" s="22">
        <f>IFERROR(__xludf.DUMMYFUNCTION("""COMPUTED_VALUE"""),9.0)</f>
        <v>9</v>
      </c>
      <c r="Q162" s="18">
        <f>IFERROR(__xludf.DUMMYFUNCTION("""COMPUTED_VALUE"""),46.44)</f>
        <v>46.44</v>
      </c>
      <c r="R162" s="18">
        <f>IFERROR(__xludf.DUMMYFUNCTION("""COMPUTED_VALUE"""),41.42)</f>
        <v>41.42</v>
      </c>
    </row>
    <row r="163">
      <c r="A163" s="21">
        <f>IFERROR(__xludf.DUMMYFUNCTION("""COMPUTED_VALUE"""),42906.0)</f>
        <v>42906</v>
      </c>
      <c r="B163" s="21" t="str">
        <f>IFERROR(__xludf.DUMMYFUNCTION("""COMPUTED_VALUE"""),"Jun")</f>
        <v>Jun</v>
      </c>
      <c r="C163" s="9">
        <f>IFERROR(__xludf.DUMMYFUNCTION("""COMPUTED_VALUE"""),42911.0)</f>
        <v>42911</v>
      </c>
      <c r="D163" s="23" t="str">
        <f>IFERROR(__xludf.DUMMYFUNCTION("""COMPUTED_VALUE"""),"Jun")</f>
        <v>Jun</v>
      </c>
      <c r="E163" s="21" t="str">
        <f>IFERROR(__xludf.DUMMYFUNCTION("""COMPUTED_VALUE"""),"2017")</f>
        <v>2017</v>
      </c>
      <c r="F163" s="22" t="str">
        <f>IFERROR(__xludf.DUMMYFUNCTION("""COMPUTED_VALUE"""),"Second Class")</f>
        <v>Second Class</v>
      </c>
      <c r="G163" s="22" t="str">
        <f>IFERROR(__xludf.DUMMYFUNCTION("""COMPUTED_VALUE"""),"Dave")</f>
        <v>Dave</v>
      </c>
      <c r="H163" s="22" t="str">
        <f>IFERROR(__xludf.DUMMYFUNCTION("""COMPUTED_VALUE"""),"Poirier")</f>
        <v>Poirier</v>
      </c>
      <c r="I163" s="22" t="str">
        <f>IFERROR(__xludf.DUMMYFUNCTION("""COMPUTED_VALUE"""),"Corporate")</f>
        <v>Corporate</v>
      </c>
      <c r="J163" s="22" t="str">
        <f>IFERROR(__xludf.DUMMYFUNCTION("""COMPUTED_VALUE"""),"Salinas")</f>
        <v>Salinas</v>
      </c>
      <c r="K163" s="22" t="str">
        <f>IFERROR(__xludf.DUMMYFUNCTION("""COMPUTED_VALUE"""),"California")</f>
        <v>California</v>
      </c>
      <c r="L163" s="22" t="str">
        <f>IFERROR(__xludf.DUMMYFUNCTION("""COMPUTED_VALUE"""),"West")</f>
        <v>West</v>
      </c>
      <c r="M163" s="22" t="str">
        <f>IFERROR(__xludf.DUMMYFUNCTION("""COMPUTED_VALUE"""),"Office Supplies")</f>
        <v>Office Supplies</v>
      </c>
      <c r="N163" s="18">
        <f>IFERROR(__xludf.DUMMYFUNCTION("""COMPUTED_VALUE"""),38.88)</f>
        <v>38.88</v>
      </c>
      <c r="O163" s="18">
        <f>IFERROR(__xludf.DUMMYFUNCTION("""COMPUTED_VALUE"""),38.86)</f>
        <v>38.86</v>
      </c>
      <c r="P163" s="22">
        <f>IFERROR(__xludf.DUMMYFUNCTION("""COMPUTED_VALUE"""),9.0)</f>
        <v>9</v>
      </c>
      <c r="Q163" s="18">
        <f>IFERROR(__xludf.DUMMYFUNCTION("""COMPUTED_VALUE"""),349.92)</f>
        <v>349.92</v>
      </c>
      <c r="R163" s="18">
        <f>IFERROR(__xludf.DUMMYFUNCTION("""COMPUTED_VALUE"""),311.06)</f>
        <v>311.06</v>
      </c>
    </row>
    <row r="164">
      <c r="A164" s="21">
        <f>IFERROR(__xludf.DUMMYFUNCTION("""COMPUTED_VALUE"""),42253.0)</f>
        <v>42253</v>
      </c>
      <c r="B164" s="21" t="str">
        <f>IFERROR(__xludf.DUMMYFUNCTION("""COMPUTED_VALUE"""),"Sep")</f>
        <v>Sep</v>
      </c>
      <c r="C164" s="9">
        <f>IFERROR(__xludf.DUMMYFUNCTION("""COMPUTED_VALUE"""),42171.0)</f>
        <v>42171</v>
      </c>
      <c r="D164" s="23" t="str">
        <f>IFERROR(__xludf.DUMMYFUNCTION("""COMPUTED_VALUE"""),"Jun")</f>
        <v>Jun</v>
      </c>
      <c r="E164" s="21" t="str">
        <f>IFERROR(__xludf.DUMMYFUNCTION("""COMPUTED_VALUE"""),"2015")</f>
        <v>2015</v>
      </c>
      <c r="F164" s="22" t="str">
        <f>IFERROR(__xludf.DUMMYFUNCTION("""COMPUTED_VALUE"""),"Standard Class")</f>
        <v>Standard Class</v>
      </c>
      <c r="G164" s="22" t="str">
        <f>IFERROR(__xludf.DUMMYFUNCTION("""COMPUTED_VALUE"""),"Chuck")</f>
        <v>Chuck</v>
      </c>
      <c r="H164" s="22" t="str">
        <f>IFERROR(__xludf.DUMMYFUNCTION("""COMPUTED_VALUE"""),"Magee")</f>
        <v>Magee</v>
      </c>
      <c r="I164" s="22" t="str">
        <f>IFERROR(__xludf.DUMMYFUNCTION("""COMPUTED_VALUE"""),"Consumer")</f>
        <v>Consumer</v>
      </c>
      <c r="J164" s="22" t="str">
        <f>IFERROR(__xludf.DUMMYFUNCTION("""COMPUTED_VALUE"""),"San Francisco")</f>
        <v>San Francisco</v>
      </c>
      <c r="K164" s="22" t="str">
        <f>IFERROR(__xludf.DUMMYFUNCTION("""COMPUTED_VALUE"""),"California")</f>
        <v>California</v>
      </c>
      <c r="L164" s="22" t="str">
        <f>IFERROR(__xludf.DUMMYFUNCTION("""COMPUTED_VALUE"""),"West")</f>
        <v>West</v>
      </c>
      <c r="M164" s="22" t="str">
        <f>IFERROR(__xludf.DUMMYFUNCTION("""COMPUTED_VALUE"""),"Office Supplies")</f>
        <v>Office Supplies</v>
      </c>
      <c r="N164" s="18">
        <f>IFERROR(__xludf.DUMMYFUNCTION("""COMPUTED_VALUE"""),7.36)</f>
        <v>7.36</v>
      </c>
      <c r="O164" s="18">
        <f>IFERROR(__xludf.DUMMYFUNCTION("""COMPUTED_VALUE"""),6.7)</f>
        <v>6.7</v>
      </c>
      <c r="P164" s="22">
        <f>IFERROR(__xludf.DUMMYFUNCTION("""COMPUTED_VALUE"""),9.0)</f>
        <v>9</v>
      </c>
      <c r="Q164" s="18">
        <f>IFERROR(__xludf.DUMMYFUNCTION("""COMPUTED_VALUE"""),66.24000000000001)</f>
        <v>66.24</v>
      </c>
      <c r="R164" s="18">
        <f>IFERROR(__xludf.DUMMYFUNCTION("""COMPUTED_VALUE"""),59.540000000000006)</f>
        <v>59.54</v>
      </c>
    </row>
    <row r="165">
      <c r="A165" s="21">
        <f>IFERROR(__xludf.DUMMYFUNCTION("""COMPUTED_VALUE"""),42253.0)</f>
        <v>42253</v>
      </c>
      <c r="B165" s="21" t="str">
        <f>IFERROR(__xludf.DUMMYFUNCTION("""COMPUTED_VALUE"""),"Sep")</f>
        <v>Sep</v>
      </c>
      <c r="C165" s="9">
        <f>IFERROR(__xludf.DUMMYFUNCTION("""COMPUTED_VALUE"""),42171.0)</f>
        <v>42171</v>
      </c>
      <c r="D165" s="23" t="str">
        <f>IFERROR(__xludf.DUMMYFUNCTION("""COMPUTED_VALUE"""),"Jun")</f>
        <v>Jun</v>
      </c>
      <c r="E165" s="21" t="str">
        <f>IFERROR(__xludf.DUMMYFUNCTION("""COMPUTED_VALUE"""),"2015")</f>
        <v>2015</v>
      </c>
      <c r="F165" s="22" t="str">
        <f>IFERROR(__xludf.DUMMYFUNCTION("""COMPUTED_VALUE"""),"Standard Class")</f>
        <v>Standard Class</v>
      </c>
      <c r="G165" s="22" t="str">
        <f>IFERROR(__xludf.DUMMYFUNCTION("""COMPUTED_VALUE"""),"Chuck")</f>
        <v>Chuck</v>
      </c>
      <c r="H165" s="22" t="str">
        <f>IFERROR(__xludf.DUMMYFUNCTION("""COMPUTED_VALUE"""),"Magee")</f>
        <v>Magee</v>
      </c>
      <c r="I165" s="22" t="str">
        <f>IFERROR(__xludf.DUMMYFUNCTION("""COMPUTED_VALUE"""),"Consumer")</f>
        <v>Consumer</v>
      </c>
      <c r="J165" s="22" t="str">
        <f>IFERROR(__xludf.DUMMYFUNCTION("""COMPUTED_VALUE"""),"San Francisco")</f>
        <v>San Francisco</v>
      </c>
      <c r="K165" s="22" t="str">
        <f>IFERROR(__xludf.DUMMYFUNCTION("""COMPUTED_VALUE"""),"California")</f>
        <v>California</v>
      </c>
      <c r="L165" s="22" t="str">
        <f>IFERROR(__xludf.DUMMYFUNCTION("""COMPUTED_VALUE"""),"West")</f>
        <v>West</v>
      </c>
      <c r="M165" s="22" t="str">
        <f>IFERROR(__xludf.DUMMYFUNCTION("""COMPUTED_VALUE"""),"Office Supplies")</f>
        <v>Office Supplies</v>
      </c>
      <c r="N165" s="18">
        <f>IFERROR(__xludf.DUMMYFUNCTION("""COMPUTED_VALUE"""),23.1)</f>
        <v>23.1</v>
      </c>
      <c r="O165" s="18">
        <f>IFERROR(__xludf.DUMMYFUNCTION("""COMPUTED_VALUE"""),22.15)</f>
        <v>22.15</v>
      </c>
      <c r="P165" s="22">
        <f>IFERROR(__xludf.DUMMYFUNCTION("""COMPUTED_VALUE"""),9.0)</f>
        <v>9</v>
      </c>
      <c r="Q165" s="18">
        <f>IFERROR(__xludf.DUMMYFUNCTION("""COMPUTED_VALUE"""),207.9)</f>
        <v>207.9</v>
      </c>
      <c r="R165" s="18">
        <f>IFERROR(__xludf.DUMMYFUNCTION("""COMPUTED_VALUE"""),185.75)</f>
        <v>185.75</v>
      </c>
    </row>
    <row r="166">
      <c r="A166" s="21">
        <f>IFERROR(__xludf.DUMMYFUNCTION("""COMPUTED_VALUE"""),43457.0)</f>
        <v>43457</v>
      </c>
      <c r="B166" s="21" t="str">
        <f>IFERROR(__xludf.DUMMYFUNCTION("""COMPUTED_VALUE"""),"Dec")</f>
        <v>Dec</v>
      </c>
      <c r="C166" s="9">
        <f>IFERROR(__xludf.DUMMYFUNCTION("""COMPUTED_VALUE"""),43457.0)</f>
        <v>43457</v>
      </c>
      <c r="D166" s="23" t="str">
        <f>IFERROR(__xludf.DUMMYFUNCTION("""COMPUTED_VALUE"""),"Dec")</f>
        <v>Dec</v>
      </c>
      <c r="E166" s="21" t="str">
        <f>IFERROR(__xludf.DUMMYFUNCTION("""COMPUTED_VALUE"""),"2018")</f>
        <v>2018</v>
      </c>
      <c r="F166" s="22" t="str">
        <f>IFERROR(__xludf.DUMMYFUNCTION("""COMPUTED_VALUE"""),"Same Day")</f>
        <v>Same Day</v>
      </c>
      <c r="G166" s="22" t="str">
        <f>IFERROR(__xludf.DUMMYFUNCTION("""COMPUTED_VALUE"""),"Gary")</f>
        <v>Gary</v>
      </c>
      <c r="H166" s="22" t="str">
        <f>IFERROR(__xludf.DUMMYFUNCTION("""COMPUTED_VALUE"""),"Zandusky")</f>
        <v>Zandusky</v>
      </c>
      <c r="I166" s="22" t="str">
        <f>IFERROR(__xludf.DUMMYFUNCTION("""COMPUTED_VALUE"""),"Consumer")</f>
        <v>Consumer</v>
      </c>
      <c r="J166" s="22" t="str">
        <f>IFERROR(__xludf.DUMMYFUNCTION("""COMPUTED_VALUE"""),"San Francisco")</f>
        <v>San Francisco</v>
      </c>
      <c r="K166" s="22" t="str">
        <f>IFERROR(__xludf.DUMMYFUNCTION("""COMPUTED_VALUE"""),"California")</f>
        <v>California</v>
      </c>
      <c r="L166" s="22" t="str">
        <f>IFERROR(__xludf.DUMMYFUNCTION("""COMPUTED_VALUE"""),"West")</f>
        <v>West</v>
      </c>
      <c r="M166" s="22" t="str">
        <f>IFERROR(__xludf.DUMMYFUNCTION("""COMPUTED_VALUE"""),"Office Supplies")</f>
        <v>Office Supplies</v>
      </c>
      <c r="N166" s="18">
        <f>IFERROR(__xludf.DUMMYFUNCTION("""COMPUTED_VALUE"""),13.48)</f>
        <v>13.48</v>
      </c>
      <c r="O166" s="18">
        <f>IFERROR(__xludf.DUMMYFUNCTION("""COMPUTED_VALUE"""),12.5)</f>
        <v>12.5</v>
      </c>
      <c r="P166" s="22">
        <f>IFERROR(__xludf.DUMMYFUNCTION("""COMPUTED_VALUE"""),9.0)</f>
        <v>9</v>
      </c>
      <c r="Q166" s="18">
        <f>IFERROR(__xludf.DUMMYFUNCTION("""COMPUTED_VALUE"""),121.32000000000001)</f>
        <v>121.32</v>
      </c>
      <c r="R166" s="18">
        <f>IFERROR(__xludf.DUMMYFUNCTION("""COMPUTED_VALUE"""),108.82000000000001)</f>
        <v>108.82</v>
      </c>
    </row>
    <row r="167">
      <c r="A167" s="21">
        <f>IFERROR(__xludf.DUMMYFUNCTION("""COMPUTED_VALUE"""),42485.0)</f>
        <v>42485</v>
      </c>
      <c r="B167" s="21" t="str">
        <f>IFERROR(__xludf.DUMMYFUNCTION("""COMPUTED_VALUE"""),"Apr")</f>
        <v>Apr</v>
      </c>
      <c r="C167" s="9">
        <f>IFERROR(__xludf.DUMMYFUNCTION("""COMPUTED_VALUE"""),42488.0)</f>
        <v>42488</v>
      </c>
      <c r="D167" s="23" t="str">
        <f>IFERROR(__xludf.DUMMYFUNCTION("""COMPUTED_VALUE"""),"Apr")</f>
        <v>Apr</v>
      </c>
      <c r="E167" s="21" t="str">
        <f>IFERROR(__xludf.DUMMYFUNCTION("""COMPUTED_VALUE"""),"2016")</f>
        <v>2016</v>
      </c>
      <c r="F167" s="22" t="str">
        <f>IFERROR(__xludf.DUMMYFUNCTION("""COMPUTED_VALUE"""),"Second Class")</f>
        <v>Second Class</v>
      </c>
      <c r="G167" s="22" t="str">
        <f>IFERROR(__xludf.DUMMYFUNCTION("""COMPUTED_VALUE"""),"Jill")</f>
        <v>Jill</v>
      </c>
      <c r="H167" s="22" t="str">
        <f>IFERROR(__xludf.DUMMYFUNCTION("""COMPUTED_VALUE"""),"Stevenson")</f>
        <v>Stevenson</v>
      </c>
      <c r="I167" s="22" t="str">
        <f>IFERROR(__xludf.DUMMYFUNCTION("""COMPUTED_VALUE"""),"Corporate")</f>
        <v>Corporate</v>
      </c>
      <c r="J167" s="22" t="str">
        <f>IFERROR(__xludf.DUMMYFUNCTION("""COMPUTED_VALUE"""),"Los Angeles")</f>
        <v>Los Angeles</v>
      </c>
      <c r="K167" s="22" t="str">
        <f>IFERROR(__xludf.DUMMYFUNCTION("""COMPUTED_VALUE"""),"California")</f>
        <v>California</v>
      </c>
      <c r="L167" s="22" t="str">
        <f>IFERROR(__xludf.DUMMYFUNCTION("""COMPUTED_VALUE"""),"West")</f>
        <v>West</v>
      </c>
      <c r="M167" s="22" t="str">
        <f>IFERROR(__xludf.DUMMYFUNCTION("""COMPUTED_VALUE"""),"Office Supplies")</f>
        <v>Office Supplies</v>
      </c>
      <c r="N167" s="18">
        <f>IFERROR(__xludf.DUMMYFUNCTION("""COMPUTED_VALUE"""),13.944)</f>
        <v>13.944</v>
      </c>
      <c r="O167" s="18">
        <f>IFERROR(__xludf.DUMMYFUNCTION("""COMPUTED_VALUE"""),13.63)</f>
        <v>13.63</v>
      </c>
      <c r="P167" s="22">
        <f>IFERROR(__xludf.DUMMYFUNCTION("""COMPUTED_VALUE"""),9.0)</f>
        <v>9</v>
      </c>
      <c r="Q167" s="18">
        <f>IFERROR(__xludf.DUMMYFUNCTION("""COMPUTED_VALUE"""),125.49600000000001)</f>
        <v>125.496</v>
      </c>
      <c r="R167" s="18">
        <f>IFERROR(__xludf.DUMMYFUNCTION("""COMPUTED_VALUE"""),111.86600000000001)</f>
        <v>111.866</v>
      </c>
    </row>
    <row r="168">
      <c r="A168" s="21">
        <f>IFERROR(__xludf.DUMMYFUNCTION("""COMPUTED_VALUE"""),43277.0)</f>
        <v>43277</v>
      </c>
      <c r="B168" s="21" t="str">
        <f>IFERROR(__xludf.DUMMYFUNCTION("""COMPUTED_VALUE"""),"Jun")</f>
        <v>Jun</v>
      </c>
      <c r="C168" s="9">
        <f>IFERROR(__xludf.DUMMYFUNCTION("""COMPUTED_VALUE"""),43138.0)</f>
        <v>43138</v>
      </c>
      <c r="D168" s="23" t="str">
        <f>IFERROR(__xludf.DUMMYFUNCTION("""COMPUTED_VALUE"""),"Feb")</f>
        <v>Feb</v>
      </c>
      <c r="E168" s="21" t="str">
        <f>IFERROR(__xludf.DUMMYFUNCTION("""COMPUTED_VALUE"""),"2018")</f>
        <v>2018</v>
      </c>
      <c r="F168" s="22" t="str">
        <f>IFERROR(__xludf.DUMMYFUNCTION("""COMPUTED_VALUE"""),"Standard Class")</f>
        <v>Standard Class</v>
      </c>
      <c r="G168" s="22" t="str">
        <f>IFERROR(__xludf.DUMMYFUNCTION("""COMPUTED_VALUE"""),"Olvera")</f>
        <v>Olvera</v>
      </c>
      <c r="H168" s="22" t="str">
        <f>IFERROR(__xludf.DUMMYFUNCTION("""COMPUTED_VALUE"""),"Toch")</f>
        <v>Toch</v>
      </c>
      <c r="I168" s="22" t="str">
        <f>IFERROR(__xludf.DUMMYFUNCTION("""COMPUTED_VALUE"""),"Consumer")</f>
        <v>Consumer</v>
      </c>
      <c r="J168" s="22" t="str">
        <f>IFERROR(__xludf.DUMMYFUNCTION("""COMPUTED_VALUE"""),"San Diego")</f>
        <v>San Diego</v>
      </c>
      <c r="K168" s="22" t="str">
        <f>IFERROR(__xludf.DUMMYFUNCTION("""COMPUTED_VALUE"""),"California")</f>
        <v>California</v>
      </c>
      <c r="L168" s="22" t="str">
        <f>IFERROR(__xludf.DUMMYFUNCTION("""COMPUTED_VALUE"""),"West")</f>
        <v>West</v>
      </c>
      <c r="M168" s="22" t="str">
        <f>IFERROR(__xludf.DUMMYFUNCTION("""COMPUTED_VALUE"""),"Office Supplies")</f>
        <v>Office Supplies</v>
      </c>
      <c r="N168" s="18">
        <f>IFERROR(__xludf.DUMMYFUNCTION("""COMPUTED_VALUE"""),83.76)</f>
        <v>83.76</v>
      </c>
      <c r="O168" s="18">
        <f>IFERROR(__xludf.DUMMYFUNCTION("""COMPUTED_VALUE"""),83.49)</f>
        <v>83.49</v>
      </c>
      <c r="P168" s="22">
        <f>IFERROR(__xludf.DUMMYFUNCTION("""COMPUTED_VALUE"""),9.0)</f>
        <v>9</v>
      </c>
      <c r="Q168" s="18">
        <f>IFERROR(__xludf.DUMMYFUNCTION("""COMPUTED_VALUE"""),753.84)</f>
        <v>753.84</v>
      </c>
      <c r="R168" s="18">
        <f>IFERROR(__xludf.DUMMYFUNCTION("""COMPUTED_VALUE"""),670.35)</f>
        <v>670.35</v>
      </c>
    </row>
    <row r="169">
      <c r="A169" s="21">
        <f>IFERROR(__xludf.DUMMYFUNCTION("""COMPUTED_VALUE"""),42259.0)</f>
        <v>42259</v>
      </c>
      <c r="B169" s="21" t="str">
        <f>IFERROR(__xludf.DUMMYFUNCTION("""COMPUTED_VALUE"""),"Sep")</f>
        <v>Sep</v>
      </c>
      <c r="C169" s="9">
        <f>IFERROR(__xludf.DUMMYFUNCTION("""COMPUTED_VALUE"""),42354.0)</f>
        <v>42354</v>
      </c>
      <c r="D169" s="23" t="str">
        <f>IFERROR(__xludf.DUMMYFUNCTION("""COMPUTED_VALUE"""),"Dec")</f>
        <v>Dec</v>
      </c>
      <c r="E169" s="21" t="str">
        <f>IFERROR(__xludf.DUMMYFUNCTION("""COMPUTED_VALUE"""),"2015")</f>
        <v>2015</v>
      </c>
      <c r="F169" s="22" t="str">
        <f>IFERROR(__xludf.DUMMYFUNCTION("""COMPUTED_VALUE"""),"Standard Class")</f>
        <v>Standard Class</v>
      </c>
      <c r="G169" s="22" t="str">
        <f>IFERROR(__xludf.DUMMYFUNCTION("""COMPUTED_VALUE"""),"Cyma")</f>
        <v>Cyma</v>
      </c>
      <c r="H169" s="22" t="str">
        <f>IFERROR(__xludf.DUMMYFUNCTION("""COMPUTED_VALUE"""),"Kinney")</f>
        <v>Kinney</v>
      </c>
      <c r="I169" s="22" t="str">
        <f>IFERROR(__xludf.DUMMYFUNCTION("""COMPUTED_VALUE"""),"Corporate")</f>
        <v>Corporate</v>
      </c>
      <c r="J169" s="22" t="str">
        <f>IFERROR(__xludf.DUMMYFUNCTION("""COMPUTED_VALUE"""),"San Francisco")</f>
        <v>San Francisco</v>
      </c>
      <c r="K169" s="22" t="str">
        <f>IFERROR(__xludf.DUMMYFUNCTION("""COMPUTED_VALUE"""),"California")</f>
        <v>California</v>
      </c>
      <c r="L169" s="22" t="str">
        <f>IFERROR(__xludf.DUMMYFUNCTION("""COMPUTED_VALUE"""),"West")</f>
        <v>West</v>
      </c>
      <c r="M169" s="22" t="str">
        <f>IFERROR(__xludf.DUMMYFUNCTION("""COMPUTED_VALUE"""),"Office Supplies")</f>
        <v>Office Supplies</v>
      </c>
      <c r="N169" s="18">
        <f>IFERROR(__xludf.DUMMYFUNCTION("""COMPUTED_VALUE"""),34.68)</f>
        <v>34.68</v>
      </c>
      <c r="O169" s="18">
        <f>IFERROR(__xludf.DUMMYFUNCTION("""COMPUTED_VALUE"""),33.87)</f>
        <v>33.87</v>
      </c>
      <c r="P169" s="22">
        <f>IFERROR(__xludf.DUMMYFUNCTION("""COMPUTED_VALUE"""),9.0)</f>
        <v>9</v>
      </c>
      <c r="Q169" s="18">
        <f>IFERROR(__xludf.DUMMYFUNCTION("""COMPUTED_VALUE"""),312.12)</f>
        <v>312.12</v>
      </c>
      <c r="R169" s="18">
        <f>IFERROR(__xludf.DUMMYFUNCTION("""COMPUTED_VALUE"""),278.25)</f>
        <v>278.25</v>
      </c>
    </row>
    <row r="170">
      <c r="A170" s="21">
        <f>IFERROR(__xludf.DUMMYFUNCTION("""COMPUTED_VALUE"""),43019.0)</f>
        <v>43019</v>
      </c>
      <c r="B170" s="21" t="str">
        <f>IFERROR(__xludf.DUMMYFUNCTION("""COMPUTED_VALUE"""),"Oct")</f>
        <v>Oct</v>
      </c>
      <c r="C170" s="9">
        <f>IFERROR(__xludf.DUMMYFUNCTION("""COMPUTED_VALUE"""),43080.0)</f>
        <v>43080</v>
      </c>
      <c r="D170" s="23" t="str">
        <f>IFERROR(__xludf.DUMMYFUNCTION("""COMPUTED_VALUE"""),"Dec")</f>
        <v>Dec</v>
      </c>
      <c r="E170" s="21" t="str">
        <f>IFERROR(__xludf.DUMMYFUNCTION("""COMPUTED_VALUE"""),"2017")</f>
        <v>2017</v>
      </c>
      <c r="F170" s="22" t="str">
        <f>IFERROR(__xludf.DUMMYFUNCTION("""COMPUTED_VALUE"""),"First Class")</f>
        <v>First Class</v>
      </c>
      <c r="G170" s="22" t="str">
        <f>IFERROR(__xludf.DUMMYFUNCTION("""COMPUTED_VALUE"""),"Pamela")</f>
        <v>Pamela</v>
      </c>
      <c r="H170" s="22" t="str">
        <f>IFERROR(__xludf.DUMMYFUNCTION("""COMPUTED_VALUE"""),"Coakley")</f>
        <v>Coakley</v>
      </c>
      <c r="I170" s="22" t="str">
        <f>IFERROR(__xludf.DUMMYFUNCTION("""COMPUTED_VALUE"""),"Corporate")</f>
        <v>Corporate</v>
      </c>
      <c r="J170" s="22" t="str">
        <f>IFERROR(__xludf.DUMMYFUNCTION("""COMPUTED_VALUE"""),"San Francisco")</f>
        <v>San Francisco</v>
      </c>
      <c r="K170" s="22" t="str">
        <f>IFERROR(__xludf.DUMMYFUNCTION("""COMPUTED_VALUE"""),"California")</f>
        <v>California</v>
      </c>
      <c r="L170" s="22" t="str">
        <f>IFERROR(__xludf.DUMMYFUNCTION("""COMPUTED_VALUE"""),"West")</f>
        <v>West</v>
      </c>
      <c r="M170" s="22" t="str">
        <f>IFERROR(__xludf.DUMMYFUNCTION("""COMPUTED_VALUE"""),"Office Supplies")</f>
        <v>Office Supplies</v>
      </c>
      <c r="N170" s="18">
        <f>IFERROR(__xludf.DUMMYFUNCTION("""COMPUTED_VALUE"""),155.82)</f>
        <v>155.82</v>
      </c>
      <c r="O170" s="18">
        <f>IFERROR(__xludf.DUMMYFUNCTION("""COMPUTED_VALUE"""),155.11)</f>
        <v>155.11</v>
      </c>
      <c r="P170" s="22">
        <f>IFERROR(__xludf.DUMMYFUNCTION("""COMPUTED_VALUE"""),9.0)</f>
        <v>9</v>
      </c>
      <c r="Q170" s="18">
        <f>IFERROR(__xludf.DUMMYFUNCTION("""COMPUTED_VALUE"""),1402.3799999999999)</f>
        <v>1402.38</v>
      </c>
      <c r="R170" s="18">
        <f>IFERROR(__xludf.DUMMYFUNCTION("""COMPUTED_VALUE"""),1247.27)</f>
        <v>1247.27</v>
      </c>
    </row>
    <row r="171">
      <c r="A171" s="21">
        <f>IFERROR(__xludf.DUMMYFUNCTION("""COMPUTED_VALUE"""),43019.0)</f>
        <v>43019</v>
      </c>
      <c r="B171" s="21" t="str">
        <f>IFERROR(__xludf.DUMMYFUNCTION("""COMPUTED_VALUE"""),"Oct")</f>
        <v>Oct</v>
      </c>
      <c r="C171" s="9">
        <f>IFERROR(__xludf.DUMMYFUNCTION("""COMPUTED_VALUE"""),43080.0)</f>
        <v>43080</v>
      </c>
      <c r="D171" s="23" t="str">
        <f>IFERROR(__xludf.DUMMYFUNCTION("""COMPUTED_VALUE"""),"Dec")</f>
        <v>Dec</v>
      </c>
      <c r="E171" s="21" t="str">
        <f>IFERROR(__xludf.DUMMYFUNCTION("""COMPUTED_VALUE"""),"2017")</f>
        <v>2017</v>
      </c>
      <c r="F171" s="22" t="str">
        <f>IFERROR(__xludf.DUMMYFUNCTION("""COMPUTED_VALUE"""),"First Class")</f>
        <v>First Class</v>
      </c>
      <c r="G171" s="22" t="str">
        <f>IFERROR(__xludf.DUMMYFUNCTION("""COMPUTED_VALUE"""),"Pamela")</f>
        <v>Pamela</v>
      </c>
      <c r="H171" s="22" t="str">
        <f>IFERROR(__xludf.DUMMYFUNCTION("""COMPUTED_VALUE"""),"Coakley")</f>
        <v>Coakley</v>
      </c>
      <c r="I171" s="22" t="str">
        <f>IFERROR(__xludf.DUMMYFUNCTION("""COMPUTED_VALUE"""),"Corporate")</f>
        <v>Corporate</v>
      </c>
      <c r="J171" s="22" t="str">
        <f>IFERROR(__xludf.DUMMYFUNCTION("""COMPUTED_VALUE"""),"San Francisco")</f>
        <v>San Francisco</v>
      </c>
      <c r="K171" s="22" t="str">
        <f>IFERROR(__xludf.DUMMYFUNCTION("""COMPUTED_VALUE"""),"California")</f>
        <v>California</v>
      </c>
      <c r="L171" s="22" t="str">
        <f>IFERROR(__xludf.DUMMYFUNCTION("""COMPUTED_VALUE"""),"West")</f>
        <v>West</v>
      </c>
      <c r="M171" s="22" t="str">
        <f>IFERROR(__xludf.DUMMYFUNCTION("""COMPUTED_VALUE"""),"Office Supplies")</f>
        <v>Office Supplies</v>
      </c>
      <c r="N171" s="18">
        <f>IFERROR(__xludf.DUMMYFUNCTION("""COMPUTED_VALUE"""),70.008)</f>
        <v>70.008</v>
      </c>
      <c r="O171" s="18">
        <f>IFERROR(__xludf.DUMMYFUNCTION("""COMPUTED_VALUE"""),70.0)</f>
        <v>70</v>
      </c>
      <c r="P171" s="22">
        <f>IFERROR(__xludf.DUMMYFUNCTION("""COMPUTED_VALUE"""),9.0)</f>
        <v>9</v>
      </c>
      <c r="Q171" s="18">
        <f>IFERROR(__xludf.DUMMYFUNCTION("""COMPUTED_VALUE"""),630.072)</f>
        <v>630.072</v>
      </c>
      <c r="R171" s="18">
        <f>IFERROR(__xludf.DUMMYFUNCTION("""COMPUTED_VALUE"""),560.072)</f>
        <v>560.072</v>
      </c>
    </row>
    <row r="172">
      <c r="A172" s="21">
        <f>IFERROR(__xludf.DUMMYFUNCTION("""COMPUTED_VALUE"""),42951.0)</f>
        <v>42951</v>
      </c>
      <c r="B172" s="21" t="str">
        <f>IFERROR(__xludf.DUMMYFUNCTION("""COMPUTED_VALUE"""),"Aug")</f>
        <v>Aug</v>
      </c>
      <c r="C172" s="9">
        <f>IFERROR(__xludf.DUMMYFUNCTION("""COMPUTED_VALUE"""),43073.0)</f>
        <v>43073</v>
      </c>
      <c r="D172" s="23" t="str">
        <f>IFERROR(__xludf.DUMMYFUNCTION("""COMPUTED_VALUE"""),"Dec")</f>
        <v>Dec</v>
      </c>
      <c r="E172" s="21" t="str">
        <f>IFERROR(__xludf.DUMMYFUNCTION("""COMPUTED_VALUE"""),"2017")</f>
        <v>2017</v>
      </c>
      <c r="F172" s="22" t="str">
        <f>IFERROR(__xludf.DUMMYFUNCTION("""COMPUTED_VALUE"""),"Standard Class")</f>
        <v>Standard Class</v>
      </c>
      <c r="G172" s="22" t="str">
        <f>IFERROR(__xludf.DUMMYFUNCTION("""COMPUTED_VALUE"""),"Logan")</f>
        <v>Logan</v>
      </c>
      <c r="H172" s="22" t="str">
        <f>IFERROR(__xludf.DUMMYFUNCTION("""COMPUTED_VALUE"""),"Currie")</f>
        <v>Currie</v>
      </c>
      <c r="I172" s="22" t="str">
        <f>IFERROR(__xludf.DUMMYFUNCTION("""COMPUTED_VALUE"""),"Consumer")</f>
        <v>Consumer</v>
      </c>
      <c r="J172" s="22" t="str">
        <f>IFERROR(__xludf.DUMMYFUNCTION("""COMPUTED_VALUE"""),"Los Angeles")</f>
        <v>Los Angeles</v>
      </c>
      <c r="K172" s="22" t="str">
        <f>IFERROR(__xludf.DUMMYFUNCTION("""COMPUTED_VALUE"""),"California")</f>
        <v>California</v>
      </c>
      <c r="L172" s="22" t="str">
        <f>IFERROR(__xludf.DUMMYFUNCTION("""COMPUTED_VALUE"""),"West")</f>
        <v>West</v>
      </c>
      <c r="M172" s="22" t="str">
        <f>IFERROR(__xludf.DUMMYFUNCTION("""COMPUTED_VALUE"""),"Office Supplies")</f>
        <v>Office Supplies</v>
      </c>
      <c r="N172" s="18">
        <f>IFERROR(__xludf.DUMMYFUNCTION("""COMPUTED_VALUE"""),20.04)</f>
        <v>20.04</v>
      </c>
      <c r="O172" s="18">
        <f>IFERROR(__xludf.DUMMYFUNCTION("""COMPUTED_VALUE"""),19.88)</f>
        <v>19.88</v>
      </c>
      <c r="P172" s="22">
        <f>IFERROR(__xludf.DUMMYFUNCTION("""COMPUTED_VALUE"""),9.0)</f>
        <v>9</v>
      </c>
      <c r="Q172" s="18">
        <f>IFERROR(__xludf.DUMMYFUNCTION("""COMPUTED_VALUE"""),180.35999999999999)</f>
        <v>180.36</v>
      </c>
      <c r="R172" s="18">
        <f>IFERROR(__xludf.DUMMYFUNCTION("""COMPUTED_VALUE"""),160.48)</f>
        <v>160.48</v>
      </c>
    </row>
    <row r="173">
      <c r="A173" s="21">
        <f>IFERROR(__xludf.DUMMYFUNCTION("""COMPUTED_VALUE"""),42951.0)</f>
        <v>42951</v>
      </c>
      <c r="B173" s="21" t="str">
        <f>IFERROR(__xludf.DUMMYFUNCTION("""COMPUTED_VALUE"""),"Aug")</f>
        <v>Aug</v>
      </c>
      <c r="C173" s="9">
        <f>IFERROR(__xludf.DUMMYFUNCTION("""COMPUTED_VALUE"""),43073.0)</f>
        <v>43073</v>
      </c>
      <c r="D173" s="23" t="str">
        <f>IFERROR(__xludf.DUMMYFUNCTION("""COMPUTED_VALUE"""),"Dec")</f>
        <v>Dec</v>
      </c>
      <c r="E173" s="21" t="str">
        <f>IFERROR(__xludf.DUMMYFUNCTION("""COMPUTED_VALUE"""),"2017")</f>
        <v>2017</v>
      </c>
      <c r="F173" s="22" t="str">
        <f>IFERROR(__xludf.DUMMYFUNCTION("""COMPUTED_VALUE"""),"Standard Class")</f>
        <v>Standard Class</v>
      </c>
      <c r="G173" s="22" t="str">
        <f>IFERROR(__xludf.DUMMYFUNCTION("""COMPUTED_VALUE"""),"Logan")</f>
        <v>Logan</v>
      </c>
      <c r="H173" s="22" t="str">
        <f>IFERROR(__xludf.DUMMYFUNCTION("""COMPUTED_VALUE"""),"Currie")</f>
        <v>Currie</v>
      </c>
      <c r="I173" s="22" t="str">
        <f>IFERROR(__xludf.DUMMYFUNCTION("""COMPUTED_VALUE"""),"Consumer")</f>
        <v>Consumer</v>
      </c>
      <c r="J173" s="22" t="str">
        <f>IFERROR(__xludf.DUMMYFUNCTION("""COMPUTED_VALUE"""),"Los Angeles")</f>
        <v>Los Angeles</v>
      </c>
      <c r="K173" s="22" t="str">
        <f>IFERROR(__xludf.DUMMYFUNCTION("""COMPUTED_VALUE"""),"California")</f>
        <v>California</v>
      </c>
      <c r="L173" s="22" t="str">
        <f>IFERROR(__xludf.DUMMYFUNCTION("""COMPUTED_VALUE"""),"West")</f>
        <v>West</v>
      </c>
      <c r="M173" s="22" t="str">
        <f>IFERROR(__xludf.DUMMYFUNCTION("""COMPUTED_VALUE"""),"Office Supplies")</f>
        <v>Office Supplies</v>
      </c>
      <c r="N173" s="18">
        <f>IFERROR(__xludf.DUMMYFUNCTION("""COMPUTED_VALUE"""),64.96)</f>
        <v>64.96</v>
      </c>
      <c r="O173" s="18">
        <f>IFERROR(__xludf.DUMMYFUNCTION("""COMPUTED_VALUE"""),64.81)</f>
        <v>64.81</v>
      </c>
      <c r="P173" s="22">
        <f>IFERROR(__xludf.DUMMYFUNCTION("""COMPUTED_VALUE"""),9.0)</f>
        <v>9</v>
      </c>
      <c r="Q173" s="18">
        <f>IFERROR(__xludf.DUMMYFUNCTION("""COMPUTED_VALUE"""),584.64)</f>
        <v>584.64</v>
      </c>
      <c r="R173" s="18">
        <f>IFERROR(__xludf.DUMMYFUNCTION("""COMPUTED_VALUE"""),519.8299999999999)</f>
        <v>519.83</v>
      </c>
    </row>
    <row r="174">
      <c r="A174" s="21">
        <f>IFERROR(__xludf.DUMMYFUNCTION("""COMPUTED_VALUE"""),42951.0)</f>
        <v>42951</v>
      </c>
      <c r="B174" s="21" t="str">
        <f>IFERROR(__xludf.DUMMYFUNCTION("""COMPUTED_VALUE"""),"Aug")</f>
        <v>Aug</v>
      </c>
      <c r="C174" s="9">
        <f>IFERROR(__xludf.DUMMYFUNCTION("""COMPUTED_VALUE"""),43073.0)</f>
        <v>43073</v>
      </c>
      <c r="D174" s="23" t="str">
        <f>IFERROR(__xludf.DUMMYFUNCTION("""COMPUTED_VALUE"""),"Dec")</f>
        <v>Dec</v>
      </c>
      <c r="E174" s="21" t="str">
        <f>IFERROR(__xludf.DUMMYFUNCTION("""COMPUTED_VALUE"""),"2017")</f>
        <v>2017</v>
      </c>
      <c r="F174" s="22" t="str">
        <f>IFERROR(__xludf.DUMMYFUNCTION("""COMPUTED_VALUE"""),"Standard Class")</f>
        <v>Standard Class</v>
      </c>
      <c r="G174" s="22" t="str">
        <f>IFERROR(__xludf.DUMMYFUNCTION("""COMPUTED_VALUE"""),"Logan")</f>
        <v>Logan</v>
      </c>
      <c r="H174" s="22" t="str">
        <f>IFERROR(__xludf.DUMMYFUNCTION("""COMPUTED_VALUE"""),"Currie")</f>
        <v>Currie</v>
      </c>
      <c r="I174" s="22" t="str">
        <f>IFERROR(__xludf.DUMMYFUNCTION("""COMPUTED_VALUE"""),"Consumer")</f>
        <v>Consumer</v>
      </c>
      <c r="J174" s="22" t="str">
        <f>IFERROR(__xludf.DUMMYFUNCTION("""COMPUTED_VALUE"""),"Los Angeles")</f>
        <v>Los Angeles</v>
      </c>
      <c r="K174" s="22" t="str">
        <f>IFERROR(__xludf.DUMMYFUNCTION("""COMPUTED_VALUE"""),"California")</f>
        <v>California</v>
      </c>
      <c r="L174" s="22" t="str">
        <f>IFERROR(__xludf.DUMMYFUNCTION("""COMPUTED_VALUE"""),"West")</f>
        <v>West</v>
      </c>
      <c r="M174" s="22" t="str">
        <f>IFERROR(__xludf.DUMMYFUNCTION("""COMPUTED_VALUE"""),"Office Supplies")</f>
        <v>Office Supplies</v>
      </c>
      <c r="N174" s="18">
        <f>IFERROR(__xludf.DUMMYFUNCTION("""COMPUTED_VALUE"""),12.96)</f>
        <v>12.96</v>
      </c>
      <c r="O174" s="18">
        <f>IFERROR(__xludf.DUMMYFUNCTION("""COMPUTED_VALUE"""),12.63)</f>
        <v>12.63</v>
      </c>
      <c r="P174" s="22">
        <f>IFERROR(__xludf.DUMMYFUNCTION("""COMPUTED_VALUE"""),9.0)</f>
        <v>9</v>
      </c>
      <c r="Q174" s="18">
        <f>IFERROR(__xludf.DUMMYFUNCTION("""COMPUTED_VALUE"""),116.64000000000001)</f>
        <v>116.64</v>
      </c>
      <c r="R174" s="18">
        <f>IFERROR(__xludf.DUMMYFUNCTION("""COMPUTED_VALUE"""),104.01000000000002)</f>
        <v>104.01</v>
      </c>
    </row>
    <row r="175">
      <c r="A175" s="21">
        <f>IFERROR(__xludf.DUMMYFUNCTION("""COMPUTED_VALUE"""),42717.0)</f>
        <v>42717</v>
      </c>
      <c r="B175" s="21" t="str">
        <f>IFERROR(__xludf.DUMMYFUNCTION("""COMPUTED_VALUE"""),"Dec")</f>
        <v>Dec</v>
      </c>
      <c r="C175" s="9">
        <f>IFERROR(__xludf.DUMMYFUNCTION("""COMPUTED_VALUE"""),42721.0)</f>
        <v>42721</v>
      </c>
      <c r="D175" s="23" t="str">
        <f>IFERROR(__xludf.DUMMYFUNCTION("""COMPUTED_VALUE"""),"Dec")</f>
        <v>Dec</v>
      </c>
      <c r="E175" s="21" t="str">
        <f>IFERROR(__xludf.DUMMYFUNCTION("""COMPUTED_VALUE"""),"2016")</f>
        <v>2016</v>
      </c>
      <c r="F175" s="22" t="str">
        <f>IFERROR(__xludf.DUMMYFUNCTION("""COMPUTED_VALUE"""),"Standard Class")</f>
        <v>Standard Class</v>
      </c>
      <c r="G175" s="22" t="str">
        <f>IFERROR(__xludf.DUMMYFUNCTION("""COMPUTED_VALUE"""),"Rachel")</f>
        <v>Rachel</v>
      </c>
      <c r="H175" s="22" t="str">
        <f>IFERROR(__xludf.DUMMYFUNCTION("""COMPUTED_VALUE"""),"Payne")</f>
        <v>Payne</v>
      </c>
      <c r="I175" s="22" t="str">
        <f>IFERROR(__xludf.DUMMYFUNCTION("""COMPUTED_VALUE"""),"Corporate")</f>
        <v>Corporate</v>
      </c>
      <c r="J175" s="22" t="str">
        <f>IFERROR(__xludf.DUMMYFUNCTION("""COMPUTED_VALUE"""),"Riverside")</f>
        <v>Riverside</v>
      </c>
      <c r="K175" s="22" t="str">
        <f>IFERROR(__xludf.DUMMYFUNCTION("""COMPUTED_VALUE"""),"California")</f>
        <v>California</v>
      </c>
      <c r="L175" s="22" t="str">
        <f>IFERROR(__xludf.DUMMYFUNCTION("""COMPUTED_VALUE"""),"West")</f>
        <v>West</v>
      </c>
      <c r="M175" s="22" t="str">
        <f>IFERROR(__xludf.DUMMYFUNCTION("""COMPUTED_VALUE"""),"Office Supplies")</f>
        <v>Office Supplies</v>
      </c>
      <c r="N175" s="18">
        <f>IFERROR(__xludf.DUMMYFUNCTION("""COMPUTED_VALUE"""),12.96)</f>
        <v>12.96</v>
      </c>
      <c r="O175" s="18">
        <f>IFERROR(__xludf.DUMMYFUNCTION("""COMPUTED_VALUE"""),12.37)</f>
        <v>12.37</v>
      </c>
      <c r="P175" s="22">
        <f>IFERROR(__xludf.DUMMYFUNCTION("""COMPUTED_VALUE"""),9.0)</f>
        <v>9</v>
      </c>
      <c r="Q175" s="18">
        <f>IFERROR(__xludf.DUMMYFUNCTION("""COMPUTED_VALUE"""),116.64000000000001)</f>
        <v>116.64</v>
      </c>
      <c r="R175" s="18">
        <f>IFERROR(__xludf.DUMMYFUNCTION("""COMPUTED_VALUE"""),104.27000000000001)</f>
        <v>104.27</v>
      </c>
    </row>
    <row r="176">
      <c r="A176" s="21">
        <f>IFERROR(__xludf.DUMMYFUNCTION("""COMPUTED_VALUE"""),42717.0)</f>
        <v>42717</v>
      </c>
      <c r="B176" s="21" t="str">
        <f>IFERROR(__xludf.DUMMYFUNCTION("""COMPUTED_VALUE"""),"Dec")</f>
        <v>Dec</v>
      </c>
      <c r="C176" s="9">
        <f>IFERROR(__xludf.DUMMYFUNCTION("""COMPUTED_VALUE"""),42721.0)</f>
        <v>42721</v>
      </c>
      <c r="D176" s="23" t="str">
        <f>IFERROR(__xludf.DUMMYFUNCTION("""COMPUTED_VALUE"""),"Dec")</f>
        <v>Dec</v>
      </c>
      <c r="E176" s="21" t="str">
        <f>IFERROR(__xludf.DUMMYFUNCTION("""COMPUTED_VALUE"""),"2016")</f>
        <v>2016</v>
      </c>
      <c r="F176" s="22" t="str">
        <f>IFERROR(__xludf.DUMMYFUNCTION("""COMPUTED_VALUE"""),"Standard Class")</f>
        <v>Standard Class</v>
      </c>
      <c r="G176" s="22" t="str">
        <f>IFERROR(__xludf.DUMMYFUNCTION("""COMPUTED_VALUE"""),"Rachel")</f>
        <v>Rachel</v>
      </c>
      <c r="H176" s="22" t="str">
        <f>IFERROR(__xludf.DUMMYFUNCTION("""COMPUTED_VALUE"""),"Payne")</f>
        <v>Payne</v>
      </c>
      <c r="I176" s="22" t="str">
        <f>IFERROR(__xludf.DUMMYFUNCTION("""COMPUTED_VALUE"""),"Corporate")</f>
        <v>Corporate</v>
      </c>
      <c r="J176" s="22" t="str">
        <f>IFERROR(__xludf.DUMMYFUNCTION("""COMPUTED_VALUE"""),"Riverside")</f>
        <v>Riverside</v>
      </c>
      <c r="K176" s="22" t="str">
        <f>IFERROR(__xludf.DUMMYFUNCTION("""COMPUTED_VALUE"""),"California")</f>
        <v>California</v>
      </c>
      <c r="L176" s="22" t="str">
        <f>IFERROR(__xludf.DUMMYFUNCTION("""COMPUTED_VALUE"""),"West")</f>
        <v>West</v>
      </c>
      <c r="M176" s="22" t="str">
        <f>IFERROR(__xludf.DUMMYFUNCTION("""COMPUTED_VALUE"""),"Office Supplies")</f>
        <v>Office Supplies</v>
      </c>
      <c r="N176" s="18">
        <f>IFERROR(__xludf.DUMMYFUNCTION("""COMPUTED_VALUE"""),134.48)</f>
        <v>134.48</v>
      </c>
      <c r="O176" s="18">
        <f>IFERROR(__xludf.DUMMYFUNCTION("""COMPUTED_VALUE"""),134.18)</f>
        <v>134.18</v>
      </c>
      <c r="P176" s="22">
        <f>IFERROR(__xludf.DUMMYFUNCTION("""COMPUTED_VALUE"""),9.0)</f>
        <v>9</v>
      </c>
      <c r="Q176" s="18">
        <f>IFERROR(__xludf.DUMMYFUNCTION("""COMPUTED_VALUE"""),1210.32)</f>
        <v>1210.32</v>
      </c>
      <c r="R176" s="18">
        <f>IFERROR(__xludf.DUMMYFUNCTION("""COMPUTED_VALUE"""),1076.1399999999999)</f>
        <v>1076.14</v>
      </c>
    </row>
    <row r="177">
      <c r="A177" s="21">
        <f>IFERROR(__xludf.DUMMYFUNCTION("""COMPUTED_VALUE"""),42905.0)</f>
        <v>42905</v>
      </c>
      <c r="B177" s="21" t="str">
        <f>IFERROR(__xludf.DUMMYFUNCTION("""COMPUTED_VALUE"""),"Jun")</f>
        <v>Jun</v>
      </c>
      <c r="C177" s="9">
        <f>IFERROR(__xludf.DUMMYFUNCTION("""COMPUTED_VALUE"""),42906.0)</f>
        <v>42906</v>
      </c>
      <c r="D177" s="23" t="str">
        <f>IFERROR(__xludf.DUMMYFUNCTION("""COMPUTED_VALUE"""),"Jun")</f>
        <v>Jun</v>
      </c>
      <c r="E177" s="21" t="str">
        <f>IFERROR(__xludf.DUMMYFUNCTION("""COMPUTED_VALUE"""),"2017")</f>
        <v>2017</v>
      </c>
      <c r="F177" s="22" t="str">
        <f>IFERROR(__xludf.DUMMYFUNCTION("""COMPUTED_VALUE"""),"First Class")</f>
        <v>First Class</v>
      </c>
      <c r="G177" s="22" t="str">
        <f>IFERROR(__xludf.DUMMYFUNCTION("""COMPUTED_VALUE"""),"Karen")</f>
        <v>Karen</v>
      </c>
      <c r="H177" s="22" t="str">
        <f>IFERROR(__xludf.DUMMYFUNCTION("""COMPUTED_VALUE"""),"Carlisle")</f>
        <v>Carlisle</v>
      </c>
      <c r="I177" s="22" t="str">
        <f>IFERROR(__xludf.DUMMYFUNCTION("""COMPUTED_VALUE"""),"Corporate")</f>
        <v>Corporate</v>
      </c>
      <c r="J177" s="22" t="str">
        <f>IFERROR(__xludf.DUMMYFUNCTION("""COMPUTED_VALUE"""),"San Francisco")</f>
        <v>San Francisco</v>
      </c>
      <c r="K177" s="22" t="str">
        <f>IFERROR(__xludf.DUMMYFUNCTION("""COMPUTED_VALUE"""),"California")</f>
        <v>California</v>
      </c>
      <c r="L177" s="22" t="str">
        <f>IFERROR(__xludf.DUMMYFUNCTION("""COMPUTED_VALUE"""),"West")</f>
        <v>West</v>
      </c>
      <c r="M177" s="22" t="str">
        <f>IFERROR(__xludf.DUMMYFUNCTION("""COMPUTED_VALUE"""),"Office Supplies")</f>
        <v>Office Supplies</v>
      </c>
      <c r="N177" s="18">
        <f>IFERROR(__xludf.DUMMYFUNCTION("""COMPUTED_VALUE"""),17.12)</f>
        <v>17.12</v>
      </c>
      <c r="O177" s="18">
        <f>IFERROR(__xludf.DUMMYFUNCTION("""COMPUTED_VALUE"""),17.11)</f>
        <v>17.11</v>
      </c>
      <c r="P177" s="22">
        <f>IFERROR(__xludf.DUMMYFUNCTION("""COMPUTED_VALUE"""),9.0)</f>
        <v>9</v>
      </c>
      <c r="Q177" s="18">
        <f>IFERROR(__xludf.DUMMYFUNCTION("""COMPUTED_VALUE"""),154.08)</f>
        <v>154.08</v>
      </c>
      <c r="R177" s="18">
        <f>IFERROR(__xludf.DUMMYFUNCTION("""COMPUTED_VALUE"""),136.97000000000003)</f>
        <v>136.97</v>
      </c>
    </row>
    <row r="178">
      <c r="A178" s="21">
        <f>IFERROR(__xludf.DUMMYFUNCTION("""COMPUTED_VALUE"""),43082.0)</f>
        <v>43082</v>
      </c>
      <c r="B178" s="21" t="str">
        <f>IFERROR(__xludf.DUMMYFUNCTION("""COMPUTED_VALUE"""),"Dec")</f>
        <v>Dec</v>
      </c>
      <c r="C178" s="9">
        <f>IFERROR(__xludf.DUMMYFUNCTION("""COMPUTED_VALUE"""),43089.0)</f>
        <v>43089</v>
      </c>
      <c r="D178" s="23" t="str">
        <f>IFERROR(__xludf.DUMMYFUNCTION("""COMPUTED_VALUE"""),"Dec")</f>
        <v>Dec</v>
      </c>
      <c r="E178" s="21" t="str">
        <f>IFERROR(__xludf.DUMMYFUNCTION("""COMPUTED_VALUE"""),"2017")</f>
        <v>2017</v>
      </c>
      <c r="F178" s="22" t="str">
        <f>IFERROR(__xludf.DUMMYFUNCTION("""COMPUTED_VALUE"""),"Standard Class")</f>
        <v>Standard Class</v>
      </c>
      <c r="G178" s="22" t="str">
        <f>IFERROR(__xludf.DUMMYFUNCTION("""COMPUTED_VALUE"""),"Rob")</f>
        <v>Rob</v>
      </c>
      <c r="H178" s="22" t="str">
        <f>IFERROR(__xludf.DUMMYFUNCTION("""COMPUTED_VALUE"""),"Williams")</f>
        <v>Williams</v>
      </c>
      <c r="I178" s="22" t="str">
        <f>IFERROR(__xludf.DUMMYFUNCTION("""COMPUTED_VALUE"""),"Corporate")</f>
        <v>Corporate</v>
      </c>
      <c r="J178" s="22" t="str">
        <f>IFERROR(__xludf.DUMMYFUNCTION("""COMPUTED_VALUE"""),"Torrance")</f>
        <v>Torrance</v>
      </c>
      <c r="K178" s="22" t="str">
        <f>IFERROR(__xludf.DUMMYFUNCTION("""COMPUTED_VALUE"""),"California")</f>
        <v>California</v>
      </c>
      <c r="L178" s="22" t="str">
        <f>IFERROR(__xludf.DUMMYFUNCTION("""COMPUTED_VALUE"""),"West")</f>
        <v>West</v>
      </c>
      <c r="M178" s="22" t="str">
        <f>IFERROR(__xludf.DUMMYFUNCTION("""COMPUTED_VALUE"""),"Office Supplies")</f>
        <v>Office Supplies</v>
      </c>
      <c r="N178" s="18">
        <f>IFERROR(__xludf.DUMMYFUNCTION("""COMPUTED_VALUE"""),6.096)</f>
        <v>6.096</v>
      </c>
      <c r="O178" s="18">
        <f>IFERROR(__xludf.DUMMYFUNCTION("""COMPUTED_VALUE"""),5.43)</f>
        <v>5.43</v>
      </c>
      <c r="P178" s="22">
        <f>IFERROR(__xludf.DUMMYFUNCTION("""COMPUTED_VALUE"""),9.0)</f>
        <v>9</v>
      </c>
      <c r="Q178" s="18">
        <f>IFERROR(__xludf.DUMMYFUNCTION("""COMPUTED_VALUE"""),54.864000000000004)</f>
        <v>54.864</v>
      </c>
      <c r="R178" s="18">
        <f>IFERROR(__xludf.DUMMYFUNCTION("""COMPUTED_VALUE"""),49.434000000000005)</f>
        <v>49.434</v>
      </c>
    </row>
    <row r="179">
      <c r="A179" s="21">
        <f>IFERROR(__xludf.DUMMYFUNCTION("""COMPUTED_VALUE"""),43082.0)</f>
        <v>43082</v>
      </c>
      <c r="B179" s="21" t="str">
        <f>IFERROR(__xludf.DUMMYFUNCTION("""COMPUTED_VALUE"""),"Dec")</f>
        <v>Dec</v>
      </c>
      <c r="C179" s="9">
        <f>IFERROR(__xludf.DUMMYFUNCTION("""COMPUTED_VALUE"""),43089.0)</f>
        <v>43089</v>
      </c>
      <c r="D179" s="23" t="str">
        <f>IFERROR(__xludf.DUMMYFUNCTION("""COMPUTED_VALUE"""),"Dec")</f>
        <v>Dec</v>
      </c>
      <c r="E179" s="21" t="str">
        <f>IFERROR(__xludf.DUMMYFUNCTION("""COMPUTED_VALUE"""),"2017")</f>
        <v>2017</v>
      </c>
      <c r="F179" s="22" t="str">
        <f>IFERROR(__xludf.DUMMYFUNCTION("""COMPUTED_VALUE"""),"Standard Class")</f>
        <v>Standard Class</v>
      </c>
      <c r="G179" s="22" t="str">
        <f>IFERROR(__xludf.DUMMYFUNCTION("""COMPUTED_VALUE"""),"Rob")</f>
        <v>Rob</v>
      </c>
      <c r="H179" s="22" t="str">
        <f>IFERROR(__xludf.DUMMYFUNCTION("""COMPUTED_VALUE"""),"Williams")</f>
        <v>Williams</v>
      </c>
      <c r="I179" s="22" t="str">
        <f>IFERROR(__xludf.DUMMYFUNCTION("""COMPUTED_VALUE"""),"Corporate")</f>
        <v>Corporate</v>
      </c>
      <c r="J179" s="22" t="str">
        <f>IFERROR(__xludf.DUMMYFUNCTION("""COMPUTED_VALUE"""),"Torrance")</f>
        <v>Torrance</v>
      </c>
      <c r="K179" s="22" t="str">
        <f>IFERROR(__xludf.DUMMYFUNCTION("""COMPUTED_VALUE"""),"California")</f>
        <v>California</v>
      </c>
      <c r="L179" s="22" t="str">
        <f>IFERROR(__xludf.DUMMYFUNCTION("""COMPUTED_VALUE"""),"West")</f>
        <v>West</v>
      </c>
      <c r="M179" s="22" t="str">
        <f>IFERROR(__xludf.DUMMYFUNCTION("""COMPUTED_VALUE"""),"Furniture")</f>
        <v>Furniture</v>
      </c>
      <c r="N179" s="18">
        <f>IFERROR(__xludf.DUMMYFUNCTION("""COMPUTED_VALUE"""),1114.272)</f>
        <v>1114.272</v>
      </c>
      <c r="O179" s="18">
        <f>IFERROR(__xludf.DUMMYFUNCTION("""COMPUTED_VALUE"""),1113.48)</f>
        <v>1113.48</v>
      </c>
      <c r="P179" s="22">
        <f>IFERROR(__xludf.DUMMYFUNCTION("""COMPUTED_VALUE"""),9.0)</f>
        <v>9</v>
      </c>
      <c r="Q179" s="18">
        <f>IFERROR(__xludf.DUMMYFUNCTION("""COMPUTED_VALUE"""),10028.448)</f>
        <v>10028.448</v>
      </c>
      <c r="R179" s="18">
        <f>IFERROR(__xludf.DUMMYFUNCTION("""COMPUTED_VALUE"""),8914.968)</f>
        <v>8914.968</v>
      </c>
    </row>
    <row r="180">
      <c r="A180" s="21">
        <f>IFERROR(__xludf.DUMMYFUNCTION("""COMPUTED_VALUE"""),42635.0)</f>
        <v>42635</v>
      </c>
      <c r="B180" s="21" t="str">
        <f>IFERROR(__xludf.DUMMYFUNCTION("""COMPUTED_VALUE"""),"Sep")</f>
        <v>Sep</v>
      </c>
      <c r="C180" s="9">
        <f>IFERROR(__xludf.DUMMYFUNCTION("""COMPUTED_VALUE"""),42635.0)</f>
        <v>42635</v>
      </c>
      <c r="D180" s="23" t="str">
        <f>IFERROR(__xludf.DUMMYFUNCTION("""COMPUTED_VALUE"""),"Sep")</f>
        <v>Sep</v>
      </c>
      <c r="E180" s="21" t="str">
        <f>IFERROR(__xludf.DUMMYFUNCTION("""COMPUTED_VALUE"""),"2016")</f>
        <v>2016</v>
      </c>
      <c r="F180" s="22" t="str">
        <f>IFERROR(__xludf.DUMMYFUNCTION("""COMPUTED_VALUE"""),"Same Day")</f>
        <v>Same Day</v>
      </c>
      <c r="G180" s="22" t="str">
        <f>IFERROR(__xludf.DUMMYFUNCTION("""COMPUTED_VALUE"""),"Daniel")</f>
        <v>Daniel</v>
      </c>
      <c r="H180" s="22" t="str">
        <f>IFERROR(__xludf.DUMMYFUNCTION("""COMPUTED_VALUE"""),"Lacy")</f>
        <v>Lacy</v>
      </c>
      <c r="I180" s="22" t="str">
        <f>IFERROR(__xludf.DUMMYFUNCTION("""COMPUTED_VALUE"""),"Consumer")</f>
        <v>Consumer</v>
      </c>
      <c r="J180" s="22" t="str">
        <f>IFERROR(__xludf.DUMMYFUNCTION("""COMPUTED_VALUE"""),"Oceanside")</f>
        <v>Oceanside</v>
      </c>
      <c r="K180" s="22" t="str">
        <f>IFERROR(__xludf.DUMMYFUNCTION("""COMPUTED_VALUE"""),"California")</f>
        <v>California</v>
      </c>
      <c r="L180" s="22" t="str">
        <f>IFERROR(__xludf.DUMMYFUNCTION("""COMPUTED_VALUE"""),"West")</f>
        <v>West</v>
      </c>
      <c r="M180" s="22" t="str">
        <f>IFERROR(__xludf.DUMMYFUNCTION("""COMPUTED_VALUE"""),"Furniture")</f>
        <v>Furniture</v>
      </c>
      <c r="N180" s="18">
        <f>IFERROR(__xludf.DUMMYFUNCTION("""COMPUTED_VALUE"""),204.6)</f>
        <v>204.6</v>
      </c>
      <c r="O180" s="18">
        <f>IFERROR(__xludf.DUMMYFUNCTION("""COMPUTED_VALUE"""),204.29)</f>
        <v>204.29</v>
      </c>
      <c r="P180" s="22">
        <f>IFERROR(__xludf.DUMMYFUNCTION("""COMPUTED_VALUE"""),9.0)</f>
        <v>9</v>
      </c>
      <c r="Q180" s="18">
        <f>IFERROR(__xludf.DUMMYFUNCTION("""COMPUTED_VALUE"""),1841.3999999999999)</f>
        <v>1841.4</v>
      </c>
      <c r="R180" s="18">
        <f>IFERROR(__xludf.DUMMYFUNCTION("""COMPUTED_VALUE"""),1637.11)</f>
        <v>1637.11</v>
      </c>
    </row>
    <row r="181">
      <c r="A181" s="21">
        <f>IFERROR(__xludf.DUMMYFUNCTION("""COMPUTED_VALUE"""),43418.0)</f>
        <v>43418</v>
      </c>
      <c r="B181" s="21" t="str">
        <f>IFERROR(__xludf.DUMMYFUNCTION("""COMPUTED_VALUE"""),"Nov")</f>
        <v>Nov</v>
      </c>
      <c r="C181" s="9">
        <f>IFERROR(__xludf.DUMMYFUNCTION("""COMPUTED_VALUE"""),43423.0)</f>
        <v>43423</v>
      </c>
      <c r="D181" s="23" t="str">
        <f>IFERROR(__xludf.DUMMYFUNCTION("""COMPUTED_VALUE"""),"Nov")</f>
        <v>Nov</v>
      </c>
      <c r="E181" s="21" t="str">
        <f>IFERROR(__xludf.DUMMYFUNCTION("""COMPUTED_VALUE"""),"2018")</f>
        <v>2018</v>
      </c>
      <c r="F181" s="22" t="str">
        <f>IFERROR(__xludf.DUMMYFUNCTION("""COMPUTED_VALUE"""),"Standard Class")</f>
        <v>Standard Class</v>
      </c>
      <c r="G181" s="22" t="str">
        <f>IFERROR(__xludf.DUMMYFUNCTION("""COMPUTED_VALUE"""),"Lindsay")</f>
        <v>Lindsay</v>
      </c>
      <c r="H181" s="22" t="str">
        <f>IFERROR(__xludf.DUMMYFUNCTION("""COMPUTED_VALUE"""),"Williams")</f>
        <v>Williams</v>
      </c>
      <c r="I181" s="22" t="str">
        <f>IFERROR(__xludf.DUMMYFUNCTION("""COMPUTED_VALUE"""),"Corporate")</f>
        <v>Corporate</v>
      </c>
      <c r="J181" s="22" t="str">
        <f>IFERROR(__xludf.DUMMYFUNCTION("""COMPUTED_VALUE"""),"San Francisco")</f>
        <v>San Francisco</v>
      </c>
      <c r="K181" s="22" t="str">
        <f>IFERROR(__xludf.DUMMYFUNCTION("""COMPUTED_VALUE"""),"California")</f>
        <v>California</v>
      </c>
      <c r="L181" s="22" t="str">
        <f>IFERROR(__xludf.DUMMYFUNCTION("""COMPUTED_VALUE"""),"West")</f>
        <v>West</v>
      </c>
      <c r="M181" s="22" t="str">
        <f>IFERROR(__xludf.DUMMYFUNCTION("""COMPUTED_VALUE"""),"Furniture")</f>
        <v>Furniture</v>
      </c>
      <c r="N181" s="18">
        <f>IFERROR(__xludf.DUMMYFUNCTION("""COMPUTED_VALUE"""),321.568)</f>
        <v>321.568</v>
      </c>
      <c r="O181" s="18">
        <f>IFERROR(__xludf.DUMMYFUNCTION("""COMPUTED_VALUE"""),321.44)</f>
        <v>321.44</v>
      </c>
      <c r="P181" s="22">
        <f>IFERROR(__xludf.DUMMYFUNCTION("""COMPUTED_VALUE"""),9.0)</f>
        <v>9</v>
      </c>
      <c r="Q181" s="18">
        <f>IFERROR(__xludf.DUMMYFUNCTION("""COMPUTED_VALUE"""),2894.112)</f>
        <v>2894.112</v>
      </c>
      <c r="R181" s="18">
        <f>IFERROR(__xludf.DUMMYFUNCTION("""COMPUTED_VALUE"""),2572.672)</f>
        <v>2572.672</v>
      </c>
    </row>
    <row r="182">
      <c r="A182" s="21">
        <f>IFERROR(__xludf.DUMMYFUNCTION("""COMPUTED_VALUE"""),42744.0)</f>
        <v>42744</v>
      </c>
      <c r="B182" s="21" t="str">
        <f>IFERROR(__xludf.DUMMYFUNCTION("""COMPUTED_VALUE"""),"Jan")</f>
        <v>Jan</v>
      </c>
      <c r="C182" s="9">
        <f>IFERROR(__xludf.DUMMYFUNCTION("""COMPUTED_VALUE"""),42834.0)</f>
        <v>42834</v>
      </c>
      <c r="D182" s="23" t="str">
        <f>IFERROR(__xludf.DUMMYFUNCTION("""COMPUTED_VALUE"""),"Apr")</f>
        <v>Apr</v>
      </c>
      <c r="E182" s="21" t="str">
        <f>IFERROR(__xludf.DUMMYFUNCTION("""COMPUTED_VALUE"""),"2017")</f>
        <v>2017</v>
      </c>
      <c r="F182" s="22" t="str">
        <f>IFERROR(__xludf.DUMMYFUNCTION("""COMPUTED_VALUE"""),"First Class")</f>
        <v>First Class</v>
      </c>
      <c r="G182" s="22" t="str">
        <f>IFERROR(__xludf.DUMMYFUNCTION("""COMPUTED_VALUE"""),"Cynthia")</f>
        <v>Cynthia</v>
      </c>
      <c r="H182" s="22" t="str">
        <f>IFERROR(__xludf.DUMMYFUNCTION("""COMPUTED_VALUE"""),"Voltz")</f>
        <v>Voltz</v>
      </c>
      <c r="I182" s="22" t="str">
        <f>IFERROR(__xludf.DUMMYFUNCTION("""COMPUTED_VALUE"""),"Corporate")</f>
        <v>Corporate</v>
      </c>
      <c r="J182" s="22" t="str">
        <f>IFERROR(__xludf.DUMMYFUNCTION("""COMPUTED_VALUE"""),"San Francisco")</f>
        <v>San Francisco</v>
      </c>
      <c r="K182" s="22" t="str">
        <f>IFERROR(__xludf.DUMMYFUNCTION("""COMPUTED_VALUE"""),"California")</f>
        <v>California</v>
      </c>
      <c r="L182" s="22" t="str">
        <f>IFERROR(__xludf.DUMMYFUNCTION("""COMPUTED_VALUE"""),"West")</f>
        <v>West</v>
      </c>
      <c r="M182" s="22" t="str">
        <f>IFERROR(__xludf.DUMMYFUNCTION("""COMPUTED_VALUE"""),"Office Supplies")</f>
        <v>Office Supplies</v>
      </c>
      <c r="N182" s="18">
        <f>IFERROR(__xludf.DUMMYFUNCTION("""COMPUTED_VALUE"""),21.88)</f>
        <v>21.88</v>
      </c>
      <c r="O182" s="18">
        <f>IFERROR(__xludf.DUMMYFUNCTION("""COMPUTED_VALUE"""),21.28)</f>
        <v>21.28</v>
      </c>
      <c r="P182" s="22">
        <f>IFERROR(__xludf.DUMMYFUNCTION("""COMPUTED_VALUE"""),9.0)</f>
        <v>9</v>
      </c>
      <c r="Q182" s="18">
        <f>IFERROR(__xludf.DUMMYFUNCTION("""COMPUTED_VALUE"""),196.92)</f>
        <v>196.92</v>
      </c>
      <c r="R182" s="18">
        <f>IFERROR(__xludf.DUMMYFUNCTION("""COMPUTED_VALUE"""),175.64)</f>
        <v>175.64</v>
      </c>
    </row>
    <row r="183">
      <c r="A183" s="21">
        <f>IFERROR(__xludf.DUMMYFUNCTION("""COMPUTED_VALUE"""),42973.0)</f>
        <v>42973</v>
      </c>
      <c r="B183" s="21" t="str">
        <f>IFERROR(__xludf.DUMMYFUNCTION("""COMPUTED_VALUE"""),"Aug")</f>
        <v>Aug</v>
      </c>
      <c r="C183" s="9">
        <f>IFERROR(__xludf.DUMMYFUNCTION("""COMPUTED_VALUE"""),42974.0)</f>
        <v>42974</v>
      </c>
      <c r="D183" s="23" t="str">
        <f>IFERROR(__xludf.DUMMYFUNCTION("""COMPUTED_VALUE"""),"Aug")</f>
        <v>Aug</v>
      </c>
      <c r="E183" s="21" t="str">
        <f>IFERROR(__xludf.DUMMYFUNCTION("""COMPUTED_VALUE"""),"2017")</f>
        <v>2017</v>
      </c>
      <c r="F183" s="22" t="str">
        <f>IFERROR(__xludf.DUMMYFUNCTION("""COMPUTED_VALUE"""),"First Class")</f>
        <v>First Class</v>
      </c>
      <c r="G183" s="22" t="str">
        <f>IFERROR(__xludf.DUMMYFUNCTION("""COMPUTED_VALUE"""),"Roland")</f>
        <v>Roland</v>
      </c>
      <c r="H183" s="22" t="str">
        <f>IFERROR(__xludf.DUMMYFUNCTION("""COMPUTED_VALUE"""),"Fjeld")</f>
        <v>Fjeld</v>
      </c>
      <c r="I183" s="22" t="str">
        <f>IFERROR(__xludf.DUMMYFUNCTION("""COMPUTED_VALUE"""),"Consumer")</f>
        <v>Consumer</v>
      </c>
      <c r="J183" s="22" t="str">
        <f>IFERROR(__xludf.DUMMYFUNCTION("""COMPUTED_VALUE"""),"San Jose")</f>
        <v>San Jose</v>
      </c>
      <c r="K183" s="22" t="str">
        <f>IFERROR(__xludf.DUMMYFUNCTION("""COMPUTED_VALUE"""),"California")</f>
        <v>California</v>
      </c>
      <c r="L183" s="22" t="str">
        <f>IFERROR(__xludf.DUMMYFUNCTION("""COMPUTED_VALUE"""),"West")</f>
        <v>West</v>
      </c>
      <c r="M183" s="22" t="str">
        <f>IFERROR(__xludf.DUMMYFUNCTION("""COMPUTED_VALUE"""),"Office Supplies")</f>
        <v>Office Supplies</v>
      </c>
      <c r="N183" s="18">
        <f>IFERROR(__xludf.DUMMYFUNCTION("""COMPUTED_VALUE"""),10.23)</f>
        <v>10.23</v>
      </c>
      <c r="O183" s="18">
        <f>IFERROR(__xludf.DUMMYFUNCTION("""COMPUTED_VALUE"""),9.92)</f>
        <v>9.92</v>
      </c>
      <c r="P183" s="22">
        <f>IFERROR(__xludf.DUMMYFUNCTION("""COMPUTED_VALUE"""),9.0)</f>
        <v>9</v>
      </c>
      <c r="Q183" s="18">
        <f>IFERROR(__xludf.DUMMYFUNCTION("""COMPUTED_VALUE"""),92.07000000000001)</f>
        <v>92.07</v>
      </c>
      <c r="R183" s="18">
        <f>IFERROR(__xludf.DUMMYFUNCTION("""COMPUTED_VALUE"""),82.15)</f>
        <v>82.15</v>
      </c>
    </row>
    <row r="184">
      <c r="A184" s="21">
        <f>IFERROR(__xludf.DUMMYFUNCTION("""COMPUTED_VALUE"""),42973.0)</f>
        <v>42973</v>
      </c>
      <c r="B184" s="21" t="str">
        <f>IFERROR(__xludf.DUMMYFUNCTION("""COMPUTED_VALUE"""),"Aug")</f>
        <v>Aug</v>
      </c>
      <c r="C184" s="9">
        <f>IFERROR(__xludf.DUMMYFUNCTION("""COMPUTED_VALUE"""),42974.0)</f>
        <v>42974</v>
      </c>
      <c r="D184" s="23" t="str">
        <f>IFERROR(__xludf.DUMMYFUNCTION("""COMPUTED_VALUE"""),"Aug")</f>
        <v>Aug</v>
      </c>
      <c r="E184" s="21" t="str">
        <f>IFERROR(__xludf.DUMMYFUNCTION("""COMPUTED_VALUE"""),"2017")</f>
        <v>2017</v>
      </c>
      <c r="F184" s="22" t="str">
        <f>IFERROR(__xludf.DUMMYFUNCTION("""COMPUTED_VALUE"""),"First Class")</f>
        <v>First Class</v>
      </c>
      <c r="G184" s="22" t="str">
        <f>IFERROR(__xludf.DUMMYFUNCTION("""COMPUTED_VALUE"""),"Roland")</f>
        <v>Roland</v>
      </c>
      <c r="H184" s="22" t="str">
        <f>IFERROR(__xludf.DUMMYFUNCTION("""COMPUTED_VALUE"""),"Fjeld")</f>
        <v>Fjeld</v>
      </c>
      <c r="I184" s="22" t="str">
        <f>IFERROR(__xludf.DUMMYFUNCTION("""COMPUTED_VALUE"""),"Consumer")</f>
        <v>Consumer</v>
      </c>
      <c r="J184" s="22" t="str">
        <f>IFERROR(__xludf.DUMMYFUNCTION("""COMPUTED_VALUE"""),"San Jose")</f>
        <v>San Jose</v>
      </c>
      <c r="K184" s="22" t="str">
        <f>IFERROR(__xludf.DUMMYFUNCTION("""COMPUTED_VALUE"""),"California")</f>
        <v>California</v>
      </c>
      <c r="L184" s="22" t="str">
        <f>IFERROR(__xludf.DUMMYFUNCTION("""COMPUTED_VALUE"""),"West")</f>
        <v>West</v>
      </c>
      <c r="M184" s="22" t="str">
        <f>IFERROR(__xludf.DUMMYFUNCTION("""COMPUTED_VALUE"""),"Office Supplies")</f>
        <v>Office Supplies</v>
      </c>
      <c r="N184" s="18">
        <f>IFERROR(__xludf.DUMMYFUNCTION("""COMPUTED_VALUE"""),154.9)</f>
        <v>154.9</v>
      </c>
      <c r="O184" s="18">
        <f>IFERROR(__xludf.DUMMYFUNCTION("""COMPUTED_VALUE"""),154.33)</f>
        <v>154.33</v>
      </c>
      <c r="P184" s="22">
        <f>IFERROR(__xludf.DUMMYFUNCTION("""COMPUTED_VALUE"""),9.0)</f>
        <v>9</v>
      </c>
      <c r="Q184" s="18">
        <f>IFERROR(__xludf.DUMMYFUNCTION("""COMPUTED_VALUE"""),1394.1000000000001)</f>
        <v>1394.1</v>
      </c>
      <c r="R184" s="18">
        <f>IFERROR(__xludf.DUMMYFUNCTION("""COMPUTED_VALUE"""),1239.7700000000002)</f>
        <v>1239.77</v>
      </c>
    </row>
    <row r="185">
      <c r="A185" s="21">
        <f>IFERROR(__xludf.DUMMYFUNCTION("""COMPUTED_VALUE"""),42609.0)</f>
        <v>42609</v>
      </c>
      <c r="B185" s="21" t="str">
        <f>IFERROR(__xludf.DUMMYFUNCTION("""COMPUTED_VALUE"""),"Aug")</f>
        <v>Aug</v>
      </c>
      <c r="C185" s="9">
        <f>IFERROR(__xludf.DUMMYFUNCTION("""COMPUTED_VALUE"""),42613.0)</f>
        <v>42613</v>
      </c>
      <c r="D185" s="23" t="str">
        <f>IFERROR(__xludf.DUMMYFUNCTION("""COMPUTED_VALUE"""),"Aug")</f>
        <v>Aug</v>
      </c>
      <c r="E185" s="21" t="str">
        <f>IFERROR(__xludf.DUMMYFUNCTION("""COMPUTED_VALUE"""),"2016")</f>
        <v>2016</v>
      </c>
      <c r="F185" s="22" t="str">
        <f>IFERROR(__xludf.DUMMYFUNCTION("""COMPUTED_VALUE"""),"Standard Class")</f>
        <v>Standard Class</v>
      </c>
      <c r="G185" s="22" t="str">
        <f>IFERROR(__xludf.DUMMYFUNCTION("""COMPUTED_VALUE"""),"Ryan")</f>
        <v>Ryan</v>
      </c>
      <c r="H185" s="22" t="str">
        <f>IFERROR(__xludf.DUMMYFUNCTION("""COMPUTED_VALUE"""),"Akin")</f>
        <v>Akin</v>
      </c>
      <c r="I185" s="22" t="str">
        <f>IFERROR(__xludf.DUMMYFUNCTION("""COMPUTED_VALUE"""),"Consumer")</f>
        <v>Consumer</v>
      </c>
      <c r="J185" s="22" t="str">
        <f>IFERROR(__xludf.DUMMYFUNCTION("""COMPUTED_VALUE"""),"Murrieta")</f>
        <v>Murrieta</v>
      </c>
      <c r="K185" s="22" t="str">
        <f>IFERROR(__xludf.DUMMYFUNCTION("""COMPUTED_VALUE"""),"California")</f>
        <v>California</v>
      </c>
      <c r="L185" s="22" t="str">
        <f>IFERROR(__xludf.DUMMYFUNCTION("""COMPUTED_VALUE"""),"West")</f>
        <v>West</v>
      </c>
      <c r="M185" s="22" t="str">
        <f>IFERROR(__xludf.DUMMYFUNCTION("""COMPUTED_VALUE"""),"Office Supplies")</f>
        <v>Office Supplies</v>
      </c>
      <c r="N185" s="18">
        <f>IFERROR(__xludf.DUMMYFUNCTION("""COMPUTED_VALUE"""),484.65)</f>
        <v>484.65</v>
      </c>
      <c r="O185" s="18">
        <f>IFERROR(__xludf.DUMMYFUNCTION("""COMPUTED_VALUE"""),484.04)</f>
        <v>484.04</v>
      </c>
      <c r="P185" s="22">
        <f>IFERROR(__xludf.DUMMYFUNCTION("""COMPUTED_VALUE"""),9.0)</f>
        <v>9</v>
      </c>
      <c r="Q185" s="18">
        <f>IFERROR(__xludf.DUMMYFUNCTION("""COMPUTED_VALUE"""),4361.849999999999)</f>
        <v>4361.85</v>
      </c>
      <c r="R185" s="18">
        <f>IFERROR(__xludf.DUMMYFUNCTION("""COMPUTED_VALUE"""),3877.8099999999995)</f>
        <v>3877.81</v>
      </c>
    </row>
    <row r="186">
      <c r="A186" s="21">
        <f>IFERROR(__xludf.DUMMYFUNCTION("""COMPUTED_VALUE"""),42332.0)</f>
        <v>42332</v>
      </c>
      <c r="B186" s="21" t="str">
        <f>IFERROR(__xludf.DUMMYFUNCTION("""COMPUTED_VALUE"""),"Nov")</f>
        <v>Nov</v>
      </c>
      <c r="C186" s="9">
        <f>IFERROR(__xludf.DUMMYFUNCTION("""COMPUTED_VALUE"""),42334.0)</f>
        <v>42334</v>
      </c>
      <c r="D186" s="23" t="str">
        <f>IFERROR(__xludf.DUMMYFUNCTION("""COMPUTED_VALUE"""),"Nov")</f>
        <v>Nov</v>
      </c>
      <c r="E186" s="21" t="str">
        <f>IFERROR(__xludf.DUMMYFUNCTION("""COMPUTED_VALUE"""),"2015")</f>
        <v>2015</v>
      </c>
      <c r="F186" s="22" t="str">
        <f>IFERROR(__xludf.DUMMYFUNCTION("""COMPUTED_VALUE"""),"First Class")</f>
        <v>First Class</v>
      </c>
      <c r="G186" s="22" t="str">
        <f>IFERROR(__xludf.DUMMYFUNCTION("""COMPUTED_VALUE"""),"Vivek")</f>
        <v>Vivek</v>
      </c>
      <c r="H186" s="22" t="str">
        <f>IFERROR(__xludf.DUMMYFUNCTION("""COMPUTED_VALUE"""),"Gonzalez")</f>
        <v>Gonzalez</v>
      </c>
      <c r="I186" s="22" t="str">
        <f>IFERROR(__xludf.DUMMYFUNCTION("""COMPUTED_VALUE"""),"Consumer")</f>
        <v>Consumer</v>
      </c>
      <c r="J186" s="22" t="str">
        <f>IFERROR(__xludf.DUMMYFUNCTION("""COMPUTED_VALUE"""),"San Diego")</f>
        <v>San Diego</v>
      </c>
      <c r="K186" s="22" t="str">
        <f>IFERROR(__xludf.DUMMYFUNCTION("""COMPUTED_VALUE"""),"California")</f>
        <v>California</v>
      </c>
      <c r="L186" s="22" t="str">
        <f>IFERROR(__xludf.DUMMYFUNCTION("""COMPUTED_VALUE"""),"West")</f>
        <v>West</v>
      </c>
      <c r="M186" s="22" t="str">
        <f>IFERROR(__xludf.DUMMYFUNCTION("""COMPUTED_VALUE"""),"Furniture")</f>
        <v>Furniture</v>
      </c>
      <c r="N186" s="18">
        <f>IFERROR(__xludf.DUMMYFUNCTION("""COMPUTED_VALUE"""),151.72)</f>
        <v>151.72</v>
      </c>
      <c r="O186" s="18">
        <f>IFERROR(__xludf.DUMMYFUNCTION("""COMPUTED_VALUE"""),151.56)</f>
        <v>151.56</v>
      </c>
      <c r="P186" s="22">
        <f>IFERROR(__xludf.DUMMYFUNCTION("""COMPUTED_VALUE"""),9.0)</f>
        <v>9</v>
      </c>
      <c r="Q186" s="18">
        <f>IFERROR(__xludf.DUMMYFUNCTION("""COMPUTED_VALUE"""),1365.48)</f>
        <v>1365.48</v>
      </c>
      <c r="R186" s="18">
        <f>IFERROR(__xludf.DUMMYFUNCTION("""COMPUTED_VALUE"""),1213.92)</f>
        <v>1213.92</v>
      </c>
    </row>
    <row r="187">
      <c r="A187" s="21">
        <f>IFERROR(__xludf.DUMMYFUNCTION("""COMPUTED_VALUE"""),42630.0)</f>
        <v>42630</v>
      </c>
      <c r="B187" s="21" t="str">
        <f>IFERROR(__xludf.DUMMYFUNCTION("""COMPUTED_VALUE"""),"Sep")</f>
        <v>Sep</v>
      </c>
      <c r="C187" s="9">
        <f>IFERROR(__xludf.DUMMYFUNCTION("""COMPUTED_VALUE"""),42632.0)</f>
        <v>42632</v>
      </c>
      <c r="D187" s="23" t="str">
        <f>IFERROR(__xludf.DUMMYFUNCTION("""COMPUTED_VALUE"""),"Sep")</f>
        <v>Sep</v>
      </c>
      <c r="E187" s="21" t="str">
        <f>IFERROR(__xludf.DUMMYFUNCTION("""COMPUTED_VALUE"""),"2016")</f>
        <v>2016</v>
      </c>
      <c r="F187" s="22" t="str">
        <f>IFERROR(__xludf.DUMMYFUNCTION("""COMPUTED_VALUE"""),"Second Class")</f>
        <v>Second Class</v>
      </c>
      <c r="G187" s="22" t="str">
        <f>IFERROR(__xludf.DUMMYFUNCTION("""COMPUTED_VALUE"""),"Meg")</f>
        <v>Meg</v>
      </c>
      <c r="H187" s="22" t="str">
        <f>IFERROR(__xludf.DUMMYFUNCTION("""COMPUTED_VALUE"""),"O'Connel")</f>
        <v>O'Connel</v>
      </c>
      <c r="I187" s="22" t="str">
        <f>IFERROR(__xludf.DUMMYFUNCTION("""COMPUTED_VALUE"""),"Home Office")</f>
        <v>Home Office</v>
      </c>
      <c r="J187" s="22" t="str">
        <f>IFERROR(__xludf.DUMMYFUNCTION("""COMPUTED_VALUE"""),"Los Angeles")</f>
        <v>Los Angeles</v>
      </c>
      <c r="K187" s="22" t="str">
        <f>IFERROR(__xludf.DUMMYFUNCTION("""COMPUTED_VALUE"""),"California")</f>
        <v>California</v>
      </c>
      <c r="L187" s="22" t="str">
        <f>IFERROR(__xludf.DUMMYFUNCTION("""COMPUTED_VALUE"""),"West")</f>
        <v>West</v>
      </c>
      <c r="M187" s="22" t="str">
        <f>IFERROR(__xludf.DUMMYFUNCTION("""COMPUTED_VALUE"""),"Office Supplies")</f>
        <v>Office Supplies</v>
      </c>
      <c r="N187" s="18">
        <f>IFERROR(__xludf.DUMMYFUNCTION("""COMPUTED_VALUE"""),32.4)</f>
        <v>32.4</v>
      </c>
      <c r="O187" s="18">
        <f>IFERROR(__xludf.DUMMYFUNCTION("""COMPUTED_VALUE"""),31.92)</f>
        <v>31.92</v>
      </c>
      <c r="P187" s="22">
        <f>IFERROR(__xludf.DUMMYFUNCTION("""COMPUTED_VALUE"""),9.0)</f>
        <v>9</v>
      </c>
      <c r="Q187" s="18">
        <f>IFERROR(__xludf.DUMMYFUNCTION("""COMPUTED_VALUE"""),291.59999999999997)</f>
        <v>291.6</v>
      </c>
      <c r="R187" s="18">
        <f>IFERROR(__xludf.DUMMYFUNCTION("""COMPUTED_VALUE"""),259.67999999999995)</f>
        <v>259.68</v>
      </c>
    </row>
    <row r="188">
      <c r="A188" s="21">
        <f>IFERROR(__xludf.DUMMYFUNCTION("""COMPUTED_VALUE"""),43451.0)</f>
        <v>43451</v>
      </c>
      <c r="B188" s="21" t="str">
        <f>IFERROR(__xludf.DUMMYFUNCTION("""COMPUTED_VALUE"""),"Dec")</f>
        <v>Dec</v>
      </c>
      <c r="C188" s="9">
        <f>IFERROR(__xludf.DUMMYFUNCTION("""COMPUTED_VALUE"""),43454.0)</f>
        <v>43454</v>
      </c>
      <c r="D188" s="23" t="str">
        <f>IFERROR(__xludf.DUMMYFUNCTION("""COMPUTED_VALUE"""),"Dec")</f>
        <v>Dec</v>
      </c>
      <c r="E188" s="21" t="str">
        <f>IFERROR(__xludf.DUMMYFUNCTION("""COMPUTED_VALUE"""),"2018")</f>
        <v>2018</v>
      </c>
      <c r="F188" s="22" t="str">
        <f>IFERROR(__xludf.DUMMYFUNCTION("""COMPUTED_VALUE"""),"First Class")</f>
        <v>First Class</v>
      </c>
      <c r="G188" s="22" t="str">
        <f>IFERROR(__xludf.DUMMYFUNCTION("""COMPUTED_VALUE"""),"Hallie")</f>
        <v>Hallie</v>
      </c>
      <c r="H188" s="22" t="str">
        <f>IFERROR(__xludf.DUMMYFUNCTION("""COMPUTED_VALUE"""),"Redmond")</f>
        <v>Redmond</v>
      </c>
      <c r="I188" s="22" t="str">
        <f>IFERROR(__xludf.DUMMYFUNCTION("""COMPUTED_VALUE"""),"Home Office")</f>
        <v>Home Office</v>
      </c>
      <c r="J188" s="22" t="str">
        <f>IFERROR(__xludf.DUMMYFUNCTION("""COMPUTED_VALUE"""),"Los Angeles")</f>
        <v>Los Angeles</v>
      </c>
      <c r="K188" s="22" t="str">
        <f>IFERROR(__xludf.DUMMYFUNCTION("""COMPUTED_VALUE"""),"California")</f>
        <v>California</v>
      </c>
      <c r="L188" s="22" t="str">
        <f>IFERROR(__xludf.DUMMYFUNCTION("""COMPUTED_VALUE"""),"West")</f>
        <v>West</v>
      </c>
      <c r="M188" s="22" t="str">
        <f>IFERROR(__xludf.DUMMYFUNCTION("""COMPUTED_VALUE"""),"Office Supplies")</f>
        <v>Office Supplies</v>
      </c>
      <c r="N188" s="18">
        <f>IFERROR(__xludf.DUMMYFUNCTION("""COMPUTED_VALUE"""),11.808)</f>
        <v>11.808</v>
      </c>
      <c r="O188" s="18">
        <f>IFERROR(__xludf.DUMMYFUNCTION("""COMPUTED_VALUE"""),11.56)</f>
        <v>11.56</v>
      </c>
      <c r="P188" s="22">
        <f>IFERROR(__xludf.DUMMYFUNCTION("""COMPUTED_VALUE"""),9.0)</f>
        <v>9</v>
      </c>
      <c r="Q188" s="18">
        <f>IFERROR(__xludf.DUMMYFUNCTION("""COMPUTED_VALUE"""),106.27199999999999)</f>
        <v>106.272</v>
      </c>
      <c r="R188" s="18">
        <f>IFERROR(__xludf.DUMMYFUNCTION("""COMPUTED_VALUE"""),94.71199999999999)</f>
        <v>94.712</v>
      </c>
    </row>
    <row r="189">
      <c r="A189" s="21">
        <f>IFERROR(__xludf.DUMMYFUNCTION("""COMPUTED_VALUE"""),42534.0)</f>
        <v>42534</v>
      </c>
      <c r="B189" s="21" t="str">
        <f>IFERROR(__xludf.DUMMYFUNCTION("""COMPUTED_VALUE"""),"Jun")</f>
        <v>Jun</v>
      </c>
      <c r="C189" s="9">
        <f>IFERROR(__xludf.DUMMYFUNCTION("""COMPUTED_VALUE"""),42535.0)</f>
        <v>42535</v>
      </c>
      <c r="D189" s="23" t="str">
        <f>IFERROR(__xludf.DUMMYFUNCTION("""COMPUTED_VALUE"""),"Jun")</f>
        <v>Jun</v>
      </c>
      <c r="E189" s="21" t="str">
        <f>IFERROR(__xludf.DUMMYFUNCTION("""COMPUTED_VALUE"""),"2016")</f>
        <v>2016</v>
      </c>
      <c r="F189" s="22" t="str">
        <f>IFERROR(__xludf.DUMMYFUNCTION("""COMPUTED_VALUE"""),"First Class")</f>
        <v>First Class</v>
      </c>
      <c r="G189" s="22" t="str">
        <f>IFERROR(__xludf.DUMMYFUNCTION("""COMPUTED_VALUE"""),"Jennifer")</f>
        <v>Jennifer</v>
      </c>
      <c r="H189" s="22" t="str">
        <f>IFERROR(__xludf.DUMMYFUNCTION("""COMPUTED_VALUE"""),"Jackson")</f>
        <v>Jackson</v>
      </c>
      <c r="I189" s="22" t="str">
        <f>IFERROR(__xludf.DUMMYFUNCTION("""COMPUTED_VALUE"""),"Consumer")</f>
        <v>Consumer</v>
      </c>
      <c r="J189" s="22" t="str">
        <f>IFERROR(__xludf.DUMMYFUNCTION("""COMPUTED_VALUE"""),"Los Angeles")</f>
        <v>Los Angeles</v>
      </c>
      <c r="K189" s="22" t="str">
        <f>IFERROR(__xludf.DUMMYFUNCTION("""COMPUTED_VALUE"""),"California")</f>
        <v>California</v>
      </c>
      <c r="L189" s="22" t="str">
        <f>IFERROR(__xludf.DUMMYFUNCTION("""COMPUTED_VALUE"""),"West")</f>
        <v>West</v>
      </c>
      <c r="M189" s="22" t="str">
        <f>IFERROR(__xludf.DUMMYFUNCTION("""COMPUTED_VALUE"""),"Office Supplies")</f>
        <v>Office Supplies</v>
      </c>
      <c r="N189" s="18">
        <f>IFERROR(__xludf.DUMMYFUNCTION("""COMPUTED_VALUE"""),36.624)</f>
        <v>36.624</v>
      </c>
      <c r="O189" s="18">
        <f>IFERROR(__xludf.DUMMYFUNCTION("""COMPUTED_VALUE"""),35.71)</f>
        <v>35.71</v>
      </c>
      <c r="P189" s="22">
        <f>IFERROR(__xludf.DUMMYFUNCTION("""COMPUTED_VALUE"""),9.0)</f>
        <v>9</v>
      </c>
      <c r="Q189" s="18">
        <f>IFERROR(__xludf.DUMMYFUNCTION("""COMPUTED_VALUE"""),329.61600000000004)</f>
        <v>329.616</v>
      </c>
      <c r="R189" s="18">
        <f>IFERROR(__xludf.DUMMYFUNCTION("""COMPUTED_VALUE"""),293.90600000000006)</f>
        <v>293.906</v>
      </c>
    </row>
    <row r="190">
      <c r="A190" s="21">
        <f>IFERROR(__xludf.DUMMYFUNCTION("""COMPUTED_VALUE"""),42151.0)</f>
        <v>42151</v>
      </c>
      <c r="B190" s="21" t="str">
        <f>IFERROR(__xludf.DUMMYFUNCTION("""COMPUTED_VALUE"""),"May")</f>
        <v>May</v>
      </c>
      <c r="C190" s="9">
        <f>IFERROR(__xludf.DUMMYFUNCTION("""COMPUTED_VALUE"""),42010.0)</f>
        <v>42010</v>
      </c>
      <c r="D190" s="23" t="str">
        <f>IFERROR(__xludf.DUMMYFUNCTION("""COMPUTED_VALUE"""),"Jan")</f>
        <v>Jan</v>
      </c>
      <c r="E190" s="21" t="str">
        <f>IFERROR(__xludf.DUMMYFUNCTION("""COMPUTED_VALUE"""),"2015")</f>
        <v>2015</v>
      </c>
      <c r="F190" s="22" t="str">
        <f>IFERROR(__xludf.DUMMYFUNCTION("""COMPUTED_VALUE"""),"Second Class")</f>
        <v>Second Class</v>
      </c>
      <c r="G190" s="22" t="str">
        <f>IFERROR(__xludf.DUMMYFUNCTION("""COMPUTED_VALUE"""),"Lena")</f>
        <v>Lena</v>
      </c>
      <c r="H190" s="22" t="str">
        <f>IFERROR(__xludf.DUMMYFUNCTION("""COMPUTED_VALUE"""),"Creighton")</f>
        <v>Creighton</v>
      </c>
      <c r="I190" s="22" t="str">
        <f>IFERROR(__xludf.DUMMYFUNCTION("""COMPUTED_VALUE"""),"Consumer")</f>
        <v>Consumer</v>
      </c>
      <c r="J190" s="22" t="str">
        <f>IFERROR(__xludf.DUMMYFUNCTION("""COMPUTED_VALUE"""),"San Francisco")</f>
        <v>San Francisco</v>
      </c>
      <c r="K190" s="22" t="str">
        <f>IFERROR(__xludf.DUMMYFUNCTION("""COMPUTED_VALUE"""),"California")</f>
        <v>California</v>
      </c>
      <c r="L190" s="22" t="str">
        <f>IFERROR(__xludf.DUMMYFUNCTION("""COMPUTED_VALUE"""),"West")</f>
        <v>West</v>
      </c>
      <c r="M190" s="22" t="str">
        <f>IFERROR(__xludf.DUMMYFUNCTION("""COMPUTED_VALUE"""),"Technology")</f>
        <v>Technology</v>
      </c>
      <c r="N190" s="18">
        <f>IFERROR(__xludf.DUMMYFUNCTION("""COMPUTED_VALUE"""),1113.504)</f>
        <v>1113.504</v>
      </c>
      <c r="O190" s="18">
        <f>IFERROR(__xludf.DUMMYFUNCTION("""COMPUTED_VALUE"""),1113.45)</f>
        <v>1113.45</v>
      </c>
      <c r="P190" s="22">
        <f>IFERROR(__xludf.DUMMYFUNCTION("""COMPUTED_VALUE"""),9.0)</f>
        <v>9</v>
      </c>
      <c r="Q190" s="18">
        <f>IFERROR(__xludf.DUMMYFUNCTION("""COMPUTED_VALUE"""),10021.536)</f>
        <v>10021.536</v>
      </c>
      <c r="R190" s="18">
        <f>IFERROR(__xludf.DUMMYFUNCTION("""COMPUTED_VALUE"""),8908.086)</f>
        <v>8908.086</v>
      </c>
    </row>
    <row r="191">
      <c r="A191" s="21">
        <f>IFERROR(__xludf.DUMMYFUNCTION("""COMPUTED_VALUE"""),42151.0)</f>
        <v>42151</v>
      </c>
      <c r="B191" s="21" t="str">
        <f>IFERROR(__xludf.DUMMYFUNCTION("""COMPUTED_VALUE"""),"May")</f>
        <v>May</v>
      </c>
      <c r="C191" s="9">
        <f>IFERROR(__xludf.DUMMYFUNCTION("""COMPUTED_VALUE"""),42010.0)</f>
        <v>42010</v>
      </c>
      <c r="D191" s="23" t="str">
        <f>IFERROR(__xludf.DUMMYFUNCTION("""COMPUTED_VALUE"""),"Jan")</f>
        <v>Jan</v>
      </c>
      <c r="E191" s="21" t="str">
        <f>IFERROR(__xludf.DUMMYFUNCTION("""COMPUTED_VALUE"""),"2015")</f>
        <v>2015</v>
      </c>
      <c r="F191" s="22" t="str">
        <f>IFERROR(__xludf.DUMMYFUNCTION("""COMPUTED_VALUE"""),"Second Class")</f>
        <v>Second Class</v>
      </c>
      <c r="G191" s="22" t="str">
        <f>IFERROR(__xludf.DUMMYFUNCTION("""COMPUTED_VALUE"""),"Lena")</f>
        <v>Lena</v>
      </c>
      <c r="H191" s="22" t="str">
        <f>IFERROR(__xludf.DUMMYFUNCTION("""COMPUTED_VALUE"""),"Creighton")</f>
        <v>Creighton</v>
      </c>
      <c r="I191" s="22" t="str">
        <f>IFERROR(__xludf.DUMMYFUNCTION("""COMPUTED_VALUE"""),"Consumer")</f>
        <v>Consumer</v>
      </c>
      <c r="J191" s="22" t="str">
        <f>IFERROR(__xludf.DUMMYFUNCTION("""COMPUTED_VALUE"""),"San Francisco")</f>
        <v>San Francisco</v>
      </c>
      <c r="K191" s="22" t="str">
        <f>IFERROR(__xludf.DUMMYFUNCTION("""COMPUTED_VALUE"""),"California")</f>
        <v>California</v>
      </c>
      <c r="L191" s="22" t="str">
        <f>IFERROR(__xludf.DUMMYFUNCTION("""COMPUTED_VALUE"""),"West")</f>
        <v>West</v>
      </c>
      <c r="M191" s="22" t="str">
        <f>IFERROR(__xludf.DUMMYFUNCTION("""COMPUTED_VALUE"""),"Technology")</f>
        <v>Technology</v>
      </c>
      <c r="N191" s="18">
        <f>IFERROR(__xludf.DUMMYFUNCTION("""COMPUTED_VALUE"""),99.99)</f>
        <v>99.99</v>
      </c>
      <c r="O191" s="18">
        <f>IFERROR(__xludf.DUMMYFUNCTION("""COMPUTED_VALUE"""),99.38)</f>
        <v>99.38</v>
      </c>
      <c r="P191" s="22">
        <f>IFERROR(__xludf.DUMMYFUNCTION("""COMPUTED_VALUE"""),9.0)</f>
        <v>9</v>
      </c>
      <c r="Q191" s="18">
        <f>IFERROR(__xludf.DUMMYFUNCTION("""COMPUTED_VALUE"""),899.91)</f>
        <v>899.91</v>
      </c>
      <c r="R191" s="18">
        <f>IFERROR(__xludf.DUMMYFUNCTION("""COMPUTED_VALUE"""),800.53)</f>
        <v>800.53</v>
      </c>
    </row>
    <row r="192">
      <c r="A192" s="21">
        <f>IFERROR(__xludf.DUMMYFUNCTION("""COMPUTED_VALUE"""),43385.0)</f>
        <v>43385</v>
      </c>
      <c r="B192" s="21" t="str">
        <f>IFERROR(__xludf.DUMMYFUNCTION("""COMPUTED_VALUE"""),"Oct")</f>
        <v>Oct</v>
      </c>
      <c r="C192" s="9">
        <f>IFERROR(__xludf.DUMMYFUNCTION("""COMPUTED_VALUE"""),43451.0)</f>
        <v>43451</v>
      </c>
      <c r="D192" s="23" t="str">
        <f>IFERROR(__xludf.DUMMYFUNCTION("""COMPUTED_VALUE"""),"Dec")</f>
        <v>Dec</v>
      </c>
      <c r="E192" s="21" t="str">
        <f>IFERROR(__xludf.DUMMYFUNCTION("""COMPUTED_VALUE"""),"2018")</f>
        <v>2018</v>
      </c>
      <c r="F192" s="22" t="str">
        <f>IFERROR(__xludf.DUMMYFUNCTION("""COMPUTED_VALUE"""),"Standard Class")</f>
        <v>Standard Class</v>
      </c>
      <c r="G192" s="22" t="str">
        <f>IFERROR(__xludf.DUMMYFUNCTION("""COMPUTED_VALUE"""),"Ben")</f>
        <v>Ben</v>
      </c>
      <c r="H192" s="22" t="str">
        <f>IFERROR(__xludf.DUMMYFUNCTION("""COMPUTED_VALUE"""),"Peterman")</f>
        <v>Peterman</v>
      </c>
      <c r="I192" s="22" t="str">
        <f>IFERROR(__xludf.DUMMYFUNCTION("""COMPUTED_VALUE"""),"Corporate")</f>
        <v>Corporate</v>
      </c>
      <c r="J192" s="22" t="str">
        <f>IFERROR(__xludf.DUMMYFUNCTION("""COMPUTED_VALUE"""),"San Diego")</f>
        <v>San Diego</v>
      </c>
      <c r="K192" s="22" t="str">
        <f>IFERROR(__xludf.DUMMYFUNCTION("""COMPUTED_VALUE"""),"California")</f>
        <v>California</v>
      </c>
      <c r="L192" s="22" t="str">
        <f>IFERROR(__xludf.DUMMYFUNCTION("""COMPUTED_VALUE"""),"West")</f>
        <v>West</v>
      </c>
      <c r="M192" s="22" t="str">
        <f>IFERROR(__xludf.DUMMYFUNCTION("""COMPUTED_VALUE"""),"Office Supplies")</f>
        <v>Office Supplies</v>
      </c>
      <c r="N192" s="18">
        <f>IFERROR(__xludf.DUMMYFUNCTION("""COMPUTED_VALUE"""),19.936)</f>
        <v>19.936</v>
      </c>
      <c r="O192" s="18">
        <f>IFERROR(__xludf.DUMMYFUNCTION("""COMPUTED_VALUE"""),19.71)</f>
        <v>19.71</v>
      </c>
      <c r="P192" s="22">
        <f>IFERROR(__xludf.DUMMYFUNCTION("""COMPUTED_VALUE"""),9.0)</f>
        <v>9</v>
      </c>
      <c r="Q192" s="18">
        <f>IFERROR(__xludf.DUMMYFUNCTION("""COMPUTED_VALUE"""),179.424)</f>
        <v>179.424</v>
      </c>
      <c r="R192" s="18">
        <f>IFERROR(__xludf.DUMMYFUNCTION("""COMPUTED_VALUE"""),159.714)</f>
        <v>159.714</v>
      </c>
    </row>
    <row r="193">
      <c r="A193" s="21">
        <f>IFERROR(__xludf.DUMMYFUNCTION("""COMPUTED_VALUE"""),43385.0)</f>
        <v>43385</v>
      </c>
      <c r="B193" s="21" t="str">
        <f>IFERROR(__xludf.DUMMYFUNCTION("""COMPUTED_VALUE"""),"Oct")</f>
        <v>Oct</v>
      </c>
      <c r="C193" s="9">
        <f>IFERROR(__xludf.DUMMYFUNCTION("""COMPUTED_VALUE"""),43451.0)</f>
        <v>43451</v>
      </c>
      <c r="D193" s="23" t="str">
        <f>IFERROR(__xludf.DUMMYFUNCTION("""COMPUTED_VALUE"""),"Dec")</f>
        <v>Dec</v>
      </c>
      <c r="E193" s="21" t="str">
        <f>IFERROR(__xludf.DUMMYFUNCTION("""COMPUTED_VALUE"""),"2018")</f>
        <v>2018</v>
      </c>
      <c r="F193" s="22" t="str">
        <f>IFERROR(__xludf.DUMMYFUNCTION("""COMPUTED_VALUE"""),"Standard Class")</f>
        <v>Standard Class</v>
      </c>
      <c r="G193" s="22" t="str">
        <f>IFERROR(__xludf.DUMMYFUNCTION("""COMPUTED_VALUE"""),"Ben")</f>
        <v>Ben</v>
      </c>
      <c r="H193" s="22" t="str">
        <f>IFERROR(__xludf.DUMMYFUNCTION("""COMPUTED_VALUE"""),"Peterman")</f>
        <v>Peterman</v>
      </c>
      <c r="I193" s="22" t="str">
        <f>IFERROR(__xludf.DUMMYFUNCTION("""COMPUTED_VALUE"""),"Corporate")</f>
        <v>Corporate</v>
      </c>
      <c r="J193" s="22" t="str">
        <f>IFERROR(__xludf.DUMMYFUNCTION("""COMPUTED_VALUE"""),"San Diego")</f>
        <v>San Diego</v>
      </c>
      <c r="K193" s="22" t="str">
        <f>IFERROR(__xludf.DUMMYFUNCTION("""COMPUTED_VALUE"""),"California")</f>
        <v>California</v>
      </c>
      <c r="L193" s="22" t="str">
        <f>IFERROR(__xludf.DUMMYFUNCTION("""COMPUTED_VALUE"""),"West")</f>
        <v>West</v>
      </c>
      <c r="M193" s="22" t="str">
        <f>IFERROR(__xludf.DUMMYFUNCTION("""COMPUTED_VALUE"""),"Office Supplies")</f>
        <v>Office Supplies</v>
      </c>
      <c r="N193" s="18">
        <f>IFERROR(__xludf.DUMMYFUNCTION("""COMPUTED_VALUE"""),65.568)</f>
        <v>65.568</v>
      </c>
      <c r="O193" s="18">
        <f>IFERROR(__xludf.DUMMYFUNCTION("""COMPUTED_VALUE"""),65.56)</f>
        <v>65.56</v>
      </c>
      <c r="P193" s="22">
        <f>IFERROR(__xludf.DUMMYFUNCTION("""COMPUTED_VALUE"""),9.0)</f>
        <v>9</v>
      </c>
      <c r="Q193" s="18">
        <f>IFERROR(__xludf.DUMMYFUNCTION("""COMPUTED_VALUE"""),590.112)</f>
        <v>590.112</v>
      </c>
      <c r="R193" s="18">
        <f>IFERROR(__xludf.DUMMYFUNCTION("""COMPUTED_VALUE"""),524.5519999999999)</f>
        <v>524.552</v>
      </c>
    </row>
    <row r="194">
      <c r="A194" s="21">
        <f>IFERROR(__xludf.DUMMYFUNCTION("""COMPUTED_VALUE"""),42745.0)</f>
        <v>42745</v>
      </c>
      <c r="B194" s="21" t="str">
        <f>IFERROR(__xludf.DUMMYFUNCTION("""COMPUTED_VALUE"""),"Jan")</f>
        <v>Jan</v>
      </c>
      <c r="C194" s="9">
        <f>IFERROR(__xludf.DUMMYFUNCTION("""COMPUTED_VALUE"""),42776.0)</f>
        <v>42776</v>
      </c>
      <c r="D194" s="23" t="str">
        <f>IFERROR(__xludf.DUMMYFUNCTION("""COMPUTED_VALUE"""),"Feb")</f>
        <v>Feb</v>
      </c>
      <c r="E194" s="21" t="str">
        <f>IFERROR(__xludf.DUMMYFUNCTION("""COMPUTED_VALUE"""),"2017")</f>
        <v>2017</v>
      </c>
      <c r="F194" s="22" t="str">
        <f>IFERROR(__xludf.DUMMYFUNCTION("""COMPUTED_VALUE"""),"First Class")</f>
        <v>First Class</v>
      </c>
      <c r="G194" s="22" t="str">
        <f>IFERROR(__xludf.DUMMYFUNCTION("""COMPUTED_VALUE"""),"Brian")</f>
        <v>Brian</v>
      </c>
      <c r="H194" s="22" t="str">
        <f>IFERROR(__xludf.DUMMYFUNCTION("""COMPUTED_VALUE"""),"DeCherney")</f>
        <v>DeCherney</v>
      </c>
      <c r="I194" s="22" t="str">
        <f>IFERROR(__xludf.DUMMYFUNCTION("""COMPUTED_VALUE"""),"Consumer")</f>
        <v>Consumer</v>
      </c>
      <c r="J194" s="22" t="str">
        <f>IFERROR(__xludf.DUMMYFUNCTION("""COMPUTED_VALUE"""),"San Francisco")</f>
        <v>San Francisco</v>
      </c>
      <c r="K194" s="22" t="str">
        <f>IFERROR(__xludf.DUMMYFUNCTION("""COMPUTED_VALUE"""),"California")</f>
        <v>California</v>
      </c>
      <c r="L194" s="22" t="str">
        <f>IFERROR(__xludf.DUMMYFUNCTION("""COMPUTED_VALUE"""),"West")</f>
        <v>West</v>
      </c>
      <c r="M194" s="22" t="str">
        <f>IFERROR(__xludf.DUMMYFUNCTION("""COMPUTED_VALUE"""),"Furniture")</f>
        <v>Furniture</v>
      </c>
      <c r="N194" s="18">
        <f>IFERROR(__xludf.DUMMYFUNCTION("""COMPUTED_VALUE"""),194.848)</f>
        <v>194.848</v>
      </c>
      <c r="O194" s="18">
        <f>IFERROR(__xludf.DUMMYFUNCTION("""COMPUTED_VALUE"""),194.79)</f>
        <v>194.79</v>
      </c>
      <c r="P194" s="22">
        <f>IFERROR(__xludf.DUMMYFUNCTION("""COMPUTED_VALUE"""),9.0)</f>
        <v>9</v>
      </c>
      <c r="Q194" s="18">
        <f>IFERROR(__xludf.DUMMYFUNCTION("""COMPUTED_VALUE"""),1753.632)</f>
        <v>1753.632</v>
      </c>
      <c r="R194" s="18">
        <f>IFERROR(__xludf.DUMMYFUNCTION("""COMPUTED_VALUE"""),1558.842)</f>
        <v>1558.842</v>
      </c>
    </row>
    <row r="195">
      <c r="A195" s="21">
        <f>IFERROR(__xludf.DUMMYFUNCTION("""COMPUTED_VALUE"""),42694.0)</f>
        <v>42694</v>
      </c>
      <c r="B195" s="21" t="str">
        <f>IFERROR(__xludf.DUMMYFUNCTION("""COMPUTED_VALUE"""),"Nov")</f>
        <v>Nov</v>
      </c>
      <c r="C195" s="9">
        <f>IFERROR(__xludf.DUMMYFUNCTION("""COMPUTED_VALUE"""),42700.0)</f>
        <v>42700</v>
      </c>
      <c r="D195" s="23" t="str">
        <f>IFERROR(__xludf.DUMMYFUNCTION("""COMPUTED_VALUE"""),"Nov")</f>
        <v>Nov</v>
      </c>
      <c r="E195" s="21" t="str">
        <f>IFERROR(__xludf.DUMMYFUNCTION("""COMPUTED_VALUE"""),"2016")</f>
        <v>2016</v>
      </c>
      <c r="F195" s="22" t="str">
        <f>IFERROR(__xludf.DUMMYFUNCTION("""COMPUTED_VALUE"""),"Standard Class")</f>
        <v>Standard Class</v>
      </c>
      <c r="G195" s="22" t="str">
        <f>IFERROR(__xludf.DUMMYFUNCTION("""COMPUTED_VALUE"""),"Skye")</f>
        <v>Skye</v>
      </c>
      <c r="H195" s="22" t="str">
        <f>IFERROR(__xludf.DUMMYFUNCTION("""COMPUTED_VALUE"""),"Norling")</f>
        <v>Norling</v>
      </c>
      <c r="I195" s="22" t="str">
        <f>IFERROR(__xludf.DUMMYFUNCTION("""COMPUTED_VALUE"""),"Home Office")</f>
        <v>Home Office</v>
      </c>
      <c r="J195" s="22" t="str">
        <f>IFERROR(__xludf.DUMMYFUNCTION("""COMPUTED_VALUE"""),"Los Angeles")</f>
        <v>Los Angeles</v>
      </c>
      <c r="K195" s="22" t="str">
        <f>IFERROR(__xludf.DUMMYFUNCTION("""COMPUTED_VALUE"""),"California")</f>
        <v>California</v>
      </c>
      <c r="L195" s="22" t="str">
        <f>IFERROR(__xludf.DUMMYFUNCTION("""COMPUTED_VALUE"""),"West")</f>
        <v>West</v>
      </c>
      <c r="M195" s="22" t="str">
        <f>IFERROR(__xludf.DUMMYFUNCTION("""COMPUTED_VALUE"""),"Office Supplies")</f>
        <v>Office Supplies</v>
      </c>
      <c r="N195" s="18">
        <f>IFERROR(__xludf.DUMMYFUNCTION("""COMPUTED_VALUE"""),19.46)</f>
        <v>19.46</v>
      </c>
      <c r="O195" s="18">
        <f>IFERROR(__xludf.DUMMYFUNCTION("""COMPUTED_VALUE"""),18.9)</f>
        <v>18.9</v>
      </c>
      <c r="P195" s="22">
        <f>IFERROR(__xludf.DUMMYFUNCTION("""COMPUTED_VALUE"""),9.0)</f>
        <v>9</v>
      </c>
      <c r="Q195" s="18">
        <f>IFERROR(__xludf.DUMMYFUNCTION("""COMPUTED_VALUE"""),175.14000000000001)</f>
        <v>175.14</v>
      </c>
      <c r="R195" s="18">
        <f>IFERROR(__xludf.DUMMYFUNCTION("""COMPUTED_VALUE"""),156.24)</f>
        <v>156.24</v>
      </c>
    </row>
    <row r="196">
      <c r="A196" s="21">
        <f>IFERROR(__xludf.DUMMYFUNCTION("""COMPUTED_VALUE"""),42962.0)</f>
        <v>42962</v>
      </c>
      <c r="B196" s="21" t="str">
        <f>IFERROR(__xludf.DUMMYFUNCTION("""COMPUTED_VALUE"""),"Aug")</f>
        <v>Aug</v>
      </c>
      <c r="C196" s="9">
        <f>IFERROR(__xludf.DUMMYFUNCTION("""COMPUTED_VALUE"""),42967.0)</f>
        <v>42967</v>
      </c>
      <c r="D196" s="23" t="str">
        <f>IFERROR(__xludf.DUMMYFUNCTION("""COMPUTED_VALUE"""),"Aug")</f>
        <v>Aug</v>
      </c>
      <c r="E196" s="21" t="str">
        <f>IFERROR(__xludf.DUMMYFUNCTION("""COMPUTED_VALUE"""),"2017")</f>
        <v>2017</v>
      </c>
      <c r="F196" s="22" t="str">
        <f>IFERROR(__xludf.DUMMYFUNCTION("""COMPUTED_VALUE"""),"Second Class")</f>
        <v>Second Class</v>
      </c>
      <c r="G196" s="22" t="str">
        <f>IFERROR(__xludf.DUMMYFUNCTION("""COMPUTED_VALUE"""),"Craig")</f>
        <v>Craig</v>
      </c>
      <c r="H196" s="22" t="str">
        <f>IFERROR(__xludf.DUMMYFUNCTION("""COMPUTED_VALUE"""),"Yedwab")</f>
        <v>Yedwab</v>
      </c>
      <c r="I196" s="22" t="str">
        <f>IFERROR(__xludf.DUMMYFUNCTION("""COMPUTED_VALUE"""),"Corporate")</f>
        <v>Corporate</v>
      </c>
      <c r="J196" s="22" t="str">
        <f>IFERROR(__xludf.DUMMYFUNCTION("""COMPUTED_VALUE"""),"Oakland")</f>
        <v>Oakland</v>
      </c>
      <c r="K196" s="22" t="str">
        <f>IFERROR(__xludf.DUMMYFUNCTION("""COMPUTED_VALUE"""),"California")</f>
        <v>California</v>
      </c>
      <c r="L196" s="22" t="str">
        <f>IFERROR(__xludf.DUMMYFUNCTION("""COMPUTED_VALUE"""),"West")</f>
        <v>West</v>
      </c>
      <c r="M196" s="22" t="str">
        <f>IFERROR(__xludf.DUMMYFUNCTION("""COMPUTED_VALUE"""),"Technology")</f>
        <v>Technology</v>
      </c>
      <c r="N196" s="18">
        <f>IFERROR(__xludf.DUMMYFUNCTION("""COMPUTED_VALUE"""),71.976)</f>
        <v>71.976</v>
      </c>
      <c r="O196" s="18">
        <f>IFERROR(__xludf.DUMMYFUNCTION("""COMPUTED_VALUE"""),71.17)</f>
        <v>71.17</v>
      </c>
      <c r="P196" s="22">
        <f>IFERROR(__xludf.DUMMYFUNCTION("""COMPUTED_VALUE"""),9.0)</f>
        <v>9</v>
      </c>
      <c r="Q196" s="18">
        <f>IFERROR(__xludf.DUMMYFUNCTION("""COMPUTED_VALUE"""),647.784)</f>
        <v>647.784</v>
      </c>
      <c r="R196" s="18">
        <f>IFERROR(__xludf.DUMMYFUNCTION("""COMPUTED_VALUE"""),576.614)</f>
        <v>576.614</v>
      </c>
    </row>
    <row r="197">
      <c r="A197" s="21">
        <f>IFERROR(__xludf.DUMMYFUNCTION("""COMPUTED_VALUE"""),42962.0)</f>
        <v>42962</v>
      </c>
      <c r="B197" s="21" t="str">
        <f>IFERROR(__xludf.DUMMYFUNCTION("""COMPUTED_VALUE"""),"Aug")</f>
        <v>Aug</v>
      </c>
      <c r="C197" s="9">
        <f>IFERROR(__xludf.DUMMYFUNCTION("""COMPUTED_VALUE"""),42967.0)</f>
        <v>42967</v>
      </c>
      <c r="D197" s="23" t="str">
        <f>IFERROR(__xludf.DUMMYFUNCTION("""COMPUTED_VALUE"""),"Aug")</f>
        <v>Aug</v>
      </c>
      <c r="E197" s="21" t="str">
        <f>IFERROR(__xludf.DUMMYFUNCTION("""COMPUTED_VALUE"""),"2017")</f>
        <v>2017</v>
      </c>
      <c r="F197" s="22" t="str">
        <f>IFERROR(__xludf.DUMMYFUNCTION("""COMPUTED_VALUE"""),"Second Class")</f>
        <v>Second Class</v>
      </c>
      <c r="G197" s="22" t="str">
        <f>IFERROR(__xludf.DUMMYFUNCTION("""COMPUTED_VALUE"""),"Craig")</f>
        <v>Craig</v>
      </c>
      <c r="H197" s="22" t="str">
        <f>IFERROR(__xludf.DUMMYFUNCTION("""COMPUTED_VALUE"""),"Yedwab")</f>
        <v>Yedwab</v>
      </c>
      <c r="I197" s="22" t="str">
        <f>IFERROR(__xludf.DUMMYFUNCTION("""COMPUTED_VALUE"""),"Corporate")</f>
        <v>Corporate</v>
      </c>
      <c r="J197" s="22" t="str">
        <f>IFERROR(__xludf.DUMMYFUNCTION("""COMPUTED_VALUE"""),"Oakland")</f>
        <v>Oakland</v>
      </c>
      <c r="K197" s="22" t="str">
        <f>IFERROR(__xludf.DUMMYFUNCTION("""COMPUTED_VALUE"""),"California")</f>
        <v>California</v>
      </c>
      <c r="L197" s="22" t="str">
        <f>IFERROR(__xludf.DUMMYFUNCTION("""COMPUTED_VALUE"""),"West")</f>
        <v>West</v>
      </c>
      <c r="M197" s="22" t="str">
        <f>IFERROR(__xludf.DUMMYFUNCTION("""COMPUTED_VALUE"""),"Office Supplies")</f>
        <v>Office Supplies</v>
      </c>
      <c r="N197" s="18">
        <f>IFERROR(__xludf.DUMMYFUNCTION("""COMPUTED_VALUE"""),3.15)</f>
        <v>3.15</v>
      </c>
      <c r="O197" s="18">
        <f>IFERROR(__xludf.DUMMYFUNCTION("""COMPUTED_VALUE"""),2.16)</f>
        <v>2.16</v>
      </c>
      <c r="P197" s="22">
        <f>IFERROR(__xludf.DUMMYFUNCTION("""COMPUTED_VALUE"""),9.0)</f>
        <v>9</v>
      </c>
      <c r="Q197" s="18">
        <f>IFERROR(__xludf.DUMMYFUNCTION("""COMPUTED_VALUE"""),28.349999999999998)</f>
        <v>28.35</v>
      </c>
      <c r="R197" s="18">
        <f>IFERROR(__xludf.DUMMYFUNCTION("""COMPUTED_VALUE"""),26.189999999999998)</f>
        <v>26.19</v>
      </c>
    </row>
    <row r="198">
      <c r="A198" s="21">
        <f>IFERROR(__xludf.DUMMYFUNCTION("""COMPUTED_VALUE"""),42533.0)</f>
        <v>42533</v>
      </c>
      <c r="B198" s="21" t="str">
        <f>IFERROR(__xludf.DUMMYFUNCTION("""COMPUTED_VALUE"""),"Jun")</f>
        <v>Jun</v>
      </c>
      <c r="C198" s="9">
        <f>IFERROR(__xludf.DUMMYFUNCTION("""COMPUTED_VALUE"""),42717.0)</f>
        <v>42717</v>
      </c>
      <c r="D198" s="23" t="str">
        <f>IFERROR(__xludf.DUMMYFUNCTION("""COMPUTED_VALUE"""),"Dec")</f>
        <v>Dec</v>
      </c>
      <c r="E198" s="21" t="str">
        <f>IFERROR(__xludf.DUMMYFUNCTION("""COMPUTED_VALUE"""),"2016")</f>
        <v>2016</v>
      </c>
      <c r="F198" s="22" t="str">
        <f>IFERROR(__xludf.DUMMYFUNCTION("""COMPUTED_VALUE"""),"Standard Class")</f>
        <v>Standard Class</v>
      </c>
      <c r="G198" s="22" t="str">
        <f>IFERROR(__xludf.DUMMYFUNCTION("""COMPUTED_VALUE"""),"Naresj")</f>
        <v>Naresj</v>
      </c>
      <c r="H198" s="22" t="str">
        <f>IFERROR(__xludf.DUMMYFUNCTION("""COMPUTED_VALUE"""),"Patel")</f>
        <v>Patel</v>
      </c>
      <c r="I198" s="22" t="str">
        <f>IFERROR(__xludf.DUMMYFUNCTION("""COMPUTED_VALUE"""),"Consumer")</f>
        <v>Consumer</v>
      </c>
      <c r="J198" s="22" t="str">
        <f>IFERROR(__xludf.DUMMYFUNCTION("""COMPUTED_VALUE"""),"San Diego")</f>
        <v>San Diego</v>
      </c>
      <c r="K198" s="22" t="str">
        <f>IFERROR(__xludf.DUMMYFUNCTION("""COMPUTED_VALUE"""),"California")</f>
        <v>California</v>
      </c>
      <c r="L198" s="22" t="str">
        <f>IFERROR(__xludf.DUMMYFUNCTION("""COMPUTED_VALUE"""),"West")</f>
        <v>West</v>
      </c>
      <c r="M198" s="22" t="str">
        <f>IFERROR(__xludf.DUMMYFUNCTION("""COMPUTED_VALUE"""),"Office Supplies")</f>
        <v>Office Supplies</v>
      </c>
      <c r="N198" s="18">
        <f>IFERROR(__xludf.DUMMYFUNCTION("""COMPUTED_VALUE"""),120.15)</f>
        <v>120.15</v>
      </c>
      <c r="O198" s="18">
        <f>IFERROR(__xludf.DUMMYFUNCTION("""COMPUTED_VALUE"""),119.85)</f>
        <v>119.85</v>
      </c>
      <c r="P198" s="22">
        <f>IFERROR(__xludf.DUMMYFUNCTION("""COMPUTED_VALUE"""),9.0)</f>
        <v>9</v>
      </c>
      <c r="Q198" s="18">
        <f>IFERROR(__xludf.DUMMYFUNCTION("""COMPUTED_VALUE"""),1081.3500000000001)</f>
        <v>1081.35</v>
      </c>
      <c r="R198" s="18">
        <f>IFERROR(__xludf.DUMMYFUNCTION("""COMPUTED_VALUE"""),961.5000000000001)</f>
        <v>961.5</v>
      </c>
    </row>
    <row r="199">
      <c r="A199" s="21">
        <f>IFERROR(__xludf.DUMMYFUNCTION("""COMPUTED_VALUE"""),42533.0)</f>
        <v>42533</v>
      </c>
      <c r="B199" s="21" t="str">
        <f>IFERROR(__xludf.DUMMYFUNCTION("""COMPUTED_VALUE"""),"Jun")</f>
        <v>Jun</v>
      </c>
      <c r="C199" s="9">
        <f>IFERROR(__xludf.DUMMYFUNCTION("""COMPUTED_VALUE"""),42717.0)</f>
        <v>42717</v>
      </c>
      <c r="D199" s="23" t="str">
        <f>IFERROR(__xludf.DUMMYFUNCTION("""COMPUTED_VALUE"""),"Dec")</f>
        <v>Dec</v>
      </c>
      <c r="E199" s="21" t="str">
        <f>IFERROR(__xludf.DUMMYFUNCTION("""COMPUTED_VALUE"""),"2016")</f>
        <v>2016</v>
      </c>
      <c r="F199" s="22" t="str">
        <f>IFERROR(__xludf.DUMMYFUNCTION("""COMPUTED_VALUE"""),"Standard Class")</f>
        <v>Standard Class</v>
      </c>
      <c r="G199" s="22" t="str">
        <f>IFERROR(__xludf.DUMMYFUNCTION("""COMPUTED_VALUE"""),"Naresj")</f>
        <v>Naresj</v>
      </c>
      <c r="H199" s="22" t="str">
        <f>IFERROR(__xludf.DUMMYFUNCTION("""COMPUTED_VALUE"""),"Patel")</f>
        <v>Patel</v>
      </c>
      <c r="I199" s="22" t="str">
        <f>IFERROR(__xludf.DUMMYFUNCTION("""COMPUTED_VALUE"""),"Consumer")</f>
        <v>Consumer</v>
      </c>
      <c r="J199" s="22" t="str">
        <f>IFERROR(__xludf.DUMMYFUNCTION("""COMPUTED_VALUE"""),"San Diego")</f>
        <v>San Diego</v>
      </c>
      <c r="K199" s="22" t="str">
        <f>IFERROR(__xludf.DUMMYFUNCTION("""COMPUTED_VALUE"""),"California")</f>
        <v>California</v>
      </c>
      <c r="L199" s="22" t="str">
        <f>IFERROR(__xludf.DUMMYFUNCTION("""COMPUTED_VALUE"""),"West")</f>
        <v>West</v>
      </c>
      <c r="M199" s="22" t="str">
        <f>IFERROR(__xludf.DUMMYFUNCTION("""COMPUTED_VALUE"""),"Technology")</f>
        <v>Technology</v>
      </c>
      <c r="N199" s="18">
        <f>IFERROR(__xludf.DUMMYFUNCTION("""COMPUTED_VALUE"""),219.184)</f>
        <v>219.184</v>
      </c>
      <c r="O199" s="18">
        <f>IFERROR(__xludf.DUMMYFUNCTION("""COMPUTED_VALUE"""),218.69)</f>
        <v>218.69</v>
      </c>
      <c r="P199" s="22">
        <f>IFERROR(__xludf.DUMMYFUNCTION("""COMPUTED_VALUE"""),9.0)</f>
        <v>9</v>
      </c>
      <c r="Q199" s="18">
        <f>IFERROR(__xludf.DUMMYFUNCTION("""COMPUTED_VALUE"""),1972.656)</f>
        <v>1972.656</v>
      </c>
      <c r="R199" s="18">
        <f>IFERROR(__xludf.DUMMYFUNCTION("""COMPUTED_VALUE"""),1753.966)</f>
        <v>1753.966</v>
      </c>
    </row>
    <row r="200">
      <c r="A200" s="21">
        <f>IFERROR(__xludf.DUMMYFUNCTION("""COMPUTED_VALUE"""),42180.0)</f>
        <v>42180</v>
      </c>
      <c r="B200" s="21" t="str">
        <f>IFERROR(__xludf.DUMMYFUNCTION("""COMPUTED_VALUE"""),"Jun")</f>
        <v>Jun</v>
      </c>
      <c r="C200" s="9">
        <f>IFERROR(__xludf.DUMMYFUNCTION("""COMPUTED_VALUE"""),42183.0)</f>
        <v>42183</v>
      </c>
      <c r="D200" s="23" t="str">
        <f>IFERROR(__xludf.DUMMYFUNCTION("""COMPUTED_VALUE"""),"Jun")</f>
        <v>Jun</v>
      </c>
      <c r="E200" s="21" t="str">
        <f>IFERROR(__xludf.DUMMYFUNCTION("""COMPUTED_VALUE"""),"2015")</f>
        <v>2015</v>
      </c>
      <c r="F200" s="22" t="str">
        <f>IFERROR(__xludf.DUMMYFUNCTION("""COMPUTED_VALUE"""),"First Class")</f>
        <v>First Class</v>
      </c>
      <c r="G200" s="22" t="str">
        <f>IFERROR(__xludf.DUMMYFUNCTION("""COMPUTED_VALUE"""),"Noel")</f>
        <v>Noel</v>
      </c>
      <c r="H200" s="22" t="str">
        <f>IFERROR(__xludf.DUMMYFUNCTION("""COMPUTED_VALUE"""),"Staavos")</f>
        <v>Staavos</v>
      </c>
      <c r="I200" s="22" t="str">
        <f>IFERROR(__xludf.DUMMYFUNCTION("""COMPUTED_VALUE"""),"Corporate")</f>
        <v>Corporate</v>
      </c>
      <c r="J200" s="22" t="str">
        <f>IFERROR(__xludf.DUMMYFUNCTION("""COMPUTED_VALUE"""),"Los Angeles")</f>
        <v>Los Angeles</v>
      </c>
      <c r="K200" s="22" t="str">
        <f>IFERROR(__xludf.DUMMYFUNCTION("""COMPUTED_VALUE"""),"California")</f>
        <v>California</v>
      </c>
      <c r="L200" s="22" t="str">
        <f>IFERROR(__xludf.DUMMYFUNCTION("""COMPUTED_VALUE"""),"West")</f>
        <v>West</v>
      </c>
      <c r="M200" s="22" t="str">
        <f>IFERROR(__xludf.DUMMYFUNCTION("""COMPUTED_VALUE"""),"Furniture")</f>
        <v>Furniture</v>
      </c>
      <c r="N200" s="18">
        <f>IFERROR(__xludf.DUMMYFUNCTION("""COMPUTED_VALUE"""),447.84)</f>
        <v>447.84</v>
      </c>
      <c r="O200" s="18">
        <f>IFERROR(__xludf.DUMMYFUNCTION("""COMPUTED_VALUE"""),447.43)</f>
        <v>447.43</v>
      </c>
      <c r="P200" s="22">
        <f>IFERROR(__xludf.DUMMYFUNCTION("""COMPUTED_VALUE"""),9.0)</f>
        <v>9</v>
      </c>
      <c r="Q200" s="18">
        <f>IFERROR(__xludf.DUMMYFUNCTION("""COMPUTED_VALUE"""),4030.56)</f>
        <v>4030.56</v>
      </c>
      <c r="R200" s="18">
        <f>IFERROR(__xludf.DUMMYFUNCTION("""COMPUTED_VALUE"""),3583.13)</f>
        <v>3583.13</v>
      </c>
    </row>
    <row r="201">
      <c r="A201" s="21">
        <f>IFERROR(__xludf.DUMMYFUNCTION("""COMPUTED_VALUE"""),42900.0)</f>
        <v>42900</v>
      </c>
      <c r="B201" s="21" t="str">
        <f>IFERROR(__xludf.DUMMYFUNCTION("""COMPUTED_VALUE"""),"Jun")</f>
        <v>Jun</v>
      </c>
      <c r="C201" s="9">
        <f>IFERROR(__xludf.DUMMYFUNCTION("""COMPUTED_VALUE"""),42903.0)</f>
        <v>42903</v>
      </c>
      <c r="D201" s="23" t="str">
        <f>IFERROR(__xludf.DUMMYFUNCTION("""COMPUTED_VALUE"""),"Jun")</f>
        <v>Jun</v>
      </c>
      <c r="E201" s="21" t="str">
        <f>IFERROR(__xludf.DUMMYFUNCTION("""COMPUTED_VALUE"""),"2017")</f>
        <v>2017</v>
      </c>
      <c r="F201" s="22" t="str">
        <f>IFERROR(__xludf.DUMMYFUNCTION("""COMPUTED_VALUE"""),"First Class")</f>
        <v>First Class</v>
      </c>
      <c r="G201" s="22" t="str">
        <f>IFERROR(__xludf.DUMMYFUNCTION("""COMPUTED_VALUE"""),"Paul")</f>
        <v>Paul</v>
      </c>
      <c r="H201" s="22" t="str">
        <f>IFERROR(__xludf.DUMMYFUNCTION("""COMPUTED_VALUE"""),"Van Hugh")</f>
        <v>Van Hugh</v>
      </c>
      <c r="I201" s="22" t="str">
        <f>IFERROR(__xludf.DUMMYFUNCTION("""COMPUTED_VALUE"""),"Home Office")</f>
        <v>Home Office</v>
      </c>
      <c r="J201" s="22" t="str">
        <f>IFERROR(__xludf.DUMMYFUNCTION("""COMPUTED_VALUE"""),"San Francisco")</f>
        <v>San Francisco</v>
      </c>
      <c r="K201" s="22" t="str">
        <f>IFERROR(__xludf.DUMMYFUNCTION("""COMPUTED_VALUE"""),"California")</f>
        <v>California</v>
      </c>
      <c r="L201" s="22" t="str">
        <f>IFERROR(__xludf.DUMMYFUNCTION("""COMPUTED_VALUE"""),"West")</f>
        <v>West</v>
      </c>
      <c r="M201" s="22" t="str">
        <f>IFERROR(__xludf.DUMMYFUNCTION("""COMPUTED_VALUE"""),"Office Supplies")</f>
        <v>Office Supplies</v>
      </c>
      <c r="N201" s="18">
        <f>IFERROR(__xludf.DUMMYFUNCTION("""COMPUTED_VALUE"""),7.04)</f>
        <v>7.04</v>
      </c>
      <c r="O201" s="18">
        <f>IFERROR(__xludf.DUMMYFUNCTION("""COMPUTED_VALUE"""),6.24)</f>
        <v>6.24</v>
      </c>
      <c r="P201" s="22">
        <f>IFERROR(__xludf.DUMMYFUNCTION("""COMPUTED_VALUE"""),9.0)</f>
        <v>9</v>
      </c>
      <c r="Q201" s="18">
        <f>IFERROR(__xludf.DUMMYFUNCTION("""COMPUTED_VALUE"""),63.36)</f>
        <v>63.36</v>
      </c>
      <c r="R201" s="18">
        <f>IFERROR(__xludf.DUMMYFUNCTION("""COMPUTED_VALUE"""),57.12)</f>
        <v>57.12</v>
      </c>
    </row>
    <row r="202">
      <c r="A202" s="21">
        <f>IFERROR(__xludf.DUMMYFUNCTION("""COMPUTED_VALUE"""),42900.0)</f>
        <v>42900</v>
      </c>
      <c r="B202" s="21" t="str">
        <f>IFERROR(__xludf.DUMMYFUNCTION("""COMPUTED_VALUE"""),"Jun")</f>
        <v>Jun</v>
      </c>
      <c r="C202" s="9">
        <f>IFERROR(__xludf.DUMMYFUNCTION("""COMPUTED_VALUE"""),42903.0)</f>
        <v>42903</v>
      </c>
      <c r="D202" s="23" t="str">
        <f>IFERROR(__xludf.DUMMYFUNCTION("""COMPUTED_VALUE"""),"Jun")</f>
        <v>Jun</v>
      </c>
      <c r="E202" s="21" t="str">
        <f>IFERROR(__xludf.DUMMYFUNCTION("""COMPUTED_VALUE"""),"2017")</f>
        <v>2017</v>
      </c>
      <c r="F202" s="22" t="str">
        <f>IFERROR(__xludf.DUMMYFUNCTION("""COMPUTED_VALUE"""),"First Class")</f>
        <v>First Class</v>
      </c>
      <c r="G202" s="22" t="str">
        <f>IFERROR(__xludf.DUMMYFUNCTION("""COMPUTED_VALUE"""),"Paul")</f>
        <v>Paul</v>
      </c>
      <c r="H202" s="22" t="str">
        <f>IFERROR(__xludf.DUMMYFUNCTION("""COMPUTED_VALUE"""),"Van Hugh")</f>
        <v>Van Hugh</v>
      </c>
      <c r="I202" s="22" t="str">
        <f>IFERROR(__xludf.DUMMYFUNCTION("""COMPUTED_VALUE"""),"Home Office")</f>
        <v>Home Office</v>
      </c>
      <c r="J202" s="22" t="str">
        <f>IFERROR(__xludf.DUMMYFUNCTION("""COMPUTED_VALUE"""),"San Francisco")</f>
        <v>San Francisco</v>
      </c>
      <c r="K202" s="22" t="str">
        <f>IFERROR(__xludf.DUMMYFUNCTION("""COMPUTED_VALUE"""),"California")</f>
        <v>California</v>
      </c>
      <c r="L202" s="22" t="str">
        <f>IFERROR(__xludf.DUMMYFUNCTION("""COMPUTED_VALUE"""),"West")</f>
        <v>West</v>
      </c>
      <c r="M202" s="22" t="str">
        <f>IFERROR(__xludf.DUMMYFUNCTION("""COMPUTED_VALUE"""),"Furniture")</f>
        <v>Furniture</v>
      </c>
      <c r="N202" s="18">
        <f>IFERROR(__xludf.DUMMYFUNCTION("""COMPUTED_VALUE"""),8.73)</f>
        <v>8.73</v>
      </c>
      <c r="O202" s="18">
        <f>IFERROR(__xludf.DUMMYFUNCTION("""COMPUTED_VALUE"""),7.75)</f>
        <v>7.75</v>
      </c>
      <c r="P202" s="22">
        <f>IFERROR(__xludf.DUMMYFUNCTION("""COMPUTED_VALUE"""),9.0)</f>
        <v>9</v>
      </c>
      <c r="Q202" s="18">
        <f>IFERROR(__xludf.DUMMYFUNCTION("""COMPUTED_VALUE"""),78.57000000000001)</f>
        <v>78.57</v>
      </c>
      <c r="R202" s="18">
        <f>IFERROR(__xludf.DUMMYFUNCTION("""COMPUTED_VALUE"""),70.82000000000001)</f>
        <v>70.82</v>
      </c>
    </row>
    <row r="203">
      <c r="A203" s="21">
        <f>IFERROR(__xludf.DUMMYFUNCTION("""COMPUTED_VALUE"""),42900.0)</f>
        <v>42900</v>
      </c>
      <c r="B203" s="21" t="str">
        <f>IFERROR(__xludf.DUMMYFUNCTION("""COMPUTED_VALUE"""),"Jun")</f>
        <v>Jun</v>
      </c>
      <c r="C203" s="9">
        <f>IFERROR(__xludf.DUMMYFUNCTION("""COMPUTED_VALUE"""),42903.0)</f>
        <v>42903</v>
      </c>
      <c r="D203" s="23" t="str">
        <f>IFERROR(__xludf.DUMMYFUNCTION("""COMPUTED_VALUE"""),"Jun")</f>
        <v>Jun</v>
      </c>
      <c r="E203" s="21" t="str">
        <f>IFERROR(__xludf.DUMMYFUNCTION("""COMPUTED_VALUE"""),"2017")</f>
        <v>2017</v>
      </c>
      <c r="F203" s="22" t="str">
        <f>IFERROR(__xludf.DUMMYFUNCTION("""COMPUTED_VALUE"""),"First Class")</f>
        <v>First Class</v>
      </c>
      <c r="G203" s="22" t="str">
        <f>IFERROR(__xludf.DUMMYFUNCTION("""COMPUTED_VALUE"""),"Paul")</f>
        <v>Paul</v>
      </c>
      <c r="H203" s="22" t="str">
        <f>IFERROR(__xludf.DUMMYFUNCTION("""COMPUTED_VALUE"""),"Van Hugh")</f>
        <v>Van Hugh</v>
      </c>
      <c r="I203" s="22" t="str">
        <f>IFERROR(__xludf.DUMMYFUNCTION("""COMPUTED_VALUE"""),"Home Office")</f>
        <v>Home Office</v>
      </c>
      <c r="J203" s="22" t="str">
        <f>IFERROR(__xludf.DUMMYFUNCTION("""COMPUTED_VALUE"""),"San Francisco")</f>
        <v>San Francisco</v>
      </c>
      <c r="K203" s="22" t="str">
        <f>IFERROR(__xludf.DUMMYFUNCTION("""COMPUTED_VALUE"""),"California")</f>
        <v>California</v>
      </c>
      <c r="L203" s="22" t="str">
        <f>IFERROR(__xludf.DUMMYFUNCTION("""COMPUTED_VALUE"""),"West")</f>
        <v>West</v>
      </c>
      <c r="M203" s="22" t="str">
        <f>IFERROR(__xludf.DUMMYFUNCTION("""COMPUTED_VALUE"""),"Technology")</f>
        <v>Technology</v>
      </c>
      <c r="N203" s="18">
        <f>IFERROR(__xludf.DUMMYFUNCTION("""COMPUTED_VALUE"""),29.29)</f>
        <v>29.29</v>
      </c>
      <c r="O203" s="18">
        <f>IFERROR(__xludf.DUMMYFUNCTION("""COMPUTED_VALUE"""),29.09)</f>
        <v>29.09</v>
      </c>
      <c r="P203" s="22">
        <f>IFERROR(__xludf.DUMMYFUNCTION("""COMPUTED_VALUE"""),9.0)</f>
        <v>9</v>
      </c>
      <c r="Q203" s="18">
        <f>IFERROR(__xludf.DUMMYFUNCTION("""COMPUTED_VALUE"""),263.61)</f>
        <v>263.61</v>
      </c>
      <c r="R203" s="18">
        <f>IFERROR(__xludf.DUMMYFUNCTION("""COMPUTED_VALUE"""),234.52)</f>
        <v>234.52</v>
      </c>
    </row>
    <row r="204">
      <c r="A204" s="21">
        <f>IFERROR(__xludf.DUMMYFUNCTION("""COMPUTED_VALUE"""),42900.0)</f>
        <v>42900</v>
      </c>
      <c r="B204" s="21" t="str">
        <f>IFERROR(__xludf.DUMMYFUNCTION("""COMPUTED_VALUE"""),"Jun")</f>
        <v>Jun</v>
      </c>
      <c r="C204" s="9">
        <f>IFERROR(__xludf.DUMMYFUNCTION("""COMPUTED_VALUE"""),42903.0)</f>
        <v>42903</v>
      </c>
      <c r="D204" s="23" t="str">
        <f>IFERROR(__xludf.DUMMYFUNCTION("""COMPUTED_VALUE"""),"Jun")</f>
        <v>Jun</v>
      </c>
      <c r="E204" s="21" t="str">
        <f>IFERROR(__xludf.DUMMYFUNCTION("""COMPUTED_VALUE"""),"2017")</f>
        <v>2017</v>
      </c>
      <c r="F204" s="22" t="str">
        <f>IFERROR(__xludf.DUMMYFUNCTION("""COMPUTED_VALUE"""),"First Class")</f>
        <v>First Class</v>
      </c>
      <c r="G204" s="22" t="str">
        <f>IFERROR(__xludf.DUMMYFUNCTION("""COMPUTED_VALUE"""),"Paul")</f>
        <v>Paul</v>
      </c>
      <c r="H204" s="22" t="str">
        <f>IFERROR(__xludf.DUMMYFUNCTION("""COMPUTED_VALUE"""),"Van Hugh")</f>
        <v>Van Hugh</v>
      </c>
      <c r="I204" s="22" t="str">
        <f>IFERROR(__xludf.DUMMYFUNCTION("""COMPUTED_VALUE"""),"Home Office")</f>
        <v>Home Office</v>
      </c>
      <c r="J204" s="22" t="str">
        <f>IFERROR(__xludf.DUMMYFUNCTION("""COMPUTED_VALUE"""),"San Francisco")</f>
        <v>San Francisco</v>
      </c>
      <c r="K204" s="22" t="str">
        <f>IFERROR(__xludf.DUMMYFUNCTION("""COMPUTED_VALUE"""),"California")</f>
        <v>California</v>
      </c>
      <c r="L204" s="22" t="str">
        <f>IFERROR(__xludf.DUMMYFUNCTION("""COMPUTED_VALUE"""),"West")</f>
        <v>West</v>
      </c>
      <c r="M204" s="22" t="str">
        <f>IFERROR(__xludf.DUMMYFUNCTION("""COMPUTED_VALUE"""),"Office Supplies")</f>
        <v>Office Supplies</v>
      </c>
      <c r="N204" s="18">
        <f>IFERROR(__xludf.DUMMYFUNCTION("""COMPUTED_VALUE"""),8.64)</f>
        <v>8.64</v>
      </c>
      <c r="O204" s="18">
        <f>IFERROR(__xludf.DUMMYFUNCTION("""COMPUTED_VALUE"""),7.79)</f>
        <v>7.79</v>
      </c>
      <c r="P204" s="22">
        <f>IFERROR(__xludf.DUMMYFUNCTION("""COMPUTED_VALUE"""),9.0)</f>
        <v>9</v>
      </c>
      <c r="Q204" s="18">
        <f>IFERROR(__xludf.DUMMYFUNCTION("""COMPUTED_VALUE"""),77.76)</f>
        <v>77.76</v>
      </c>
      <c r="R204" s="18">
        <f>IFERROR(__xludf.DUMMYFUNCTION("""COMPUTED_VALUE"""),69.97)</f>
        <v>69.97</v>
      </c>
    </row>
    <row r="205">
      <c r="A205" s="21">
        <f>IFERROR(__xludf.DUMMYFUNCTION("""COMPUTED_VALUE"""),43029.0)</f>
        <v>43029</v>
      </c>
      <c r="B205" s="21" t="str">
        <f>IFERROR(__xludf.DUMMYFUNCTION("""COMPUTED_VALUE"""),"Oct")</f>
        <v>Oct</v>
      </c>
      <c r="C205" s="9">
        <f>IFERROR(__xludf.DUMMYFUNCTION("""COMPUTED_VALUE"""),43035.0)</f>
        <v>43035</v>
      </c>
      <c r="D205" s="23" t="str">
        <f>IFERROR(__xludf.DUMMYFUNCTION("""COMPUTED_VALUE"""),"Oct")</f>
        <v>Oct</v>
      </c>
      <c r="E205" s="21" t="str">
        <f>IFERROR(__xludf.DUMMYFUNCTION("""COMPUTED_VALUE"""),"2017")</f>
        <v>2017</v>
      </c>
      <c r="F205" s="22" t="str">
        <f>IFERROR(__xludf.DUMMYFUNCTION("""COMPUTED_VALUE"""),"Standard Class")</f>
        <v>Standard Class</v>
      </c>
      <c r="G205" s="22" t="str">
        <f>IFERROR(__xludf.DUMMYFUNCTION("""COMPUTED_VALUE"""),"Neoma")</f>
        <v>Neoma</v>
      </c>
      <c r="H205" s="22" t="str">
        <f>IFERROR(__xludf.DUMMYFUNCTION("""COMPUTED_VALUE"""),"Murray")</f>
        <v>Murray</v>
      </c>
      <c r="I205" s="22" t="str">
        <f>IFERROR(__xludf.DUMMYFUNCTION("""COMPUTED_VALUE"""),"Consumer")</f>
        <v>Consumer</v>
      </c>
      <c r="J205" s="22" t="str">
        <f>IFERROR(__xludf.DUMMYFUNCTION("""COMPUTED_VALUE"""),"Riverside")</f>
        <v>Riverside</v>
      </c>
      <c r="K205" s="22" t="str">
        <f>IFERROR(__xludf.DUMMYFUNCTION("""COMPUTED_VALUE"""),"California")</f>
        <v>California</v>
      </c>
      <c r="L205" s="22" t="str">
        <f>IFERROR(__xludf.DUMMYFUNCTION("""COMPUTED_VALUE"""),"West")</f>
        <v>West</v>
      </c>
      <c r="M205" s="22" t="str">
        <f>IFERROR(__xludf.DUMMYFUNCTION("""COMPUTED_VALUE"""),"Office Supplies")</f>
        <v>Office Supplies</v>
      </c>
      <c r="N205" s="18">
        <f>IFERROR(__xludf.DUMMYFUNCTION("""COMPUTED_VALUE"""),22.92)</f>
        <v>22.92</v>
      </c>
      <c r="O205" s="18">
        <f>IFERROR(__xludf.DUMMYFUNCTION("""COMPUTED_VALUE"""),22.08)</f>
        <v>22.08</v>
      </c>
      <c r="P205" s="22">
        <f>IFERROR(__xludf.DUMMYFUNCTION("""COMPUTED_VALUE"""),9.0)</f>
        <v>9</v>
      </c>
      <c r="Q205" s="18">
        <f>IFERROR(__xludf.DUMMYFUNCTION("""COMPUTED_VALUE"""),206.28000000000003)</f>
        <v>206.28</v>
      </c>
      <c r="R205" s="18">
        <f>IFERROR(__xludf.DUMMYFUNCTION("""COMPUTED_VALUE"""),184.20000000000005)</f>
        <v>184.2</v>
      </c>
    </row>
    <row r="206">
      <c r="A206" s="21">
        <f>IFERROR(__xludf.DUMMYFUNCTION("""COMPUTED_VALUE"""),43452.0)</f>
        <v>43452</v>
      </c>
      <c r="B206" s="21" t="str">
        <f>IFERROR(__xludf.DUMMYFUNCTION("""COMPUTED_VALUE"""),"Dec")</f>
        <v>Dec</v>
      </c>
      <c r="C206" s="9">
        <f>IFERROR(__xludf.DUMMYFUNCTION("""COMPUTED_VALUE"""),43457.0)</f>
        <v>43457</v>
      </c>
      <c r="D206" s="23" t="str">
        <f>IFERROR(__xludf.DUMMYFUNCTION("""COMPUTED_VALUE"""),"Dec")</f>
        <v>Dec</v>
      </c>
      <c r="E206" s="21" t="str">
        <f>IFERROR(__xludf.DUMMYFUNCTION("""COMPUTED_VALUE"""),"2018")</f>
        <v>2018</v>
      </c>
      <c r="F206" s="22" t="str">
        <f>IFERROR(__xludf.DUMMYFUNCTION("""COMPUTED_VALUE"""),"Second Class")</f>
        <v>Second Class</v>
      </c>
      <c r="G206" s="22" t="str">
        <f>IFERROR(__xludf.DUMMYFUNCTION("""COMPUTED_VALUE"""),"Russell")</f>
        <v>Russell</v>
      </c>
      <c r="H206" s="22" t="str">
        <f>IFERROR(__xludf.DUMMYFUNCTION("""COMPUTED_VALUE"""),"Applegate")</f>
        <v>Applegate</v>
      </c>
      <c r="I206" s="22" t="str">
        <f>IFERROR(__xludf.DUMMYFUNCTION("""COMPUTED_VALUE"""),"Consumer")</f>
        <v>Consumer</v>
      </c>
      <c r="J206" s="22" t="str">
        <f>IFERROR(__xludf.DUMMYFUNCTION("""COMPUTED_VALUE"""),"Encinitas")</f>
        <v>Encinitas</v>
      </c>
      <c r="K206" s="22" t="str">
        <f>IFERROR(__xludf.DUMMYFUNCTION("""COMPUTED_VALUE"""),"California")</f>
        <v>California</v>
      </c>
      <c r="L206" s="22" t="str">
        <f>IFERROR(__xludf.DUMMYFUNCTION("""COMPUTED_VALUE"""),"West")</f>
        <v>West</v>
      </c>
      <c r="M206" s="22" t="str">
        <f>IFERROR(__xludf.DUMMYFUNCTION("""COMPUTED_VALUE"""),"Office Supplies")</f>
        <v>Office Supplies</v>
      </c>
      <c r="N206" s="18">
        <f>IFERROR(__xludf.DUMMYFUNCTION("""COMPUTED_VALUE"""),46.672)</f>
        <v>46.672</v>
      </c>
      <c r="O206" s="18">
        <f>IFERROR(__xludf.DUMMYFUNCTION("""COMPUTED_VALUE"""),46.01)</f>
        <v>46.01</v>
      </c>
      <c r="P206" s="22">
        <f>IFERROR(__xludf.DUMMYFUNCTION("""COMPUTED_VALUE"""),9.0)</f>
        <v>9</v>
      </c>
      <c r="Q206" s="18">
        <f>IFERROR(__xludf.DUMMYFUNCTION("""COMPUTED_VALUE"""),420.048)</f>
        <v>420.048</v>
      </c>
      <c r="R206" s="18">
        <f>IFERROR(__xludf.DUMMYFUNCTION("""COMPUTED_VALUE"""),374.038)</f>
        <v>374.038</v>
      </c>
    </row>
    <row r="207">
      <c r="A207" s="21">
        <f>IFERROR(__xludf.DUMMYFUNCTION("""COMPUTED_VALUE"""),43452.0)</f>
        <v>43452</v>
      </c>
      <c r="B207" s="21" t="str">
        <f>IFERROR(__xludf.DUMMYFUNCTION("""COMPUTED_VALUE"""),"Dec")</f>
        <v>Dec</v>
      </c>
      <c r="C207" s="9">
        <f>IFERROR(__xludf.DUMMYFUNCTION("""COMPUTED_VALUE"""),43457.0)</f>
        <v>43457</v>
      </c>
      <c r="D207" s="23" t="str">
        <f>IFERROR(__xludf.DUMMYFUNCTION("""COMPUTED_VALUE"""),"Dec")</f>
        <v>Dec</v>
      </c>
      <c r="E207" s="21" t="str">
        <f>IFERROR(__xludf.DUMMYFUNCTION("""COMPUTED_VALUE"""),"2018")</f>
        <v>2018</v>
      </c>
      <c r="F207" s="22" t="str">
        <f>IFERROR(__xludf.DUMMYFUNCTION("""COMPUTED_VALUE"""),"Second Class")</f>
        <v>Second Class</v>
      </c>
      <c r="G207" s="22" t="str">
        <f>IFERROR(__xludf.DUMMYFUNCTION("""COMPUTED_VALUE"""),"Russell")</f>
        <v>Russell</v>
      </c>
      <c r="H207" s="22" t="str">
        <f>IFERROR(__xludf.DUMMYFUNCTION("""COMPUTED_VALUE"""),"Applegate")</f>
        <v>Applegate</v>
      </c>
      <c r="I207" s="22" t="str">
        <f>IFERROR(__xludf.DUMMYFUNCTION("""COMPUTED_VALUE"""),"Consumer")</f>
        <v>Consumer</v>
      </c>
      <c r="J207" s="22" t="str">
        <f>IFERROR(__xludf.DUMMYFUNCTION("""COMPUTED_VALUE"""),"Encinitas")</f>
        <v>Encinitas</v>
      </c>
      <c r="K207" s="22" t="str">
        <f>IFERROR(__xludf.DUMMYFUNCTION("""COMPUTED_VALUE"""),"California")</f>
        <v>California</v>
      </c>
      <c r="L207" s="22" t="str">
        <f>IFERROR(__xludf.DUMMYFUNCTION("""COMPUTED_VALUE"""),"West")</f>
        <v>West</v>
      </c>
      <c r="M207" s="22" t="str">
        <f>IFERROR(__xludf.DUMMYFUNCTION("""COMPUTED_VALUE"""),"Furniture")</f>
        <v>Furniture</v>
      </c>
      <c r="N207" s="18">
        <f>IFERROR(__xludf.DUMMYFUNCTION("""COMPUTED_VALUE"""),119.833)</f>
        <v>119.833</v>
      </c>
      <c r="O207" s="18">
        <f>IFERROR(__xludf.DUMMYFUNCTION("""COMPUTED_VALUE"""),119.49)</f>
        <v>119.49</v>
      </c>
      <c r="P207" s="22">
        <f>IFERROR(__xludf.DUMMYFUNCTION("""COMPUTED_VALUE"""),9.0)</f>
        <v>9</v>
      </c>
      <c r="Q207" s="18">
        <f>IFERROR(__xludf.DUMMYFUNCTION("""COMPUTED_VALUE"""),1078.497)</f>
        <v>1078.497</v>
      </c>
      <c r="R207" s="18">
        <f>IFERROR(__xludf.DUMMYFUNCTION("""COMPUTED_VALUE"""),959.0070000000001)</f>
        <v>959.007</v>
      </c>
    </row>
    <row r="208">
      <c r="A208" s="21">
        <f>IFERROR(__xludf.DUMMYFUNCTION("""COMPUTED_VALUE"""),43452.0)</f>
        <v>43452</v>
      </c>
      <c r="B208" s="21" t="str">
        <f>IFERROR(__xludf.DUMMYFUNCTION("""COMPUTED_VALUE"""),"Dec")</f>
        <v>Dec</v>
      </c>
      <c r="C208" s="9">
        <f>IFERROR(__xludf.DUMMYFUNCTION("""COMPUTED_VALUE"""),43457.0)</f>
        <v>43457</v>
      </c>
      <c r="D208" s="23" t="str">
        <f>IFERROR(__xludf.DUMMYFUNCTION("""COMPUTED_VALUE"""),"Dec")</f>
        <v>Dec</v>
      </c>
      <c r="E208" s="21" t="str">
        <f>IFERROR(__xludf.DUMMYFUNCTION("""COMPUTED_VALUE"""),"2018")</f>
        <v>2018</v>
      </c>
      <c r="F208" s="22" t="str">
        <f>IFERROR(__xludf.DUMMYFUNCTION("""COMPUTED_VALUE"""),"Second Class")</f>
        <v>Second Class</v>
      </c>
      <c r="G208" s="22" t="str">
        <f>IFERROR(__xludf.DUMMYFUNCTION("""COMPUTED_VALUE"""),"Russell")</f>
        <v>Russell</v>
      </c>
      <c r="H208" s="22" t="str">
        <f>IFERROR(__xludf.DUMMYFUNCTION("""COMPUTED_VALUE"""),"Applegate")</f>
        <v>Applegate</v>
      </c>
      <c r="I208" s="22" t="str">
        <f>IFERROR(__xludf.DUMMYFUNCTION("""COMPUTED_VALUE"""),"Consumer")</f>
        <v>Consumer</v>
      </c>
      <c r="J208" s="22" t="str">
        <f>IFERROR(__xludf.DUMMYFUNCTION("""COMPUTED_VALUE"""),"Encinitas")</f>
        <v>Encinitas</v>
      </c>
      <c r="K208" s="22" t="str">
        <f>IFERROR(__xludf.DUMMYFUNCTION("""COMPUTED_VALUE"""),"California")</f>
        <v>California</v>
      </c>
      <c r="L208" s="22" t="str">
        <f>IFERROR(__xludf.DUMMYFUNCTION("""COMPUTED_VALUE"""),"West")</f>
        <v>West</v>
      </c>
      <c r="M208" s="22" t="str">
        <f>IFERROR(__xludf.DUMMYFUNCTION("""COMPUTED_VALUE"""),"Technology")</f>
        <v>Technology</v>
      </c>
      <c r="N208" s="18">
        <f>IFERROR(__xludf.DUMMYFUNCTION("""COMPUTED_VALUE"""),119.98)</f>
        <v>119.98</v>
      </c>
      <c r="O208" s="18">
        <f>IFERROR(__xludf.DUMMYFUNCTION("""COMPUTED_VALUE"""),119.77)</f>
        <v>119.77</v>
      </c>
      <c r="P208" s="22">
        <f>IFERROR(__xludf.DUMMYFUNCTION("""COMPUTED_VALUE"""),9.0)</f>
        <v>9</v>
      </c>
      <c r="Q208" s="18">
        <f>IFERROR(__xludf.DUMMYFUNCTION("""COMPUTED_VALUE"""),1079.82)</f>
        <v>1079.82</v>
      </c>
      <c r="R208" s="18">
        <f>IFERROR(__xludf.DUMMYFUNCTION("""COMPUTED_VALUE"""),960.05)</f>
        <v>960.05</v>
      </c>
    </row>
    <row r="209">
      <c r="A209" s="21">
        <f>IFERROR(__xludf.DUMMYFUNCTION("""COMPUTED_VALUE"""),42938.0)</f>
        <v>42938</v>
      </c>
      <c r="B209" s="21" t="str">
        <f>IFERROR(__xludf.DUMMYFUNCTION("""COMPUTED_VALUE"""),"Jul")</f>
        <v>Jul</v>
      </c>
      <c r="C209" s="9">
        <f>IFERROR(__xludf.DUMMYFUNCTION("""COMPUTED_VALUE"""),42940.0)</f>
        <v>42940</v>
      </c>
      <c r="D209" s="23" t="str">
        <f>IFERROR(__xludf.DUMMYFUNCTION("""COMPUTED_VALUE"""),"Jul")</f>
        <v>Jul</v>
      </c>
      <c r="E209" s="21" t="str">
        <f>IFERROR(__xludf.DUMMYFUNCTION("""COMPUTED_VALUE"""),"2017")</f>
        <v>2017</v>
      </c>
      <c r="F209" s="22" t="str">
        <f>IFERROR(__xludf.DUMMYFUNCTION("""COMPUTED_VALUE"""),"Second Class")</f>
        <v>Second Class</v>
      </c>
      <c r="G209" s="22" t="str">
        <f>IFERROR(__xludf.DUMMYFUNCTION("""COMPUTED_VALUE"""),"Dionis")</f>
        <v>Dionis</v>
      </c>
      <c r="H209" s="22" t="str">
        <f>IFERROR(__xludf.DUMMYFUNCTION("""COMPUTED_VALUE"""),"Lloyd")</f>
        <v>Lloyd</v>
      </c>
      <c r="I209" s="22" t="str">
        <f>IFERROR(__xludf.DUMMYFUNCTION("""COMPUTED_VALUE"""),"Corporate")</f>
        <v>Corporate</v>
      </c>
      <c r="J209" s="22" t="str">
        <f>IFERROR(__xludf.DUMMYFUNCTION("""COMPUTED_VALUE"""),"San Francisco")</f>
        <v>San Francisco</v>
      </c>
      <c r="K209" s="22" t="str">
        <f>IFERROR(__xludf.DUMMYFUNCTION("""COMPUTED_VALUE"""),"California")</f>
        <v>California</v>
      </c>
      <c r="L209" s="22" t="str">
        <f>IFERROR(__xludf.DUMMYFUNCTION("""COMPUTED_VALUE"""),"West")</f>
        <v>West</v>
      </c>
      <c r="M209" s="22" t="str">
        <f>IFERROR(__xludf.DUMMYFUNCTION("""COMPUTED_VALUE"""),"Office Supplies")</f>
        <v>Office Supplies</v>
      </c>
      <c r="N209" s="18">
        <f>IFERROR(__xludf.DUMMYFUNCTION("""COMPUTED_VALUE"""),6.3)</f>
        <v>6.3</v>
      </c>
      <c r="O209" s="18">
        <f>IFERROR(__xludf.DUMMYFUNCTION("""COMPUTED_VALUE"""),6.14)</f>
        <v>6.14</v>
      </c>
      <c r="P209" s="22">
        <f>IFERROR(__xludf.DUMMYFUNCTION("""COMPUTED_VALUE"""),9.0)</f>
        <v>9</v>
      </c>
      <c r="Q209" s="18">
        <f>IFERROR(__xludf.DUMMYFUNCTION("""COMPUTED_VALUE"""),56.699999999999996)</f>
        <v>56.7</v>
      </c>
      <c r="R209" s="18">
        <f>IFERROR(__xludf.DUMMYFUNCTION("""COMPUTED_VALUE"""),50.559999999999995)</f>
        <v>50.56</v>
      </c>
    </row>
    <row r="210">
      <c r="A210" s="21">
        <f>IFERROR(__xludf.DUMMYFUNCTION("""COMPUTED_VALUE"""),42898.0)</f>
        <v>42898</v>
      </c>
      <c r="B210" s="21" t="str">
        <f>IFERROR(__xludf.DUMMYFUNCTION("""COMPUTED_VALUE"""),"Jun")</f>
        <v>Jun</v>
      </c>
      <c r="C210" s="9">
        <f>IFERROR(__xludf.DUMMYFUNCTION("""COMPUTED_VALUE"""),42928.0)</f>
        <v>42928</v>
      </c>
      <c r="D210" s="23" t="str">
        <f>IFERROR(__xludf.DUMMYFUNCTION("""COMPUTED_VALUE"""),"Jul")</f>
        <v>Jul</v>
      </c>
      <c r="E210" s="21" t="str">
        <f>IFERROR(__xludf.DUMMYFUNCTION("""COMPUTED_VALUE"""),"2017")</f>
        <v>2017</v>
      </c>
      <c r="F210" s="22" t="str">
        <f>IFERROR(__xludf.DUMMYFUNCTION("""COMPUTED_VALUE"""),"First Class")</f>
        <v>First Class</v>
      </c>
      <c r="G210" s="22" t="str">
        <f>IFERROR(__xludf.DUMMYFUNCTION("""COMPUTED_VALUE"""),"Greg")</f>
        <v>Greg</v>
      </c>
      <c r="H210" s="22" t="str">
        <f>IFERROR(__xludf.DUMMYFUNCTION("""COMPUTED_VALUE"""),"Guthrie")</f>
        <v>Guthrie</v>
      </c>
      <c r="I210" s="22" t="str">
        <f>IFERROR(__xludf.DUMMYFUNCTION("""COMPUTED_VALUE"""),"Corporate")</f>
        <v>Corporate</v>
      </c>
      <c r="J210" s="22" t="str">
        <f>IFERROR(__xludf.DUMMYFUNCTION("""COMPUTED_VALUE"""),"Antioch")</f>
        <v>Antioch</v>
      </c>
      <c r="K210" s="22" t="str">
        <f>IFERROR(__xludf.DUMMYFUNCTION("""COMPUTED_VALUE"""),"California")</f>
        <v>California</v>
      </c>
      <c r="L210" s="22" t="str">
        <f>IFERROR(__xludf.DUMMYFUNCTION("""COMPUTED_VALUE"""),"West")</f>
        <v>West</v>
      </c>
      <c r="M210" s="22" t="str">
        <f>IFERROR(__xludf.DUMMYFUNCTION("""COMPUTED_VALUE"""),"Office Supplies")</f>
        <v>Office Supplies</v>
      </c>
      <c r="N210" s="18">
        <f>IFERROR(__xludf.DUMMYFUNCTION("""COMPUTED_VALUE"""),19.44)</f>
        <v>19.44</v>
      </c>
      <c r="O210" s="18">
        <f>IFERROR(__xludf.DUMMYFUNCTION("""COMPUTED_VALUE"""),18.98)</f>
        <v>18.98</v>
      </c>
      <c r="P210" s="22">
        <f>IFERROR(__xludf.DUMMYFUNCTION("""COMPUTED_VALUE"""),9.0)</f>
        <v>9</v>
      </c>
      <c r="Q210" s="18">
        <f>IFERROR(__xludf.DUMMYFUNCTION("""COMPUTED_VALUE"""),174.96)</f>
        <v>174.96</v>
      </c>
      <c r="R210" s="18">
        <f>IFERROR(__xludf.DUMMYFUNCTION("""COMPUTED_VALUE"""),155.98000000000002)</f>
        <v>155.98</v>
      </c>
    </row>
    <row r="211">
      <c r="A211" s="21">
        <f>IFERROR(__xludf.DUMMYFUNCTION("""COMPUTED_VALUE"""),42276.0)</f>
        <v>42276</v>
      </c>
      <c r="B211" s="21" t="str">
        <f>IFERROR(__xludf.DUMMYFUNCTION("""COMPUTED_VALUE"""),"Sep")</f>
        <v>Sep</v>
      </c>
      <c r="C211" s="9">
        <f>IFERROR(__xludf.DUMMYFUNCTION("""COMPUTED_VALUE"""),42073.0)</f>
        <v>42073</v>
      </c>
      <c r="D211" s="23" t="str">
        <f>IFERROR(__xludf.DUMMYFUNCTION("""COMPUTED_VALUE"""),"Mar")</f>
        <v>Mar</v>
      </c>
      <c r="E211" s="21" t="str">
        <f>IFERROR(__xludf.DUMMYFUNCTION("""COMPUTED_VALUE"""),"2015")</f>
        <v>2015</v>
      </c>
      <c r="F211" s="22" t="str">
        <f>IFERROR(__xludf.DUMMYFUNCTION("""COMPUTED_VALUE"""),"Standard Class")</f>
        <v>Standard Class</v>
      </c>
      <c r="G211" s="22" t="str">
        <f>IFERROR(__xludf.DUMMYFUNCTION("""COMPUTED_VALUE"""),"Arthur")</f>
        <v>Arthur</v>
      </c>
      <c r="H211" s="22" t="str">
        <f>IFERROR(__xludf.DUMMYFUNCTION("""COMPUTED_VALUE"""),"Prichep")</f>
        <v>Prichep</v>
      </c>
      <c r="I211" s="22" t="str">
        <f>IFERROR(__xludf.DUMMYFUNCTION("""COMPUTED_VALUE"""),"Consumer")</f>
        <v>Consumer</v>
      </c>
      <c r="J211" s="22" t="str">
        <f>IFERROR(__xludf.DUMMYFUNCTION("""COMPUTED_VALUE"""),"Los Angeles")</f>
        <v>Los Angeles</v>
      </c>
      <c r="K211" s="22" t="str">
        <f>IFERROR(__xludf.DUMMYFUNCTION("""COMPUTED_VALUE"""),"California")</f>
        <v>California</v>
      </c>
      <c r="L211" s="22" t="str">
        <f>IFERROR(__xludf.DUMMYFUNCTION("""COMPUTED_VALUE"""),"West")</f>
        <v>West</v>
      </c>
      <c r="M211" s="22" t="str">
        <f>IFERROR(__xludf.DUMMYFUNCTION("""COMPUTED_VALUE"""),"Furniture")</f>
        <v>Furniture</v>
      </c>
      <c r="N211" s="18">
        <f>IFERROR(__xludf.DUMMYFUNCTION("""COMPUTED_VALUE"""),204.6)</f>
        <v>204.6</v>
      </c>
      <c r="O211" s="18">
        <f>IFERROR(__xludf.DUMMYFUNCTION("""COMPUTED_VALUE"""),203.77)</f>
        <v>203.77</v>
      </c>
      <c r="P211" s="22">
        <f>IFERROR(__xludf.DUMMYFUNCTION("""COMPUTED_VALUE"""),9.0)</f>
        <v>9</v>
      </c>
      <c r="Q211" s="18">
        <f>IFERROR(__xludf.DUMMYFUNCTION("""COMPUTED_VALUE"""),1841.3999999999999)</f>
        <v>1841.4</v>
      </c>
      <c r="R211" s="18">
        <f>IFERROR(__xludf.DUMMYFUNCTION("""COMPUTED_VALUE"""),1637.6299999999999)</f>
        <v>1637.63</v>
      </c>
    </row>
    <row r="212">
      <c r="A212" s="21">
        <f>IFERROR(__xludf.DUMMYFUNCTION("""COMPUTED_VALUE"""),42276.0)</f>
        <v>42276</v>
      </c>
      <c r="B212" s="21" t="str">
        <f>IFERROR(__xludf.DUMMYFUNCTION("""COMPUTED_VALUE"""),"Sep")</f>
        <v>Sep</v>
      </c>
      <c r="C212" s="9">
        <f>IFERROR(__xludf.DUMMYFUNCTION("""COMPUTED_VALUE"""),42073.0)</f>
        <v>42073</v>
      </c>
      <c r="D212" s="23" t="str">
        <f>IFERROR(__xludf.DUMMYFUNCTION("""COMPUTED_VALUE"""),"Mar")</f>
        <v>Mar</v>
      </c>
      <c r="E212" s="21" t="str">
        <f>IFERROR(__xludf.DUMMYFUNCTION("""COMPUTED_VALUE"""),"2015")</f>
        <v>2015</v>
      </c>
      <c r="F212" s="22" t="str">
        <f>IFERROR(__xludf.DUMMYFUNCTION("""COMPUTED_VALUE"""),"Standard Class")</f>
        <v>Standard Class</v>
      </c>
      <c r="G212" s="22" t="str">
        <f>IFERROR(__xludf.DUMMYFUNCTION("""COMPUTED_VALUE"""),"Arthur")</f>
        <v>Arthur</v>
      </c>
      <c r="H212" s="22" t="str">
        <f>IFERROR(__xludf.DUMMYFUNCTION("""COMPUTED_VALUE"""),"Prichep")</f>
        <v>Prichep</v>
      </c>
      <c r="I212" s="22" t="str">
        <f>IFERROR(__xludf.DUMMYFUNCTION("""COMPUTED_VALUE"""),"Consumer")</f>
        <v>Consumer</v>
      </c>
      <c r="J212" s="22" t="str">
        <f>IFERROR(__xludf.DUMMYFUNCTION("""COMPUTED_VALUE"""),"Los Angeles")</f>
        <v>Los Angeles</v>
      </c>
      <c r="K212" s="22" t="str">
        <f>IFERROR(__xludf.DUMMYFUNCTION("""COMPUTED_VALUE"""),"California")</f>
        <v>California</v>
      </c>
      <c r="L212" s="22" t="str">
        <f>IFERROR(__xludf.DUMMYFUNCTION("""COMPUTED_VALUE"""),"West")</f>
        <v>West</v>
      </c>
      <c r="M212" s="22" t="str">
        <f>IFERROR(__xludf.DUMMYFUNCTION("""COMPUTED_VALUE"""),"Office Supplies")</f>
        <v>Office Supplies</v>
      </c>
      <c r="N212" s="18">
        <f>IFERROR(__xludf.DUMMYFUNCTION("""COMPUTED_VALUE"""),8.72)</f>
        <v>8.72</v>
      </c>
      <c r="O212" s="18">
        <f>IFERROR(__xludf.DUMMYFUNCTION("""COMPUTED_VALUE"""),7.97)</f>
        <v>7.97</v>
      </c>
      <c r="P212" s="22">
        <f>IFERROR(__xludf.DUMMYFUNCTION("""COMPUTED_VALUE"""),9.0)</f>
        <v>9</v>
      </c>
      <c r="Q212" s="18">
        <f>IFERROR(__xludf.DUMMYFUNCTION("""COMPUTED_VALUE"""),78.48)</f>
        <v>78.48</v>
      </c>
      <c r="R212" s="18">
        <f>IFERROR(__xludf.DUMMYFUNCTION("""COMPUTED_VALUE"""),70.51)</f>
        <v>70.51</v>
      </c>
    </row>
    <row r="213">
      <c r="A213" s="21">
        <f>IFERROR(__xludf.DUMMYFUNCTION("""COMPUTED_VALUE"""),42276.0)</f>
        <v>42276</v>
      </c>
      <c r="B213" s="21" t="str">
        <f>IFERROR(__xludf.DUMMYFUNCTION("""COMPUTED_VALUE"""),"Sep")</f>
        <v>Sep</v>
      </c>
      <c r="C213" s="9">
        <f>IFERROR(__xludf.DUMMYFUNCTION("""COMPUTED_VALUE"""),42073.0)</f>
        <v>42073</v>
      </c>
      <c r="D213" s="23" t="str">
        <f>IFERROR(__xludf.DUMMYFUNCTION("""COMPUTED_VALUE"""),"Mar")</f>
        <v>Mar</v>
      </c>
      <c r="E213" s="21" t="str">
        <f>IFERROR(__xludf.DUMMYFUNCTION("""COMPUTED_VALUE"""),"2015")</f>
        <v>2015</v>
      </c>
      <c r="F213" s="22" t="str">
        <f>IFERROR(__xludf.DUMMYFUNCTION("""COMPUTED_VALUE"""),"Standard Class")</f>
        <v>Standard Class</v>
      </c>
      <c r="G213" s="22" t="str">
        <f>IFERROR(__xludf.DUMMYFUNCTION("""COMPUTED_VALUE"""),"Arthur")</f>
        <v>Arthur</v>
      </c>
      <c r="H213" s="22" t="str">
        <f>IFERROR(__xludf.DUMMYFUNCTION("""COMPUTED_VALUE"""),"Prichep")</f>
        <v>Prichep</v>
      </c>
      <c r="I213" s="22" t="str">
        <f>IFERROR(__xludf.DUMMYFUNCTION("""COMPUTED_VALUE"""),"Consumer")</f>
        <v>Consumer</v>
      </c>
      <c r="J213" s="22" t="str">
        <f>IFERROR(__xludf.DUMMYFUNCTION("""COMPUTED_VALUE"""),"Los Angeles")</f>
        <v>Los Angeles</v>
      </c>
      <c r="K213" s="22" t="str">
        <f>IFERROR(__xludf.DUMMYFUNCTION("""COMPUTED_VALUE"""),"California")</f>
        <v>California</v>
      </c>
      <c r="L213" s="22" t="str">
        <f>IFERROR(__xludf.DUMMYFUNCTION("""COMPUTED_VALUE"""),"West")</f>
        <v>West</v>
      </c>
      <c r="M213" s="22" t="str">
        <f>IFERROR(__xludf.DUMMYFUNCTION("""COMPUTED_VALUE"""),"Office Supplies")</f>
        <v>Office Supplies</v>
      </c>
      <c r="N213" s="18">
        <f>IFERROR(__xludf.DUMMYFUNCTION("""COMPUTED_VALUE"""),6.48)</f>
        <v>6.48</v>
      </c>
      <c r="O213" s="18">
        <f>IFERROR(__xludf.DUMMYFUNCTION("""COMPUTED_VALUE"""),6.2)</f>
        <v>6.2</v>
      </c>
      <c r="P213" s="22">
        <f>IFERROR(__xludf.DUMMYFUNCTION("""COMPUTED_VALUE"""),9.0)</f>
        <v>9</v>
      </c>
      <c r="Q213" s="18">
        <f>IFERROR(__xludf.DUMMYFUNCTION("""COMPUTED_VALUE"""),58.32000000000001)</f>
        <v>58.32</v>
      </c>
      <c r="R213" s="18">
        <f>IFERROR(__xludf.DUMMYFUNCTION("""COMPUTED_VALUE"""),52.120000000000005)</f>
        <v>52.12</v>
      </c>
    </row>
    <row r="214">
      <c r="A214" s="21">
        <f>IFERROR(__xludf.DUMMYFUNCTION("""COMPUTED_VALUE"""),42276.0)</f>
        <v>42276</v>
      </c>
      <c r="B214" s="21" t="str">
        <f>IFERROR(__xludf.DUMMYFUNCTION("""COMPUTED_VALUE"""),"Sep")</f>
        <v>Sep</v>
      </c>
      <c r="C214" s="9">
        <f>IFERROR(__xludf.DUMMYFUNCTION("""COMPUTED_VALUE"""),42073.0)</f>
        <v>42073</v>
      </c>
      <c r="D214" s="23" t="str">
        <f>IFERROR(__xludf.DUMMYFUNCTION("""COMPUTED_VALUE"""),"Mar")</f>
        <v>Mar</v>
      </c>
      <c r="E214" s="21" t="str">
        <f>IFERROR(__xludf.DUMMYFUNCTION("""COMPUTED_VALUE"""),"2015")</f>
        <v>2015</v>
      </c>
      <c r="F214" s="22" t="str">
        <f>IFERROR(__xludf.DUMMYFUNCTION("""COMPUTED_VALUE"""),"Standard Class")</f>
        <v>Standard Class</v>
      </c>
      <c r="G214" s="22" t="str">
        <f>IFERROR(__xludf.DUMMYFUNCTION("""COMPUTED_VALUE"""),"Arthur")</f>
        <v>Arthur</v>
      </c>
      <c r="H214" s="22" t="str">
        <f>IFERROR(__xludf.DUMMYFUNCTION("""COMPUTED_VALUE"""),"Prichep")</f>
        <v>Prichep</v>
      </c>
      <c r="I214" s="22" t="str">
        <f>IFERROR(__xludf.DUMMYFUNCTION("""COMPUTED_VALUE"""),"Consumer")</f>
        <v>Consumer</v>
      </c>
      <c r="J214" s="22" t="str">
        <f>IFERROR(__xludf.DUMMYFUNCTION("""COMPUTED_VALUE"""),"Los Angeles")</f>
        <v>Los Angeles</v>
      </c>
      <c r="K214" s="22" t="str">
        <f>IFERROR(__xludf.DUMMYFUNCTION("""COMPUTED_VALUE"""),"California")</f>
        <v>California</v>
      </c>
      <c r="L214" s="22" t="str">
        <f>IFERROR(__xludf.DUMMYFUNCTION("""COMPUTED_VALUE"""),"West")</f>
        <v>West</v>
      </c>
      <c r="M214" s="22" t="str">
        <f>IFERROR(__xludf.DUMMYFUNCTION("""COMPUTED_VALUE"""),"Technology")</f>
        <v>Technology</v>
      </c>
      <c r="N214" s="18">
        <f>IFERROR(__xludf.DUMMYFUNCTION("""COMPUTED_VALUE"""),686.32)</f>
        <v>686.32</v>
      </c>
      <c r="O214" s="18">
        <f>IFERROR(__xludf.DUMMYFUNCTION("""COMPUTED_VALUE"""),685.34)</f>
        <v>685.34</v>
      </c>
      <c r="P214" s="22">
        <f>IFERROR(__xludf.DUMMYFUNCTION("""COMPUTED_VALUE"""),9.0)</f>
        <v>9</v>
      </c>
      <c r="Q214" s="18">
        <f>IFERROR(__xludf.DUMMYFUNCTION("""COMPUTED_VALUE"""),6176.88)</f>
        <v>6176.88</v>
      </c>
      <c r="R214" s="18">
        <f>IFERROR(__xludf.DUMMYFUNCTION("""COMPUTED_VALUE"""),5491.54)</f>
        <v>5491.54</v>
      </c>
    </row>
    <row r="215">
      <c r="A215" s="21">
        <f>IFERROR(__xludf.DUMMYFUNCTION("""COMPUTED_VALUE"""),42276.0)</f>
        <v>42276</v>
      </c>
      <c r="B215" s="21" t="str">
        <f>IFERROR(__xludf.DUMMYFUNCTION("""COMPUTED_VALUE"""),"Sep")</f>
        <v>Sep</v>
      </c>
      <c r="C215" s="9">
        <f>IFERROR(__xludf.DUMMYFUNCTION("""COMPUTED_VALUE"""),42073.0)</f>
        <v>42073</v>
      </c>
      <c r="D215" s="23" t="str">
        <f>IFERROR(__xludf.DUMMYFUNCTION("""COMPUTED_VALUE"""),"Mar")</f>
        <v>Mar</v>
      </c>
      <c r="E215" s="21" t="str">
        <f>IFERROR(__xludf.DUMMYFUNCTION("""COMPUTED_VALUE"""),"2015")</f>
        <v>2015</v>
      </c>
      <c r="F215" s="22" t="str">
        <f>IFERROR(__xludf.DUMMYFUNCTION("""COMPUTED_VALUE"""),"Standard Class")</f>
        <v>Standard Class</v>
      </c>
      <c r="G215" s="22" t="str">
        <f>IFERROR(__xludf.DUMMYFUNCTION("""COMPUTED_VALUE"""),"Arthur")</f>
        <v>Arthur</v>
      </c>
      <c r="H215" s="22" t="str">
        <f>IFERROR(__xludf.DUMMYFUNCTION("""COMPUTED_VALUE"""),"Prichep")</f>
        <v>Prichep</v>
      </c>
      <c r="I215" s="22" t="str">
        <f>IFERROR(__xludf.DUMMYFUNCTION("""COMPUTED_VALUE"""),"Consumer")</f>
        <v>Consumer</v>
      </c>
      <c r="J215" s="22" t="str">
        <f>IFERROR(__xludf.DUMMYFUNCTION("""COMPUTED_VALUE"""),"Los Angeles")</f>
        <v>Los Angeles</v>
      </c>
      <c r="K215" s="22" t="str">
        <f>IFERROR(__xludf.DUMMYFUNCTION("""COMPUTED_VALUE"""),"California")</f>
        <v>California</v>
      </c>
      <c r="L215" s="22" t="str">
        <f>IFERROR(__xludf.DUMMYFUNCTION("""COMPUTED_VALUE"""),"West")</f>
        <v>West</v>
      </c>
      <c r="M215" s="22" t="str">
        <f>IFERROR(__xludf.DUMMYFUNCTION("""COMPUTED_VALUE"""),"Office Supplies")</f>
        <v>Office Supplies</v>
      </c>
      <c r="N215" s="18">
        <f>IFERROR(__xludf.DUMMYFUNCTION("""COMPUTED_VALUE"""),62.18)</f>
        <v>62.18</v>
      </c>
      <c r="O215" s="18">
        <f>IFERROR(__xludf.DUMMYFUNCTION("""COMPUTED_VALUE"""),61.32)</f>
        <v>61.32</v>
      </c>
      <c r="P215" s="22">
        <f>IFERROR(__xludf.DUMMYFUNCTION("""COMPUTED_VALUE"""),9.0)</f>
        <v>9</v>
      </c>
      <c r="Q215" s="18">
        <f>IFERROR(__xludf.DUMMYFUNCTION("""COMPUTED_VALUE"""),559.62)</f>
        <v>559.62</v>
      </c>
      <c r="R215" s="18">
        <f>IFERROR(__xludf.DUMMYFUNCTION("""COMPUTED_VALUE"""),498.3)</f>
        <v>498.3</v>
      </c>
    </row>
    <row r="216">
      <c r="A216" s="21">
        <f>IFERROR(__xludf.DUMMYFUNCTION("""COMPUTED_VALUE"""),42773.0)</f>
        <v>42773</v>
      </c>
      <c r="B216" s="21" t="str">
        <f>IFERROR(__xludf.DUMMYFUNCTION("""COMPUTED_VALUE"""),"Feb")</f>
        <v>Feb</v>
      </c>
      <c r="C216" s="9">
        <f>IFERROR(__xludf.DUMMYFUNCTION("""COMPUTED_VALUE"""),42923.0)</f>
        <v>42923</v>
      </c>
      <c r="D216" s="23" t="str">
        <f>IFERROR(__xludf.DUMMYFUNCTION("""COMPUTED_VALUE"""),"Jul")</f>
        <v>Jul</v>
      </c>
      <c r="E216" s="21" t="str">
        <f>IFERROR(__xludf.DUMMYFUNCTION("""COMPUTED_VALUE"""),"2017")</f>
        <v>2017</v>
      </c>
      <c r="F216" s="22" t="str">
        <f>IFERROR(__xludf.DUMMYFUNCTION("""COMPUTED_VALUE"""),"Second Class")</f>
        <v>Second Class</v>
      </c>
      <c r="G216" s="22" t="str">
        <f>IFERROR(__xludf.DUMMYFUNCTION("""COMPUTED_VALUE"""),"George")</f>
        <v>George</v>
      </c>
      <c r="H216" s="22" t="str">
        <f>IFERROR(__xludf.DUMMYFUNCTION("""COMPUTED_VALUE"""),"Bell")</f>
        <v>Bell</v>
      </c>
      <c r="I216" s="22" t="str">
        <f>IFERROR(__xludf.DUMMYFUNCTION("""COMPUTED_VALUE"""),"Corporate")</f>
        <v>Corporate</v>
      </c>
      <c r="J216" s="22" t="str">
        <f>IFERROR(__xludf.DUMMYFUNCTION("""COMPUTED_VALUE"""),"Los Angeles")</f>
        <v>Los Angeles</v>
      </c>
      <c r="K216" s="22" t="str">
        <f>IFERROR(__xludf.DUMMYFUNCTION("""COMPUTED_VALUE"""),"California")</f>
        <v>California</v>
      </c>
      <c r="L216" s="22" t="str">
        <f>IFERROR(__xludf.DUMMYFUNCTION("""COMPUTED_VALUE"""),"West")</f>
        <v>West</v>
      </c>
      <c r="M216" s="22" t="str">
        <f>IFERROR(__xludf.DUMMYFUNCTION("""COMPUTED_VALUE"""),"Furniture")</f>
        <v>Furniture</v>
      </c>
      <c r="N216" s="18">
        <f>IFERROR(__xludf.DUMMYFUNCTION("""COMPUTED_VALUE"""),195.184)</f>
        <v>195.184</v>
      </c>
      <c r="O216" s="18">
        <f>IFERROR(__xludf.DUMMYFUNCTION("""COMPUTED_VALUE"""),195.02)</f>
        <v>195.02</v>
      </c>
      <c r="P216" s="22">
        <f>IFERROR(__xludf.DUMMYFUNCTION("""COMPUTED_VALUE"""),9.0)</f>
        <v>9</v>
      </c>
      <c r="Q216" s="18">
        <f>IFERROR(__xludf.DUMMYFUNCTION("""COMPUTED_VALUE"""),1756.656)</f>
        <v>1756.656</v>
      </c>
      <c r="R216" s="18">
        <f>IFERROR(__xludf.DUMMYFUNCTION("""COMPUTED_VALUE"""),1561.636)</f>
        <v>1561.636</v>
      </c>
    </row>
    <row r="217">
      <c r="A217" s="21">
        <f>IFERROR(__xludf.DUMMYFUNCTION("""COMPUTED_VALUE"""),42013.0)</f>
        <v>42013</v>
      </c>
      <c r="B217" s="21" t="str">
        <f>IFERROR(__xludf.DUMMYFUNCTION("""COMPUTED_VALUE"""),"Jan")</f>
        <v>Jan</v>
      </c>
      <c r="C217" s="9">
        <f>IFERROR(__xludf.DUMMYFUNCTION("""COMPUTED_VALUE"""),42133.0)</f>
        <v>42133</v>
      </c>
      <c r="D217" s="23" t="str">
        <f>IFERROR(__xludf.DUMMYFUNCTION("""COMPUTED_VALUE"""),"May")</f>
        <v>May</v>
      </c>
      <c r="E217" s="21" t="str">
        <f>IFERROR(__xludf.DUMMYFUNCTION("""COMPUTED_VALUE"""),"2015")</f>
        <v>2015</v>
      </c>
      <c r="F217" s="22" t="str">
        <f>IFERROR(__xludf.DUMMYFUNCTION("""COMPUTED_VALUE"""),"Second Class")</f>
        <v>Second Class</v>
      </c>
      <c r="G217" s="22" t="str">
        <f>IFERROR(__xludf.DUMMYFUNCTION("""COMPUTED_VALUE"""),"Larry")</f>
        <v>Larry</v>
      </c>
      <c r="H217" s="22" t="str">
        <f>IFERROR(__xludf.DUMMYFUNCTION("""COMPUTED_VALUE"""),"Tron")</f>
        <v>Tron</v>
      </c>
      <c r="I217" s="22" t="str">
        <f>IFERROR(__xludf.DUMMYFUNCTION("""COMPUTED_VALUE"""),"Consumer")</f>
        <v>Consumer</v>
      </c>
      <c r="J217" s="22" t="str">
        <f>IFERROR(__xludf.DUMMYFUNCTION("""COMPUTED_VALUE"""),"Escondido")</f>
        <v>Escondido</v>
      </c>
      <c r="K217" s="22" t="str">
        <f>IFERROR(__xludf.DUMMYFUNCTION("""COMPUTED_VALUE"""),"California")</f>
        <v>California</v>
      </c>
      <c r="L217" s="22" t="str">
        <f>IFERROR(__xludf.DUMMYFUNCTION("""COMPUTED_VALUE"""),"West")</f>
        <v>West</v>
      </c>
      <c r="M217" s="22" t="str">
        <f>IFERROR(__xludf.DUMMYFUNCTION("""COMPUTED_VALUE"""),"Office Supplies")</f>
        <v>Office Supplies</v>
      </c>
      <c r="N217" s="18">
        <f>IFERROR(__xludf.DUMMYFUNCTION("""COMPUTED_VALUE"""),53.94)</f>
        <v>53.94</v>
      </c>
      <c r="O217" s="18">
        <f>IFERROR(__xludf.DUMMYFUNCTION("""COMPUTED_VALUE"""),53.63)</f>
        <v>53.63</v>
      </c>
      <c r="P217" s="22">
        <f>IFERROR(__xludf.DUMMYFUNCTION("""COMPUTED_VALUE"""),9.0)</f>
        <v>9</v>
      </c>
      <c r="Q217" s="18">
        <f>IFERROR(__xludf.DUMMYFUNCTION("""COMPUTED_VALUE"""),485.46)</f>
        <v>485.46</v>
      </c>
      <c r="R217" s="18">
        <f>IFERROR(__xludf.DUMMYFUNCTION("""COMPUTED_VALUE"""),431.83)</f>
        <v>431.83</v>
      </c>
    </row>
    <row r="218">
      <c r="A218" s="21">
        <f>IFERROR(__xludf.DUMMYFUNCTION("""COMPUTED_VALUE"""),42115.0)</f>
        <v>42115</v>
      </c>
      <c r="B218" s="21" t="str">
        <f>IFERROR(__xludf.DUMMYFUNCTION("""COMPUTED_VALUE"""),"Apr")</f>
        <v>Apr</v>
      </c>
      <c r="C218" s="9">
        <f>IFERROR(__xludf.DUMMYFUNCTION("""COMPUTED_VALUE"""),42119.0)</f>
        <v>42119</v>
      </c>
      <c r="D218" s="23" t="str">
        <f>IFERROR(__xludf.DUMMYFUNCTION("""COMPUTED_VALUE"""),"Apr")</f>
        <v>Apr</v>
      </c>
      <c r="E218" s="21" t="str">
        <f>IFERROR(__xludf.DUMMYFUNCTION("""COMPUTED_VALUE"""),"2015")</f>
        <v>2015</v>
      </c>
      <c r="F218" s="22" t="str">
        <f>IFERROR(__xludf.DUMMYFUNCTION("""COMPUTED_VALUE"""),"Standard Class")</f>
        <v>Standard Class</v>
      </c>
      <c r="G218" s="22" t="str">
        <f>IFERROR(__xludf.DUMMYFUNCTION("""COMPUTED_VALUE"""),"Allen")</f>
        <v>Allen</v>
      </c>
      <c r="H218" s="22" t="str">
        <f>IFERROR(__xludf.DUMMYFUNCTION("""COMPUTED_VALUE"""),"Armold")</f>
        <v>Armold</v>
      </c>
      <c r="I218" s="22" t="str">
        <f>IFERROR(__xludf.DUMMYFUNCTION("""COMPUTED_VALUE"""),"Consumer")</f>
        <v>Consumer</v>
      </c>
      <c r="J218" s="22" t="str">
        <f>IFERROR(__xludf.DUMMYFUNCTION("""COMPUTED_VALUE"""),"Los Angeles")</f>
        <v>Los Angeles</v>
      </c>
      <c r="K218" s="22" t="str">
        <f>IFERROR(__xludf.DUMMYFUNCTION("""COMPUTED_VALUE"""),"California")</f>
        <v>California</v>
      </c>
      <c r="L218" s="22" t="str">
        <f>IFERROR(__xludf.DUMMYFUNCTION("""COMPUTED_VALUE"""),"West")</f>
        <v>West</v>
      </c>
      <c r="M218" s="22" t="str">
        <f>IFERROR(__xludf.DUMMYFUNCTION("""COMPUTED_VALUE"""),"Office Supplies")</f>
        <v>Office Supplies</v>
      </c>
      <c r="N218" s="18">
        <f>IFERROR(__xludf.DUMMYFUNCTION("""COMPUTED_VALUE"""),16.52)</f>
        <v>16.52</v>
      </c>
      <c r="O218" s="18">
        <f>IFERROR(__xludf.DUMMYFUNCTION("""COMPUTED_VALUE"""),15.79)</f>
        <v>15.79</v>
      </c>
      <c r="P218" s="22">
        <f>IFERROR(__xludf.DUMMYFUNCTION("""COMPUTED_VALUE"""),9.0)</f>
        <v>9</v>
      </c>
      <c r="Q218" s="18">
        <f>IFERROR(__xludf.DUMMYFUNCTION("""COMPUTED_VALUE"""),148.68)</f>
        <v>148.68</v>
      </c>
      <c r="R218" s="18">
        <f>IFERROR(__xludf.DUMMYFUNCTION("""COMPUTED_VALUE"""),132.89000000000001)</f>
        <v>132.89</v>
      </c>
    </row>
    <row r="219">
      <c r="A219" s="21">
        <f>IFERROR(__xludf.DUMMYFUNCTION("""COMPUTED_VALUE"""),42365.0)</f>
        <v>42365</v>
      </c>
      <c r="B219" s="21" t="str">
        <f>IFERROR(__xludf.DUMMYFUNCTION("""COMPUTED_VALUE"""),"Dec")</f>
        <v>Dec</v>
      </c>
      <c r="C219" s="9">
        <f>IFERROR(__xludf.DUMMYFUNCTION("""COMPUTED_VALUE"""),42368.0)</f>
        <v>42368</v>
      </c>
      <c r="D219" s="23" t="str">
        <f>IFERROR(__xludf.DUMMYFUNCTION("""COMPUTED_VALUE"""),"Dec")</f>
        <v>Dec</v>
      </c>
      <c r="E219" s="21" t="str">
        <f>IFERROR(__xludf.DUMMYFUNCTION("""COMPUTED_VALUE"""),"2015")</f>
        <v>2015</v>
      </c>
      <c r="F219" s="22" t="str">
        <f>IFERROR(__xludf.DUMMYFUNCTION("""COMPUTED_VALUE"""),"Second Class")</f>
        <v>Second Class</v>
      </c>
      <c r="G219" s="22" t="str">
        <f>IFERROR(__xludf.DUMMYFUNCTION("""COMPUTED_VALUE"""),"Alyssa")</f>
        <v>Alyssa</v>
      </c>
      <c r="H219" s="22" t="str">
        <f>IFERROR(__xludf.DUMMYFUNCTION("""COMPUTED_VALUE"""),"Tate")</f>
        <v>Tate</v>
      </c>
      <c r="I219" s="22" t="str">
        <f>IFERROR(__xludf.DUMMYFUNCTION("""COMPUTED_VALUE"""),"Home Office")</f>
        <v>Home Office</v>
      </c>
      <c r="J219" s="22" t="str">
        <f>IFERROR(__xludf.DUMMYFUNCTION("""COMPUTED_VALUE"""),"Los Angeles")</f>
        <v>Los Angeles</v>
      </c>
      <c r="K219" s="22" t="str">
        <f>IFERROR(__xludf.DUMMYFUNCTION("""COMPUTED_VALUE"""),"California")</f>
        <v>California</v>
      </c>
      <c r="L219" s="22" t="str">
        <f>IFERROR(__xludf.DUMMYFUNCTION("""COMPUTED_VALUE"""),"West")</f>
        <v>West</v>
      </c>
      <c r="M219" s="22" t="str">
        <f>IFERROR(__xludf.DUMMYFUNCTION("""COMPUTED_VALUE"""),"Office Supplies")</f>
        <v>Office Supplies</v>
      </c>
      <c r="N219" s="18">
        <f>IFERROR(__xludf.DUMMYFUNCTION("""COMPUTED_VALUE"""),11.56)</f>
        <v>11.56</v>
      </c>
      <c r="O219" s="18">
        <f>IFERROR(__xludf.DUMMYFUNCTION("""COMPUTED_VALUE"""),11.38)</f>
        <v>11.38</v>
      </c>
      <c r="P219" s="22">
        <f>IFERROR(__xludf.DUMMYFUNCTION("""COMPUTED_VALUE"""),9.0)</f>
        <v>9</v>
      </c>
      <c r="Q219" s="18">
        <f>IFERROR(__xludf.DUMMYFUNCTION("""COMPUTED_VALUE"""),104.04)</f>
        <v>104.04</v>
      </c>
      <c r="R219" s="18">
        <f>IFERROR(__xludf.DUMMYFUNCTION("""COMPUTED_VALUE"""),92.66000000000001)</f>
        <v>92.66</v>
      </c>
    </row>
    <row r="220">
      <c r="A220" s="21">
        <f>IFERROR(__xludf.DUMMYFUNCTION("""COMPUTED_VALUE"""),43157.0)</f>
        <v>43157</v>
      </c>
      <c r="B220" s="21" t="str">
        <f>IFERROR(__xludf.DUMMYFUNCTION("""COMPUTED_VALUE"""),"Feb")</f>
        <v>Feb</v>
      </c>
      <c r="C220" s="9">
        <f>IFERROR(__xludf.DUMMYFUNCTION("""COMPUTED_VALUE"""),43159.0)</f>
        <v>43159</v>
      </c>
      <c r="D220" s="23" t="str">
        <f>IFERROR(__xludf.DUMMYFUNCTION("""COMPUTED_VALUE"""),"Feb")</f>
        <v>Feb</v>
      </c>
      <c r="E220" s="21" t="str">
        <f>IFERROR(__xludf.DUMMYFUNCTION("""COMPUTED_VALUE"""),"2018")</f>
        <v>2018</v>
      </c>
      <c r="F220" s="22" t="str">
        <f>IFERROR(__xludf.DUMMYFUNCTION("""COMPUTED_VALUE"""),"Second Class")</f>
        <v>Second Class</v>
      </c>
      <c r="G220" s="22" t="str">
        <f>IFERROR(__xludf.DUMMYFUNCTION("""COMPUTED_VALUE"""),"Bradley")</f>
        <v>Bradley</v>
      </c>
      <c r="H220" s="22" t="str">
        <f>IFERROR(__xludf.DUMMYFUNCTION("""COMPUTED_VALUE"""),"Talbott")</f>
        <v>Talbott</v>
      </c>
      <c r="I220" s="22" t="str">
        <f>IFERROR(__xludf.DUMMYFUNCTION("""COMPUTED_VALUE"""),"Home Office")</f>
        <v>Home Office</v>
      </c>
      <c r="J220" s="22" t="str">
        <f>IFERROR(__xludf.DUMMYFUNCTION("""COMPUTED_VALUE"""),"Los Angeles")</f>
        <v>Los Angeles</v>
      </c>
      <c r="K220" s="22" t="str">
        <f>IFERROR(__xludf.DUMMYFUNCTION("""COMPUTED_VALUE"""),"California")</f>
        <v>California</v>
      </c>
      <c r="L220" s="22" t="str">
        <f>IFERROR(__xludf.DUMMYFUNCTION("""COMPUTED_VALUE"""),"West")</f>
        <v>West</v>
      </c>
      <c r="M220" s="22" t="str">
        <f>IFERROR(__xludf.DUMMYFUNCTION("""COMPUTED_VALUE"""),"Office Supplies")</f>
        <v>Office Supplies</v>
      </c>
      <c r="N220" s="18">
        <f>IFERROR(__xludf.DUMMYFUNCTION("""COMPUTED_VALUE"""),81.92)</f>
        <v>81.92</v>
      </c>
      <c r="O220" s="18">
        <f>IFERROR(__xludf.DUMMYFUNCTION("""COMPUTED_VALUE"""),81.69)</f>
        <v>81.69</v>
      </c>
      <c r="P220" s="22">
        <f>IFERROR(__xludf.DUMMYFUNCTION("""COMPUTED_VALUE"""),9.0)</f>
        <v>9</v>
      </c>
      <c r="Q220" s="18">
        <f>IFERROR(__xludf.DUMMYFUNCTION("""COMPUTED_VALUE"""),737.28)</f>
        <v>737.28</v>
      </c>
      <c r="R220" s="18">
        <f>IFERROR(__xludf.DUMMYFUNCTION("""COMPUTED_VALUE"""),655.5899999999999)</f>
        <v>655.59</v>
      </c>
    </row>
    <row r="221">
      <c r="A221" s="21">
        <f>IFERROR(__xludf.DUMMYFUNCTION("""COMPUTED_VALUE"""),43157.0)</f>
        <v>43157</v>
      </c>
      <c r="B221" s="21" t="str">
        <f>IFERROR(__xludf.DUMMYFUNCTION("""COMPUTED_VALUE"""),"Feb")</f>
        <v>Feb</v>
      </c>
      <c r="C221" s="9">
        <f>IFERROR(__xludf.DUMMYFUNCTION("""COMPUTED_VALUE"""),43159.0)</f>
        <v>43159</v>
      </c>
      <c r="D221" s="23" t="str">
        <f>IFERROR(__xludf.DUMMYFUNCTION("""COMPUTED_VALUE"""),"Feb")</f>
        <v>Feb</v>
      </c>
      <c r="E221" s="21" t="str">
        <f>IFERROR(__xludf.DUMMYFUNCTION("""COMPUTED_VALUE"""),"2018")</f>
        <v>2018</v>
      </c>
      <c r="F221" s="22" t="str">
        <f>IFERROR(__xludf.DUMMYFUNCTION("""COMPUTED_VALUE"""),"Second Class")</f>
        <v>Second Class</v>
      </c>
      <c r="G221" s="22" t="str">
        <f>IFERROR(__xludf.DUMMYFUNCTION("""COMPUTED_VALUE"""),"Bradley")</f>
        <v>Bradley</v>
      </c>
      <c r="H221" s="22" t="str">
        <f>IFERROR(__xludf.DUMMYFUNCTION("""COMPUTED_VALUE"""),"Talbott")</f>
        <v>Talbott</v>
      </c>
      <c r="I221" s="22" t="str">
        <f>IFERROR(__xludf.DUMMYFUNCTION("""COMPUTED_VALUE"""),"Home Office")</f>
        <v>Home Office</v>
      </c>
      <c r="J221" s="22" t="str">
        <f>IFERROR(__xludf.DUMMYFUNCTION("""COMPUTED_VALUE"""),"Los Angeles")</f>
        <v>Los Angeles</v>
      </c>
      <c r="K221" s="22" t="str">
        <f>IFERROR(__xludf.DUMMYFUNCTION("""COMPUTED_VALUE"""),"California")</f>
        <v>California</v>
      </c>
      <c r="L221" s="22" t="str">
        <f>IFERROR(__xludf.DUMMYFUNCTION("""COMPUTED_VALUE"""),"West")</f>
        <v>West</v>
      </c>
      <c r="M221" s="22" t="str">
        <f>IFERROR(__xludf.DUMMYFUNCTION("""COMPUTED_VALUE"""),"Technology")</f>
        <v>Technology</v>
      </c>
      <c r="N221" s="18">
        <f>IFERROR(__xludf.DUMMYFUNCTION("""COMPUTED_VALUE"""),889.536)</f>
        <v>889.536</v>
      </c>
      <c r="O221" s="18">
        <f>IFERROR(__xludf.DUMMYFUNCTION("""COMPUTED_VALUE"""),889.08)</f>
        <v>889.08</v>
      </c>
      <c r="P221" s="22">
        <f>IFERROR(__xludf.DUMMYFUNCTION("""COMPUTED_VALUE"""),9.0)</f>
        <v>9</v>
      </c>
      <c r="Q221" s="18">
        <f>IFERROR(__xludf.DUMMYFUNCTION("""COMPUTED_VALUE"""),8005.824)</f>
        <v>8005.824</v>
      </c>
      <c r="R221" s="18">
        <f>IFERROR(__xludf.DUMMYFUNCTION("""COMPUTED_VALUE"""),7116.744)</f>
        <v>7116.744</v>
      </c>
    </row>
    <row r="222">
      <c r="A222" s="21">
        <f>IFERROR(__xludf.DUMMYFUNCTION("""COMPUTED_VALUE"""),43157.0)</f>
        <v>43157</v>
      </c>
      <c r="B222" s="21" t="str">
        <f>IFERROR(__xludf.DUMMYFUNCTION("""COMPUTED_VALUE"""),"Feb")</f>
        <v>Feb</v>
      </c>
      <c r="C222" s="9">
        <f>IFERROR(__xludf.DUMMYFUNCTION("""COMPUTED_VALUE"""),43159.0)</f>
        <v>43159</v>
      </c>
      <c r="D222" s="23" t="str">
        <f>IFERROR(__xludf.DUMMYFUNCTION("""COMPUTED_VALUE"""),"Feb")</f>
        <v>Feb</v>
      </c>
      <c r="E222" s="21" t="str">
        <f>IFERROR(__xludf.DUMMYFUNCTION("""COMPUTED_VALUE"""),"2018")</f>
        <v>2018</v>
      </c>
      <c r="F222" s="22" t="str">
        <f>IFERROR(__xludf.DUMMYFUNCTION("""COMPUTED_VALUE"""),"Second Class")</f>
        <v>Second Class</v>
      </c>
      <c r="G222" s="22" t="str">
        <f>IFERROR(__xludf.DUMMYFUNCTION("""COMPUTED_VALUE"""),"Bradley")</f>
        <v>Bradley</v>
      </c>
      <c r="H222" s="22" t="str">
        <f>IFERROR(__xludf.DUMMYFUNCTION("""COMPUTED_VALUE"""),"Talbott")</f>
        <v>Talbott</v>
      </c>
      <c r="I222" s="22" t="str">
        <f>IFERROR(__xludf.DUMMYFUNCTION("""COMPUTED_VALUE"""),"Home Office")</f>
        <v>Home Office</v>
      </c>
      <c r="J222" s="22" t="str">
        <f>IFERROR(__xludf.DUMMYFUNCTION("""COMPUTED_VALUE"""),"Los Angeles")</f>
        <v>Los Angeles</v>
      </c>
      <c r="K222" s="22" t="str">
        <f>IFERROR(__xludf.DUMMYFUNCTION("""COMPUTED_VALUE"""),"California")</f>
        <v>California</v>
      </c>
      <c r="L222" s="22" t="str">
        <f>IFERROR(__xludf.DUMMYFUNCTION("""COMPUTED_VALUE"""),"West")</f>
        <v>West</v>
      </c>
      <c r="M222" s="22" t="str">
        <f>IFERROR(__xludf.DUMMYFUNCTION("""COMPUTED_VALUE"""),"Furniture")</f>
        <v>Furniture</v>
      </c>
      <c r="N222" s="18">
        <f>IFERROR(__xludf.DUMMYFUNCTION("""COMPUTED_VALUE"""),892.224)</f>
        <v>892.224</v>
      </c>
      <c r="O222" s="18">
        <f>IFERROR(__xludf.DUMMYFUNCTION("""COMPUTED_VALUE"""),891.53)</f>
        <v>891.53</v>
      </c>
      <c r="P222" s="22">
        <f>IFERROR(__xludf.DUMMYFUNCTION("""COMPUTED_VALUE"""),9.0)</f>
        <v>9</v>
      </c>
      <c r="Q222" s="18">
        <f>IFERROR(__xludf.DUMMYFUNCTION("""COMPUTED_VALUE"""),8030.0160000000005)</f>
        <v>8030.016</v>
      </c>
      <c r="R222" s="18">
        <f>IFERROR(__xludf.DUMMYFUNCTION("""COMPUTED_VALUE"""),7138.486000000001)</f>
        <v>7138.486</v>
      </c>
    </row>
    <row r="223">
      <c r="A223" s="21">
        <f>IFERROR(__xludf.DUMMYFUNCTION("""COMPUTED_VALUE"""),43157.0)</f>
        <v>43157</v>
      </c>
      <c r="B223" s="21" t="str">
        <f>IFERROR(__xludf.DUMMYFUNCTION("""COMPUTED_VALUE"""),"Feb")</f>
        <v>Feb</v>
      </c>
      <c r="C223" s="9">
        <f>IFERROR(__xludf.DUMMYFUNCTION("""COMPUTED_VALUE"""),43159.0)</f>
        <v>43159</v>
      </c>
      <c r="D223" s="23" t="str">
        <f>IFERROR(__xludf.DUMMYFUNCTION("""COMPUTED_VALUE"""),"Feb")</f>
        <v>Feb</v>
      </c>
      <c r="E223" s="21" t="str">
        <f>IFERROR(__xludf.DUMMYFUNCTION("""COMPUTED_VALUE"""),"2018")</f>
        <v>2018</v>
      </c>
      <c r="F223" s="22" t="str">
        <f>IFERROR(__xludf.DUMMYFUNCTION("""COMPUTED_VALUE"""),"Second Class")</f>
        <v>Second Class</v>
      </c>
      <c r="G223" s="22" t="str">
        <f>IFERROR(__xludf.DUMMYFUNCTION("""COMPUTED_VALUE"""),"Bradley")</f>
        <v>Bradley</v>
      </c>
      <c r="H223" s="22" t="str">
        <f>IFERROR(__xludf.DUMMYFUNCTION("""COMPUTED_VALUE"""),"Talbott")</f>
        <v>Talbott</v>
      </c>
      <c r="I223" s="22" t="str">
        <f>IFERROR(__xludf.DUMMYFUNCTION("""COMPUTED_VALUE"""),"Home Office")</f>
        <v>Home Office</v>
      </c>
      <c r="J223" s="22" t="str">
        <f>IFERROR(__xludf.DUMMYFUNCTION("""COMPUTED_VALUE"""),"Los Angeles")</f>
        <v>Los Angeles</v>
      </c>
      <c r="K223" s="22" t="str">
        <f>IFERROR(__xludf.DUMMYFUNCTION("""COMPUTED_VALUE"""),"California")</f>
        <v>California</v>
      </c>
      <c r="L223" s="22" t="str">
        <f>IFERROR(__xludf.DUMMYFUNCTION("""COMPUTED_VALUE"""),"West")</f>
        <v>West</v>
      </c>
      <c r="M223" s="22" t="str">
        <f>IFERROR(__xludf.DUMMYFUNCTION("""COMPUTED_VALUE"""),"Office Supplies")</f>
        <v>Office Supplies</v>
      </c>
      <c r="N223" s="18">
        <f>IFERROR(__xludf.DUMMYFUNCTION("""COMPUTED_VALUE"""),223.92)</f>
        <v>223.92</v>
      </c>
      <c r="O223" s="18">
        <f>IFERROR(__xludf.DUMMYFUNCTION("""COMPUTED_VALUE"""),223.32)</f>
        <v>223.32</v>
      </c>
      <c r="P223" s="22">
        <f>IFERROR(__xludf.DUMMYFUNCTION("""COMPUTED_VALUE"""),9.0)</f>
        <v>9</v>
      </c>
      <c r="Q223" s="18">
        <f>IFERROR(__xludf.DUMMYFUNCTION("""COMPUTED_VALUE"""),2015.28)</f>
        <v>2015.28</v>
      </c>
      <c r="R223" s="18">
        <f>IFERROR(__xludf.DUMMYFUNCTION("""COMPUTED_VALUE"""),1791.96)</f>
        <v>1791.96</v>
      </c>
    </row>
    <row r="224">
      <c r="A224" s="21">
        <f>IFERROR(__xludf.DUMMYFUNCTION("""COMPUTED_VALUE"""),43157.0)</f>
        <v>43157</v>
      </c>
      <c r="B224" s="21" t="str">
        <f>IFERROR(__xludf.DUMMYFUNCTION("""COMPUTED_VALUE"""),"Feb")</f>
        <v>Feb</v>
      </c>
      <c r="C224" s="9">
        <f>IFERROR(__xludf.DUMMYFUNCTION("""COMPUTED_VALUE"""),43159.0)</f>
        <v>43159</v>
      </c>
      <c r="D224" s="23" t="str">
        <f>IFERROR(__xludf.DUMMYFUNCTION("""COMPUTED_VALUE"""),"Feb")</f>
        <v>Feb</v>
      </c>
      <c r="E224" s="21" t="str">
        <f>IFERROR(__xludf.DUMMYFUNCTION("""COMPUTED_VALUE"""),"2018")</f>
        <v>2018</v>
      </c>
      <c r="F224" s="22" t="str">
        <f>IFERROR(__xludf.DUMMYFUNCTION("""COMPUTED_VALUE"""),"Second Class")</f>
        <v>Second Class</v>
      </c>
      <c r="G224" s="22" t="str">
        <f>IFERROR(__xludf.DUMMYFUNCTION("""COMPUTED_VALUE"""),"Bradley")</f>
        <v>Bradley</v>
      </c>
      <c r="H224" s="22" t="str">
        <f>IFERROR(__xludf.DUMMYFUNCTION("""COMPUTED_VALUE"""),"Talbott")</f>
        <v>Talbott</v>
      </c>
      <c r="I224" s="22" t="str">
        <f>IFERROR(__xludf.DUMMYFUNCTION("""COMPUTED_VALUE"""),"Home Office")</f>
        <v>Home Office</v>
      </c>
      <c r="J224" s="22" t="str">
        <f>IFERROR(__xludf.DUMMYFUNCTION("""COMPUTED_VALUE"""),"Los Angeles")</f>
        <v>Los Angeles</v>
      </c>
      <c r="K224" s="22" t="str">
        <f>IFERROR(__xludf.DUMMYFUNCTION("""COMPUTED_VALUE"""),"California")</f>
        <v>California</v>
      </c>
      <c r="L224" s="22" t="str">
        <f>IFERROR(__xludf.DUMMYFUNCTION("""COMPUTED_VALUE"""),"West")</f>
        <v>West</v>
      </c>
      <c r="M224" s="22" t="str">
        <f>IFERROR(__xludf.DUMMYFUNCTION("""COMPUTED_VALUE"""),"Office Supplies")</f>
        <v>Office Supplies</v>
      </c>
      <c r="N224" s="18">
        <f>IFERROR(__xludf.DUMMYFUNCTION("""COMPUTED_VALUE"""),23.12)</f>
        <v>23.12</v>
      </c>
      <c r="O224" s="18">
        <f>IFERROR(__xludf.DUMMYFUNCTION("""COMPUTED_VALUE"""),22.75)</f>
        <v>22.75</v>
      </c>
      <c r="P224" s="22">
        <f>IFERROR(__xludf.DUMMYFUNCTION("""COMPUTED_VALUE"""),9.0)</f>
        <v>9</v>
      </c>
      <c r="Q224" s="18">
        <f>IFERROR(__xludf.DUMMYFUNCTION("""COMPUTED_VALUE"""),208.08)</f>
        <v>208.08</v>
      </c>
      <c r="R224" s="18">
        <f>IFERROR(__xludf.DUMMYFUNCTION("""COMPUTED_VALUE"""),185.33)</f>
        <v>185.33</v>
      </c>
    </row>
    <row r="225">
      <c r="A225" s="21">
        <f>IFERROR(__xludf.DUMMYFUNCTION("""COMPUTED_VALUE"""),42345.0)</f>
        <v>42345</v>
      </c>
      <c r="B225" s="21" t="str">
        <f>IFERROR(__xludf.DUMMYFUNCTION("""COMPUTED_VALUE"""),"Dec")</f>
        <v>Dec</v>
      </c>
      <c r="C225" s="9">
        <f>IFERROR(__xludf.DUMMYFUNCTION("""COMPUTED_VALUE"""),42201.0)</f>
        <v>42201</v>
      </c>
      <c r="D225" s="23" t="str">
        <f>IFERROR(__xludf.DUMMYFUNCTION("""COMPUTED_VALUE"""),"Jul")</f>
        <v>Jul</v>
      </c>
      <c r="E225" s="21" t="str">
        <f>IFERROR(__xludf.DUMMYFUNCTION("""COMPUTED_VALUE"""),"2015")</f>
        <v>2015</v>
      </c>
      <c r="F225" s="22" t="str">
        <f>IFERROR(__xludf.DUMMYFUNCTION("""COMPUTED_VALUE"""),"Standard Class")</f>
        <v>Standard Class</v>
      </c>
      <c r="G225" s="22" t="str">
        <f>IFERROR(__xludf.DUMMYFUNCTION("""COMPUTED_VALUE"""),"Ben")</f>
        <v>Ben</v>
      </c>
      <c r="H225" s="22" t="str">
        <f>IFERROR(__xludf.DUMMYFUNCTION("""COMPUTED_VALUE"""),"Ferrer")</f>
        <v>Ferrer</v>
      </c>
      <c r="I225" s="22" t="str">
        <f>IFERROR(__xludf.DUMMYFUNCTION("""COMPUTED_VALUE"""),"Home Office")</f>
        <v>Home Office</v>
      </c>
      <c r="J225" s="22" t="str">
        <f>IFERROR(__xludf.DUMMYFUNCTION("""COMPUTED_VALUE"""),"Los Angeles")</f>
        <v>Los Angeles</v>
      </c>
      <c r="K225" s="22" t="str">
        <f>IFERROR(__xludf.DUMMYFUNCTION("""COMPUTED_VALUE"""),"California")</f>
        <v>California</v>
      </c>
      <c r="L225" s="22" t="str">
        <f>IFERROR(__xludf.DUMMYFUNCTION("""COMPUTED_VALUE"""),"West")</f>
        <v>West</v>
      </c>
      <c r="M225" s="22" t="str">
        <f>IFERROR(__xludf.DUMMYFUNCTION("""COMPUTED_VALUE"""),"Office Supplies")</f>
        <v>Office Supplies</v>
      </c>
      <c r="N225" s="18">
        <f>IFERROR(__xludf.DUMMYFUNCTION("""COMPUTED_VALUE"""),249.75)</f>
        <v>249.75</v>
      </c>
      <c r="O225" s="18">
        <f>IFERROR(__xludf.DUMMYFUNCTION("""COMPUTED_VALUE"""),249.31)</f>
        <v>249.31</v>
      </c>
      <c r="P225" s="22">
        <f>IFERROR(__xludf.DUMMYFUNCTION("""COMPUTED_VALUE"""),9.0)</f>
        <v>9</v>
      </c>
      <c r="Q225" s="18">
        <f>IFERROR(__xludf.DUMMYFUNCTION("""COMPUTED_VALUE"""),2247.75)</f>
        <v>2247.75</v>
      </c>
      <c r="R225" s="18">
        <f>IFERROR(__xludf.DUMMYFUNCTION("""COMPUTED_VALUE"""),1998.44)</f>
        <v>1998.44</v>
      </c>
    </row>
    <row r="226">
      <c r="A226" s="21">
        <f>IFERROR(__xludf.DUMMYFUNCTION("""COMPUTED_VALUE"""),42345.0)</f>
        <v>42345</v>
      </c>
      <c r="B226" s="21" t="str">
        <f>IFERROR(__xludf.DUMMYFUNCTION("""COMPUTED_VALUE"""),"Dec")</f>
        <v>Dec</v>
      </c>
      <c r="C226" s="9">
        <f>IFERROR(__xludf.DUMMYFUNCTION("""COMPUTED_VALUE"""),42201.0)</f>
        <v>42201</v>
      </c>
      <c r="D226" s="23" t="str">
        <f>IFERROR(__xludf.DUMMYFUNCTION("""COMPUTED_VALUE"""),"Jul")</f>
        <v>Jul</v>
      </c>
      <c r="E226" s="21" t="str">
        <f>IFERROR(__xludf.DUMMYFUNCTION("""COMPUTED_VALUE"""),"2015")</f>
        <v>2015</v>
      </c>
      <c r="F226" s="22" t="str">
        <f>IFERROR(__xludf.DUMMYFUNCTION("""COMPUTED_VALUE"""),"Standard Class")</f>
        <v>Standard Class</v>
      </c>
      <c r="G226" s="22" t="str">
        <f>IFERROR(__xludf.DUMMYFUNCTION("""COMPUTED_VALUE"""),"Ben")</f>
        <v>Ben</v>
      </c>
      <c r="H226" s="22" t="str">
        <f>IFERROR(__xludf.DUMMYFUNCTION("""COMPUTED_VALUE"""),"Ferrer")</f>
        <v>Ferrer</v>
      </c>
      <c r="I226" s="22" t="str">
        <f>IFERROR(__xludf.DUMMYFUNCTION("""COMPUTED_VALUE"""),"Home Office")</f>
        <v>Home Office</v>
      </c>
      <c r="J226" s="22" t="str">
        <f>IFERROR(__xludf.DUMMYFUNCTION("""COMPUTED_VALUE"""),"Los Angeles")</f>
        <v>Los Angeles</v>
      </c>
      <c r="K226" s="22" t="str">
        <f>IFERROR(__xludf.DUMMYFUNCTION("""COMPUTED_VALUE"""),"California")</f>
        <v>California</v>
      </c>
      <c r="L226" s="22" t="str">
        <f>IFERROR(__xludf.DUMMYFUNCTION("""COMPUTED_VALUE"""),"West")</f>
        <v>West</v>
      </c>
      <c r="M226" s="22" t="str">
        <f>IFERROR(__xludf.DUMMYFUNCTION("""COMPUTED_VALUE"""),"Technology")</f>
        <v>Technology</v>
      </c>
      <c r="N226" s="18">
        <f>IFERROR(__xludf.DUMMYFUNCTION("""COMPUTED_VALUE"""),255.936)</f>
        <v>255.936</v>
      </c>
      <c r="O226" s="18">
        <f>IFERROR(__xludf.DUMMYFUNCTION("""COMPUTED_VALUE"""),255.44)</f>
        <v>255.44</v>
      </c>
      <c r="P226" s="22">
        <f>IFERROR(__xludf.DUMMYFUNCTION("""COMPUTED_VALUE"""),9.0)</f>
        <v>9</v>
      </c>
      <c r="Q226" s="18">
        <f>IFERROR(__xludf.DUMMYFUNCTION("""COMPUTED_VALUE"""),2303.424)</f>
        <v>2303.424</v>
      </c>
      <c r="R226" s="18">
        <f>IFERROR(__xludf.DUMMYFUNCTION("""COMPUTED_VALUE"""),2047.984)</f>
        <v>2047.984</v>
      </c>
    </row>
    <row r="227">
      <c r="A227" s="21">
        <f>IFERROR(__xludf.DUMMYFUNCTION("""COMPUTED_VALUE"""),43262.0)</f>
        <v>43262</v>
      </c>
      <c r="B227" s="21" t="str">
        <f>IFERROR(__xludf.DUMMYFUNCTION("""COMPUTED_VALUE"""),"Jun")</f>
        <v>Jun</v>
      </c>
      <c r="C227" s="9">
        <f>IFERROR(__xludf.DUMMYFUNCTION("""COMPUTED_VALUE"""),43415.0)</f>
        <v>43415</v>
      </c>
      <c r="D227" s="23" t="str">
        <f>IFERROR(__xludf.DUMMYFUNCTION("""COMPUTED_VALUE"""),"Nov")</f>
        <v>Nov</v>
      </c>
      <c r="E227" s="21" t="str">
        <f>IFERROR(__xludf.DUMMYFUNCTION("""COMPUTED_VALUE"""),"2018")</f>
        <v>2018</v>
      </c>
      <c r="F227" s="22" t="str">
        <f>IFERROR(__xludf.DUMMYFUNCTION("""COMPUTED_VALUE"""),"Standard Class")</f>
        <v>Standard Class</v>
      </c>
      <c r="G227" s="22" t="str">
        <f>IFERROR(__xludf.DUMMYFUNCTION("""COMPUTED_VALUE"""),"Zuschuss")</f>
        <v>Zuschuss</v>
      </c>
      <c r="H227" s="22" t="str">
        <f>IFERROR(__xludf.DUMMYFUNCTION("""COMPUTED_VALUE"""),"Carroll")</f>
        <v>Carroll</v>
      </c>
      <c r="I227" s="22" t="str">
        <f>IFERROR(__xludf.DUMMYFUNCTION("""COMPUTED_VALUE"""),"Consumer")</f>
        <v>Consumer</v>
      </c>
      <c r="J227" s="22" t="str">
        <f>IFERROR(__xludf.DUMMYFUNCTION("""COMPUTED_VALUE"""),"Los Angeles")</f>
        <v>Los Angeles</v>
      </c>
      <c r="K227" s="22" t="str">
        <f>IFERROR(__xludf.DUMMYFUNCTION("""COMPUTED_VALUE"""),"California")</f>
        <v>California</v>
      </c>
      <c r="L227" s="22" t="str">
        <f>IFERROR(__xludf.DUMMYFUNCTION("""COMPUTED_VALUE"""),"West")</f>
        <v>West</v>
      </c>
      <c r="M227" s="22" t="str">
        <f>IFERROR(__xludf.DUMMYFUNCTION("""COMPUTED_VALUE"""),"Office Supplies")</f>
        <v>Office Supplies</v>
      </c>
      <c r="N227" s="18">
        <f>IFERROR(__xludf.DUMMYFUNCTION("""COMPUTED_VALUE"""),15.28)</f>
        <v>15.28</v>
      </c>
      <c r="O227" s="18">
        <f>IFERROR(__xludf.DUMMYFUNCTION("""COMPUTED_VALUE"""),14.86)</f>
        <v>14.86</v>
      </c>
      <c r="P227" s="22">
        <f>IFERROR(__xludf.DUMMYFUNCTION("""COMPUTED_VALUE"""),9.0)</f>
        <v>9</v>
      </c>
      <c r="Q227" s="18">
        <f>IFERROR(__xludf.DUMMYFUNCTION("""COMPUTED_VALUE"""),137.51999999999998)</f>
        <v>137.52</v>
      </c>
      <c r="R227" s="18">
        <f>IFERROR(__xludf.DUMMYFUNCTION("""COMPUTED_VALUE"""),122.65999999999998)</f>
        <v>122.66</v>
      </c>
    </row>
    <row r="228">
      <c r="A228" s="21">
        <f>IFERROR(__xludf.DUMMYFUNCTION("""COMPUTED_VALUE"""),43262.0)</f>
        <v>43262</v>
      </c>
      <c r="B228" s="21" t="str">
        <f>IFERROR(__xludf.DUMMYFUNCTION("""COMPUTED_VALUE"""),"Jun")</f>
        <v>Jun</v>
      </c>
      <c r="C228" s="9">
        <f>IFERROR(__xludf.DUMMYFUNCTION("""COMPUTED_VALUE"""),43415.0)</f>
        <v>43415</v>
      </c>
      <c r="D228" s="23" t="str">
        <f>IFERROR(__xludf.DUMMYFUNCTION("""COMPUTED_VALUE"""),"Nov")</f>
        <v>Nov</v>
      </c>
      <c r="E228" s="21" t="str">
        <f>IFERROR(__xludf.DUMMYFUNCTION("""COMPUTED_VALUE"""),"2018")</f>
        <v>2018</v>
      </c>
      <c r="F228" s="22" t="str">
        <f>IFERROR(__xludf.DUMMYFUNCTION("""COMPUTED_VALUE"""),"Standard Class")</f>
        <v>Standard Class</v>
      </c>
      <c r="G228" s="22" t="str">
        <f>IFERROR(__xludf.DUMMYFUNCTION("""COMPUTED_VALUE"""),"Zuschuss")</f>
        <v>Zuschuss</v>
      </c>
      <c r="H228" s="22" t="str">
        <f>IFERROR(__xludf.DUMMYFUNCTION("""COMPUTED_VALUE"""),"Carroll")</f>
        <v>Carroll</v>
      </c>
      <c r="I228" s="22" t="str">
        <f>IFERROR(__xludf.DUMMYFUNCTION("""COMPUTED_VALUE"""),"Consumer")</f>
        <v>Consumer</v>
      </c>
      <c r="J228" s="22" t="str">
        <f>IFERROR(__xludf.DUMMYFUNCTION("""COMPUTED_VALUE"""),"Los Angeles")</f>
        <v>Los Angeles</v>
      </c>
      <c r="K228" s="22" t="str">
        <f>IFERROR(__xludf.DUMMYFUNCTION("""COMPUTED_VALUE"""),"California")</f>
        <v>California</v>
      </c>
      <c r="L228" s="22" t="str">
        <f>IFERROR(__xludf.DUMMYFUNCTION("""COMPUTED_VALUE"""),"West")</f>
        <v>West</v>
      </c>
      <c r="M228" s="22" t="str">
        <f>IFERROR(__xludf.DUMMYFUNCTION("""COMPUTED_VALUE"""),"Furniture")</f>
        <v>Furniture</v>
      </c>
      <c r="N228" s="18">
        <f>IFERROR(__xludf.DUMMYFUNCTION("""COMPUTED_VALUE"""),8.73)</f>
        <v>8.73</v>
      </c>
      <c r="O228" s="18">
        <f>IFERROR(__xludf.DUMMYFUNCTION("""COMPUTED_VALUE"""),8.27)</f>
        <v>8.27</v>
      </c>
      <c r="P228" s="22">
        <f>IFERROR(__xludf.DUMMYFUNCTION("""COMPUTED_VALUE"""),9.0)</f>
        <v>9</v>
      </c>
      <c r="Q228" s="18">
        <f>IFERROR(__xludf.DUMMYFUNCTION("""COMPUTED_VALUE"""),78.57000000000001)</f>
        <v>78.57</v>
      </c>
      <c r="R228" s="18">
        <f>IFERROR(__xludf.DUMMYFUNCTION("""COMPUTED_VALUE"""),70.30000000000001)</f>
        <v>70.3</v>
      </c>
    </row>
    <row r="229">
      <c r="A229" s="21">
        <f>IFERROR(__xludf.DUMMYFUNCTION("""COMPUTED_VALUE"""),43262.0)</f>
        <v>43262</v>
      </c>
      <c r="B229" s="21" t="str">
        <f>IFERROR(__xludf.DUMMYFUNCTION("""COMPUTED_VALUE"""),"Jun")</f>
        <v>Jun</v>
      </c>
      <c r="C229" s="9">
        <f>IFERROR(__xludf.DUMMYFUNCTION("""COMPUTED_VALUE"""),43415.0)</f>
        <v>43415</v>
      </c>
      <c r="D229" s="23" t="str">
        <f>IFERROR(__xludf.DUMMYFUNCTION("""COMPUTED_VALUE"""),"Nov")</f>
        <v>Nov</v>
      </c>
      <c r="E229" s="21" t="str">
        <f>IFERROR(__xludf.DUMMYFUNCTION("""COMPUTED_VALUE"""),"2018")</f>
        <v>2018</v>
      </c>
      <c r="F229" s="22" t="str">
        <f>IFERROR(__xludf.DUMMYFUNCTION("""COMPUTED_VALUE"""),"Standard Class")</f>
        <v>Standard Class</v>
      </c>
      <c r="G229" s="22" t="str">
        <f>IFERROR(__xludf.DUMMYFUNCTION("""COMPUTED_VALUE"""),"Zuschuss")</f>
        <v>Zuschuss</v>
      </c>
      <c r="H229" s="22" t="str">
        <f>IFERROR(__xludf.DUMMYFUNCTION("""COMPUTED_VALUE"""),"Carroll")</f>
        <v>Carroll</v>
      </c>
      <c r="I229" s="22" t="str">
        <f>IFERROR(__xludf.DUMMYFUNCTION("""COMPUTED_VALUE"""),"Consumer")</f>
        <v>Consumer</v>
      </c>
      <c r="J229" s="22" t="str">
        <f>IFERROR(__xludf.DUMMYFUNCTION("""COMPUTED_VALUE"""),"Los Angeles")</f>
        <v>Los Angeles</v>
      </c>
      <c r="K229" s="22" t="str">
        <f>IFERROR(__xludf.DUMMYFUNCTION("""COMPUTED_VALUE"""),"California")</f>
        <v>California</v>
      </c>
      <c r="L229" s="22" t="str">
        <f>IFERROR(__xludf.DUMMYFUNCTION("""COMPUTED_VALUE"""),"West")</f>
        <v>West</v>
      </c>
      <c r="M229" s="22" t="str">
        <f>IFERROR(__xludf.DUMMYFUNCTION("""COMPUTED_VALUE"""),"Office Supplies")</f>
        <v>Office Supplies</v>
      </c>
      <c r="N229" s="18">
        <f>IFERROR(__xludf.DUMMYFUNCTION("""COMPUTED_VALUE"""),5.68)</f>
        <v>5.68</v>
      </c>
      <c r="O229" s="18">
        <f>IFERROR(__xludf.DUMMYFUNCTION("""COMPUTED_VALUE"""),4.83)</f>
        <v>4.83</v>
      </c>
      <c r="P229" s="22">
        <f>IFERROR(__xludf.DUMMYFUNCTION("""COMPUTED_VALUE"""),9.0)</f>
        <v>9</v>
      </c>
      <c r="Q229" s="18">
        <f>IFERROR(__xludf.DUMMYFUNCTION("""COMPUTED_VALUE"""),51.12)</f>
        <v>51.12</v>
      </c>
      <c r="R229" s="18">
        <f>IFERROR(__xludf.DUMMYFUNCTION("""COMPUTED_VALUE"""),46.29)</f>
        <v>46.29</v>
      </c>
    </row>
    <row r="230">
      <c r="A230" s="21">
        <f>IFERROR(__xludf.DUMMYFUNCTION("""COMPUTED_VALUE"""),42350.0)</f>
        <v>42350</v>
      </c>
      <c r="B230" s="21" t="str">
        <f>IFERROR(__xludf.DUMMYFUNCTION("""COMPUTED_VALUE"""),"Dec")</f>
        <v>Dec</v>
      </c>
      <c r="C230" s="9">
        <f>IFERROR(__xludf.DUMMYFUNCTION("""COMPUTED_VALUE"""),42352.0)</f>
        <v>42352</v>
      </c>
      <c r="D230" s="23" t="str">
        <f>IFERROR(__xludf.DUMMYFUNCTION("""COMPUTED_VALUE"""),"Dec")</f>
        <v>Dec</v>
      </c>
      <c r="E230" s="21" t="str">
        <f>IFERROR(__xludf.DUMMYFUNCTION("""COMPUTED_VALUE"""),"2015")</f>
        <v>2015</v>
      </c>
      <c r="F230" s="22" t="str">
        <f>IFERROR(__xludf.DUMMYFUNCTION("""COMPUTED_VALUE"""),"Second Class")</f>
        <v>Second Class</v>
      </c>
      <c r="G230" s="22" t="str">
        <f>IFERROR(__xludf.DUMMYFUNCTION("""COMPUTED_VALUE"""),"Nora")</f>
        <v>Nora</v>
      </c>
      <c r="H230" s="22" t="str">
        <f>IFERROR(__xludf.DUMMYFUNCTION("""COMPUTED_VALUE"""),"Preis")</f>
        <v>Preis</v>
      </c>
      <c r="I230" s="22" t="str">
        <f>IFERROR(__xludf.DUMMYFUNCTION("""COMPUTED_VALUE"""),"Consumer")</f>
        <v>Consumer</v>
      </c>
      <c r="J230" s="22" t="str">
        <f>IFERROR(__xludf.DUMMYFUNCTION("""COMPUTED_VALUE"""),"Fresno")</f>
        <v>Fresno</v>
      </c>
      <c r="K230" s="22" t="str">
        <f>IFERROR(__xludf.DUMMYFUNCTION("""COMPUTED_VALUE"""),"California")</f>
        <v>California</v>
      </c>
      <c r="L230" s="22" t="str">
        <f>IFERROR(__xludf.DUMMYFUNCTION("""COMPUTED_VALUE"""),"West")</f>
        <v>West</v>
      </c>
      <c r="M230" s="22" t="str">
        <f>IFERROR(__xludf.DUMMYFUNCTION("""COMPUTED_VALUE"""),"Furniture")</f>
        <v>Furniture</v>
      </c>
      <c r="N230" s="18">
        <f>IFERROR(__xludf.DUMMYFUNCTION("""COMPUTED_VALUE"""),764.688)</f>
        <v>764.688</v>
      </c>
      <c r="O230" s="18">
        <f>IFERROR(__xludf.DUMMYFUNCTION("""COMPUTED_VALUE"""),764.45)</f>
        <v>764.45</v>
      </c>
      <c r="P230" s="22">
        <f>IFERROR(__xludf.DUMMYFUNCTION("""COMPUTED_VALUE"""),9.0)</f>
        <v>9</v>
      </c>
      <c r="Q230" s="18">
        <f>IFERROR(__xludf.DUMMYFUNCTION("""COMPUTED_VALUE"""),6882.192)</f>
        <v>6882.192</v>
      </c>
      <c r="R230" s="18">
        <f>IFERROR(__xludf.DUMMYFUNCTION("""COMPUTED_VALUE"""),6117.742)</f>
        <v>6117.742</v>
      </c>
    </row>
    <row r="231">
      <c r="A231" s="21">
        <f>IFERROR(__xludf.DUMMYFUNCTION("""COMPUTED_VALUE"""),42350.0)</f>
        <v>42350</v>
      </c>
      <c r="B231" s="21" t="str">
        <f>IFERROR(__xludf.DUMMYFUNCTION("""COMPUTED_VALUE"""),"Dec")</f>
        <v>Dec</v>
      </c>
      <c r="C231" s="9">
        <f>IFERROR(__xludf.DUMMYFUNCTION("""COMPUTED_VALUE"""),42352.0)</f>
        <v>42352</v>
      </c>
      <c r="D231" s="23" t="str">
        <f>IFERROR(__xludf.DUMMYFUNCTION("""COMPUTED_VALUE"""),"Dec")</f>
        <v>Dec</v>
      </c>
      <c r="E231" s="21" t="str">
        <f>IFERROR(__xludf.DUMMYFUNCTION("""COMPUTED_VALUE"""),"2015")</f>
        <v>2015</v>
      </c>
      <c r="F231" s="22" t="str">
        <f>IFERROR(__xludf.DUMMYFUNCTION("""COMPUTED_VALUE"""),"Second Class")</f>
        <v>Second Class</v>
      </c>
      <c r="G231" s="22" t="str">
        <f>IFERROR(__xludf.DUMMYFUNCTION("""COMPUTED_VALUE"""),"Nora")</f>
        <v>Nora</v>
      </c>
      <c r="H231" s="22" t="str">
        <f>IFERROR(__xludf.DUMMYFUNCTION("""COMPUTED_VALUE"""),"Preis")</f>
        <v>Preis</v>
      </c>
      <c r="I231" s="22" t="str">
        <f>IFERROR(__xludf.DUMMYFUNCTION("""COMPUTED_VALUE"""),"Consumer")</f>
        <v>Consumer</v>
      </c>
      <c r="J231" s="22" t="str">
        <f>IFERROR(__xludf.DUMMYFUNCTION("""COMPUTED_VALUE"""),"Fresno")</f>
        <v>Fresno</v>
      </c>
      <c r="K231" s="22" t="str">
        <f>IFERROR(__xludf.DUMMYFUNCTION("""COMPUTED_VALUE"""),"California")</f>
        <v>California</v>
      </c>
      <c r="L231" s="22" t="str">
        <f>IFERROR(__xludf.DUMMYFUNCTION("""COMPUTED_VALUE"""),"West")</f>
        <v>West</v>
      </c>
      <c r="M231" s="22" t="str">
        <f>IFERROR(__xludf.DUMMYFUNCTION("""COMPUTED_VALUE"""),"Furniture")</f>
        <v>Furniture</v>
      </c>
      <c r="N231" s="18">
        <f>IFERROR(__xludf.DUMMYFUNCTION("""COMPUTED_VALUE"""),3610.848)</f>
        <v>3610.848</v>
      </c>
      <c r="O231" s="18">
        <f>IFERROR(__xludf.DUMMYFUNCTION("""COMPUTED_VALUE"""),3610.76)</f>
        <v>3610.76</v>
      </c>
      <c r="P231" s="22">
        <f>IFERROR(__xludf.DUMMYFUNCTION("""COMPUTED_VALUE"""),9.0)</f>
        <v>9</v>
      </c>
      <c r="Q231" s="18">
        <f>IFERROR(__xludf.DUMMYFUNCTION("""COMPUTED_VALUE"""),32497.631999999998)</f>
        <v>32497.632</v>
      </c>
      <c r="R231" s="18">
        <f>IFERROR(__xludf.DUMMYFUNCTION("""COMPUTED_VALUE"""),28886.871999999996)</f>
        <v>28886.872</v>
      </c>
    </row>
    <row r="232">
      <c r="A232" s="21">
        <f>IFERROR(__xludf.DUMMYFUNCTION("""COMPUTED_VALUE"""),42350.0)</f>
        <v>42350</v>
      </c>
      <c r="B232" s="21" t="str">
        <f>IFERROR(__xludf.DUMMYFUNCTION("""COMPUTED_VALUE"""),"Dec")</f>
        <v>Dec</v>
      </c>
      <c r="C232" s="9">
        <f>IFERROR(__xludf.DUMMYFUNCTION("""COMPUTED_VALUE"""),42352.0)</f>
        <v>42352</v>
      </c>
      <c r="D232" s="23" t="str">
        <f>IFERROR(__xludf.DUMMYFUNCTION("""COMPUTED_VALUE"""),"Dec")</f>
        <v>Dec</v>
      </c>
      <c r="E232" s="21" t="str">
        <f>IFERROR(__xludf.DUMMYFUNCTION("""COMPUTED_VALUE"""),"2015")</f>
        <v>2015</v>
      </c>
      <c r="F232" s="22" t="str">
        <f>IFERROR(__xludf.DUMMYFUNCTION("""COMPUTED_VALUE"""),"Second Class")</f>
        <v>Second Class</v>
      </c>
      <c r="G232" s="22" t="str">
        <f>IFERROR(__xludf.DUMMYFUNCTION("""COMPUTED_VALUE"""),"Nora")</f>
        <v>Nora</v>
      </c>
      <c r="H232" s="22" t="str">
        <f>IFERROR(__xludf.DUMMYFUNCTION("""COMPUTED_VALUE"""),"Preis")</f>
        <v>Preis</v>
      </c>
      <c r="I232" s="22" t="str">
        <f>IFERROR(__xludf.DUMMYFUNCTION("""COMPUTED_VALUE"""),"Consumer")</f>
        <v>Consumer</v>
      </c>
      <c r="J232" s="22" t="str">
        <f>IFERROR(__xludf.DUMMYFUNCTION("""COMPUTED_VALUE"""),"Fresno")</f>
        <v>Fresno</v>
      </c>
      <c r="K232" s="22" t="str">
        <f>IFERROR(__xludf.DUMMYFUNCTION("""COMPUTED_VALUE"""),"California")</f>
        <v>California</v>
      </c>
      <c r="L232" s="22" t="str">
        <f>IFERROR(__xludf.DUMMYFUNCTION("""COMPUTED_VALUE"""),"West")</f>
        <v>West</v>
      </c>
      <c r="M232" s="22" t="str">
        <f>IFERROR(__xludf.DUMMYFUNCTION("""COMPUTED_VALUE"""),"Furniture")</f>
        <v>Furniture</v>
      </c>
      <c r="N232" s="18">
        <f>IFERROR(__xludf.DUMMYFUNCTION("""COMPUTED_VALUE"""),254.9745)</f>
        <v>254.9745</v>
      </c>
      <c r="O232" s="18">
        <f>IFERROR(__xludf.DUMMYFUNCTION("""COMPUTED_VALUE"""),254.54)</f>
        <v>254.54</v>
      </c>
      <c r="P232" s="22">
        <f>IFERROR(__xludf.DUMMYFUNCTION("""COMPUTED_VALUE"""),9.0)</f>
        <v>9</v>
      </c>
      <c r="Q232" s="18">
        <f>IFERROR(__xludf.DUMMYFUNCTION("""COMPUTED_VALUE"""),2294.7705)</f>
        <v>2294.7705</v>
      </c>
      <c r="R232" s="18">
        <f>IFERROR(__xludf.DUMMYFUNCTION("""COMPUTED_VALUE"""),2040.2305000000001)</f>
        <v>2040.2305</v>
      </c>
    </row>
    <row r="233">
      <c r="A233" s="21">
        <f>IFERROR(__xludf.DUMMYFUNCTION("""COMPUTED_VALUE"""),43140.0)</f>
        <v>43140</v>
      </c>
      <c r="B233" s="21" t="str">
        <f>IFERROR(__xludf.DUMMYFUNCTION("""COMPUTED_VALUE"""),"Feb")</f>
        <v>Feb</v>
      </c>
      <c r="C233" s="9">
        <f>IFERROR(__xludf.DUMMYFUNCTION("""COMPUTED_VALUE"""),43290.0)</f>
        <v>43290</v>
      </c>
      <c r="D233" s="23" t="str">
        <f>IFERROR(__xludf.DUMMYFUNCTION("""COMPUTED_VALUE"""),"Jul")</f>
        <v>Jul</v>
      </c>
      <c r="E233" s="21" t="str">
        <f>IFERROR(__xludf.DUMMYFUNCTION("""COMPUTED_VALUE"""),"2018")</f>
        <v>2018</v>
      </c>
      <c r="F233" s="22" t="str">
        <f>IFERROR(__xludf.DUMMYFUNCTION("""COMPUTED_VALUE"""),"Standard Class")</f>
        <v>Standard Class</v>
      </c>
      <c r="G233" s="22" t="str">
        <f>IFERROR(__xludf.DUMMYFUNCTION("""COMPUTED_VALUE"""),"Phillip")</f>
        <v>Phillip</v>
      </c>
      <c r="H233" s="22" t="str">
        <f>IFERROR(__xludf.DUMMYFUNCTION("""COMPUTED_VALUE"""),"Flathmann")</f>
        <v>Flathmann</v>
      </c>
      <c r="I233" s="22" t="str">
        <f>IFERROR(__xludf.DUMMYFUNCTION("""COMPUTED_VALUE"""),"Consumer")</f>
        <v>Consumer</v>
      </c>
      <c r="J233" s="22" t="str">
        <f>IFERROR(__xludf.DUMMYFUNCTION("""COMPUTED_VALUE"""),"San Francisco")</f>
        <v>San Francisco</v>
      </c>
      <c r="K233" s="22" t="str">
        <f>IFERROR(__xludf.DUMMYFUNCTION("""COMPUTED_VALUE"""),"California")</f>
        <v>California</v>
      </c>
      <c r="L233" s="22" t="str">
        <f>IFERROR(__xludf.DUMMYFUNCTION("""COMPUTED_VALUE"""),"West")</f>
        <v>West</v>
      </c>
      <c r="M233" s="22" t="str">
        <f>IFERROR(__xludf.DUMMYFUNCTION("""COMPUTED_VALUE"""),"Office Supplies")</f>
        <v>Office Supplies</v>
      </c>
      <c r="N233" s="18">
        <f>IFERROR(__xludf.DUMMYFUNCTION("""COMPUTED_VALUE"""),6.57)</f>
        <v>6.57</v>
      </c>
      <c r="O233" s="18">
        <f>IFERROR(__xludf.DUMMYFUNCTION("""COMPUTED_VALUE"""),6.47)</f>
        <v>6.47</v>
      </c>
      <c r="P233" s="22">
        <f>IFERROR(__xludf.DUMMYFUNCTION("""COMPUTED_VALUE"""),9.0)</f>
        <v>9</v>
      </c>
      <c r="Q233" s="18">
        <f>IFERROR(__xludf.DUMMYFUNCTION("""COMPUTED_VALUE"""),59.13)</f>
        <v>59.13</v>
      </c>
      <c r="R233" s="18">
        <f>IFERROR(__xludf.DUMMYFUNCTION("""COMPUTED_VALUE"""),52.660000000000004)</f>
        <v>52.66</v>
      </c>
    </row>
    <row r="234">
      <c r="A234" s="21">
        <f>IFERROR(__xludf.DUMMYFUNCTION("""COMPUTED_VALUE"""),42362.0)</f>
        <v>42362</v>
      </c>
      <c r="B234" s="21" t="str">
        <f>IFERROR(__xludf.DUMMYFUNCTION("""COMPUTED_VALUE"""),"Dec")</f>
        <v>Dec</v>
      </c>
      <c r="C234" s="9">
        <f>IFERROR(__xludf.DUMMYFUNCTION("""COMPUTED_VALUE"""),42367.0)</f>
        <v>42367</v>
      </c>
      <c r="D234" s="23" t="str">
        <f>IFERROR(__xludf.DUMMYFUNCTION("""COMPUTED_VALUE"""),"Dec")</f>
        <v>Dec</v>
      </c>
      <c r="E234" s="21" t="str">
        <f>IFERROR(__xludf.DUMMYFUNCTION("""COMPUTED_VALUE"""),"2015")</f>
        <v>2015</v>
      </c>
      <c r="F234" s="22" t="str">
        <f>IFERROR(__xludf.DUMMYFUNCTION("""COMPUTED_VALUE"""),"Standard Class")</f>
        <v>Standard Class</v>
      </c>
      <c r="G234" s="22" t="str">
        <f>IFERROR(__xludf.DUMMYFUNCTION("""COMPUTED_VALUE"""),"Julie")</f>
        <v>Julie</v>
      </c>
      <c r="H234" s="22" t="str">
        <f>IFERROR(__xludf.DUMMYFUNCTION("""COMPUTED_VALUE"""),"Creighton")</f>
        <v>Creighton</v>
      </c>
      <c r="I234" s="22" t="str">
        <f>IFERROR(__xludf.DUMMYFUNCTION("""COMPUTED_VALUE"""),"Corporate")</f>
        <v>Corporate</v>
      </c>
      <c r="J234" s="22" t="str">
        <f>IFERROR(__xludf.DUMMYFUNCTION("""COMPUTED_VALUE"""),"Los Angeles")</f>
        <v>Los Angeles</v>
      </c>
      <c r="K234" s="22" t="str">
        <f>IFERROR(__xludf.DUMMYFUNCTION("""COMPUTED_VALUE"""),"California")</f>
        <v>California</v>
      </c>
      <c r="L234" s="22" t="str">
        <f>IFERROR(__xludf.DUMMYFUNCTION("""COMPUTED_VALUE"""),"West")</f>
        <v>West</v>
      </c>
      <c r="M234" s="22" t="str">
        <f>IFERROR(__xludf.DUMMYFUNCTION("""COMPUTED_VALUE"""),"Office Supplies")</f>
        <v>Office Supplies</v>
      </c>
      <c r="N234" s="18">
        <f>IFERROR(__xludf.DUMMYFUNCTION("""COMPUTED_VALUE"""),142.86)</f>
        <v>142.86</v>
      </c>
      <c r="O234" s="18">
        <f>IFERROR(__xludf.DUMMYFUNCTION("""COMPUTED_VALUE"""),142.19)</f>
        <v>142.19</v>
      </c>
      <c r="P234" s="22">
        <f>IFERROR(__xludf.DUMMYFUNCTION("""COMPUTED_VALUE"""),9.0)</f>
        <v>9</v>
      </c>
      <c r="Q234" s="18">
        <f>IFERROR(__xludf.DUMMYFUNCTION("""COMPUTED_VALUE"""),1285.7400000000002)</f>
        <v>1285.74</v>
      </c>
      <c r="R234" s="18">
        <f>IFERROR(__xludf.DUMMYFUNCTION("""COMPUTED_VALUE"""),1143.5500000000002)</f>
        <v>1143.55</v>
      </c>
    </row>
    <row r="235">
      <c r="A235" s="21">
        <f>IFERROR(__xludf.DUMMYFUNCTION("""COMPUTED_VALUE"""),42362.0)</f>
        <v>42362</v>
      </c>
      <c r="B235" s="21" t="str">
        <f>IFERROR(__xludf.DUMMYFUNCTION("""COMPUTED_VALUE"""),"Dec")</f>
        <v>Dec</v>
      </c>
      <c r="C235" s="9">
        <f>IFERROR(__xludf.DUMMYFUNCTION("""COMPUTED_VALUE"""),42367.0)</f>
        <v>42367</v>
      </c>
      <c r="D235" s="23" t="str">
        <f>IFERROR(__xludf.DUMMYFUNCTION("""COMPUTED_VALUE"""),"Dec")</f>
        <v>Dec</v>
      </c>
      <c r="E235" s="21" t="str">
        <f>IFERROR(__xludf.DUMMYFUNCTION("""COMPUTED_VALUE"""),"2015")</f>
        <v>2015</v>
      </c>
      <c r="F235" s="22" t="str">
        <f>IFERROR(__xludf.DUMMYFUNCTION("""COMPUTED_VALUE"""),"Standard Class")</f>
        <v>Standard Class</v>
      </c>
      <c r="G235" s="22" t="str">
        <f>IFERROR(__xludf.DUMMYFUNCTION("""COMPUTED_VALUE"""),"Julie")</f>
        <v>Julie</v>
      </c>
      <c r="H235" s="22" t="str">
        <f>IFERROR(__xludf.DUMMYFUNCTION("""COMPUTED_VALUE"""),"Creighton")</f>
        <v>Creighton</v>
      </c>
      <c r="I235" s="22" t="str">
        <f>IFERROR(__xludf.DUMMYFUNCTION("""COMPUTED_VALUE"""),"Corporate")</f>
        <v>Corporate</v>
      </c>
      <c r="J235" s="22" t="str">
        <f>IFERROR(__xludf.DUMMYFUNCTION("""COMPUTED_VALUE"""),"Los Angeles")</f>
        <v>Los Angeles</v>
      </c>
      <c r="K235" s="22" t="str">
        <f>IFERROR(__xludf.DUMMYFUNCTION("""COMPUTED_VALUE"""),"California")</f>
        <v>California</v>
      </c>
      <c r="L235" s="22" t="str">
        <f>IFERROR(__xludf.DUMMYFUNCTION("""COMPUTED_VALUE"""),"West")</f>
        <v>West</v>
      </c>
      <c r="M235" s="22" t="str">
        <f>IFERROR(__xludf.DUMMYFUNCTION("""COMPUTED_VALUE"""),"Furniture")</f>
        <v>Furniture</v>
      </c>
      <c r="N235" s="18">
        <f>IFERROR(__xludf.DUMMYFUNCTION("""COMPUTED_VALUE"""),292.272)</f>
        <v>292.272</v>
      </c>
      <c r="O235" s="18">
        <f>IFERROR(__xludf.DUMMYFUNCTION("""COMPUTED_VALUE"""),291.82)</f>
        <v>291.82</v>
      </c>
      <c r="P235" s="22">
        <f>IFERROR(__xludf.DUMMYFUNCTION("""COMPUTED_VALUE"""),9.0)</f>
        <v>9</v>
      </c>
      <c r="Q235" s="18">
        <f>IFERROR(__xludf.DUMMYFUNCTION("""COMPUTED_VALUE"""),2630.448)</f>
        <v>2630.448</v>
      </c>
      <c r="R235" s="18">
        <f>IFERROR(__xludf.DUMMYFUNCTION("""COMPUTED_VALUE"""),2338.6279999999997)</f>
        <v>2338.628</v>
      </c>
    </row>
    <row r="236">
      <c r="A236" s="21">
        <f>IFERROR(__xludf.DUMMYFUNCTION("""COMPUTED_VALUE"""),43019.0)</f>
        <v>43019</v>
      </c>
      <c r="B236" s="21" t="str">
        <f>IFERROR(__xludf.DUMMYFUNCTION("""COMPUTED_VALUE"""),"Oct")</f>
        <v>Oct</v>
      </c>
      <c r="C236" s="9">
        <f>IFERROR(__xludf.DUMMYFUNCTION("""COMPUTED_VALUE"""),43080.0)</f>
        <v>43080</v>
      </c>
      <c r="D236" s="23" t="str">
        <f>IFERROR(__xludf.DUMMYFUNCTION("""COMPUTED_VALUE"""),"Dec")</f>
        <v>Dec</v>
      </c>
      <c r="E236" s="21" t="str">
        <f>IFERROR(__xludf.DUMMYFUNCTION("""COMPUTED_VALUE"""),"2017")</f>
        <v>2017</v>
      </c>
      <c r="F236" s="22" t="str">
        <f>IFERROR(__xludf.DUMMYFUNCTION("""COMPUTED_VALUE"""),"First Class")</f>
        <v>First Class</v>
      </c>
      <c r="G236" s="22" t="str">
        <f>IFERROR(__xludf.DUMMYFUNCTION("""COMPUTED_VALUE"""),"Chuck")</f>
        <v>Chuck</v>
      </c>
      <c r="H236" s="22" t="str">
        <f>IFERROR(__xludf.DUMMYFUNCTION("""COMPUTED_VALUE"""),"Clark")</f>
        <v>Clark</v>
      </c>
      <c r="I236" s="22" t="str">
        <f>IFERROR(__xludf.DUMMYFUNCTION("""COMPUTED_VALUE"""),"Home Office")</f>
        <v>Home Office</v>
      </c>
      <c r="J236" s="22" t="str">
        <f>IFERROR(__xludf.DUMMYFUNCTION("""COMPUTED_VALUE"""),"San Francisco")</f>
        <v>San Francisco</v>
      </c>
      <c r="K236" s="22" t="str">
        <f>IFERROR(__xludf.DUMMYFUNCTION("""COMPUTED_VALUE"""),"California")</f>
        <v>California</v>
      </c>
      <c r="L236" s="22" t="str">
        <f>IFERROR(__xludf.DUMMYFUNCTION("""COMPUTED_VALUE"""),"West")</f>
        <v>West</v>
      </c>
      <c r="M236" s="22" t="str">
        <f>IFERROR(__xludf.DUMMYFUNCTION("""COMPUTED_VALUE"""),"Office Supplies")</f>
        <v>Office Supplies</v>
      </c>
      <c r="N236" s="18">
        <f>IFERROR(__xludf.DUMMYFUNCTION("""COMPUTED_VALUE"""),13.216)</f>
        <v>13.216</v>
      </c>
      <c r="O236" s="18">
        <f>IFERROR(__xludf.DUMMYFUNCTION("""COMPUTED_VALUE"""),13.11)</f>
        <v>13.11</v>
      </c>
      <c r="P236" s="22">
        <f>IFERROR(__xludf.DUMMYFUNCTION("""COMPUTED_VALUE"""),9.0)</f>
        <v>9</v>
      </c>
      <c r="Q236" s="18">
        <f>IFERROR(__xludf.DUMMYFUNCTION("""COMPUTED_VALUE"""),118.94399999999999)</f>
        <v>118.944</v>
      </c>
      <c r="R236" s="18">
        <f>IFERROR(__xludf.DUMMYFUNCTION("""COMPUTED_VALUE"""),105.83399999999999)</f>
        <v>105.834</v>
      </c>
    </row>
    <row r="237">
      <c r="A237" s="21">
        <f>IFERROR(__xludf.DUMMYFUNCTION("""COMPUTED_VALUE"""),43019.0)</f>
        <v>43019</v>
      </c>
      <c r="B237" s="21" t="str">
        <f>IFERROR(__xludf.DUMMYFUNCTION("""COMPUTED_VALUE"""),"Oct")</f>
        <v>Oct</v>
      </c>
      <c r="C237" s="9">
        <f>IFERROR(__xludf.DUMMYFUNCTION("""COMPUTED_VALUE"""),43080.0)</f>
        <v>43080</v>
      </c>
      <c r="D237" s="23" t="str">
        <f>IFERROR(__xludf.DUMMYFUNCTION("""COMPUTED_VALUE"""),"Dec")</f>
        <v>Dec</v>
      </c>
      <c r="E237" s="21" t="str">
        <f>IFERROR(__xludf.DUMMYFUNCTION("""COMPUTED_VALUE"""),"2017")</f>
        <v>2017</v>
      </c>
      <c r="F237" s="22" t="str">
        <f>IFERROR(__xludf.DUMMYFUNCTION("""COMPUTED_VALUE"""),"First Class")</f>
        <v>First Class</v>
      </c>
      <c r="G237" s="22" t="str">
        <f>IFERROR(__xludf.DUMMYFUNCTION("""COMPUTED_VALUE"""),"Chuck")</f>
        <v>Chuck</v>
      </c>
      <c r="H237" s="22" t="str">
        <f>IFERROR(__xludf.DUMMYFUNCTION("""COMPUTED_VALUE"""),"Clark")</f>
        <v>Clark</v>
      </c>
      <c r="I237" s="22" t="str">
        <f>IFERROR(__xludf.DUMMYFUNCTION("""COMPUTED_VALUE"""),"Home Office")</f>
        <v>Home Office</v>
      </c>
      <c r="J237" s="22" t="str">
        <f>IFERROR(__xludf.DUMMYFUNCTION("""COMPUTED_VALUE"""),"San Francisco")</f>
        <v>San Francisco</v>
      </c>
      <c r="K237" s="22" t="str">
        <f>IFERROR(__xludf.DUMMYFUNCTION("""COMPUTED_VALUE"""),"California")</f>
        <v>California</v>
      </c>
      <c r="L237" s="22" t="str">
        <f>IFERROR(__xludf.DUMMYFUNCTION("""COMPUTED_VALUE"""),"West")</f>
        <v>West</v>
      </c>
      <c r="M237" s="22" t="str">
        <f>IFERROR(__xludf.DUMMYFUNCTION("""COMPUTED_VALUE"""),"Office Supplies")</f>
        <v>Office Supplies</v>
      </c>
      <c r="N237" s="18">
        <f>IFERROR(__xludf.DUMMYFUNCTION("""COMPUTED_VALUE"""),32.4)</f>
        <v>32.4</v>
      </c>
      <c r="O237" s="18">
        <f>IFERROR(__xludf.DUMMYFUNCTION("""COMPUTED_VALUE"""),32.35)</f>
        <v>32.35</v>
      </c>
      <c r="P237" s="22">
        <f>IFERROR(__xludf.DUMMYFUNCTION("""COMPUTED_VALUE"""),9.0)</f>
        <v>9</v>
      </c>
      <c r="Q237" s="18">
        <f>IFERROR(__xludf.DUMMYFUNCTION("""COMPUTED_VALUE"""),291.59999999999997)</f>
        <v>291.6</v>
      </c>
      <c r="R237" s="18">
        <f>IFERROR(__xludf.DUMMYFUNCTION("""COMPUTED_VALUE"""),259.24999999999994)</f>
        <v>259.25</v>
      </c>
    </row>
    <row r="238">
      <c r="A238" s="21">
        <f>IFERROR(__xludf.DUMMYFUNCTION("""COMPUTED_VALUE"""),42609.0)</f>
        <v>42609</v>
      </c>
      <c r="B238" s="21" t="str">
        <f>IFERROR(__xludf.DUMMYFUNCTION("""COMPUTED_VALUE"""),"Aug")</f>
        <v>Aug</v>
      </c>
      <c r="C238" s="9">
        <f>IFERROR(__xludf.DUMMYFUNCTION("""COMPUTED_VALUE"""),42378.0)</f>
        <v>42378</v>
      </c>
      <c r="D238" s="23" t="str">
        <f>IFERROR(__xludf.DUMMYFUNCTION("""COMPUTED_VALUE"""),"Jan")</f>
        <v>Jan</v>
      </c>
      <c r="E238" s="21" t="str">
        <f>IFERROR(__xludf.DUMMYFUNCTION("""COMPUTED_VALUE"""),"2016")</f>
        <v>2016</v>
      </c>
      <c r="F238" s="22" t="str">
        <f>IFERROR(__xludf.DUMMYFUNCTION("""COMPUTED_VALUE"""),"Standard Class")</f>
        <v>Standard Class</v>
      </c>
      <c r="G238" s="22" t="str">
        <f>IFERROR(__xludf.DUMMYFUNCTION("""COMPUTED_VALUE"""),"Philip")</f>
        <v>Philip</v>
      </c>
      <c r="H238" s="22" t="str">
        <f>IFERROR(__xludf.DUMMYFUNCTION("""COMPUTED_VALUE"""),"Fox")</f>
        <v>Fox</v>
      </c>
      <c r="I238" s="22" t="str">
        <f>IFERROR(__xludf.DUMMYFUNCTION("""COMPUTED_VALUE"""),"Consumer")</f>
        <v>Consumer</v>
      </c>
      <c r="J238" s="22" t="str">
        <f>IFERROR(__xludf.DUMMYFUNCTION("""COMPUTED_VALUE"""),"San Diego")</f>
        <v>San Diego</v>
      </c>
      <c r="K238" s="22" t="str">
        <f>IFERROR(__xludf.DUMMYFUNCTION("""COMPUTED_VALUE"""),"California")</f>
        <v>California</v>
      </c>
      <c r="L238" s="22" t="str">
        <f>IFERROR(__xludf.DUMMYFUNCTION("""COMPUTED_VALUE"""),"West")</f>
        <v>West</v>
      </c>
      <c r="M238" s="22" t="str">
        <f>IFERROR(__xludf.DUMMYFUNCTION("""COMPUTED_VALUE"""),"Office Supplies")</f>
        <v>Office Supplies</v>
      </c>
      <c r="N238" s="18">
        <f>IFERROR(__xludf.DUMMYFUNCTION("""COMPUTED_VALUE"""),32.94)</f>
        <v>32.94</v>
      </c>
      <c r="O238" s="18">
        <f>IFERROR(__xludf.DUMMYFUNCTION("""COMPUTED_VALUE"""),32.26)</f>
        <v>32.26</v>
      </c>
      <c r="P238" s="22">
        <f>IFERROR(__xludf.DUMMYFUNCTION("""COMPUTED_VALUE"""),9.0)</f>
        <v>9</v>
      </c>
      <c r="Q238" s="18">
        <f>IFERROR(__xludf.DUMMYFUNCTION("""COMPUTED_VALUE"""),296.46)</f>
        <v>296.46</v>
      </c>
      <c r="R238" s="18">
        <f>IFERROR(__xludf.DUMMYFUNCTION("""COMPUTED_VALUE"""),264.2)</f>
        <v>264.2</v>
      </c>
    </row>
    <row r="239">
      <c r="A239" s="21">
        <f>IFERROR(__xludf.DUMMYFUNCTION("""COMPUTED_VALUE"""),42609.0)</f>
        <v>42609</v>
      </c>
      <c r="B239" s="21" t="str">
        <f>IFERROR(__xludf.DUMMYFUNCTION("""COMPUTED_VALUE"""),"Aug")</f>
        <v>Aug</v>
      </c>
      <c r="C239" s="9">
        <f>IFERROR(__xludf.DUMMYFUNCTION("""COMPUTED_VALUE"""),42378.0)</f>
        <v>42378</v>
      </c>
      <c r="D239" s="23" t="str">
        <f>IFERROR(__xludf.DUMMYFUNCTION("""COMPUTED_VALUE"""),"Jan")</f>
        <v>Jan</v>
      </c>
      <c r="E239" s="21" t="str">
        <f>IFERROR(__xludf.DUMMYFUNCTION("""COMPUTED_VALUE"""),"2016")</f>
        <v>2016</v>
      </c>
      <c r="F239" s="22" t="str">
        <f>IFERROR(__xludf.DUMMYFUNCTION("""COMPUTED_VALUE"""),"Standard Class")</f>
        <v>Standard Class</v>
      </c>
      <c r="G239" s="22" t="str">
        <f>IFERROR(__xludf.DUMMYFUNCTION("""COMPUTED_VALUE"""),"Philip")</f>
        <v>Philip</v>
      </c>
      <c r="H239" s="22" t="str">
        <f>IFERROR(__xludf.DUMMYFUNCTION("""COMPUTED_VALUE"""),"Fox")</f>
        <v>Fox</v>
      </c>
      <c r="I239" s="22" t="str">
        <f>IFERROR(__xludf.DUMMYFUNCTION("""COMPUTED_VALUE"""),"Consumer")</f>
        <v>Consumer</v>
      </c>
      <c r="J239" s="22" t="str">
        <f>IFERROR(__xludf.DUMMYFUNCTION("""COMPUTED_VALUE"""),"San Diego")</f>
        <v>San Diego</v>
      </c>
      <c r="K239" s="22" t="str">
        <f>IFERROR(__xludf.DUMMYFUNCTION("""COMPUTED_VALUE"""),"California")</f>
        <v>California</v>
      </c>
      <c r="L239" s="22" t="str">
        <f>IFERROR(__xludf.DUMMYFUNCTION("""COMPUTED_VALUE"""),"West")</f>
        <v>West</v>
      </c>
      <c r="M239" s="22" t="str">
        <f>IFERROR(__xludf.DUMMYFUNCTION("""COMPUTED_VALUE"""),"Office Supplies")</f>
        <v>Office Supplies</v>
      </c>
      <c r="N239" s="18">
        <f>IFERROR(__xludf.DUMMYFUNCTION("""COMPUTED_VALUE"""),114.2)</f>
        <v>114.2</v>
      </c>
      <c r="O239" s="18">
        <f>IFERROR(__xludf.DUMMYFUNCTION("""COMPUTED_VALUE"""),113.35)</f>
        <v>113.35</v>
      </c>
      <c r="P239" s="22">
        <f>IFERROR(__xludf.DUMMYFUNCTION("""COMPUTED_VALUE"""),9.0)</f>
        <v>9</v>
      </c>
      <c r="Q239" s="18">
        <f>IFERROR(__xludf.DUMMYFUNCTION("""COMPUTED_VALUE"""),1027.8)</f>
        <v>1027.8</v>
      </c>
      <c r="R239" s="18">
        <f>IFERROR(__xludf.DUMMYFUNCTION("""COMPUTED_VALUE"""),914.4499999999999)</f>
        <v>914.45</v>
      </c>
    </row>
    <row r="240">
      <c r="A240" s="21">
        <f>IFERROR(__xludf.DUMMYFUNCTION("""COMPUTED_VALUE"""),42609.0)</f>
        <v>42609</v>
      </c>
      <c r="B240" s="21" t="str">
        <f>IFERROR(__xludf.DUMMYFUNCTION("""COMPUTED_VALUE"""),"Aug")</f>
        <v>Aug</v>
      </c>
      <c r="C240" s="9">
        <f>IFERROR(__xludf.DUMMYFUNCTION("""COMPUTED_VALUE"""),42378.0)</f>
        <v>42378</v>
      </c>
      <c r="D240" s="23" t="str">
        <f>IFERROR(__xludf.DUMMYFUNCTION("""COMPUTED_VALUE"""),"Jan")</f>
        <v>Jan</v>
      </c>
      <c r="E240" s="21" t="str">
        <f>IFERROR(__xludf.DUMMYFUNCTION("""COMPUTED_VALUE"""),"2016")</f>
        <v>2016</v>
      </c>
      <c r="F240" s="22" t="str">
        <f>IFERROR(__xludf.DUMMYFUNCTION("""COMPUTED_VALUE"""),"Standard Class")</f>
        <v>Standard Class</v>
      </c>
      <c r="G240" s="22" t="str">
        <f>IFERROR(__xludf.DUMMYFUNCTION("""COMPUTED_VALUE"""),"Philip")</f>
        <v>Philip</v>
      </c>
      <c r="H240" s="22" t="str">
        <f>IFERROR(__xludf.DUMMYFUNCTION("""COMPUTED_VALUE"""),"Fox")</f>
        <v>Fox</v>
      </c>
      <c r="I240" s="22" t="str">
        <f>IFERROR(__xludf.DUMMYFUNCTION("""COMPUTED_VALUE"""),"Consumer")</f>
        <v>Consumer</v>
      </c>
      <c r="J240" s="22" t="str">
        <f>IFERROR(__xludf.DUMMYFUNCTION("""COMPUTED_VALUE"""),"San Diego")</f>
        <v>San Diego</v>
      </c>
      <c r="K240" s="22" t="str">
        <f>IFERROR(__xludf.DUMMYFUNCTION("""COMPUTED_VALUE"""),"California")</f>
        <v>California</v>
      </c>
      <c r="L240" s="22" t="str">
        <f>IFERROR(__xludf.DUMMYFUNCTION("""COMPUTED_VALUE"""),"West")</f>
        <v>West</v>
      </c>
      <c r="M240" s="22" t="str">
        <f>IFERROR(__xludf.DUMMYFUNCTION("""COMPUTED_VALUE"""),"Office Supplies")</f>
        <v>Office Supplies</v>
      </c>
      <c r="N240" s="18">
        <f>IFERROR(__xludf.DUMMYFUNCTION("""COMPUTED_VALUE"""),3.08)</f>
        <v>3.08</v>
      </c>
      <c r="O240" s="18">
        <f>IFERROR(__xludf.DUMMYFUNCTION("""COMPUTED_VALUE"""),3.07)</f>
        <v>3.07</v>
      </c>
      <c r="P240" s="22">
        <f>IFERROR(__xludf.DUMMYFUNCTION("""COMPUTED_VALUE"""),9.0)</f>
        <v>9</v>
      </c>
      <c r="Q240" s="18">
        <f>IFERROR(__xludf.DUMMYFUNCTION("""COMPUTED_VALUE"""),27.72)</f>
        <v>27.72</v>
      </c>
      <c r="R240" s="18">
        <f>IFERROR(__xludf.DUMMYFUNCTION("""COMPUTED_VALUE"""),24.65)</f>
        <v>24.65</v>
      </c>
    </row>
    <row r="241">
      <c r="A241" s="21">
        <f>IFERROR(__xludf.DUMMYFUNCTION("""COMPUTED_VALUE"""),43464.0)</f>
        <v>43464</v>
      </c>
      <c r="B241" s="21" t="str">
        <f>IFERROR(__xludf.DUMMYFUNCTION("""COMPUTED_VALUE"""),"Dec")</f>
        <v>Dec</v>
      </c>
      <c r="C241" s="9">
        <f>IFERROR(__xludf.DUMMYFUNCTION("""COMPUTED_VALUE"""),43525.0)</f>
        <v>43525</v>
      </c>
      <c r="D241" s="23" t="str">
        <f>IFERROR(__xludf.DUMMYFUNCTION("""COMPUTED_VALUE"""),"Mar")</f>
        <v>Mar</v>
      </c>
      <c r="E241" s="21" t="str">
        <f>IFERROR(__xludf.DUMMYFUNCTION("""COMPUTED_VALUE"""),"2019")</f>
        <v>2019</v>
      </c>
      <c r="F241" s="22" t="str">
        <f>IFERROR(__xludf.DUMMYFUNCTION("""COMPUTED_VALUE"""),"Standard Class")</f>
        <v>Standard Class</v>
      </c>
      <c r="G241" s="22" t="str">
        <f>IFERROR(__xludf.DUMMYFUNCTION("""COMPUTED_VALUE"""),"Erica")</f>
        <v>Erica</v>
      </c>
      <c r="H241" s="22" t="str">
        <f>IFERROR(__xludf.DUMMYFUNCTION("""COMPUTED_VALUE"""),"Bern")</f>
        <v>Bern</v>
      </c>
      <c r="I241" s="22" t="str">
        <f>IFERROR(__xludf.DUMMYFUNCTION("""COMPUTED_VALUE"""),"Corporate")</f>
        <v>Corporate</v>
      </c>
      <c r="J241" s="22" t="str">
        <f>IFERROR(__xludf.DUMMYFUNCTION("""COMPUTED_VALUE"""),"Fairfield")</f>
        <v>Fairfield</v>
      </c>
      <c r="K241" s="22" t="str">
        <f>IFERROR(__xludf.DUMMYFUNCTION("""COMPUTED_VALUE"""),"California")</f>
        <v>California</v>
      </c>
      <c r="L241" s="22" t="str">
        <f>IFERROR(__xludf.DUMMYFUNCTION("""COMPUTED_VALUE"""),"West")</f>
        <v>West</v>
      </c>
      <c r="M241" s="22" t="str">
        <f>IFERROR(__xludf.DUMMYFUNCTION("""COMPUTED_VALUE"""),"Office Supplies")</f>
        <v>Office Supplies</v>
      </c>
      <c r="N241" s="18">
        <f>IFERROR(__xludf.DUMMYFUNCTION("""COMPUTED_VALUE"""),13.904)</f>
        <v>13.904</v>
      </c>
      <c r="O241" s="18">
        <f>IFERROR(__xludf.DUMMYFUNCTION("""COMPUTED_VALUE"""),13.62)</f>
        <v>13.62</v>
      </c>
      <c r="P241" s="22">
        <f>IFERROR(__xludf.DUMMYFUNCTION("""COMPUTED_VALUE"""),9.0)</f>
        <v>9</v>
      </c>
      <c r="Q241" s="18">
        <f>IFERROR(__xludf.DUMMYFUNCTION("""COMPUTED_VALUE"""),125.136)</f>
        <v>125.136</v>
      </c>
      <c r="R241" s="18">
        <f>IFERROR(__xludf.DUMMYFUNCTION("""COMPUTED_VALUE"""),111.51599999999999)</f>
        <v>111.516</v>
      </c>
    </row>
    <row r="242">
      <c r="A242" s="21">
        <f>IFERROR(__xludf.DUMMYFUNCTION("""COMPUTED_VALUE"""),43464.0)</f>
        <v>43464</v>
      </c>
      <c r="B242" s="21" t="str">
        <f>IFERROR(__xludf.DUMMYFUNCTION("""COMPUTED_VALUE"""),"Dec")</f>
        <v>Dec</v>
      </c>
      <c r="C242" s="9">
        <f>IFERROR(__xludf.DUMMYFUNCTION("""COMPUTED_VALUE"""),43525.0)</f>
        <v>43525</v>
      </c>
      <c r="D242" s="23" t="str">
        <f>IFERROR(__xludf.DUMMYFUNCTION("""COMPUTED_VALUE"""),"Mar")</f>
        <v>Mar</v>
      </c>
      <c r="E242" s="21" t="str">
        <f>IFERROR(__xludf.DUMMYFUNCTION("""COMPUTED_VALUE"""),"2019")</f>
        <v>2019</v>
      </c>
      <c r="F242" s="22" t="str">
        <f>IFERROR(__xludf.DUMMYFUNCTION("""COMPUTED_VALUE"""),"Standard Class")</f>
        <v>Standard Class</v>
      </c>
      <c r="G242" s="22" t="str">
        <f>IFERROR(__xludf.DUMMYFUNCTION("""COMPUTED_VALUE"""),"Erica")</f>
        <v>Erica</v>
      </c>
      <c r="H242" s="22" t="str">
        <f>IFERROR(__xludf.DUMMYFUNCTION("""COMPUTED_VALUE"""),"Bern")</f>
        <v>Bern</v>
      </c>
      <c r="I242" s="22" t="str">
        <f>IFERROR(__xludf.DUMMYFUNCTION("""COMPUTED_VALUE"""),"Corporate")</f>
        <v>Corporate</v>
      </c>
      <c r="J242" s="22" t="str">
        <f>IFERROR(__xludf.DUMMYFUNCTION("""COMPUTED_VALUE"""),"Fairfield")</f>
        <v>Fairfield</v>
      </c>
      <c r="K242" s="22" t="str">
        <f>IFERROR(__xludf.DUMMYFUNCTION("""COMPUTED_VALUE"""),"California")</f>
        <v>California</v>
      </c>
      <c r="L242" s="22" t="str">
        <f>IFERROR(__xludf.DUMMYFUNCTION("""COMPUTED_VALUE"""),"West")</f>
        <v>West</v>
      </c>
      <c r="M242" s="22" t="str">
        <f>IFERROR(__xludf.DUMMYFUNCTION("""COMPUTED_VALUE"""),"Office Supplies")</f>
        <v>Office Supplies</v>
      </c>
      <c r="N242" s="18">
        <f>IFERROR(__xludf.DUMMYFUNCTION("""COMPUTED_VALUE"""),20.72)</f>
        <v>20.72</v>
      </c>
      <c r="O242" s="18">
        <f>IFERROR(__xludf.DUMMYFUNCTION("""COMPUTED_VALUE"""),19.89)</f>
        <v>19.89</v>
      </c>
      <c r="P242" s="22">
        <f>IFERROR(__xludf.DUMMYFUNCTION("""COMPUTED_VALUE"""),9.0)</f>
        <v>9</v>
      </c>
      <c r="Q242" s="18">
        <f>IFERROR(__xludf.DUMMYFUNCTION("""COMPUTED_VALUE"""),186.48)</f>
        <v>186.48</v>
      </c>
      <c r="R242" s="18">
        <f>IFERROR(__xludf.DUMMYFUNCTION("""COMPUTED_VALUE"""),166.58999999999997)</f>
        <v>166.59</v>
      </c>
    </row>
    <row r="243">
      <c r="A243" s="21">
        <f>IFERROR(__xludf.DUMMYFUNCTION("""COMPUTED_VALUE"""),42470.0)</f>
        <v>42470</v>
      </c>
      <c r="B243" s="21" t="str">
        <f>IFERROR(__xludf.DUMMYFUNCTION("""COMPUTED_VALUE"""),"Apr")</f>
        <v>Apr</v>
      </c>
      <c r="C243" s="9">
        <f>IFERROR(__xludf.DUMMYFUNCTION("""COMPUTED_VALUE"""),42561.0)</f>
        <v>42561</v>
      </c>
      <c r="D243" s="23" t="str">
        <f>IFERROR(__xludf.DUMMYFUNCTION("""COMPUTED_VALUE"""),"Jul")</f>
        <v>Jul</v>
      </c>
      <c r="E243" s="21" t="str">
        <f>IFERROR(__xludf.DUMMYFUNCTION("""COMPUTED_VALUE"""),"2016")</f>
        <v>2016</v>
      </c>
      <c r="F243" s="22" t="str">
        <f>IFERROR(__xludf.DUMMYFUNCTION("""COMPUTED_VALUE"""),"First Class")</f>
        <v>First Class</v>
      </c>
      <c r="G243" s="22" t="str">
        <f>IFERROR(__xludf.DUMMYFUNCTION("""COMPUTED_VALUE"""),"Alex")</f>
        <v>Alex</v>
      </c>
      <c r="H243" s="22" t="str">
        <f>IFERROR(__xludf.DUMMYFUNCTION("""COMPUTED_VALUE"""),"Avila")</f>
        <v>Avila</v>
      </c>
      <c r="I243" s="22" t="str">
        <f>IFERROR(__xludf.DUMMYFUNCTION("""COMPUTED_VALUE"""),"Consumer")</f>
        <v>Consumer</v>
      </c>
      <c r="J243" s="22" t="str">
        <f>IFERROR(__xludf.DUMMYFUNCTION("""COMPUTED_VALUE"""),"San Francisco")</f>
        <v>San Francisco</v>
      </c>
      <c r="K243" s="22" t="str">
        <f>IFERROR(__xludf.DUMMYFUNCTION("""COMPUTED_VALUE"""),"California")</f>
        <v>California</v>
      </c>
      <c r="L243" s="22" t="str">
        <f>IFERROR(__xludf.DUMMYFUNCTION("""COMPUTED_VALUE"""),"West")</f>
        <v>West</v>
      </c>
      <c r="M243" s="22" t="str">
        <f>IFERROR(__xludf.DUMMYFUNCTION("""COMPUTED_VALUE"""),"Office Supplies")</f>
        <v>Office Supplies</v>
      </c>
      <c r="N243" s="18">
        <f>IFERROR(__xludf.DUMMYFUNCTION("""COMPUTED_VALUE"""),26.96)</f>
        <v>26.96</v>
      </c>
      <c r="O243" s="18">
        <f>IFERROR(__xludf.DUMMYFUNCTION("""COMPUTED_VALUE"""),26.06)</f>
        <v>26.06</v>
      </c>
      <c r="P243" s="22">
        <f>IFERROR(__xludf.DUMMYFUNCTION("""COMPUTED_VALUE"""),9.0)</f>
        <v>9</v>
      </c>
      <c r="Q243" s="18">
        <f>IFERROR(__xludf.DUMMYFUNCTION("""COMPUTED_VALUE"""),242.64000000000001)</f>
        <v>242.64</v>
      </c>
      <c r="R243" s="18">
        <f>IFERROR(__xludf.DUMMYFUNCTION("""COMPUTED_VALUE"""),216.58)</f>
        <v>216.58</v>
      </c>
    </row>
    <row r="244">
      <c r="A244" s="21">
        <f>IFERROR(__xludf.DUMMYFUNCTION("""COMPUTED_VALUE"""),42906.0)</f>
        <v>42906</v>
      </c>
      <c r="B244" s="21" t="str">
        <f>IFERROR(__xludf.DUMMYFUNCTION("""COMPUTED_VALUE"""),"Jun")</f>
        <v>Jun</v>
      </c>
      <c r="C244" s="9">
        <f>IFERROR(__xludf.DUMMYFUNCTION("""COMPUTED_VALUE"""),42907.0)</f>
        <v>42907</v>
      </c>
      <c r="D244" s="23" t="str">
        <f>IFERROR(__xludf.DUMMYFUNCTION("""COMPUTED_VALUE"""),"Jun")</f>
        <v>Jun</v>
      </c>
      <c r="E244" s="21" t="str">
        <f>IFERROR(__xludf.DUMMYFUNCTION("""COMPUTED_VALUE"""),"2017")</f>
        <v>2017</v>
      </c>
      <c r="F244" s="22" t="str">
        <f>IFERROR(__xludf.DUMMYFUNCTION("""COMPUTED_VALUE"""),"First Class")</f>
        <v>First Class</v>
      </c>
      <c r="G244" s="22" t="str">
        <f>IFERROR(__xludf.DUMMYFUNCTION("""COMPUTED_VALUE"""),"Roy")</f>
        <v>Roy</v>
      </c>
      <c r="H244" s="22" t="str">
        <f>IFERROR(__xludf.DUMMYFUNCTION("""COMPUTED_VALUE"""),"Collins")</f>
        <v>Collins</v>
      </c>
      <c r="I244" s="22" t="str">
        <f>IFERROR(__xludf.DUMMYFUNCTION("""COMPUTED_VALUE"""),"Consumer")</f>
        <v>Consumer</v>
      </c>
      <c r="J244" s="22" t="str">
        <f>IFERROR(__xludf.DUMMYFUNCTION("""COMPUTED_VALUE"""),"Pasadena")</f>
        <v>Pasadena</v>
      </c>
      <c r="K244" s="22" t="str">
        <f>IFERROR(__xludf.DUMMYFUNCTION("""COMPUTED_VALUE"""),"California")</f>
        <v>California</v>
      </c>
      <c r="L244" s="22" t="str">
        <f>IFERROR(__xludf.DUMMYFUNCTION("""COMPUTED_VALUE"""),"West")</f>
        <v>West</v>
      </c>
      <c r="M244" s="22" t="str">
        <f>IFERROR(__xludf.DUMMYFUNCTION("""COMPUTED_VALUE"""),"Office Supplies")</f>
        <v>Office Supplies</v>
      </c>
      <c r="N244" s="18">
        <f>IFERROR(__xludf.DUMMYFUNCTION("""COMPUTED_VALUE"""),46.76)</f>
        <v>46.76</v>
      </c>
      <c r="O244" s="18">
        <f>IFERROR(__xludf.DUMMYFUNCTION("""COMPUTED_VALUE"""),46.62)</f>
        <v>46.62</v>
      </c>
      <c r="P244" s="22">
        <f>IFERROR(__xludf.DUMMYFUNCTION("""COMPUTED_VALUE"""),9.0)</f>
        <v>9</v>
      </c>
      <c r="Q244" s="18">
        <f>IFERROR(__xludf.DUMMYFUNCTION("""COMPUTED_VALUE"""),420.84)</f>
        <v>420.84</v>
      </c>
      <c r="R244" s="18">
        <f>IFERROR(__xludf.DUMMYFUNCTION("""COMPUTED_VALUE"""),374.21999999999997)</f>
        <v>374.22</v>
      </c>
    </row>
    <row r="245">
      <c r="A245" s="21">
        <f>IFERROR(__xludf.DUMMYFUNCTION("""COMPUTED_VALUE"""),42906.0)</f>
        <v>42906</v>
      </c>
      <c r="B245" s="21" t="str">
        <f>IFERROR(__xludf.DUMMYFUNCTION("""COMPUTED_VALUE"""),"Jun")</f>
        <v>Jun</v>
      </c>
      <c r="C245" s="9">
        <f>IFERROR(__xludf.DUMMYFUNCTION("""COMPUTED_VALUE"""),42907.0)</f>
        <v>42907</v>
      </c>
      <c r="D245" s="23" t="str">
        <f>IFERROR(__xludf.DUMMYFUNCTION("""COMPUTED_VALUE"""),"Jun")</f>
        <v>Jun</v>
      </c>
      <c r="E245" s="21" t="str">
        <f>IFERROR(__xludf.DUMMYFUNCTION("""COMPUTED_VALUE"""),"2017")</f>
        <v>2017</v>
      </c>
      <c r="F245" s="22" t="str">
        <f>IFERROR(__xludf.DUMMYFUNCTION("""COMPUTED_VALUE"""),"First Class")</f>
        <v>First Class</v>
      </c>
      <c r="G245" s="22" t="str">
        <f>IFERROR(__xludf.DUMMYFUNCTION("""COMPUTED_VALUE"""),"Roy")</f>
        <v>Roy</v>
      </c>
      <c r="H245" s="22" t="str">
        <f>IFERROR(__xludf.DUMMYFUNCTION("""COMPUTED_VALUE"""),"Collins")</f>
        <v>Collins</v>
      </c>
      <c r="I245" s="22" t="str">
        <f>IFERROR(__xludf.DUMMYFUNCTION("""COMPUTED_VALUE"""),"Consumer")</f>
        <v>Consumer</v>
      </c>
      <c r="J245" s="22" t="str">
        <f>IFERROR(__xludf.DUMMYFUNCTION("""COMPUTED_VALUE"""),"Pasadena")</f>
        <v>Pasadena</v>
      </c>
      <c r="K245" s="22" t="str">
        <f>IFERROR(__xludf.DUMMYFUNCTION("""COMPUTED_VALUE"""),"California")</f>
        <v>California</v>
      </c>
      <c r="L245" s="22" t="str">
        <f>IFERROR(__xludf.DUMMYFUNCTION("""COMPUTED_VALUE"""),"West")</f>
        <v>West</v>
      </c>
      <c r="M245" s="22" t="str">
        <f>IFERROR(__xludf.DUMMYFUNCTION("""COMPUTED_VALUE"""),"Office Supplies")</f>
        <v>Office Supplies</v>
      </c>
      <c r="N245" s="18">
        <f>IFERROR(__xludf.DUMMYFUNCTION("""COMPUTED_VALUE"""),17.712)</f>
        <v>17.712</v>
      </c>
      <c r="O245" s="18">
        <f>IFERROR(__xludf.DUMMYFUNCTION("""COMPUTED_VALUE"""),17.71)</f>
        <v>17.71</v>
      </c>
      <c r="P245" s="22">
        <f>IFERROR(__xludf.DUMMYFUNCTION("""COMPUTED_VALUE"""),9.0)</f>
        <v>9</v>
      </c>
      <c r="Q245" s="18">
        <f>IFERROR(__xludf.DUMMYFUNCTION("""COMPUTED_VALUE"""),159.408)</f>
        <v>159.408</v>
      </c>
      <c r="R245" s="18">
        <f>IFERROR(__xludf.DUMMYFUNCTION("""COMPUTED_VALUE"""),141.69799999999998)</f>
        <v>141.698</v>
      </c>
    </row>
    <row r="246">
      <c r="A246" s="21">
        <f>IFERROR(__xludf.DUMMYFUNCTION("""COMPUTED_VALUE"""),42906.0)</f>
        <v>42906</v>
      </c>
      <c r="B246" s="21" t="str">
        <f>IFERROR(__xludf.DUMMYFUNCTION("""COMPUTED_VALUE"""),"Jun")</f>
        <v>Jun</v>
      </c>
      <c r="C246" s="9">
        <f>IFERROR(__xludf.DUMMYFUNCTION("""COMPUTED_VALUE"""),42907.0)</f>
        <v>42907</v>
      </c>
      <c r="D246" s="23" t="str">
        <f>IFERROR(__xludf.DUMMYFUNCTION("""COMPUTED_VALUE"""),"Jun")</f>
        <v>Jun</v>
      </c>
      <c r="E246" s="21" t="str">
        <f>IFERROR(__xludf.DUMMYFUNCTION("""COMPUTED_VALUE"""),"2017")</f>
        <v>2017</v>
      </c>
      <c r="F246" s="22" t="str">
        <f>IFERROR(__xludf.DUMMYFUNCTION("""COMPUTED_VALUE"""),"First Class")</f>
        <v>First Class</v>
      </c>
      <c r="G246" s="22" t="str">
        <f>IFERROR(__xludf.DUMMYFUNCTION("""COMPUTED_VALUE"""),"Roy")</f>
        <v>Roy</v>
      </c>
      <c r="H246" s="22" t="str">
        <f>IFERROR(__xludf.DUMMYFUNCTION("""COMPUTED_VALUE"""),"Collins")</f>
        <v>Collins</v>
      </c>
      <c r="I246" s="22" t="str">
        <f>IFERROR(__xludf.DUMMYFUNCTION("""COMPUTED_VALUE"""),"Consumer")</f>
        <v>Consumer</v>
      </c>
      <c r="J246" s="22" t="str">
        <f>IFERROR(__xludf.DUMMYFUNCTION("""COMPUTED_VALUE"""),"Pasadena")</f>
        <v>Pasadena</v>
      </c>
      <c r="K246" s="22" t="str">
        <f>IFERROR(__xludf.DUMMYFUNCTION("""COMPUTED_VALUE"""),"California")</f>
        <v>California</v>
      </c>
      <c r="L246" s="22" t="str">
        <f>IFERROR(__xludf.DUMMYFUNCTION("""COMPUTED_VALUE"""),"West")</f>
        <v>West</v>
      </c>
      <c r="M246" s="22" t="str">
        <f>IFERROR(__xludf.DUMMYFUNCTION("""COMPUTED_VALUE"""),"Office Supplies")</f>
        <v>Office Supplies</v>
      </c>
      <c r="N246" s="18">
        <f>IFERROR(__xludf.DUMMYFUNCTION("""COMPUTED_VALUE"""),21.78)</f>
        <v>21.78</v>
      </c>
      <c r="O246" s="18">
        <f>IFERROR(__xludf.DUMMYFUNCTION("""COMPUTED_VALUE"""),21.26)</f>
        <v>21.26</v>
      </c>
      <c r="P246" s="22">
        <f>IFERROR(__xludf.DUMMYFUNCTION("""COMPUTED_VALUE"""),9.0)</f>
        <v>9</v>
      </c>
      <c r="Q246" s="18">
        <f>IFERROR(__xludf.DUMMYFUNCTION("""COMPUTED_VALUE"""),196.02)</f>
        <v>196.02</v>
      </c>
      <c r="R246" s="18">
        <f>IFERROR(__xludf.DUMMYFUNCTION("""COMPUTED_VALUE"""),174.76000000000002)</f>
        <v>174.76</v>
      </c>
    </row>
    <row r="247">
      <c r="A247" s="21">
        <f>IFERROR(__xludf.DUMMYFUNCTION("""COMPUTED_VALUE"""),42906.0)</f>
        <v>42906</v>
      </c>
      <c r="B247" s="21" t="str">
        <f>IFERROR(__xludf.DUMMYFUNCTION("""COMPUTED_VALUE"""),"Jun")</f>
        <v>Jun</v>
      </c>
      <c r="C247" s="9">
        <f>IFERROR(__xludf.DUMMYFUNCTION("""COMPUTED_VALUE"""),42907.0)</f>
        <v>42907</v>
      </c>
      <c r="D247" s="23" t="str">
        <f>IFERROR(__xludf.DUMMYFUNCTION("""COMPUTED_VALUE"""),"Jun")</f>
        <v>Jun</v>
      </c>
      <c r="E247" s="21" t="str">
        <f>IFERROR(__xludf.DUMMYFUNCTION("""COMPUTED_VALUE"""),"2017")</f>
        <v>2017</v>
      </c>
      <c r="F247" s="22" t="str">
        <f>IFERROR(__xludf.DUMMYFUNCTION("""COMPUTED_VALUE"""),"First Class")</f>
        <v>First Class</v>
      </c>
      <c r="G247" s="22" t="str">
        <f>IFERROR(__xludf.DUMMYFUNCTION("""COMPUTED_VALUE"""),"Roy")</f>
        <v>Roy</v>
      </c>
      <c r="H247" s="22" t="str">
        <f>IFERROR(__xludf.DUMMYFUNCTION("""COMPUTED_VALUE"""),"Collins")</f>
        <v>Collins</v>
      </c>
      <c r="I247" s="22" t="str">
        <f>IFERROR(__xludf.DUMMYFUNCTION("""COMPUTED_VALUE"""),"Consumer")</f>
        <v>Consumer</v>
      </c>
      <c r="J247" s="22" t="str">
        <f>IFERROR(__xludf.DUMMYFUNCTION("""COMPUTED_VALUE"""),"Pasadena")</f>
        <v>Pasadena</v>
      </c>
      <c r="K247" s="22" t="str">
        <f>IFERROR(__xludf.DUMMYFUNCTION("""COMPUTED_VALUE"""),"California")</f>
        <v>California</v>
      </c>
      <c r="L247" s="22" t="str">
        <f>IFERROR(__xludf.DUMMYFUNCTION("""COMPUTED_VALUE"""),"West")</f>
        <v>West</v>
      </c>
      <c r="M247" s="22" t="str">
        <f>IFERROR(__xludf.DUMMYFUNCTION("""COMPUTED_VALUE"""),"Office Supplies")</f>
        <v>Office Supplies</v>
      </c>
      <c r="N247" s="18">
        <f>IFERROR(__xludf.DUMMYFUNCTION("""COMPUTED_VALUE"""),161.94)</f>
        <v>161.94</v>
      </c>
      <c r="O247" s="18">
        <f>IFERROR(__xludf.DUMMYFUNCTION("""COMPUTED_VALUE"""),161.45)</f>
        <v>161.45</v>
      </c>
      <c r="P247" s="22">
        <f>IFERROR(__xludf.DUMMYFUNCTION("""COMPUTED_VALUE"""),9.0)</f>
        <v>9</v>
      </c>
      <c r="Q247" s="18">
        <f>IFERROR(__xludf.DUMMYFUNCTION("""COMPUTED_VALUE"""),1457.46)</f>
        <v>1457.46</v>
      </c>
      <c r="R247" s="18">
        <f>IFERROR(__xludf.DUMMYFUNCTION("""COMPUTED_VALUE"""),1296.01)</f>
        <v>1296.01</v>
      </c>
    </row>
    <row r="248">
      <c r="A248" s="21">
        <f>IFERROR(__xludf.DUMMYFUNCTION("""COMPUTED_VALUE"""),42906.0)</f>
        <v>42906</v>
      </c>
      <c r="B248" s="21" t="str">
        <f>IFERROR(__xludf.DUMMYFUNCTION("""COMPUTED_VALUE"""),"Jun")</f>
        <v>Jun</v>
      </c>
      <c r="C248" s="9">
        <f>IFERROR(__xludf.DUMMYFUNCTION("""COMPUTED_VALUE"""),42907.0)</f>
        <v>42907</v>
      </c>
      <c r="D248" s="23" t="str">
        <f>IFERROR(__xludf.DUMMYFUNCTION("""COMPUTED_VALUE"""),"Jun")</f>
        <v>Jun</v>
      </c>
      <c r="E248" s="21" t="str">
        <f>IFERROR(__xludf.DUMMYFUNCTION("""COMPUTED_VALUE"""),"2017")</f>
        <v>2017</v>
      </c>
      <c r="F248" s="22" t="str">
        <f>IFERROR(__xludf.DUMMYFUNCTION("""COMPUTED_VALUE"""),"First Class")</f>
        <v>First Class</v>
      </c>
      <c r="G248" s="22" t="str">
        <f>IFERROR(__xludf.DUMMYFUNCTION("""COMPUTED_VALUE"""),"Roy")</f>
        <v>Roy</v>
      </c>
      <c r="H248" s="22" t="str">
        <f>IFERROR(__xludf.DUMMYFUNCTION("""COMPUTED_VALUE"""),"Collins")</f>
        <v>Collins</v>
      </c>
      <c r="I248" s="22" t="str">
        <f>IFERROR(__xludf.DUMMYFUNCTION("""COMPUTED_VALUE"""),"Consumer")</f>
        <v>Consumer</v>
      </c>
      <c r="J248" s="22" t="str">
        <f>IFERROR(__xludf.DUMMYFUNCTION("""COMPUTED_VALUE"""),"Pasadena")</f>
        <v>Pasadena</v>
      </c>
      <c r="K248" s="22" t="str">
        <f>IFERROR(__xludf.DUMMYFUNCTION("""COMPUTED_VALUE"""),"California")</f>
        <v>California</v>
      </c>
      <c r="L248" s="22" t="str">
        <f>IFERROR(__xludf.DUMMYFUNCTION("""COMPUTED_VALUE"""),"West")</f>
        <v>West</v>
      </c>
      <c r="M248" s="22" t="str">
        <f>IFERROR(__xludf.DUMMYFUNCTION("""COMPUTED_VALUE"""),"Furniture")</f>
        <v>Furniture</v>
      </c>
      <c r="N248" s="18">
        <f>IFERROR(__xludf.DUMMYFUNCTION("""COMPUTED_VALUE"""),161.568)</f>
        <v>161.568</v>
      </c>
      <c r="O248" s="18">
        <f>IFERROR(__xludf.DUMMYFUNCTION("""COMPUTED_VALUE"""),161.22)</f>
        <v>161.22</v>
      </c>
      <c r="P248" s="22">
        <f>IFERROR(__xludf.DUMMYFUNCTION("""COMPUTED_VALUE"""),9.0)</f>
        <v>9</v>
      </c>
      <c r="Q248" s="18">
        <f>IFERROR(__xludf.DUMMYFUNCTION("""COMPUTED_VALUE"""),1454.112)</f>
        <v>1454.112</v>
      </c>
      <c r="R248" s="18">
        <f>IFERROR(__xludf.DUMMYFUNCTION("""COMPUTED_VALUE"""),1292.892)</f>
        <v>1292.892</v>
      </c>
    </row>
    <row r="249">
      <c r="A249" s="21">
        <f>IFERROR(__xludf.DUMMYFUNCTION("""COMPUTED_VALUE"""),43087.0)</f>
        <v>43087</v>
      </c>
      <c r="B249" s="21" t="str">
        <f>IFERROR(__xludf.DUMMYFUNCTION("""COMPUTED_VALUE"""),"Dec")</f>
        <v>Dec</v>
      </c>
      <c r="C249" s="9">
        <f>IFERROR(__xludf.DUMMYFUNCTION("""COMPUTED_VALUE"""),43092.0)</f>
        <v>43092</v>
      </c>
      <c r="D249" s="23" t="str">
        <f>IFERROR(__xludf.DUMMYFUNCTION("""COMPUTED_VALUE"""),"Dec")</f>
        <v>Dec</v>
      </c>
      <c r="E249" s="21" t="str">
        <f>IFERROR(__xludf.DUMMYFUNCTION("""COMPUTED_VALUE"""),"2017")</f>
        <v>2017</v>
      </c>
      <c r="F249" s="22" t="str">
        <f>IFERROR(__xludf.DUMMYFUNCTION("""COMPUTED_VALUE"""),"Standard Class")</f>
        <v>Standard Class</v>
      </c>
      <c r="G249" s="22" t="str">
        <f>IFERROR(__xludf.DUMMYFUNCTION("""COMPUTED_VALUE"""),"Henry")</f>
        <v>Henry</v>
      </c>
      <c r="H249" s="22" t="str">
        <f>IFERROR(__xludf.DUMMYFUNCTION("""COMPUTED_VALUE"""),"Goldwyn")</f>
        <v>Goldwyn</v>
      </c>
      <c r="I249" s="22" t="str">
        <f>IFERROR(__xludf.DUMMYFUNCTION("""COMPUTED_VALUE"""),"Corporate")</f>
        <v>Corporate</v>
      </c>
      <c r="J249" s="22" t="str">
        <f>IFERROR(__xludf.DUMMYFUNCTION("""COMPUTED_VALUE"""),"Los Angeles")</f>
        <v>Los Angeles</v>
      </c>
      <c r="K249" s="22" t="str">
        <f>IFERROR(__xludf.DUMMYFUNCTION("""COMPUTED_VALUE"""),"California")</f>
        <v>California</v>
      </c>
      <c r="L249" s="22" t="str">
        <f>IFERROR(__xludf.DUMMYFUNCTION("""COMPUTED_VALUE"""),"West")</f>
        <v>West</v>
      </c>
      <c r="M249" s="22" t="str">
        <f>IFERROR(__xludf.DUMMYFUNCTION("""COMPUTED_VALUE"""),"Office Supplies")</f>
        <v>Office Supplies</v>
      </c>
      <c r="N249" s="18">
        <f>IFERROR(__xludf.DUMMYFUNCTION("""COMPUTED_VALUE"""),38.88)</f>
        <v>38.88</v>
      </c>
      <c r="O249" s="18">
        <f>IFERROR(__xludf.DUMMYFUNCTION("""COMPUTED_VALUE"""),38.0)</f>
        <v>38</v>
      </c>
      <c r="P249" s="22">
        <f>IFERROR(__xludf.DUMMYFUNCTION("""COMPUTED_VALUE"""),9.0)</f>
        <v>9</v>
      </c>
      <c r="Q249" s="18">
        <f>IFERROR(__xludf.DUMMYFUNCTION("""COMPUTED_VALUE"""),349.92)</f>
        <v>349.92</v>
      </c>
      <c r="R249" s="18">
        <f>IFERROR(__xludf.DUMMYFUNCTION("""COMPUTED_VALUE"""),311.92)</f>
        <v>311.92</v>
      </c>
    </row>
    <row r="250">
      <c r="A250" s="21">
        <f>IFERROR(__xludf.DUMMYFUNCTION("""COMPUTED_VALUE"""),43087.0)</f>
        <v>43087</v>
      </c>
      <c r="B250" s="21" t="str">
        <f>IFERROR(__xludf.DUMMYFUNCTION("""COMPUTED_VALUE"""),"Dec")</f>
        <v>Dec</v>
      </c>
      <c r="C250" s="9">
        <f>IFERROR(__xludf.DUMMYFUNCTION("""COMPUTED_VALUE"""),43092.0)</f>
        <v>43092</v>
      </c>
      <c r="D250" s="23" t="str">
        <f>IFERROR(__xludf.DUMMYFUNCTION("""COMPUTED_VALUE"""),"Dec")</f>
        <v>Dec</v>
      </c>
      <c r="E250" s="21" t="str">
        <f>IFERROR(__xludf.DUMMYFUNCTION("""COMPUTED_VALUE"""),"2017")</f>
        <v>2017</v>
      </c>
      <c r="F250" s="22" t="str">
        <f>IFERROR(__xludf.DUMMYFUNCTION("""COMPUTED_VALUE"""),"Standard Class")</f>
        <v>Standard Class</v>
      </c>
      <c r="G250" s="22" t="str">
        <f>IFERROR(__xludf.DUMMYFUNCTION("""COMPUTED_VALUE"""),"Henry")</f>
        <v>Henry</v>
      </c>
      <c r="H250" s="22" t="str">
        <f>IFERROR(__xludf.DUMMYFUNCTION("""COMPUTED_VALUE"""),"Goldwyn")</f>
        <v>Goldwyn</v>
      </c>
      <c r="I250" s="22" t="str">
        <f>IFERROR(__xludf.DUMMYFUNCTION("""COMPUTED_VALUE"""),"Corporate")</f>
        <v>Corporate</v>
      </c>
      <c r="J250" s="22" t="str">
        <f>IFERROR(__xludf.DUMMYFUNCTION("""COMPUTED_VALUE"""),"Los Angeles")</f>
        <v>Los Angeles</v>
      </c>
      <c r="K250" s="22" t="str">
        <f>IFERROR(__xludf.DUMMYFUNCTION("""COMPUTED_VALUE"""),"California")</f>
        <v>California</v>
      </c>
      <c r="L250" s="22" t="str">
        <f>IFERROR(__xludf.DUMMYFUNCTION("""COMPUTED_VALUE"""),"West")</f>
        <v>West</v>
      </c>
      <c r="M250" s="22" t="str">
        <f>IFERROR(__xludf.DUMMYFUNCTION("""COMPUTED_VALUE"""),"Furniture")</f>
        <v>Furniture</v>
      </c>
      <c r="N250" s="18">
        <f>IFERROR(__xludf.DUMMYFUNCTION("""COMPUTED_VALUE"""),183.84)</f>
        <v>183.84</v>
      </c>
      <c r="O250" s="18">
        <f>IFERROR(__xludf.DUMMYFUNCTION("""COMPUTED_VALUE"""),183.21)</f>
        <v>183.21</v>
      </c>
      <c r="P250" s="22">
        <f>IFERROR(__xludf.DUMMYFUNCTION("""COMPUTED_VALUE"""),9.0)</f>
        <v>9</v>
      </c>
      <c r="Q250" s="18">
        <f>IFERROR(__xludf.DUMMYFUNCTION("""COMPUTED_VALUE"""),1654.56)</f>
        <v>1654.56</v>
      </c>
      <c r="R250" s="18">
        <f>IFERROR(__xludf.DUMMYFUNCTION("""COMPUTED_VALUE"""),1471.35)</f>
        <v>1471.35</v>
      </c>
    </row>
    <row r="251">
      <c r="A251" s="21">
        <f>IFERROR(__xludf.DUMMYFUNCTION("""COMPUTED_VALUE"""),43087.0)</f>
        <v>43087</v>
      </c>
      <c r="B251" s="21" t="str">
        <f>IFERROR(__xludf.DUMMYFUNCTION("""COMPUTED_VALUE"""),"Dec")</f>
        <v>Dec</v>
      </c>
      <c r="C251" s="9">
        <f>IFERROR(__xludf.DUMMYFUNCTION("""COMPUTED_VALUE"""),43092.0)</f>
        <v>43092</v>
      </c>
      <c r="D251" s="23" t="str">
        <f>IFERROR(__xludf.DUMMYFUNCTION("""COMPUTED_VALUE"""),"Dec")</f>
        <v>Dec</v>
      </c>
      <c r="E251" s="21" t="str">
        <f>IFERROR(__xludf.DUMMYFUNCTION("""COMPUTED_VALUE"""),"2017")</f>
        <v>2017</v>
      </c>
      <c r="F251" s="22" t="str">
        <f>IFERROR(__xludf.DUMMYFUNCTION("""COMPUTED_VALUE"""),"Standard Class")</f>
        <v>Standard Class</v>
      </c>
      <c r="G251" s="22" t="str">
        <f>IFERROR(__xludf.DUMMYFUNCTION("""COMPUTED_VALUE"""),"Henry")</f>
        <v>Henry</v>
      </c>
      <c r="H251" s="22" t="str">
        <f>IFERROR(__xludf.DUMMYFUNCTION("""COMPUTED_VALUE"""),"Goldwyn")</f>
        <v>Goldwyn</v>
      </c>
      <c r="I251" s="22" t="str">
        <f>IFERROR(__xludf.DUMMYFUNCTION("""COMPUTED_VALUE"""),"Corporate")</f>
        <v>Corporate</v>
      </c>
      <c r="J251" s="22" t="str">
        <f>IFERROR(__xludf.DUMMYFUNCTION("""COMPUTED_VALUE"""),"Los Angeles")</f>
        <v>Los Angeles</v>
      </c>
      <c r="K251" s="22" t="str">
        <f>IFERROR(__xludf.DUMMYFUNCTION("""COMPUTED_VALUE"""),"California")</f>
        <v>California</v>
      </c>
      <c r="L251" s="22" t="str">
        <f>IFERROR(__xludf.DUMMYFUNCTION("""COMPUTED_VALUE"""),"West")</f>
        <v>West</v>
      </c>
      <c r="M251" s="22" t="str">
        <f>IFERROR(__xludf.DUMMYFUNCTION("""COMPUTED_VALUE"""),"Office Supplies")</f>
        <v>Office Supplies</v>
      </c>
      <c r="N251" s="18">
        <f>IFERROR(__xludf.DUMMYFUNCTION("""COMPUTED_VALUE"""),579.3)</f>
        <v>579.3</v>
      </c>
      <c r="O251" s="18">
        <f>IFERROR(__xludf.DUMMYFUNCTION("""COMPUTED_VALUE"""),579.25)</f>
        <v>579.25</v>
      </c>
      <c r="P251" s="22">
        <f>IFERROR(__xludf.DUMMYFUNCTION("""COMPUTED_VALUE"""),9.0)</f>
        <v>9</v>
      </c>
      <c r="Q251" s="18">
        <f>IFERROR(__xludf.DUMMYFUNCTION("""COMPUTED_VALUE"""),5213.7)</f>
        <v>5213.7</v>
      </c>
      <c r="R251" s="18">
        <f>IFERROR(__xludf.DUMMYFUNCTION("""COMPUTED_VALUE"""),4634.45)</f>
        <v>4634.45</v>
      </c>
    </row>
    <row r="252">
      <c r="A252" s="21">
        <f>IFERROR(__xludf.DUMMYFUNCTION("""COMPUTED_VALUE"""),43388.0)</f>
        <v>43388</v>
      </c>
      <c r="B252" s="21" t="str">
        <f>IFERROR(__xludf.DUMMYFUNCTION("""COMPUTED_VALUE"""),"Oct")</f>
        <v>Oct</v>
      </c>
      <c r="C252" s="9">
        <f>IFERROR(__xludf.DUMMYFUNCTION("""COMPUTED_VALUE"""),43391.0)</f>
        <v>43391</v>
      </c>
      <c r="D252" s="23" t="str">
        <f>IFERROR(__xludf.DUMMYFUNCTION("""COMPUTED_VALUE"""),"Oct")</f>
        <v>Oct</v>
      </c>
      <c r="E252" s="21" t="str">
        <f>IFERROR(__xludf.DUMMYFUNCTION("""COMPUTED_VALUE"""),"2018")</f>
        <v>2018</v>
      </c>
      <c r="F252" s="22" t="str">
        <f>IFERROR(__xludf.DUMMYFUNCTION("""COMPUTED_VALUE"""),"Second Class")</f>
        <v>Second Class</v>
      </c>
      <c r="G252" s="22" t="str">
        <f>IFERROR(__xludf.DUMMYFUNCTION("""COMPUTED_VALUE"""),"Frank")</f>
        <v>Frank</v>
      </c>
      <c r="H252" s="22" t="str">
        <f>IFERROR(__xludf.DUMMYFUNCTION("""COMPUTED_VALUE"""),"Gastineau")</f>
        <v>Gastineau</v>
      </c>
      <c r="I252" s="22" t="str">
        <f>IFERROR(__xludf.DUMMYFUNCTION("""COMPUTED_VALUE"""),"Home Office")</f>
        <v>Home Office</v>
      </c>
      <c r="J252" s="22" t="str">
        <f>IFERROR(__xludf.DUMMYFUNCTION("""COMPUTED_VALUE"""),"San Francisco")</f>
        <v>San Francisco</v>
      </c>
      <c r="K252" s="22" t="str">
        <f>IFERROR(__xludf.DUMMYFUNCTION("""COMPUTED_VALUE"""),"California")</f>
        <v>California</v>
      </c>
      <c r="L252" s="22" t="str">
        <f>IFERROR(__xludf.DUMMYFUNCTION("""COMPUTED_VALUE"""),"West")</f>
        <v>West</v>
      </c>
      <c r="M252" s="22" t="str">
        <f>IFERROR(__xludf.DUMMYFUNCTION("""COMPUTED_VALUE"""),"Office Supplies")</f>
        <v>Office Supplies</v>
      </c>
      <c r="N252" s="18">
        <f>IFERROR(__xludf.DUMMYFUNCTION("""COMPUTED_VALUE"""),87.92)</f>
        <v>87.92</v>
      </c>
      <c r="O252" s="18">
        <f>IFERROR(__xludf.DUMMYFUNCTION("""COMPUTED_VALUE"""),87.9)</f>
        <v>87.9</v>
      </c>
      <c r="P252" s="22">
        <f>IFERROR(__xludf.DUMMYFUNCTION("""COMPUTED_VALUE"""),9.0)</f>
        <v>9</v>
      </c>
      <c r="Q252" s="18">
        <f>IFERROR(__xludf.DUMMYFUNCTION("""COMPUTED_VALUE"""),791.28)</f>
        <v>791.28</v>
      </c>
      <c r="R252" s="18">
        <f>IFERROR(__xludf.DUMMYFUNCTION("""COMPUTED_VALUE"""),703.38)</f>
        <v>703.38</v>
      </c>
    </row>
    <row r="253">
      <c r="A253" s="21">
        <f>IFERROR(__xludf.DUMMYFUNCTION("""COMPUTED_VALUE"""),42878.0)</f>
        <v>42878</v>
      </c>
      <c r="B253" s="21" t="str">
        <f>IFERROR(__xludf.DUMMYFUNCTION("""COMPUTED_VALUE"""),"May")</f>
        <v>May</v>
      </c>
      <c r="C253" s="9">
        <f>IFERROR(__xludf.DUMMYFUNCTION("""COMPUTED_VALUE"""),42882.0)</f>
        <v>42882</v>
      </c>
      <c r="D253" s="23" t="str">
        <f>IFERROR(__xludf.DUMMYFUNCTION("""COMPUTED_VALUE"""),"May")</f>
        <v>May</v>
      </c>
      <c r="E253" s="21" t="str">
        <f>IFERROR(__xludf.DUMMYFUNCTION("""COMPUTED_VALUE"""),"2017")</f>
        <v>2017</v>
      </c>
      <c r="F253" s="22" t="str">
        <f>IFERROR(__xludf.DUMMYFUNCTION("""COMPUTED_VALUE"""),"Standard Class")</f>
        <v>Standard Class</v>
      </c>
      <c r="G253" s="22" t="str">
        <f>IFERROR(__xludf.DUMMYFUNCTION("""COMPUTED_VALUE"""),"Lisa")</f>
        <v>Lisa</v>
      </c>
      <c r="H253" s="22" t="str">
        <f>IFERROR(__xludf.DUMMYFUNCTION("""COMPUTED_VALUE"""),"DeCherney")</f>
        <v>DeCherney</v>
      </c>
      <c r="I253" s="22" t="str">
        <f>IFERROR(__xludf.DUMMYFUNCTION("""COMPUTED_VALUE"""),"Consumer")</f>
        <v>Consumer</v>
      </c>
      <c r="J253" s="22" t="str">
        <f>IFERROR(__xludf.DUMMYFUNCTION("""COMPUTED_VALUE"""),"San Francisco")</f>
        <v>San Francisco</v>
      </c>
      <c r="K253" s="22" t="str">
        <f>IFERROR(__xludf.DUMMYFUNCTION("""COMPUTED_VALUE"""),"California")</f>
        <v>California</v>
      </c>
      <c r="L253" s="22" t="str">
        <f>IFERROR(__xludf.DUMMYFUNCTION("""COMPUTED_VALUE"""),"West")</f>
        <v>West</v>
      </c>
      <c r="M253" s="22" t="str">
        <f>IFERROR(__xludf.DUMMYFUNCTION("""COMPUTED_VALUE"""),"Furniture")</f>
        <v>Furniture</v>
      </c>
      <c r="N253" s="18">
        <f>IFERROR(__xludf.DUMMYFUNCTION("""COMPUTED_VALUE"""),37.05)</f>
        <v>37.05</v>
      </c>
      <c r="O253" s="18">
        <f>IFERROR(__xludf.DUMMYFUNCTION("""COMPUTED_VALUE"""),36.89)</f>
        <v>36.89</v>
      </c>
      <c r="P253" s="22">
        <f>IFERROR(__xludf.DUMMYFUNCTION("""COMPUTED_VALUE"""),9.0)</f>
        <v>9</v>
      </c>
      <c r="Q253" s="18">
        <f>IFERROR(__xludf.DUMMYFUNCTION("""COMPUTED_VALUE"""),333.45)</f>
        <v>333.45</v>
      </c>
      <c r="R253" s="18">
        <f>IFERROR(__xludf.DUMMYFUNCTION("""COMPUTED_VALUE"""),296.56)</f>
        <v>296.56</v>
      </c>
    </row>
    <row r="254">
      <c r="A254" s="21">
        <f>IFERROR(__xludf.DUMMYFUNCTION("""COMPUTED_VALUE"""),42160.0)</f>
        <v>42160</v>
      </c>
      <c r="B254" s="21" t="str">
        <f>IFERROR(__xludf.DUMMYFUNCTION("""COMPUTED_VALUE"""),"Jun")</f>
        <v>Jun</v>
      </c>
      <c r="C254" s="9">
        <f>IFERROR(__xludf.DUMMYFUNCTION("""COMPUTED_VALUE"""),42282.0)</f>
        <v>42282</v>
      </c>
      <c r="D254" s="23" t="str">
        <f>IFERROR(__xludf.DUMMYFUNCTION("""COMPUTED_VALUE"""),"Oct")</f>
        <v>Oct</v>
      </c>
      <c r="E254" s="21" t="str">
        <f>IFERROR(__xludf.DUMMYFUNCTION("""COMPUTED_VALUE"""),"2015")</f>
        <v>2015</v>
      </c>
      <c r="F254" s="22" t="str">
        <f>IFERROR(__xludf.DUMMYFUNCTION("""COMPUTED_VALUE"""),"Standard Class")</f>
        <v>Standard Class</v>
      </c>
      <c r="G254" s="22" t="str">
        <f>IFERROR(__xludf.DUMMYFUNCTION("""COMPUTED_VALUE"""),"Harold")</f>
        <v>Harold</v>
      </c>
      <c r="H254" s="22" t="str">
        <f>IFERROR(__xludf.DUMMYFUNCTION("""COMPUTED_VALUE"""),"Pawlan")</f>
        <v>Pawlan</v>
      </c>
      <c r="I254" s="22" t="str">
        <f>IFERROR(__xludf.DUMMYFUNCTION("""COMPUTED_VALUE"""),"Home Office")</f>
        <v>Home Office</v>
      </c>
      <c r="J254" s="22" t="str">
        <f>IFERROR(__xludf.DUMMYFUNCTION("""COMPUTED_VALUE"""),"Los Angeles")</f>
        <v>Los Angeles</v>
      </c>
      <c r="K254" s="22" t="str">
        <f>IFERROR(__xludf.DUMMYFUNCTION("""COMPUTED_VALUE"""),"California")</f>
        <v>California</v>
      </c>
      <c r="L254" s="22" t="str">
        <f>IFERROR(__xludf.DUMMYFUNCTION("""COMPUTED_VALUE"""),"West")</f>
        <v>West</v>
      </c>
      <c r="M254" s="22" t="str">
        <f>IFERROR(__xludf.DUMMYFUNCTION("""COMPUTED_VALUE"""),"Office Supplies")</f>
        <v>Office Supplies</v>
      </c>
      <c r="N254" s="18">
        <f>IFERROR(__xludf.DUMMYFUNCTION("""COMPUTED_VALUE"""),140.736)</f>
        <v>140.736</v>
      </c>
      <c r="O254" s="18">
        <f>IFERROR(__xludf.DUMMYFUNCTION("""COMPUTED_VALUE"""),139.83)</f>
        <v>139.83</v>
      </c>
      <c r="P254" s="22">
        <f>IFERROR(__xludf.DUMMYFUNCTION("""COMPUTED_VALUE"""),9.0)</f>
        <v>9</v>
      </c>
      <c r="Q254" s="18">
        <f>IFERROR(__xludf.DUMMYFUNCTION("""COMPUTED_VALUE"""),1266.6239999999998)</f>
        <v>1266.624</v>
      </c>
      <c r="R254" s="18">
        <f>IFERROR(__xludf.DUMMYFUNCTION("""COMPUTED_VALUE"""),1126.7939999999999)</f>
        <v>1126.794</v>
      </c>
    </row>
    <row r="255">
      <c r="A255" s="21">
        <f>IFERROR(__xludf.DUMMYFUNCTION("""COMPUTED_VALUE"""),43135.0)</f>
        <v>43135</v>
      </c>
      <c r="B255" s="21" t="str">
        <f>IFERROR(__xludf.DUMMYFUNCTION("""COMPUTED_VALUE"""),"Feb")</f>
        <v>Feb</v>
      </c>
      <c r="C255" s="9">
        <f>IFERROR(__xludf.DUMMYFUNCTION("""COMPUTED_VALUE"""),43285.0)</f>
        <v>43285</v>
      </c>
      <c r="D255" s="23" t="str">
        <f>IFERROR(__xludf.DUMMYFUNCTION("""COMPUTED_VALUE"""),"Jul")</f>
        <v>Jul</v>
      </c>
      <c r="E255" s="21" t="str">
        <f>IFERROR(__xludf.DUMMYFUNCTION("""COMPUTED_VALUE"""),"2018")</f>
        <v>2018</v>
      </c>
      <c r="F255" s="22" t="str">
        <f>IFERROR(__xludf.DUMMYFUNCTION("""COMPUTED_VALUE"""),"Standard Class")</f>
        <v>Standard Class</v>
      </c>
      <c r="G255" s="22" t="str">
        <f>IFERROR(__xludf.DUMMYFUNCTION("""COMPUTED_VALUE"""),"Jamie")</f>
        <v>Jamie</v>
      </c>
      <c r="H255" s="22" t="str">
        <f>IFERROR(__xludf.DUMMYFUNCTION("""COMPUTED_VALUE"""),"Frazer")</f>
        <v>Frazer</v>
      </c>
      <c r="I255" s="22" t="str">
        <f>IFERROR(__xludf.DUMMYFUNCTION("""COMPUTED_VALUE"""),"Consumer")</f>
        <v>Consumer</v>
      </c>
      <c r="J255" s="22" t="str">
        <f>IFERROR(__xludf.DUMMYFUNCTION("""COMPUTED_VALUE"""),"Los Angeles")</f>
        <v>Los Angeles</v>
      </c>
      <c r="K255" s="22" t="str">
        <f>IFERROR(__xludf.DUMMYFUNCTION("""COMPUTED_VALUE"""),"California")</f>
        <v>California</v>
      </c>
      <c r="L255" s="22" t="str">
        <f>IFERROR(__xludf.DUMMYFUNCTION("""COMPUTED_VALUE"""),"West")</f>
        <v>West</v>
      </c>
      <c r="M255" s="22" t="str">
        <f>IFERROR(__xludf.DUMMYFUNCTION("""COMPUTED_VALUE"""),"Furniture")</f>
        <v>Furniture</v>
      </c>
      <c r="N255" s="18">
        <f>IFERROR(__xludf.DUMMYFUNCTION("""COMPUTED_VALUE"""),25.11)</f>
        <v>25.11</v>
      </c>
      <c r="O255" s="18">
        <f>IFERROR(__xludf.DUMMYFUNCTION("""COMPUTED_VALUE"""),24.28)</f>
        <v>24.28</v>
      </c>
      <c r="P255" s="22">
        <f>IFERROR(__xludf.DUMMYFUNCTION("""COMPUTED_VALUE"""),9.0)</f>
        <v>9</v>
      </c>
      <c r="Q255" s="18">
        <f>IFERROR(__xludf.DUMMYFUNCTION("""COMPUTED_VALUE"""),225.99)</f>
        <v>225.99</v>
      </c>
      <c r="R255" s="18">
        <f>IFERROR(__xludf.DUMMYFUNCTION("""COMPUTED_VALUE"""),201.71)</f>
        <v>201.71</v>
      </c>
    </row>
    <row r="256">
      <c r="A256" s="21">
        <f>IFERROR(__xludf.DUMMYFUNCTION("""COMPUTED_VALUE"""),43195.0)</f>
        <v>43195</v>
      </c>
      <c r="B256" s="21" t="str">
        <f>IFERROR(__xludf.DUMMYFUNCTION("""COMPUTED_VALUE"""),"Apr")</f>
        <v>Apr</v>
      </c>
      <c r="C256" s="9">
        <f>IFERROR(__xludf.DUMMYFUNCTION("""COMPUTED_VALUE"""),43348.0)</f>
        <v>43348</v>
      </c>
      <c r="D256" s="23" t="str">
        <f>IFERROR(__xludf.DUMMYFUNCTION("""COMPUTED_VALUE"""),"Sep")</f>
        <v>Sep</v>
      </c>
      <c r="E256" s="21" t="str">
        <f>IFERROR(__xludf.DUMMYFUNCTION("""COMPUTED_VALUE"""),"2018")</f>
        <v>2018</v>
      </c>
      <c r="F256" s="22" t="str">
        <f>IFERROR(__xludf.DUMMYFUNCTION("""COMPUTED_VALUE"""),"Standard Class")</f>
        <v>Standard Class</v>
      </c>
      <c r="G256" s="22" t="str">
        <f>IFERROR(__xludf.DUMMYFUNCTION("""COMPUTED_VALUE"""),"Lindsay")</f>
        <v>Lindsay</v>
      </c>
      <c r="H256" s="22" t="str">
        <f>IFERROR(__xludf.DUMMYFUNCTION("""COMPUTED_VALUE"""),"Williams")</f>
        <v>Williams</v>
      </c>
      <c r="I256" s="22" t="str">
        <f>IFERROR(__xludf.DUMMYFUNCTION("""COMPUTED_VALUE"""),"Corporate")</f>
        <v>Corporate</v>
      </c>
      <c r="J256" s="22" t="str">
        <f>IFERROR(__xludf.DUMMYFUNCTION("""COMPUTED_VALUE"""),"San Francisco")</f>
        <v>San Francisco</v>
      </c>
      <c r="K256" s="22" t="str">
        <f>IFERROR(__xludf.DUMMYFUNCTION("""COMPUTED_VALUE"""),"California")</f>
        <v>California</v>
      </c>
      <c r="L256" s="22" t="str">
        <f>IFERROR(__xludf.DUMMYFUNCTION("""COMPUTED_VALUE"""),"West")</f>
        <v>West</v>
      </c>
      <c r="M256" s="22" t="str">
        <f>IFERROR(__xludf.DUMMYFUNCTION("""COMPUTED_VALUE"""),"Technology")</f>
        <v>Technology</v>
      </c>
      <c r="N256" s="18">
        <f>IFERROR(__xludf.DUMMYFUNCTION("""COMPUTED_VALUE"""),183.96)</f>
        <v>183.96</v>
      </c>
      <c r="O256" s="18">
        <f>IFERROR(__xludf.DUMMYFUNCTION("""COMPUTED_VALUE"""),183.21)</f>
        <v>183.21</v>
      </c>
      <c r="P256" s="22">
        <f>IFERROR(__xludf.DUMMYFUNCTION("""COMPUTED_VALUE"""),9.0)</f>
        <v>9</v>
      </c>
      <c r="Q256" s="18">
        <f>IFERROR(__xludf.DUMMYFUNCTION("""COMPUTED_VALUE"""),1655.64)</f>
        <v>1655.64</v>
      </c>
      <c r="R256" s="18">
        <f>IFERROR(__xludf.DUMMYFUNCTION("""COMPUTED_VALUE"""),1472.43)</f>
        <v>1472.43</v>
      </c>
    </row>
    <row r="257">
      <c r="A257" s="21">
        <f>IFERROR(__xludf.DUMMYFUNCTION("""COMPUTED_VALUE"""),43195.0)</f>
        <v>43195</v>
      </c>
      <c r="B257" s="21" t="str">
        <f>IFERROR(__xludf.DUMMYFUNCTION("""COMPUTED_VALUE"""),"Apr")</f>
        <v>Apr</v>
      </c>
      <c r="C257" s="9">
        <f>IFERROR(__xludf.DUMMYFUNCTION("""COMPUTED_VALUE"""),43348.0)</f>
        <v>43348</v>
      </c>
      <c r="D257" s="23" t="str">
        <f>IFERROR(__xludf.DUMMYFUNCTION("""COMPUTED_VALUE"""),"Sep")</f>
        <v>Sep</v>
      </c>
      <c r="E257" s="21" t="str">
        <f>IFERROR(__xludf.DUMMYFUNCTION("""COMPUTED_VALUE"""),"2018")</f>
        <v>2018</v>
      </c>
      <c r="F257" s="22" t="str">
        <f>IFERROR(__xludf.DUMMYFUNCTION("""COMPUTED_VALUE"""),"Standard Class")</f>
        <v>Standard Class</v>
      </c>
      <c r="G257" s="22" t="str">
        <f>IFERROR(__xludf.DUMMYFUNCTION("""COMPUTED_VALUE"""),"Lindsay")</f>
        <v>Lindsay</v>
      </c>
      <c r="H257" s="22" t="str">
        <f>IFERROR(__xludf.DUMMYFUNCTION("""COMPUTED_VALUE"""),"Williams")</f>
        <v>Williams</v>
      </c>
      <c r="I257" s="22" t="str">
        <f>IFERROR(__xludf.DUMMYFUNCTION("""COMPUTED_VALUE"""),"Corporate")</f>
        <v>Corporate</v>
      </c>
      <c r="J257" s="22" t="str">
        <f>IFERROR(__xludf.DUMMYFUNCTION("""COMPUTED_VALUE"""),"San Francisco")</f>
        <v>San Francisco</v>
      </c>
      <c r="K257" s="22" t="str">
        <f>IFERROR(__xludf.DUMMYFUNCTION("""COMPUTED_VALUE"""),"California")</f>
        <v>California</v>
      </c>
      <c r="L257" s="22" t="str">
        <f>IFERROR(__xludf.DUMMYFUNCTION("""COMPUTED_VALUE"""),"West")</f>
        <v>West</v>
      </c>
      <c r="M257" s="22" t="str">
        <f>IFERROR(__xludf.DUMMYFUNCTION("""COMPUTED_VALUE"""),"Office Supplies")</f>
        <v>Office Supplies</v>
      </c>
      <c r="N257" s="18">
        <f>IFERROR(__xludf.DUMMYFUNCTION("""COMPUTED_VALUE"""),17.61)</f>
        <v>17.61</v>
      </c>
      <c r="O257" s="18">
        <f>IFERROR(__xludf.DUMMYFUNCTION("""COMPUTED_VALUE"""),16.73)</f>
        <v>16.73</v>
      </c>
      <c r="P257" s="22">
        <f>IFERROR(__xludf.DUMMYFUNCTION("""COMPUTED_VALUE"""),9.0)</f>
        <v>9</v>
      </c>
      <c r="Q257" s="18">
        <f>IFERROR(__xludf.DUMMYFUNCTION("""COMPUTED_VALUE"""),158.49)</f>
        <v>158.49</v>
      </c>
      <c r="R257" s="18">
        <f>IFERROR(__xludf.DUMMYFUNCTION("""COMPUTED_VALUE"""),141.76000000000002)</f>
        <v>141.76</v>
      </c>
    </row>
    <row r="258">
      <c r="A258" s="21">
        <f>IFERROR(__xludf.DUMMYFUNCTION("""COMPUTED_VALUE"""),43195.0)</f>
        <v>43195</v>
      </c>
      <c r="B258" s="21" t="str">
        <f>IFERROR(__xludf.DUMMYFUNCTION("""COMPUTED_VALUE"""),"Apr")</f>
        <v>Apr</v>
      </c>
      <c r="C258" s="9">
        <f>IFERROR(__xludf.DUMMYFUNCTION("""COMPUTED_VALUE"""),43348.0)</f>
        <v>43348</v>
      </c>
      <c r="D258" s="23" t="str">
        <f>IFERROR(__xludf.DUMMYFUNCTION("""COMPUTED_VALUE"""),"Sep")</f>
        <v>Sep</v>
      </c>
      <c r="E258" s="21" t="str">
        <f>IFERROR(__xludf.DUMMYFUNCTION("""COMPUTED_VALUE"""),"2018")</f>
        <v>2018</v>
      </c>
      <c r="F258" s="22" t="str">
        <f>IFERROR(__xludf.DUMMYFUNCTION("""COMPUTED_VALUE"""),"Standard Class")</f>
        <v>Standard Class</v>
      </c>
      <c r="G258" s="22" t="str">
        <f>IFERROR(__xludf.DUMMYFUNCTION("""COMPUTED_VALUE"""),"Lindsay")</f>
        <v>Lindsay</v>
      </c>
      <c r="H258" s="22" t="str">
        <f>IFERROR(__xludf.DUMMYFUNCTION("""COMPUTED_VALUE"""),"Williams")</f>
        <v>Williams</v>
      </c>
      <c r="I258" s="22" t="str">
        <f>IFERROR(__xludf.DUMMYFUNCTION("""COMPUTED_VALUE"""),"Corporate")</f>
        <v>Corporate</v>
      </c>
      <c r="J258" s="22" t="str">
        <f>IFERROR(__xludf.DUMMYFUNCTION("""COMPUTED_VALUE"""),"San Francisco")</f>
        <v>San Francisco</v>
      </c>
      <c r="K258" s="22" t="str">
        <f>IFERROR(__xludf.DUMMYFUNCTION("""COMPUTED_VALUE"""),"California")</f>
        <v>California</v>
      </c>
      <c r="L258" s="22" t="str">
        <f>IFERROR(__xludf.DUMMYFUNCTION("""COMPUTED_VALUE"""),"West")</f>
        <v>West</v>
      </c>
      <c r="M258" s="22" t="str">
        <f>IFERROR(__xludf.DUMMYFUNCTION("""COMPUTED_VALUE"""),"Furniture")</f>
        <v>Furniture</v>
      </c>
      <c r="N258" s="18">
        <f>IFERROR(__xludf.DUMMYFUNCTION("""COMPUTED_VALUE"""),300.904)</f>
        <v>300.904</v>
      </c>
      <c r="O258" s="18">
        <f>IFERROR(__xludf.DUMMYFUNCTION("""COMPUTED_VALUE"""),299.98)</f>
        <v>299.98</v>
      </c>
      <c r="P258" s="22">
        <f>IFERROR(__xludf.DUMMYFUNCTION("""COMPUTED_VALUE"""),9.0)</f>
        <v>9</v>
      </c>
      <c r="Q258" s="18">
        <f>IFERROR(__xludf.DUMMYFUNCTION("""COMPUTED_VALUE"""),2708.136)</f>
        <v>2708.136</v>
      </c>
      <c r="R258" s="18">
        <f>IFERROR(__xludf.DUMMYFUNCTION("""COMPUTED_VALUE"""),2408.156)</f>
        <v>2408.156</v>
      </c>
    </row>
    <row r="259">
      <c r="A259" s="21">
        <f>IFERROR(__xludf.DUMMYFUNCTION("""COMPUTED_VALUE"""),42273.0)</f>
        <v>42273</v>
      </c>
      <c r="B259" s="21" t="str">
        <f>IFERROR(__xludf.DUMMYFUNCTION("""COMPUTED_VALUE"""),"Sep")</f>
        <v>Sep</v>
      </c>
      <c r="C259" s="9">
        <f>IFERROR(__xludf.DUMMYFUNCTION("""COMPUTED_VALUE"""),42014.0)</f>
        <v>42014</v>
      </c>
      <c r="D259" s="23" t="str">
        <f>IFERROR(__xludf.DUMMYFUNCTION("""COMPUTED_VALUE"""),"Jan")</f>
        <v>Jan</v>
      </c>
      <c r="E259" s="21" t="str">
        <f>IFERROR(__xludf.DUMMYFUNCTION("""COMPUTED_VALUE"""),"2015")</f>
        <v>2015</v>
      </c>
      <c r="F259" s="22" t="str">
        <f>IFERROR(__xludf.DUMMYFUNCTION("""COMPUTED_VALUE"""),"Second Class")</f>
        <v>Second Class</v>
      </c>
      <c r="G259" s="22" t="str">
        <f>IFERROR(__xludf.DUMMYFUNCTION("""COMPUTED_VALUE"""),"Kean")</f>
        <v>Kean</v>
      </c>
      <c r="H259" s="22" t="str">
        <f>IFERROR(__xludf.DUMMYFUNCTION("""COMPUTED_VALUE"""),"Takahito")</f>
        <v>Takahito</v>
      </c>
      <c r="I259" s="22" t="str">
        <f>IFERROR(__xludf.DUMMYFUNCTION("""COMPUTED_VALUE"""),"Consumer")</f>
        <v>Consumer</v>
      </c>
      <c r="J259" s="22" t="str">
        <f>IFERROR(__xludf.DUMMYFUNCTION("""COMPUTED_VALUE"""),"Los Angeles")</f>
        <v>Los Angeles</v>
      </c>
      <c r="K259" s="22" t="str">
        <f>IFERROR(__xludf.DUMMYFUNCTION("""COMPUTED_VALUE"""),"California")</f>
        <v>California</v>
      </c>
      <c r="L259" s="22" t="str">
        <f>IFERROR(__xludf.DUMMYFUNCTION("""COMPUTED_VALUE"""),"West")</f>
        <v>West</v>
      </c>
      <c r="M259" s="22" t="str">
        <f>IFERROR(__xludf.DUMMYFUNCTION("""COMPUTED_VALUE"""),"Furniture")</f>
        <v>Furniture</v>
      </c>
      <c r="N259" s="18">
        <f>IFERROR(__xludf.DUMMYFUNCTION("""COMPUTED_VALUE"""),145.568)</f>
        <v>145.568</v>
      </c>
      <c r="O259" s="18">
        <f>IFERROR(__xludf.DUMMYFUNCTION("""COMPUTED_VALUE"""),145.04)</f>
        <v>145.04</v>
      </c>
      <c r="P259" s="22">
        <f>IFERROR(__xludf.DUMMYFUNCTION("""COMPUTED_VALUE"""),9.0)</f>
        <v>9</v>
      </c>
      <c r="Q259" s="18">
        <f>IFERROR(__xludf.DUMMYFUNCTION("""COMPUTED_VALUE"""),1310.112)</f>
        <v>1310.112</v>
      </c>
      <c r="R259" s="18">
        <f>IFERROR(__xludf.DUMMYFUNCTION("""COMPUTED_VALUE"""),1165.0720000000001)</f>
        <v>1165.072</v>
      </c>
    </row>
    <row r="260">
      <c r="A260" s="21">
        <f>IFERROR(__xludf.DUMMYFUNCTION("""COMPUTED_VALUE"""),43319.0)</f>
        <v>43319</v>
      </c>
      <c r="B260" s="21" t="str">
        <f>IFERROR(__xludf.DUMMYFUNCTION("""COMPUTED_VALUE"""),"Aug")</f>
        <v>Aug</v>
      </c>
      <c r="C260" s="9">
        <f>IFERROR(__xludf.DUMMYFUNCTION("""COMPUTED_VALUE"""),43411.0)</f>
        <v>43411</v>
      </c>
      <c r="D260" s="23" t="str">
        <f>IFERROR(__xludf.DUMMYFUNCTION("""COMPUTED_VALUE"""),"Nov")</f>
        <v>Nov</v>
      </c>
      <c r="E260" s="21" t="str">
        <f>IFERROR(__xludf.DUMMYFUNCTION("""COMPUTED_VALUE"""),"2018")</f>
        <v>2018</v>
      </c>
      <c r="F260" s="22" t="str">
        <f>IFERROR(__xludf.DUMMYFUNCTION("""COMPUTED_VALUE"""),"First Class")</f>
        <v>First Class</v>
      </c>
      <c r="G260" s="22" t="str">
        <f>IFERROR(__xludf.DUMMYFUNCTION("""COMPUTED_VALUE"""),"Sam")</f>
        <v>Sam</v>
      </c>
      <c r="H260" s="22" t="str">
        <f>IFERROR(__xludf.DUMMYFUNCTION("""COMPUTED_VALUE"""),"Zeldin")</f>
        <v>Zeldin</v>
      </c>
      <c r="I260" s="22" t="str">
        <f>IFERROR(__xludf.DUMMYFUNCTION("""COMPUTED_VALUE"""),"Home Office")</f>
        <v>Home Office</v>
      </c>
      <c r="J260" s="22" t="str">
        <f>IFERROR(__xludf.DUMMYFUNCTION("""COMPUTED_VALUE"""),"Pico Rivera")</f>
        <v>Pico Rivera</v>
      </c>
      <c r="K260" s="22" t="str">
        <f>IFERROR(__xludf.DUMMYFUNCTION("""COMPUTED_VALUE"""),"California")</f>
        <v>California</v>
      </c>
      <c r="L260" s="22" t="str">
        <f>IFERROR(__xludf.DUMMYFUNCTION("""COMPUTED_VALUE"""),"West")</f>
        <v>West</v>
      </c>
      <c r="M260" s="22" t="str">
        <f>IFERROR(__xludf.DUMMYFUNCTION("""COMPUTED_VALUE"""),"Furniture")</f>
        <v>Furniture</v>
      </c>
      <c r="N260" s="18">
        <f>IFERROR(__xludf.DUMMYFUNCTION("""COMPUTED_VALUE"""),145.9)</f>
        <v>145.9</v>
      </c>
      <c r="O260" s="18">
        <f>IFERROR(__xludf.DUMMYFUNCTION("""COMPUTED_VALUE"""),145.41)</f>
        <v>145.41</v>
      </c>
      <c r="P260" s="22">
        <f>IFERROR(__xludf.DUMMYFUNCTION("""COMPUTED_VALUE"""),9.0)</f>
        <v>9</v>
      </c>
      <c r="Q260" s="18">
        <f>IFERROR(__xludf.DUMMYFUNCTION("""COMPUTED_VALUE"""),1313.1000000000001)</f>
        <v>1313.1</v>
      </c>
      <c r="R260" s="18">
        <f>IFERROR(__xludf.DUMMYFUNCTION("""COMPUTED_VALUE"""),1167.69)</f>
        <v>1167.69</v>
      </c>
    </row>
    <row r="261">
      <c r="A261" s="21">
        <f>IFERROR(__xludf.DUMMYFUNCTION("""COMPUTED_VALUE"""),42008.0)</f>
        <v>42008</v>
      </c>
      <c r="B261" s="21" t="str">
        <f>IFERROR(__xludf.DUMMYFUNCTION("""COMPUTED_VALUE"""),"Jan")</f>
        <v>Jan</v>
      </c>
      <c r="C261" s="9">
        <f>IFERROR(__xludf.DUMMYFUNCTION("""COMPUTED_VALUE"""),42159.0)</f>
        <v>42159</v>
      </c>
      <c r="D261" s="23" t="str">
        <f>IFERROR(__xludf.DUMMYFUNCTION("""COMPUTED_VALUE"""),"Jun")</f>
        <v>Jun</v>
      </c>
      <c r="E261" s="21" t="str">
        <f>IFERROR(__xludf.DUMMYFUNCTION("""COMPUTED_VALUE"""),"2015")</f>
        <v>2015</v>
      </c>
      <c r="F261" s="22" t="str">
        <f>IFERROR(__xludf.DUMMYFUNCTION("""COMPUTED_VALUE"""),"Second Class")</f>
        <v>Second Class</v>
      </c>
      <c r="G261" s="22" t="str">
        <f>IFERROR(__xludf.DUMMYFUNCTION("""COMPUTED_VALUE"""),"Kunst")</f>
        <v>Kunst</v>
      </c>
      <c r="H261" s="22" t="str">
        <f>IFERROR(__xludf.DUMMYFUNCTION("""COMPUTED_VALUE"""),"Miller")</f>
        <v>Miller</v>
      </c>
      <c r="I261" s="22" t="str">
        <f>IFERROR(__xludf.DUMMYFUNCTION("""COMPUTED_VALUE"""),"Consumer")</f>
        <v>Consumer</v>
      </c>
      <c r="J261" s="22" t="str">
        <f>IFERROR(__xludf.DUMMYFUNCTION("""COMPUTED_VALUE"""),"Vallejo")</f>
        <v>Vallejo</v>
      </c>
      <c r="K261" s="22" t="str">
        <f>IFERROR(__xludf.DUMMYFUNCTION("""COMPUTED_VALUE"""),"California")</f>
        <v>California</v>
      </c>
      <c r="L261" s="22" t="str">
        <f>IFERROR(__xludf.DUMMYFUNCTION("""COMPUTED_VALUE"""),"West")</f>
        <v>West</v>
      </c>
      <c r="M261" s="22" t="str">
        <f>IFERROR(__xludf.DUMMYFUNCTION("""COMPUTED_VALUE"""),"Office Supplies")</f>
        <v>Office Supplies</v>
      </c>
      <c r="N261" s="18">
        <f>IFERROR(__xludf.DUMMYFUNCTION("""COMPUTED_VALUE"""),29.6)</f>
        <v>29.6</v>
      </c>
      <c r="O261" s="18">
        <f>IFERROR(__xludf.DUMMYFUNCTION("""COMPUTED_VALUE"""),29.5)</f>
        <v>29.5</v>
      </c>
      <c r="P261" s="22">
        <f>IFERROR(__xludf.DUMMYFUNCTION("""COMPUTED_VALUE"""),9.0)</f>
        <v>9</v>
      </c>
      <c r="Q261" s="18">
        <f>IFERROR(__xludf.DUMMYFUNCTION("""COMPUTED_VALUE"""),266.40000000000003)</f>
        <v>266.4</v>
      </c>
      <c r="R261" s="18">
        <f>IFERROR(__xludf.DUMMYFUNCTION("""COMPUTED_VALUE"""),236.90000000000003)</f>
        <v>236.9</v>
      </c>
    </row>
    <row r="262">
      <c r="A262" s="21">
        <f>IFERROR(__xludf.DUMMYFUNCTION("""COMPUTED_VALUE"""),42008.0)</f>
        <v>42008</v>
      </c>
      <c r="B262" s="21" t="str">
        <f>IFERROR(__xludf.DUMMYFUNCTION("""COMPUTED_VALUE"""),"Jan")</f>
        <v>Jan</v>
      </c>
      <c r="C262" s="9">
        <f>IFERROR(__xludf.DUMMYFUNCTION("""COMPUTED_VALUE"""),42159.0)</f>
        <v>42159</v>
      </c>
      <c r="D262" s="23" t="str">
        <f>IFERROR(__xludf.DUMMYFUNCTION("""COMPUTED_VALUE"""),"Jun")</f>
        <v>Jun</v>
      </c>
      <c r="E262" s="21" t="str">
        <f>IFERROR(__xludf.DUMMYFUNCTION("""COMPUTED_VALUE"""),"2015")</f>
        <v>2015</v>
      </c>
      <c r="F262" s="22" t="str">
        <f>IFERROR(__xludf.DUMMYFUNCTION("""COMPUTED_VALUE"""),"Second Class")</f>
        <v>Second Class</v>
      </c>
      <c r="G262" s="22" t="str">
        <f>IFERROR(__xludf.DUMMYFUNCTION("""COMPUTED_VALUE"""),"Kunst")</f>
        <v>Kunst</v>
      </c>
      <c r="H262" s="22" t="str">
        <f>IFERROR(__xludf.DUMMYFUNCTION("""COMPUTED_VALUE"""),"Miller")</f>
        <v>Miller</v>
      </c>
      <c r="I262" s="22" t="str">
        <f>IFERROR(__xludf.DUMMYFUNCTION("""COMPUTED_VALUE"""),"Consumer")</f>
        <v>Consumer</v>
      </c>
      <c r="J262" s="22" t="str">
        <f>IFERROR(__xludf.DUMMYFUNCTION("""COMPUTED_VALUE"""),"Vallejo")</f>
        <v>Vallejo</v>
      </c>
      <c r="K262" s="22" t="str">
        <f>IFERROR(__xludf.DUMMYFUNCTION("""COMPUTED_VALUE"""),"California")</f>
        <v>California</v>
      </c>
      <c r="L262" s="22" t="str">
        <f>IFERROR(__xludf.DUMMYFUNCTION("""COMPUTED_VALUE"""),"West")</f>
        <v>West</v>
      </c>
      <c r="M262" s="22" t="str">
        <f>IFERROR(__xludf.DUMMYFUNCTION("""COMPUTED_VALUE"""),"Office Supplies")</f>
        <v>Office Supplies</v>
      </c>
      <c r="N262" s="18">
        <f>IFERROR(__xludf.DUMMYFUNCTION("""COMPUTED_VALUE"""),17.088)</f>
        <v>17.088</v>
      </c>
      <c r="O262" s="18">
        <f>IFERROR(__xludf.DUMMYFUNCTION("""COMPUTED_VALUE"""),16.94)</f>
        <v>16.94</v>
      </c>
      <c r="P262" s="22">
        <f>IFERROR(__xludf.DUMMYFUNCTION("""COMPUTED_VALUE"""),9.0)</f>
        <v>9</v>
      </c>
      <c r="Q262" s="18">
        <f>IFERROR(__xludf.DUMMYFUNCTION("""COMPUTED_VALUE"""),153.792)</f>
        <v>153.792</v>
      </c>
      <c r="R262" s="18">
        <f>IFERROR(__xludf.DUMMYFUNCTION("""COMPUTED_VALUE"""),136.852)</f>
        <v>136.852</v>
      </c>
    </row>
    <row r="263">
      <c r="A263" s="21">
        <f>IFERROR(__xludf.DUMMYFUNCTION("""COMPUTED_VALUE"""),43128.0)</f>
        <v>43128</v>
      </c>
      <c r="B263" s="21" t="str">
        <f>IFERROR(__xludf.DUMMYFUNCTION("""COMPUTED_VALUE"""),"Jan")</f>
        <v>Jan</v>
      </c>
      <c r="C263" s="9">
        <f>IFERROR(__xludf.DUMMYFUNCTION("""COMPUTED_VALUE"""),43131.0)</f>
        <v>43131</v>
      </c>
      <c r="D263" s="23" t="str">
        <f>IFERROR(__xludf.DUMMYFUNCTION("""COMPUTED_VALUE"""),"Jan")</f>
        <v>Jan</v>
      </c>
      <c r="E263" s="21" t="str">
        <f>IFERROR(__xludf.DUMMYFUNCTION("""COMPUTED_VALUE"""),"2018")</f>
        <v>2018</v>
      </c>
      <c r="F263" s="22" t="str">
        <f>IFERROR(__xludf.DUMMYFUNCTION("""COMPUTED_VALUE"""),"Second Class")</f>
        <v>Second Class</v>
      </c>
      <c r="G263" s="22" t="str">
        <f>IFERROR(__xludf.DUMMYFUNCTION("""COMPUTED_VALUE"""),"Beth")</f>
        <v>Beth</v>
      </c>
      <c r="H263" s="22" t="str">
        <f>IFERROR(__xludf.DUMMYFUNCTION("""COMPUTED_VALUE"""),"Thompson")</f>
        <v>Thompson</v>
      </c>
      <c r="I263" s="22" t="str">
        <f>IFERROR(__xludf.DUMMYFUNCTION("""COMPUTED_VALUE"""),"Home Office")</f>
        <v>Home Office</v>
      </c>
      <c r="J263" s="22" t="str">
        <f>IFERROR(__xludf.DUMMYFUNCTION("""COMPUTED_VALUE"""),"Costa Mesa")</f>
        <v>Costa Mesa</v>
      </c>
      <c r="K263" s="22" t="str">
        <f>IFERROR(__xludf.DUMMYFUNCTION("""COMPUTED_VALUE"""),"California")</f>
        <v>California</v>
      </c>
      <c r="L263" s="22" t="str">
        <f>IFERROR(__xludf.DUMMYFUNCTION("""COMPUTED_VALUE"""),"West")</f>
        <v>West</v>
      </c>
      <c r="M263" s="22" t="str">
        <f>IFERROR(__xludf.DUMMYFUNCTION("""COMPUTED_VALUE"""),"Technology")</f>
        <v>Technology</v>
      </c>
      <c r="N263" s="18">
        <f>IFERROR(__xludf.DUMMYFUNCTION("""COMPUTED_VALUE"""),239.97)</f>
        <v>239.97</v>
      </c>
      <c r="O263" s="18">
        <f>IFERROR(__xludf.DUMMYFUNCTION("""COMPUTED_VALUE"""),239.38)</f>
        <v>239.38</v>
      </c>
      <c r="P263" s="22">
        <f>IFERROR(__xludf.DUMMYFUNCTION("""COMPUTED_VALUE"""),9.0)</f>
        <v>9</v>
      </c>
      <c r="Q263" s="18">
        <f>IFERROR(__xludf.DUMMYFUNCTION("""COMPUTED_VALUE"""),2159.73)</f>
        <v>2159.73</v>
      </c>
      <c r="R263" s="18">
        <f>IFERROR(__xludf.DUMMYFUNCTION("""COMPUTED_VALUE"""),1920.35)</f>
        <v>1920.35</v>
      </c>
    </row>
    <row r="264">
      <c r="A264" s="21">
        <f>IFERROR(__xludf.DUMMYFUNCTION("""COMPUTED_VALUE"""),43128.0)</f>
        <v>43128</v>
      </c>
      <c r="B264" s="21" t="str">
        <f>IFERROR(__xludf.DUMMYFUNCTION("""COMPUTED_VALUE"""),"Jan")</f>
        <v>Jan</v>
      </c>
      <c r="C264" s="9">
        <f>IFERROR(__xludf.DUMMYFUNCTION("""COMPUTED_VALUE"""),43131.0)</f>
        <v>43131</v>
      </c>
      <c r="D264" s="23" t="str">
        <f>IFERROR(__xludf.DUMMYFUNCTION("""COMPUTED_VALUE"""),"Jan")</f>
        <v>Jan</v>
      </c>
      <c r="E264" s="21" t="str">
        <f>IFERROR(__xludf.DUMMYFUNCTION("""COMPUTED_VALUE"""),"2018")</f>
        <v>2018</v>
      </c>
      <c r="F264" s="22" t="str">
        <f>IFERROR(__xludf.DUMMYFUNCTION("""COMPUTED_VALUE"""),"Second Class")</f>
        <v>Second Class</v>
      </c>
      <c r="G264" s="22" t="str">
        <f>IFERROR(__xludf.DUMMYFUNCTION("""COMPUTED_VALUE"""),"Beth")</f>
        <v>Beth</v>
      </c>
      <c r="H264" s="22" t="str">
        <f>IFERROR(__xludf.DUMMYFUNCTION("""COMPUTED_VALUE"""),"Thompson")</f>
        <v>Thompson</v>
      </c>
      <c r="I264" s="22" t="str">
        <f>IFERROR(__xludf.DUMMYFUNCTION("""COMPUTED_VALUE"""),"Home Office")</f>
        <v>Home Office</v>
      </c>
      <c r="J264" s="22" t="str">
        <f>IFERROR(__xludf.DUMMYFUNCTION("""COMPUTED_VALUE"""),"Costa Mesa")</f>
        <v>Costa Mesa</v>
      </c>
      <c r="K264" s="22" t="str">
        <f>IFERROR(__xludf.DUMMYFUNCTION("""COMPUTED_VALUE"""),"California")</f>
        <v>California</v>
      </c>
      <c r="L264" s="22" t="str">
        <f>IFERROR(__xludf.DUMMYFUNCTION("""COMPUTED_VALUE"""),"West")</f>
        <v>West</v>
      </c>
      <c r="M264" s="22" t="str">
        <f>IFERROR(__xludf.DUMMYFUNCTION("""COMPUTED_VALUE"""),"Furniture")</f>
        <v>Furniture</v>
      </c>
      <c r="N264" s="18">
        <f>IFERROR(__xludf.DUMMYFUNCTION("""COMPUTED_VALUE"""),37.74)</f>
        <v>37.74</v>
      </c>
      <c r="O264" s="18">
        <f>IFERROR(__xludf.DUMMYFUNCTION("""COMPUTED_VALUE"""),37.36)</f>
        <v>37.36</v>
      </c>
      <c r="P264" s="22">
        <f>IFERROR(__xludf.DUMMYFUNCTION("""COMPUTED_VALUE"""),9.0)</f>
        <v>9</v>
      </c>
      <c r="Q264" s="18">
        <f>IFERROR(__xludf.DUMMYFUNCTION("""COMPUTED_VALUE"""),339.66)</f>
        <v>339.66</v>
      </c>
      <c r="R264" s="18">
        <f>IFERROR(__xludf.DUMMYFUNCTION("""COMPUTED_VALUE"""),302.3)</f>
        <v>302.3</v>
      </c>
    </row>
    <row r="265">
      <c r="A265" s="21">
        <f>IFERROR(__xludf.DUMMYFUNCTION("""COMPUTED_VALUE"""),42674.0)</f>
        <v>42674</v>
      </c>
      <c r="B265" s="21" t="str">
        <f>IFERROR(__xludf.DUMMYFUNCTION("""COMPUTED_VALUE"""),"Oct")</f>
        <v>Oct</v>
      </c>
      <c r="C265" s="9">
        <f>IFERROR(__xludf.DUMMYFUNCTION("""COMPUTED_VALUE"""),42471.0)</f>
        <v>42471</v>
      </c>
      <c r="D265" s="23" t="str">
        <f>IFERROR(__xludf.DUMMYFUNCTION("""COMPUTED_VALUE"""),"Apr")</f>
        <v>Apr</v>
      </c>
      <c r="E265" s="21" t="str">
        <f>IFERROR(__xludf.DUMMYFUNCTION("""COMPUTED_VALUE"""),"2016")</f>
        <v>2016</v>
      </c>
      <c r="F265" s="22" t="str">
        <f>IFERROR(__xludf.DUMMYFUNCTION("""COMPUTED_VALUE"""),"Second Class")</f>
        <v>Second Class</v>
      </c>
      <c r="G265" s="22" t="str">
        <f>IFERROR(__xludf.DUMMYFUNCTION("""COMPUTED_VALUE"""),"Damala")</f>
        <v>Damala</v>
      </c>
      <c r="H265" s="22" t="str">
        <f>IFERROR(__xludf.DUMMYFUNCTION("""COMPUTED_VALUE"""),"Kotsonis")</f>
        <v>Kotsonis</v>
      </c>
      <c r="I265" s="22" t="str">
        <f>IFERROR(__xludf.DUMMYFUNCTION("""COMPUTED_VALUE"""),"Corporate")</f>
        <v>Corporate</v>
      </c>
      <c r="J265" s="22" t="str">
        <f>IFERROR(__xludf.DUMMYFUNCTION("""COMPUTED_VALUE"""),"Salinas")</f>
        <v>Salinas</v>
      </c>
      <c r="K265" s="22" t="str">
        <f>IFERROR(__xludf.DUMMYFUNCTION("""COMPUTED_VALUE"""),"California")</f>
        <v>California</v>
      </c>
      <c r="L265" s="22" t="str">
        <f>IFERROR(__xludf.DUMMYFUNCTION("""COMPUTED_VALUE"""),"West")</f>
        <v>West</v>
      </c>
      <c r="M265" s="22" t="str">
        <f>IFERROR(__xludf.DUMMYFUNCTION("""COMPUTED_VALUE"""),"Office Supplies")</f>
        <v>Office Supplies</v>
      </c>
      <c r="N265" s="18">
        <f>IFERROR(__xludf.DUMMYFUNCTION("""COMPUTED_VALUE"""),9.728)</f>
        <v>9.728</v>
      </c>
      <c r="O265" s="18">
        <f>IFERROR(__xludf.DUMMYFUNCTION("""COMPUTED_VALUE"""),9.0)</f>
        <v>9</v>
      </c>
      <c r="P265" s="22">
        <f>IFERROR(__xludf.DUMMYFUNCTION("""COMPUTED_VALUE"""),9.0)</f>
        <v>9</v>
      </c>
      <c r="Q265" s="18">
        <f>IFERROR(__xludf.DUMMYFUNCTION("""COMPUTED_VALUE"""),87.55199999999999)</f>
        <v>87.552</v>
      </c>
      <c r="R265" s="18">
        <f>IFERROR(__xludf.DUMMYFUNCTION("""COMPUTED_VALUE"""),78.55199999999999)</f>
        <v>78.552</v>
      </c>
    </row>
    <row r="266">
      <c r="A266" s="21">
        <f>IFERROR(__xludf.DUMMYFUNCTION("""COMPUTED_VALUE"""),42674.0)</f>
        <v>42674</v>
      </c>
      <c r="B266" s="21" t="str">
        <f>IFERROR(__xludf.DUMMYFUNCTION("""COMPUTED_VALUE"""),"Oct")</f>
        <v>Oct</v>
      </c>
      <c r="C266" s="9">
        <f>IFERROR(__xludf.DUMMYFUNCTION("""COMPUTED_VALUE"""),42471.0)</f>
        <v>42471</v>
      </c>
      <c r="D266" s="23" t="str">
        <f>IFERROR(__xludf.DUMMYFUNCTION("""COMPUTED_VALUE"""),"Apr")</f>
        <v>Apr</v>
      </c>
      <c r="E266" s="21" t="str">
        <f>IFERROR(__xludf.DUMMYFUNCTION("""COMPUTED_VALUE"""),"2016")</f>
        <v>2016</v>
      </c>
      <c r="F266" s="22" t="str">
        <f>IFERROR(__xludf.DUMMYFUNCTION("""COMPUTED_VALUE"""),"Second Class")</f>
        <v>Second Class</v>
      </c>
      <c r="G266" s="22" t="str">
        <f>IFERROR(__xludf.DUMMYFUNCTION("""COMPUTED_VALUE"""),"Damala")</f>
        <v>Damala</v>
      </c>
      <c r="H266" s="22" t="str">
        <f>IFERROR(__xludf.DUMMYFUNCTION("""COMPUTED_VALUE"""),"Kotsonis")</f>
        <v>Kotsonis</v>
      </c>
      <c r="I266" s="22" t="str">
        <f>IFERROR(__xludf.DUMMYFUNCTION("""COMPUTED_VALUE"""),"Corporate")</f>
        <v>Corporate</v>
      </c>
      <c r="J266" s="22" t="str">
        <f>IFERROR(__xludf.DUMMYFUNCTION("""COMPUTED_VALUE"""),"Salinas")</f>
        <v>Salinas</v>
      </c>
      <c r="K266" s="22" t="str">
        <f>IFERROR(__xludf.DUMMYFUNCTION("""COMPUTED_VALUE"""),"California")</f>
        <v>California</v>
      </c>
      <c r="L266" s="22" t="str">
        <f>IFERROR(__xludf.DUMMYFUNCTION("""COMPUTED_VALUE"""),"West")</f>
        <v>West</v>
      </c>
      <c r="M266" s="22" t="str">
        <f>IFERROR(__xludf.DUMMYFUNCTION("""COMPUTED_VALUE"""),"Office Supplies")</f>
        <v>Office Supplies</v>
      </c>
      <c r="N266" s="18">
        <f>IFERROR(__xludf.DUMMYFUNCTION("""COMPUTED_VALUE"""),14.75)</f>
        <v>14.75</v>
      </c>
      <c r="O266" s="18">
        <f>IFERROR(__xludf.DUMMYFUNCTION("""COMPUTED_VALUE"""),14.38)</f>
        <v>14.38</v>
      </c>
      <c r="P266" s="22">
        <f>IFERROR(__xludf.DUMMYFUNCTION("""COMPUTED_VALUE"""),9.0)</f>
        <v>9</v>
      </c>
      <c r="Q266" s="18">
        <f>IFERROR(__xludf.DUMMYFUNCTION("""COMPUTED_VALUE"""),132.75)</f>
        <v>132.75</v>
      </c>
      <c r="R266" s="18">
        <f>IFERROR(__xludf.DUMMYFUNCTION("""COMPUTED_VALUE"""),118.37)</f>
        <v>118.37</v>
      </c>
    </row>
    <row r="267">
      <c r="A267" s="21">
        <f>IFERROR(__xludf.DUMMYFUNCTION("""COMPUTED_VALUE"""),42674.0)</f>
        <v>42674</v>
      </c>
      <c r="B267" s="21" t="str">
        <f>IFERROR(__xludf.DUMMYFUNCTION("""COMPUTED_VALUE"""),"Oct")</f>
        <v>Oct</v>
      </c>
      <c r="C267" s="9">
        <f>IFERROR(__xludf.DUMMYFUNCTION("""COMPUTED_VALUE"""),42471.0)</f>
        <v>42471</v>
      </c>
      <c r="D267" s="23" t="str">
        <f>IFERROR(__xludf.DUMMYFUNCTION("""COMPUTED_VALUE"""),"Apr")</f>
        <v>Apr</v>
      </c>
      <c r="E267" s="21" t="str">
        <f>IFERROR(__xludf.DUMMYFUNCTION("""COMPUTED_VALUE"""),"2016")</f>
        <v>2016</v>
      </c>
      <c r="F267" s="22" t="str">
        <f>IFERROR(__xludf.DUMMYFUNCTION("""COMPUTED_VALUE"""),"Second Class")</f>
        <v>Second Class</v>
      </c>
      <c r="G267" s="22" t="str">
        <f>IFERROR(__xludf.DUMMYFUNCTION("""COMPUTED_VALUE"""),"Damala")</f>
        <v>Damala</v>
      </c>
      <c r="H267" s="22" t="str">
        <f>IFERROR(__xludf.DUMMYFUNCTION("""COMPUTED_VALUE"""),"Kotsonis")</f>
        <v>Kotsonis</v>
      </c>
      <c r="I267" s="22" t="str">
        <f>IFERROR(__xludf.DUMMYFUNCTION("""COMPUTED_VALUE"""),"Corporate")</f>
        <v>Corporate</v>
      </c>
      <c r="J267" s="22" t="str">
        <f>IFERROR(__xludf.DUMMYFUNCTION("""COMPUTED_VALUE"""),"Salinas")</f>
        <v>Salinas</v>
      </c>
      <c r="K267" s="22" t="str">
        <f>IFERROR(__xludf.DUMMYFUNCTION("""COMPUTED_VALUE"""),"California")</f>
        <v>California</v>
      </c>
      <c r="L267" s="22" t="str">
        <f>IFERROR(__xludf.DUMMYFUNCTION("""COMPUTED_VALUE"""),"West")</f>
        <v>West</v>
      </c>
      <c r="M267" s="22" t="str">
        <f>IFERROR(__xludf.DUMMYFUNCTION("""COMPUTED_VALUE"""),"Office Supplies")</f>
        <v>Office Supplies</v>
      </c>
      <c r="N267" s="18">
        <f>IFERROR(__xludf.DUMMYFUNCTION("""COMPUTED_VALUE"""),29.8)</f>
        <v>29.8</v>
      </c>
      <c r="O267" s="18">
        <f>IFERROR(__xludf.DUMMYFUNCTION("""COMPUTED_VALUE"""),29.02)</f>
        <v>29.02</v>
      </c>
      <c r="P267" s="22">
        <f>IFERROR(__xludf.DUMMYFUNCTION("""COMPUTED_VALUE"""),9.0)</f>
        <v>9</v>
      </c>
      <c r="Q267" s="18">
        <f>IFERROR(__xludf.DUMMYFUNCTION("""COMPUTED_VALUE"""),268.2)</f>
        <v>268.2</v>
      </c>
      <c r="R267" s="18">
        <f>IFERROR(__xludf.DUMMYFUNCTION("""COMPUTED_VALUE"""),239.17999999999998)</f>
        <v>239.18</v>
      </c>
    </row>
    <row r="268">
      <c r="A268" s="21">
        <f>IFERROR(__xludf.DUMMYFUNCTION("""COMPUTED_VALUE"""),42674.0)</f>
        <v>42674</v>
      </c>
      <c r="B268" s="21" t="str">
        <f>IFERROR(__xludf.DUMMYFUNCTION("""COMPUTED_VALUE"""),"Oct")</f>
        <v>Oct</v>
      </c>
      <c r="C268" s="9">
        <f>IFERROR(__xludf.DUMMYFUNCTION("""COMPUTED_VALUE"""),42471.0)</f>
        <v>42471</v>
      </c>
      <c r="D268" s="23" t="str">
        <f>IFERROR(__xludf.DUMMYFUNCTION("""COMPUTED_VALUE"""),"Apr")</f>
        <v>Apr</v>
      </c>
      <c r="E268" s="21" t="str">
        <f>IFERROR(__xludf.DUMMYFUNCTION("""COMPUTED_VALUE"""),"2016")</f>
        <v>2016</v>
      </c>
      <c r="F268" s="22" t="str">
        <f>IFERROR(__xludf.DUMMYFUNCTION("""COMPUTED_VALUE"""),"Second Class")</f>
        <v>Second Class</v>
      </c>
      <c r="G268" s="22" t="str">
        <f>IFERROR(__xludf.DUMMYFUNCTION("""COMPUTED_VALUE"""),"Damala")</f>
        <v>Damala</v>
      </c>
      <c r="H268" s="22" t="str">
        <f>IFERROR(__xludf.DUMMYFUNCTION("""COMPUTED_VALUE"""),"Kotsonis")</f>
        <v>Kotsonis</v>
      </c>
      <c r="I268" s="22" t="str">
        <f>IFERROR(__xludf.DUMMYFUNCTION("""COMPUTED_VALUE"""),"Corporate")</f>
        <v>Corporate</v>
      </c>
      <c r="J268" s="22" t="str">
        <f>IFERROR(__xludf.DUMMYFUNCTION("""COMPUTED_VALUE"""),"Salinas")</f>
        <v>Salinas</v>
      </c>
      <c r="K268" s="22" t="str">
        <f>IFERROR(__xludf.DUMMYFUNCTION("""COMPUTED_VALUE"""),"California")</f>
        <v>California</v>
      </c>
      <c r="L268" s="22" t="str">
        <f>IFERROR(__xludf.DUMMYFUNCTION("""COMPUTED_VALUE"""),"West")</f>
        <v>West</v>
      </c>
      <c r="M268" s="22" t="str">
        <f>IFERROR(__xludf.DUMMYFUNCTION("""COMPUTED_VALUE"""),"Office Supplies")</f>
        <v>Office Supplies</v>
      </c>
      <c r="N268" s="18">
        <f>IFERROR(__xludf.DUMMYFUNCTION("""COMPUTED_VALUE"""),427.42)</f>
        <v>427.42</v>
      </c>
      <c r="O268" s="18">
        <f>IFERROR(__xludf.DUMMYFUNCTION("""COMPUTED_VALUE"""),427.03)</f>
        <v>427.03</v>
      </c>
      <c r="P268" s="22">
        <f>IFERROR(__xludf.DUMMYFUNCTION("""COMPUTED_VALUE"""),9.0)</f>
        <v>9</v>
      </c>
      <c r="Q268" s="18">
        <f>IFERROR(__xludf.DUMMYFUNCTION("""COMPUTED_VALUE"""),3846.78)</f>
        <v>3846.78</v>
      </c>
      <c r="R268" s="18">
        <f>IFERROR(__xludf.DUMMYFUNCTION("""COMPUTED_VALUE"""),3419.75)</f>
        <v>3419.75</v>
      </c>
    </row>
    <row r="269">
      <c r="A269" s="21">
        <f>IFERROR(__xludf.DUMMYFUNCTION("""COMPUTED_VALUE"""),43453.0)</f>
        <v>43453</v>
      </c>
      <c r="B269" s="21" t="str">
        <f>IFERROR(__xludf.DUMMYFUNCTION("""COMPUTED_VALUE"""),"Dec")</f>
        <v>Dec</v>
      </c>
      <c r="C269" s="9">
        <f>IFERROR(__xludf.DUMMYFUNCTION("""COMPUTED_VALUE"""),43458.0)</f>
        <v>43458</v>
      </c>
      <c r="D269" s="23" t="str">
        <f>IFERROR(__xludf.DUMMYFUNCTION("""COMPUTED_VALUE"""),"Dec")</f>
        <v>Dec</v>
      </c>
      <c r="E269" s="21" t="str">
        <f>IFERROR(__xludf.DUMMYFUNCTION("""COMPUTED_VALUE"""),"2018")</f>
        <v>2018</v>
      </c>
      <c r="F269" s="22" t="str">
        <f>IFERROR(__xludf.DUMMYFUNCTION("""COMPUTED_VALUE"""),"Second Class")</f>
        <v>Second Class</v>
      </c>
      <c r="G269" s="22" t="str">
        <f>IFERROR(__xludf.DUMMYFUNCTION("""COMPUTED_VALUE"""),"Michael")</f>
        <v>Michael</v>
      </c>
      <c r="H269" s="22" t="str">
        <f>IFERROR(__xludf.DUMMYFUNCTION("""COMPUTED_VALUE"""),"Moore")</f>
        <v>Moore</v>
      </c>
      <c r="I269" s="22" t="str">
        <f>IFERROR(__xludf.DUMMYFUNCTION("""COMPUTED_VALUE"""),"Consumer")</f>
        <v>Consumer</v>
      </c>
      <c r="J269" s="22" t="str">
        <f>IFERROR(__xludf.DUMMYFUNCTION("""COMPUTED_VALUE"""),"San Francisco")</f>
        <v>San Francisco</v>
      </c>
      <c r="K269" s="22" t="str">
        <f>IFERROR(__xludf.DUMMYFUNCTION("""COMPUTED_VALUE"""),"California")</f>
        <v>California</v>
      </c>
      <c r="L269" s="22" t="str">
        <f>IFERROR(__xludf.DUMMYFUNCTION("""COMPUTED_VALUE"""),"West")</f>
        <v>West</v>
      </c>
      <c r="M269" s="22" t="str">
        <f>IFERROR(__xludf.DUMMYFUNCTION("""COMPUTED_VALUE"""),"Office Supplies")</f>
        <v>Office Supplies</v>
      </c>
      <c r="N269" s="18">
        <f>IFERROR(__xludf.DUMMYFUNCTION("""COMPUTED_VALUE"""),36.672)</f>
        <v>36.672</v>
      </c>
      <c r="O269" s="18">
        <f>IFERROR(__xludf.DUMMYFUNCTION("""COMPUTED_VALUE"""),36.0)</f>
        <v>36</v>
      </c>
      <c r="P269" s="22">
        <f>IFERROR(__xludf.DUMMYFUNCTION("""COMPUTED_VALUE"""),9.0)</f>
        <v>9</v>
      </c>
      <c r="Q269" s="18">
        <f>IFERROR(__xludf.DUMMYFUNCTION("""COMPUTED_VALUE"""),330.048)</f>
        <v>330.048</v>
      </c>
      <c r="R269" s="18">
        <f>IFERROR(__xludf.DUMMYFUNCTION("""COMPUTED_VALUE"""),294.048)</f>
        <v>294.048</v>
      </c>
    </row>
    <row r="270">
      <c r="A270" s="21">
        <f>IFERROR(__xludf.DUMMYFUNCTION("""COMPUTED_VALUE"""),42374.0)</f>
        <v>42374</v>
      </c>
      <c r="B270" s="21" t="str">
        <f>IFERROR(__xludf.DUMMYFUNCTION("""COMPUTED_VALUE"""),"Jan")</f>
        <v>Jan</v>
      </c>
      <c r="C270" s="9">
        <f>IFERROR(__xludf.DUMMYFUNCTION("""COMPUTED_VALUE"""),42556.0)</f>
        <v>42556</v>
      </c>
      <c r="D270" s="23" t="str">
        <f>IFERROR(__xludf.DUMMYFUNCTION("""COMPUTED_VALUE"""),"Jul")</f>
        <v>Jul</v>
      </c>
      <c r="E270" s="21" t="str">
        <f>IFERROR(__xludf.DUMMYFUNCTION("""COMPUTED_VALUE"""),"2016")</f>
        <v>2016</v>
      </c>
      <c r="F270" s="22" t="str">
        <f>IFERROR(__xludf.DUMMYFUNCTION("""COMPUTED_VALUE"""),"Standard Class")</f>
        <v>Standard Class</v>
      </c>
      <c r="G270" s="22" t="str">
        <f>IFERROR(__xludf.DUMMYFUNCTION("""COMPUTED_VALUE"""),"Jennifer")</f>
        <v>Jennifer</v>
      </c>
      <c r="H270" s="22" t="str">
        <f>IFERROR(__xludf.DUMMYFUNCTION("""COMPUTED_VALUE"""),"Braxton")</f>
        <v>Braxton</v>
      </c>
      <c r="I270" s="22" t="str">
        <f>IFERROR(__xludf.DUMMYFUNCTION("""COMPUTED_VALUE"""),"Corporate")</f>
        <v>Corporate</v>
      </c>
      <c r="J270" s="22" t="str">
        <f>IFERROR(__xludf.DUMMYFUNCTION("""COMPUTED_VALUE"""),"Los Angeles")</f>
        <v>Los Angeles</v>
      </c>
      <c r="K270" s="22" t="str">
        <f>IFERROR(__xludf.DUMMYFUNCTION("""COMPUTED_VALUE"""),"California")</f>
        <v>California</v>
      </c>
      <c r="L270" s="22" t="str">
        <f>IFERROR(__xludf.DUMMYFUNCTION("""COMPUTED_VALUE"""),"West")</f>
        <v>West</v>
      </c>
      <c r="M270" s="22" t="str">
        <f>IFERROR(__xludf.DUMMYFUNCTION("""COMPUTED_VALUE"""),"Technology")</f>
        <v>Technology</v>
      </c>
      <c r="N270" s="18">
        <f>IFERROR(__xludf.DUMMYFUNCTION("""COMPUTED_VALUE"""),88.752)</f>
        <v>88.752</v>
      </c>
      <c r="O270" s="18">
        <f>IFERROR(__xludf.DUMMYFUNCTION("""COMPUTED_VALUE"""),88.64)</f>
        <v>88.64</v>
      </c>
      <c r="P270" s="22">
        <f>IFERROR(__xludf.DUMMYFUNCTION("""COMPUTED_VALUE"""),9.0)</f>
        <v>9</v>
      </c>
      <c r="Q270" s="18">
        <f>IFERROR(__xludf.DUMMYFUNCTION("""COMPUTED_VALUE"""),798.7679999999999)</f>
        <v>798.768</v>
      </c>
      <c r="R270" s="18">
        <f>IFERROR(__xludf.DUMMYFUNCTION("""COMPUTED_VALUE"""),710.1279999999999)</f>
        <v>710.128</v>
      </c>
    </row>
    <row r="271">
      <c r="A271" s="21">
        <f>IFERROR(__xludf.DUMMYFUNCTION("""COMPUTED_VALUE"""),43411.0)</f>
        <v>43411</v>
      </c>
      <c r="B271" s="21" t="str">
        <f>IFERROR(__xludf.DUMMYFUNCTION("""COMPUTED_VALUE"""),"Nov")</f>
        <v>Nov</v>
      </c>
      <c r="C271" s="9">
        <f>IFERROR(__xludf.DUMMYFUNCTION("""COMPUTED_VALUE"""),43296.0)</f>
        <v>43296</v>
      </c>
      <c r="D271" s="23" t="str">
        <f>IFERROR(__xludf.DUMMYFUNCTION("""COMPUTED_VALUE"""),"Jul")</f>
        <v>Jul</v>
      </c>
      <c r="E271" s="21" t="str">
        <f>IFERROR(__xludf.DUMMYFUNCTION("""COMPUTED_VALUE"""),"2018")</f>
        <v>2018</v>
      </c>
      <c r="F271" s="22" t="str">
        <f>IFERROR(__xludf.DUMMYFUNCTION("""COMPUTED_VALUE"""),"Standard Class")</f>
        <v>Standard Class</v>
      </c>
      <c r="G271" s="22" t="str">
        <f>IFERROR(__xludf.DUMMYFUNCTION("""COMPUTED_VALUE"""),"Katherine")</f>
        <v>Katherine</v>
      </c>
      <c r="H271" s="22" t="str">
        <f>IFERROR(__xludf.DUMMYFUNCTION("""COMPUTED_VALUE"""),"Nockton")</f>
        <v>Nockton</v>
      </c>
      <c r="I271" s="22" t="str">
        <f>IFERROR(__xludf.DUMMYFUNCTION("""COMPUTED_VALUE"""),"Corporate")</f>
        <v>Corporate</v>
      </c>
      <c r="J271" s="22" t="str">
        <f>IFERROR(__xludf.DUMMYFUNCTION("""COMPUTED_VALUE"""),"Los Angeles")</f>
        <v>Los Angeles</v>
      </c>
      <c r="K271" s="22" t="str">
        <f>IFERROR(__xludf.DUMMYFUNCTION("""COMPUTED_VALUE"""),"California")</f>
        <v>California</v>
      </c>
      <c r="L271" s="22" t="str">
        <f>IFERROR(__xludf.DUMMYFUNCTION("""COMPUTED_VALUE"""),"West")</f>
        <v>West</v>
      </c>
      <c r="M271" s="22" t="str">
        <f>IFERROR(__xludf.DUMMYFUNCTION("""COMPUTED_VALUE"""),"Office Supplies")</f>
        <v>Office Supplies</v>
      </c>
      <c r="N271" s="18">
        <f>IFERROR(__xludf.DUMMYFUNCTION("""COMPUTED_VALUE"""),8.67)</f>
        <v>8.67</v>
      </c>
      <c r="O271" s="18">
        <f>IFERROR(__xludf.DUMMYFUNCTION("""COMPUTED_VALUE"""),7.77)</f>
        <v>7.77</v>
      </c>
      <c r="P271" s="22">
        <f>IFERROR(__xludf.DUMMYFUNCTION("""COMPUTED_VALUE"""),9.0)</f>
        <v>9</v>
      </c>
      <c r="Q271" s="18">
        <f>IFERROR(__xludf.DUMMYFUNCTION("""COMPUTED_VALUE"""),78.03)</f>
        <v>78.03</v>
      </c>
      <c r="R271" s="18">
        <f>IFERROR(__xludf.DUMMYFUNCTION("""COMPUTED_VALUE"""),70.26)</f>
        <v>70.26</v>
      </c>
    </row>
    <row r="272">
      <c r="A272" s="21">
        <f>IFERROR(__xludf.DUMMYFUNCTION("""COMPUTED_VALUE"""),43423.0)</f>
        <v>43423</v>
      </c>
      <c r="B272" s="21" t="str">
        <f>IFERROR(__xludf.DUMMYFUNCTION("""COMPUTED_VALUE"""),"Nov")</f>
        <v>Nov</v>
      </c>
      <c r="C272" s="9">
        <f>IFERROR(__xludf.DUMMYFUNCTION("""COMPUTED_VALUE"""),43424.0)</f>
        <v>43424</v>
      </c>
      <c r="D272" s="23" t="str">
        <f>IFERROR(__xludf.DUMMYFUNCTION("""COMPUTED_VALUE"""),"Nov")</f>
        <v>Nov</v>
      </c>
      <c r="E272" s="21" t="str">
        <f>IFERROR(__xludf.DUMMYFUNCTION("""COMPUTED_VALUE"""),"2018")</f>
        <v>2018</v>
      </c>
      <c r="F272" s="22" t="str">
        <f>IFERROR(__xludf.DUMMYFUNCTION("""COMPUTED_VALUE"""),"First Class")</f>
        <v>First Class</v>
      </c>
      <c r="G272" s="22" t="str">
        <f>IFERROR(__xludf.DUMMYFUNCTION("""COMPUTED_VALUE"""),"Katherine")</f>
        <v>Katherine</v>
      </c>
      <c r="H272" s="22" t="str">
        <f>IFERROR(__xludf.DUMMYFUNCTION("""COMPUTED_VALUE"""),"Ducich")</f>
        <v>Ducich</v>
      </c>
      <c r="I272" s="22" t="str">
        <f>IFERROR(__xludf.DUMMYFUNCTION("""COMPUTED_VALUE"""),"Consumer")</f>
        <v>Consumer</v>
      </c>
      <c r="J272" s="22" t="str">
        <f>IFERROR(__xludf.DUMMYFUNCTION("""COMPUTED_VALUE"""),"Westminster")</f>
        <v>Westminster</v>
      </c>
      <c r="K272" s="22" t="str">
        <f>IFERROR(__xludf.DUMMYFUNCTION("""COMPUTED_VALUE"""),"California")</f>
        <v>California</v>
      </c>
      <c r="L272" s="22" t="str">
        <f>IFERROR(__xludf.DUMMYFUNCTION("""COMPUTED_VALUE"""),"West")</f>
        <v>West</v>
      </c>
      <c r="M272" s="22" t="str">
        <f>IFERROR(__xludf.DUMMYFUNCTION("""COMPUTED_VALUE"""),"Technology")</f>
        <v>Technology</v>
      </c>
      <c r="N272" s="18">
        <f>IFERROR(__xludf.DUMMYFUNCTION("""COMPUTED_VALUE"""),31.968)</f>
        <v>31.968</v>
      </c>
      <c r="O272" s="18">
        <f>IFERROR(__xludf.DUMMYFUNCTION("""COMPUTED_VALUE"""),31.57)</f>
        <v>31.57</v>
      </c>
      <c r="P272" s="22">
        <f>IFERROR(__xludf.DUMMYFUNCTION("""COMPUTED_VALUE"""),9.0)</f>
        <v>9</v>
      </c>
      <c r="Q272" s="18">
        <f>IFERROR(__xludf.DUMMYFUNCTION("""COMPUTED_VALUE"""),287.712)</f>
        <v>287.712</v>
      </c>
      <c r="R272" s="18">
        <f>IFERROR(__xludf.DUMMYFUNCTION("""COMPUTED_VALUE"""),256.142)</f>
        <v>256.142</v>
      </c>
    </row>
    <row r="273">
      <c r="A273" s="21">
        <f>IFERROR(__xludf.DUMMYFUNCTION("""COMPUTED_VALUE"""),42778.0)</f>
        <v>42778</v>
      </c>
      <c r="B273" s="21" t="str">
        <f>IFERROR(__xludf.DUMMYFUNCTION("""COMPUTED_VALUE"""),"Feb")</f>
        <v>Feb</v>
      </c>
      <c r="C273" s="9">
        <f>IFERROR(__xludf.DUMMYFUNCTION("""COMPUTED_VALUE"""),42959.0)</f>
        <v>42959</v>
      </c>
      <c r="D273" s="23" t="str">
        <f>IFERROR(__xludf.DUMMYFUNCTION("""COMPUTED_VALUE"""),"Aug")</f>
        <v>Aug</v>
      </c>
      <c r="E273" s="21" t="str">
        <f>IFERROR(__xludf.DUMMYFUNCTION("""COMPUTED_VALUE"""),"2017")</f>
        <v>2017</v>
      </c>
      <c r="F273" s="22" t="str">
        <f>IFERROR(__xludf.DUMMYFUNCTION("""COMPUTED_VALUE"""),"Standard Class")</f>
        <v>Standard Class</v>
      </c>
      <c r="G273" s="22" t="str">
        <f>IFERROR(__xludf.DUMMYFUNCTION("""COMPUTED_VALUE"""),"Mike")</f>
        <v>Mike</v>
      </c>
      <c r="H273" s="22" t="str">
        <f>IFERROR(__xludf.DUMMYFUNCTION("""COMPUTED_VALUE"""),"Kennedy")</f>
        <v>Kennedy</v>
      </c>
      <c r="I273" s="22" t="str">
        <f>IFERROR(__xludf.DUMMYFUNCTION("""COMPUTED_VALUE"""),"Consumer")</f>
        <v>Consumer</v>
      </c>
      <c r="J273" s="22" t="str">
        <f>IFERROR(__xludf.DUMMYFUNCTION("""COMPUTED_VALUE"""),"San Francisco")</f>
        <v>San Francisco</v>
      </c>
      <c r="K273" s="22" t="str">
        <f>IFERROR(__xludf.DUMMYFUNCTION("""COMPUTED_VALUE"""),"California")</f>
        <v>California</v>
      </c>
      <c r="L273" s="22" t="str">
        <f>IFERROR(__xludf.DUMMYFUNCTION("""COMPUTED_VALUE"""),"West")</f>
        <v>West</v>
      </c>
      <c r="M273" s="22" t="str">
        <f>IFERROR(__xludf.DUMMYFUNCTION("""COMPUTED_VALUE"""),"Office Supplies")</f>
        <v>Office Supplies</v>
      </c>
      <c r="N273" s="18">
        <f>IFERROR(__xludf.DUMMYFUNCTION("""COMPUTED_VALUE"""),25.92)</f>
        <v>25.92</v>
      </c>
      <c r="O273" s="18">
        <f>IFERROR(__xludf.DUMMYFUNCTION("""COMPUTED_VALUE"""),25.18)</f>
        <v>25.18</v>
      </c>
      <c r="P273" s="22">
        <f>IFERROR(__xludf.DUMMYFUNCTION("""COMPUTED_VALUE"""),9.0)</f>
        <v>9</v>
      </c>
      <c r="Q273" s="18">
        <f>IFERROR(__xludf.DUMMYFUNCTION("""COMPUTED_VALUE"""),233.28000000000003)</f>
        <v>233.28</v>
      </c>
      <c r="R273" s="18">
        <f>IFERROR(__xludf.DUMMYFUNCTION("""COMPUTED_VALUE"""),208.10000000000002)</f>
        <v>208.1</v>
      </c>
    </row>
    <row r="274">
      <c r="A274" s="21">
        <f>IFERROR(__xludf.DUMMYFUNCTION("""COMPUTED_VALUE"""),42778.0)</f>
        <v>42778</v>
      </c>
      <c r="B274" s="21" t="str">
        <f>IFERROR(__xludf.DUMMYFUNCTION("""COMPUTED_VALUE"""),"Feb")</f>
        <v>Feb</v>
      </c>
      <c r="C274" s="9">
        <f>IFERROR(__xludf.DUMMYFUNCTION("""COMPUTED_VALUE"""),42959.0)</f>
        <v>42959</v>
      </c>
      <c r="D274" s="23" t="str">
        <f>IFERROR(__xludf.DUMMYFUNCTION("""COMPUTED_VALUE"""),"Aug")</f>
        <v>Aug</v>
      </c>
      <c r="E274" s="21" t="str">
        <f>IFERROR(__xludf.DUMMYFUNCTION("""COMPUTED_VALUE"""),"2017")</f>
        <v>2017</v>
      </c>
      <c r="F274" s="22" t="str">
        <f>IFERROR(__xludf.DUMMYFUNCTION("""COMPUTED_VALUE"""),"Standard Class")</f>
        <v>Standard Class</v>
      </c>
      <c r="G274" s="22" t="str">
        <f>IFERROR(__xludf.DUMMYFUNCTION("""COMPUTED_VALUE"""),"Mike")</f>
        <v>Mike</v>
      </c>
      <c r="H274" s="22" t="str">
        <f>IFERROR(__xludf.DUMMYFUNCTION("""COMPUTED_VALUE"""),"Kennedy")</f>
        <v>Kennedy</v>
      </c>
      <c r="I274" s="22" t="str">
        <f>IFERROR(__xludf.DUMMYFUNCTION("""COMPUTED_VALUE"""),"Consumer")</f>
        <v>Consumer</v>
      </c>
      <c r="J274" s="22" t="str">
        <f>IFERROR(__xludf.DUMMYFUNCTION("""COMPUTED_VALUE"""),"San Francisco")</f>
        <v>San Francisco</v>
      </c>
      <c r="K274" s="22" t="str">
        <f>IFERROR(__xludf.DUMMYFUNCTION("""COMPUTED_VALUE"""),"California")</f>
        <v>California</v>
      </c>
      <c r="L274" s="22" t="str">
        <f>IFERROR(__xludf.DUMMYFUNCTION("""COMPUTED_VALUE"""),"West")</f>
        <v>West</v>
      </c>
      <c r="M274" s="22" t="str">
        <f>IFERROR(__xludf.DUMMYFUNCTION("""COMPUTED_VALUE"""),"Office Supplies")</f>
        <v>Office Supplies</v>
      </c>
      <c r="N274" s="18">
        <f>IFERROR(__xludf.DUMMYFUNCTION("""COMPUTED_VALUE"""),40.46)</f>
        <v>40.46</v>
      </c>
      <c r="O274" s="18">
        <f>IFERROR(__xludf.DUMMYFUNCTION("""COMPUTED_VALUE"""),40.0)</f>
        <v>40</v>
      </c>
      <c r="P274" s="22">
        <f>IFERROR(__xludf.DUMMYFUNCTION("""COMPUTED_VALUE"""),9.0)</f>
        <v>9</v>
      </c>
      <c r="Q274" s="18">
        <f>IFERROR(__xludf.DUMMYFUNCTION("""COMPUTED_VALUE"""),364.14)</f>
        <v>364.14</v>
      </c>
      <c r="R274" s="18">
        <f>IFERROR(__xludf.DUMMYFUNCTION("""COMPUTED_VALUE"""),324.14)</f>
        <v>324.14</v>
      </c>
    </row>
    <row r="275">
      <c r="A275" s="21">
        <f>IFERROR(__xludf.DUMMYFUNCTION("""COMPUTED_VALUE"""),42778.0)</f>
        <v>42778</v>
      </c>
      <c r="B275" s="21" t="str">
        <f>IFERROR(__xludf.DUMMYFUNCTION("""COMPUTED_VALUE"""),"Feb")</f>
        <v>Feb</v>
      </c>
      <c r="C275" s="9">
        <f>IFERROR(__xludf.DUMMYFUNCTION("""COMPUTED_VALUE"""),42959.0)</f>
        <v>42959</v>
      </c>
      <c r="D275" s="23" t="str">
        <f>IFERROR(__xludf.DUMMYFUNCTION("""COMPUTED_VALUE"""),"Aug")</f>
        <v>Aug</v>
      </c>
      <c r="E275" s="21" t="str">
        <f>IFERROR(__xludf.DUMMYFUNCTION("""COMPUTED_VALUE"""),"2017")</f>
        <v>2017</v>
      </c>
      <c r="F275" s="22" t="str">
        <f>IFERROR(__xludf.DUMMYFUNCTION("""COMPUTED_VALUE"""),"Standard Class")</f>
        <v>Standard Class</v>
      </c>
      <c r="G275" s="22" t="str">
        <f>IFERROR(__xludf.DUMMYFUNCTION("""COMPUTED_VALUE"""),"Mike")</f>
        <v>Mike</v>
      </c>
      <c r="H275" s="22" t="str">
        <f>IFERROR(__xludf.DUMMYFUNCTION("""COMPUTED_VALUE"""),"Kennedy")</f>
        <v>Kennedy</v>
      </c>
      <c r="I275" s="22" t="str">
        <f>IFERROR(__xludf.DUMMYFUNCTION("""COMPUTED_VALUE"""),"Consumer")</f>
        <v>Consumer</v>
      </c>
      <c r="J275" s="22" t="str">
        <f>IFERROR(__xludf.DUMMYFUNCTION("""COMPUTED_VALUE"""),"San Francisco")</f>
        <v>San Francisco</v>
      </c>
      <c r="K275" s="22" t="str">
        <f>IFERROR(__xludf.DUMMYFUNCTION("""COMPUTED_VALUE"""),"California")</f>
        <v>California</v>
      </c>
      <c r="L275" s="22" t="str">
        <f>IFERROR(__xludf.DUMMYFUNCTION("""COMPUTED_VALUE"""),"West")</f>
        <v>West</v>
      </c>
      <c r="M275" s="22" t="str">
        <f>IFERROR(__xludf.DUMMYFUNCTION("""COMPUTED_VALUE"""),"Office Supplies")</f>
        <v>Office Supplies</v>
      </c>
      <c r="N275" s="18">
        <f>IFERROR(__xludf.DUMMYFUNCTION("""COMPUTED_VALUE"""),33.87)</f>
        <v>33.87</v>
      </c>
      <c r="O275" s="18">
        <f>IFERROR(__xludf.DUMMYFUNCTION("""COMPUTED_VALUE"""),33.86)</f>
        <v>33.86</v>
      </c>
      <c r="P275" s="22">
        <f>IFERROR(__xludf.DUMMYFUNCTION("""COMPUTED_VALUE"""),9.0)</f>
        <v>9</v>
      </c>
      <c r="Q275" s="18">
        <f>IFERROR(__xludf.DUMMYFUNCTION("""COMPUTED_VALUE"""),304.83)</f>
        <v>304.83</v>
      </c>
      <c r="R275" s="18">
        <f>IFERROR(__xludf.DUMMYFUNCTION("""COMPUTED_VALUE"""),270.96999999999997)</f>
        <v>270.97</v>
      </c>
    </row>
    <row r="276">
      <c r="A276" s="21">
        <f>IFERROR(__xludf.DUMMYFUNCTION("""COMPUTED_VALUE"""),42440.0)</f>
        <v>42440</v>
      </c>
      <c r="B276" s="21" t="str">
        <f>IFERROR(__xludf.DUMMYFUNCTION("""COMPUTED_VALUE"""),"Mar")</f>
        <v>Mar</v>
      </c>
      <c r="C276" s="9">
        <f>IFERROR(__xludf.DUMMYFUNCTION("""COMPUTED_VALUE"""),42562.0)</f>
        <v>42562</v>
      </c>
      <c r="D276" s="23" t="str">
        <f>IFERROR(__xludf.DUMMYFUNCTION("""COMPUTED_VALUE"""),"Jul")</f>
        <v>Jul</v>
      </c>
      <c r="E276" s="21" t="str">
        <f>IFERROR(__xludf.DUMMYFUNCTION("""COMPUTED_VALUE"""),"2016")</f>
        <v>2016</v>
      </c>
      <c r="F276" s="22" t="str">
        <f>IFERROR(__xludf.DUMMYFUNCTION("""COMPUTED_VALUE"""),"Standard Class")</f>
        <v>Standard Class</v>
      </c>
      <c r="G276" s="22" t="str">
        <f>IFERROR(__xludf.DUMMYFUNCTION("""COMPUTED_VALUE"""),"Corinna")</f>
        <v>Corinna</v>
      </c>
      <c r="H276" s="22" t="str">
        <f>IFERROR(__xludf.DUMMYFUNCTION("""COMPUTED_VALUE"""),"Mitchell")</f>
        <v>Mitchell</v>
      </c>
      <c r="I276" s="22" t="str">
        <f>IFERROR(__xludf.DUMMYFUNCTION("""COMPUTED_VALUE"""),"Home Office")</f>
        <v>Home Office</v>
      </c>
      <c r="J276" s="22" t="str">
        <f>IFERROR(__xludf.DUMMYFUNCTION("""COMPUTED_VALUE"""),"Los Angeles")</f>
        <v>Los Angeles</v>
      </c>
      <c r="K276" s="22" t="str">
        <f>IFERROR(__xludf.DUMMYFUNCTION("""COMPUTED_VALUE"""),"California")</f>
        <v>California</v>
      </c>
      <c r="L276" s="22" t="str">
        <f>IFERROR(__xludf.DUMMYFUNCTION("""COMPUTED_VALUE"""),"West")</f>
        <v>West</v>
      </c>
      <c r="M276" s="22" t="str">
        <f>IFERROR(__xludf.DUMMYFUNCTION("""COMPUTED_VALUE"""),"Technology")</f>
        <v>Technology</v>
      </c>
      <c r="N276" s="18">
        <f>IFERROR(__xludf.DUMMYFUNCTION("""COMPUTED_VALUE"""),1212.848)</f>
        <v>1212.848</v>
      </c>
      <c r="O276" s="18">
        <f>IFERROR(__xludf.DUMMYFUNCTION("""COMPUTED_VALUE"""),1212.8)</f>
        <v>1212.8</v>
      </c>
      <c r="P276" s="22">
        <f>IFERROR(__xludf.DUMMYFUNCTION("""COMPUTED_VALUE"""),9.0)</f>
        <v>9</v>
      </c>
      <c r="Q276" s="18">
        <f>IFERROR(__xludf.DUMMYFUNCTION("""COMPUTED_VALUE"""),10915.632)</f>
        <v>10915.632</v>
      </c>
      <c r="R276" s="18">
        <f>IFERROR(__xludf.DUMMYFUNCTION("""COMPUTED_VALUE"""),9702.832)</f>
        <v>9702.832</v>
      </c>
    </row>
    <row r="277">
      <c r="A277" s="21">
        <f>IFERROR(__xludf.DUMMYFUNCTION("""COMPUTED_VALUE"""),42440.0)</f>
        <v>42440</v>
      </c>
      <c r="B277" s="21" t="str">
        <f>IFERROR(__xludf.DUMMYFUNCTION("""COMPUTED_VALUE"""),"Mar")</f>
        <v>Mar</v>
      </c>
      <c r="C277" s="9">
        <f>IFERROR(__xludf.DUMMYFUNCTION("""COMPUTED_VALUE"""),42562.0)</f>
        <v>42562</v>
      </c>
      <c r="D277" s="23" t="str">
        <f>IFERROR(__xludf.DUMMYFUNCTION("""COMPUTED_VALUE"""),"Jul")</f>
        <v>Jul</v>
      </c>
      <c r="E277" s="21" t="str">
        <f>IFERROR(__xludf.DUMMYFUNCTION("""COMPUTED_VALUE"""),"2016")</f>
        <v>2016</v>
      </c>
      <c r="F277" s="22" t="str">
        <f>IFERROR(__xludf.DUMMYFUNCTION("""COMPUTED_VALUE"""),"Standard Class")</f>
        <v>Standard Class</v>
      </c>
      <c r="G277" s="22" t="str">
        <f>IFERROR(__xludf.DUMMYFUNCTION("""COMPUTED_VALUE"""),"Corinna")</f>
        <v>Corinna</v>
      </c>
      <c r="H277" s="22" t="str">
        <f>IFERROR(__xludf.DUMMYFUNCTION("""COMPUTED_VALUE"""),"Mitchell")</f>
        <v>Mitchell</v>
      </c>
      <c r="I277" s="22" t="str">
        <f>IFERROR(__xludf.DUMMYFUNCTION("""COMPUTED_VALUE"""),"Home Office")</f>
        <v>Home Office</v>
      </c>
      <c r="J277" s="22" t="str">
        <f>IFERROR(__xludf.DUMMYFUNCTION("""COMPUTED_VALUE"""),"Los Angeles")</f>
        <v>Los Angeles</v>
      </c>
      <c r="K277" s="22" t="str">
        <f>IFERROR(__xludf.DUMMYFUNCTION("""COMPUTED_VALUE"""),"California")</f>
        <v>California</v>
      </c>
      <c r="L277" s="22" t="str">
        <f>IFERROR(__xludf.DUMMYFUNCTION("""COMPUTED_VALUE"""),"West")</f>
        <v>West</v>
      </c>
      <c r="M277" s="22" t="str">
        <f>IFERROR(__xludf.DUMMYFUNCTION("""COMPUTED_VALUE"""),"Technology")</f>
        <v>Technology</v>
      </c>
      <c r="N277" s="18">
        <f>IFERROR(__xludf.DUMMYFUNCTION("""COMPUTED_VALUE"""),89.97)</f>
        <v>89.97</v>
      </c>
      <c r="O277" s="18">
        <f>IFERROR(__xludf.DUMMYFUNCTION("""COMPUTED_VALUE"""),89.31)</f>
        <v>89.31</v>
      </c>
      <c r="P277" s="22">
        <f>IFERROR(__xludf.DUMMYFUNCTION("""COMPUTED_VALUE"""),9.0)</f>
        <v>9</v>
      </c>
      <c r="Q277" s="18">
        <f>IFERROR(__xludf.DUMMYFUNCTION("""COMPUTED_VALUE"""),809.73)</f>
        <v>809.73</v>
      </c>
      <c r="R277" s="18">
        <f>IFERROR(__xludf.DUMMYFUNCTION("""COMPUTED_VALUE"""),720.4200000000001)</f>
        <v>720.42</v>
      </c>
    </row>
    <row r="278">
      <c r="A278" s="21">
        <f>IFERROR(__xludf.DUMMYFUNCTION("""COMPUTED_VALUE"""),42440.0)</f>
        <v>42440</v>
      </c>
      <c r="B278" s="21" t="str">
        <f>IFERROR(__xludf.DUMMYFUNCTION("""COMPUTED_VALUE"""),"Mar")</f>
        <v>Mar</v>
      </c>
      <c r="C278" s="9">
        <f>IFERROR(__xludf.DUMMYFUNCTION("""COMPUTED_VALUE"""),42562.0)</f>
        <v>42562</v>
      </c>
      <c r="D278" s="23" t="str">
        <f>IFERROR(__xludf.DUMMYFUNCTION("""COMPUTED_VALUE"""),"Jul")</f>
        <v>Jul</v>
      </c>
      <c r="E278" s="21" t="str">
        <f>IFERROR(__xludf.DUMMYFUNCTION("""COMPUTED_VALUE"""),"2016")</f>
        <v>2016</v>
      </c>
      <c r="F278" s="22" t="str">
        <f>IFERROR(__xludf.DUMMYFUNCTION("""COMPUTED_VALUE"""),"Standard Class")</f>
        <v>Standard Class</v>
      </c>
      <c r="G278" s="22" t="str">
        <f>IFERROR(__xludf.DUMMYFUNCTION("""COMPUTED_VALUE"""),"Corinna")</f>
        <v>Corinna</v>
      </c>
      <c r="H278" s="22" t="str">
        <f>IFERROR(__xludf.DUMMYFUNCTION("""COMPUTED_VALUE"""),"Mitchell")</f>
        <v>Mitchell</v>
      </c>
      <c r="I278" s="22" t="str">
        <f>IFERROR(__xludf.DUMMYFUNCTION("""COMPUTED_VALUE"""),"Home Office")</f>
        <v>Home Office</v>
      </c>
      <c r="J278" s="22" t="str">
        <f>IFERROR(__xludf.DUMMYFUNCTION("""COMPUTED_VALUE"""),"Los Angeles")</f>
        <v>Los Angeles</v>
      </c>
      <c r="K278" s="22" t="str">
        <f>IFERROR(__xludf.DUMMYFUNCTION("""COMPUTED_VALUE"""),"California")</f>
        <v>California</v>
      </c>
      <c r="L278" s="22" t="str">
        <f>IFERROR(__xludf.DUMMYFUNCTION("""COMPUTED_VALUE"""),"West")</f>
        <v>West</v>
      </c>
      <c r="M278" s="22" t="str">
        <f>IFERROR(__xludf.DUMMYFUNCTION("""COMPUTED_VALUE"""),"Furniture")</f>
        <v>Furniture</v>
      </c>
      <c r="N278" s="18">
        <f>IFERROR(__xludf.DUMMYFUNCTION("""COMPUTED_VALUE"""),42.6)</f>
        <v>42.6</v>
      </c>
      <c r="O278" s="18">
        <f>IFERROR(__xludf.DUMMYFUNCTION("""COMPUTED_VALUE"""),41.61)</f>
        <v>41.61</v>
      </c>
      <c r="P278" s="22">
        <f>IFERROR(__xludf.DUMMYFUNCTION("""COMPUTED_VALUE"""),9.0)</f>
        <v>9</v>
      </c>
      <c r="Q278" s="18">
        <f>IFERROR(__xludf.DUMMYFUNCTION("""COMPUTED_VALUE"""),383.40000000000003)</f>
        <v>383.4</v>
      </c>
      <c r="R278" s="18">
        <f>IFERROR(__xludf.DUMMYFUNCTION("""COMPUTED_VALUE"""),341.79)</f>
        <v>341.79</v>
      </c>
    </row>
    <row r="279">
      <c r="A279" s="21">
        <f>IFERROR(__xludf.DUMMYFUNCTION("""COMPUTED_VALUE"""),43025.0)</f>
        <v>43025</v>
      </c>
      <c r="B279" s="21" t="str">
        <f>IFERROR(__xludf.DUMMYFUNCTION("""COMPUTED_VALUE"""),"Oct")</f>
        <v>Oct</v>
      </c>
      <c r="C279" s="9">
        <f>IFERROR(__xludf.DUMMYFUNCTION("""COMPUTED_VALUE"""),43028.0)</f>
        <v>43028</v>
      </c>
      <c r="D279" s="23" t="str">
        <f>IFERROR(__xludf.DUMMYFUNCTION("""COMPUTED_VALUE"""),"Oct")</f>
        <v>Oct</v>
      </c>
      <c r="E279" s="21" t="str">
        <f>IFERROR(__xludf.DUMMYFUNCTION("""COMPUTED_VALUE"""),"2017")</f>
        <v>2017</v>
      </c>
      <c r="F279" s="22" t="str">
        <f>IFERROR(__xludf.DUMMYFUNCTION("""COMPUTED_VALUE"""),"First Class")</f>
        <v>First Class</v>
      </c>
      <c r="G279" s="22" t="str">
        <f>IFERROR(__xludf.DUMMYFUNCTION("""COMPUTED_VALUE"""),"Neil")</f>
        <v>Neil</v>
      </c>
      <c r="H279" s="22" t="str">
        <f>IFERROR(__xludf.DUMMYFUNCTION("""COMPUTED_VALUE"""),"Knudson")</f>
        <v>Knudson</v>
      </c>
      <c r="I279" s="22" t="str">
        <f>IFERROR(__xludf.DUMMYFUNCTION("""COMPUTED_VALUE"""),"Home Office")</f>
        <v>Home Office</v>
      </c>
      <c r="J279" s="22" t="str">
        <f>IFERROR(__xludf.DUMMYFUNCTION("""COMPUTED_VALUE"""),"San Francisco")</f>
        <v>San Francisco</v>
      </c>
      <c r="K279" s="22" t="str">
        <f>IFERROR(__xludf.DUMMYFUNCTION("""COMPUTED_VALUE"""),"California")</f>
        <v>California</v>
      </c>
      <c r="L279" s="22" t="str">
        <f>IFERROR(__xludf.DUMMYFUNCTION("""COMPUTED_VALUE"""),"West")</f>
        <v>West</v>
      </c>
      <c r="M279" s="22" t="str">
        <f>IFERROR(__xludf.DUMMYFUNCTION("""COMPUTED_VALUE"""),"Office Supplies")</f>
        <v>Office Supplies</v>
      </c>
      <c r="N279" s="18">
        <f>IFERROR(__xludf.DUMMYFUNCTION("""COMPUTED_VALUE"""),18.16)</f>
        <v>18.16</v>
      </c>
      <c r="O279" s="18">
        <f>IFERROR(__xludf.DUMMYFUNCTION("""COMPUTED_VALUE"""),17.91)</f>
        <v>17.91</v>
      </c>
      <c r="P279" s="22">
        <f>IFERROR(__xludf.DUMMYFUNCTION("""COMPUTED_VALUE"""),9.0)</f>
        <v>9</v>
      </c>
      <c r="Q279" s="18">
        <f>IFERROR(__xludf.DUMMYFUNCTION("""COMPUTED_VALUE"""),163.44)</f>
        <v>163.44</v>
      </c>
      <c r="R279" s="18">
        <f>IFERROR(__xludf.DUMMYFUNCTION("""COMPUTED_VALUE"""),145.53)</f>
        <v>145.53</v>
      </c>
    </row>
    <row r="280">
      <c r="C280" s="8"/>
    </row>
    <row r="281">
      <c r="C281" s="8"/>
    </row>
    <row r="282">
      <c r="C282" s="8"/>
    </row>
    <row r="283">
      <c r="C283" s="8"/>
    </row>
    <row r="284">
      <c r="C284" s="8"/>
    </row>
    <row r="285">
      <c r="C285" s="8"/>
    </row>
    <row r="286">
      <c r="C286" s="8"/>
    </row>
    <row r="287">
      <c r="C287" s="8"/>
    </row>
    <row r="288">
      <c r="C288" s="8"/>
    </row>
    <row r="289">
      <c r="C289" s="8"/>
    </row>
    <row r="290">
      <c r="C290" s="8"/>
    </row>
    <row r="291">
      <c r="C291" s="8"/>
    </row>
    <row r="292">
      <c r="C292" s="8"/>
    </row>
    <row r="293">
      <c r="C293" s="8"/>
    </row>
    <row r="294">
      <c r="C294" s="8"/>
    </row>
    <row r="295">
      <c r="C295" s="8"/>
    </row>
    <row r="296">
      <c r="C296" s="8"/>
    </row>
    <row r="297">
      <c r="C297" s="8"/>
    </row>
    <row r="298">
      <c r="C298" s="8"/>
    </row>
    <row r="299">
      <c r="C299" s="8"/>
    </row>
    <row r="300">
      <c r="C300" s="8"/>
    </row>
    <row r="301">
      <c r="C301" s="8"/>
    </row>
    <row r="302">
      <c r="C302" s="8"/>
    </row>
    <row r="303">
      <c r="C303" s="8"/>
    </row>
    <row r="304">
      <c r="C304" s="8"/>
    </row>
    <row r="305">
      <c r="C305" s="8"/>
    </row>
    <row r="306">
      <c r="C306" s="8"/>
    </row>
    <row r="307">
      <c r="C307" s="8"/>
    </row>
    <row r="308">
      <c r="C308" s="8"/>
    </row>
    <row r="309">
      <c r="C309" s="8"/>
    </row>
    <row r="310">
      <c r="C310" s="8"/>
    </row>
    <row r="311">
      <c r="C311" s="8"/>
    </row>
    <row r="312">
      <c r="C312" s="8"/>
    </row>
    <row r="313">
      <c r="C313" s="8"/>
    </row>
    <row r="314">
      <c r="C314" s="8"/>
    </row>
    <row r="315">
      <c r="C315" s="8"/>
    </row>
    <row r="316">
      <c r="C316" s="8"/>
    </row>
    <row r="317">
      <c r="C317" s="8"/>
    </row>
    <row r="318">
      <c r="C318" s="8"/>
    </row>
    <row r="319">
      <c r="C319" s="8"/>
    </row>
    <row r="320">
      <c r="C320" s="8"/>
    </row>
    <row r="321">
      <c r="C321" s="8"/>
    </row>
    <row r="322">
      <c r="C322" s="8"/>
    </row>
    <row r="323">
      <c r="C323" s="8"/>
    </row>
    <row r="324">
      <c r="C324" s="8"/>
    </row>
    <row r="325">
      <c r="C325" s="8"/>
    </row>
    <row r="326">
      <c r="C326" s="8"/>
    </row>
    <row r="327">
      <c r="C327" s="8"/>
    </row>
    <row r="328">
      <c r="C328" s="8"/>
    </row>
    <row r="329">
      <c r="C329" s="8"/>
    </row>
    <row r="330">
      <c r="C330" s="8"/>
    </row>
    <row r="331">
      <c r="C331" s="8"/>
    </row>
    <row r="332">
      <c r="C332" s="8"/>
    </row>
    <row r="333">
      <c r="C333" s="8"/>
    </row>
    <row r="334">
      <c r="C334" s="8"/>
    </row>
    <row r="335">
      <c r="C335" s="8"/>
    </row>
    <row r="336">
      <c r="C336" s="8"/>
    </row>
    <row r="337">
      <c r="C337" s="8"/>
    </row>
    <row r="338">
      <c r="C338" s="8"/>
    </row>
    <row r="339">
      <c r="C339" s="8"/>
    </row>
    <row r="340">
      <c r="C340" s="8"/>
    </row>
    <row r="341">
      <c r="C341" s="8"/>
    </row>
    <row r="342">
      <c r="C342" s="8"/>
    </row>
    <row r="343">
      <c r="C343" s="8"/>
    </row>
    <row r="344">
      <c r="C344" s="8"/>
    </row>
    <row r="345">
      <c r="C345" s="8"/>
    </row>
    <row r="346">
      <c r="C346" s="8"/>
    </row>
    <row r="347">
      <c r="C347" s="8"/>
    </row>
    <row r="348">
      <c r="C348" s="8"/>
    </row>
    <row r="349">
      <c r="C349" s="8"/>
    </row>
    <row r="350">
      <c r="C350" s="8"/>
    </row>
    <row r="351">
      <c r="C351" s="8"/>
    </row>
    <row r="352">
      <c r="C352" s="8"/>
    </row>
    <row r="353">
      <c r="C353" s="8"/>
    </row>
    <row r="354">
      <c r="C354" s="8"/>
    </row>
    <row r="355">
      <c r="C355" s="8"/>
    </row>
    <row r="356">
      <c r="C356" s="8"/>
    </row>
    <row r="357">
      <c r="C357" s="8"/>
    </row>
    <row r="358">
      <c r="C358" s="8"/>
    </row>
    <row r="359">
      <c r="C359" s="8"/>
    </row>
    <row r="360">
      <c r="C360" s="8"/>
    </row>
    <row r="361">
      <c r="C361" s="8"/>
    </row>
    <row r="362">
      <c r="C362" s="8"/>
    </row>
    <row r="363">
      <c r="C363" s="8"/>
    </row>
    <row r="364">
      <c r="C364" s="8"/>
    </row>
    <row r="365">
      <c r="C365" s="8"/>
    </row>
    <row r="366">
      <c r="C366" s="8"/>
    </row>
    <row r="367">
      <c r="C367" s="8"/>
    </row>
    <row r="368">
      <c r="C368" s="8"/>
    </row>
    <row r="369">
      <c r="C369" s="8"/>
    </row>
    <row r="370">
      <c r="C370" s="8"/>
    </row>
    <row r="371">
      <c r="C371" s="8"/>
    </row>
    <row r="372">
      <c r="C372" s="8"/>
    </row>
    <row r="373">
      <c r="C373" s="8"/>
    </row>
    <row r="374">
      <c r="C374" s="8"/>
    </row>
    <row r="375">
      <c r="C375" s="8"/>
    </row>
    <row r="376">
      <c r="C376" s="8"/>
    </row>
    <row r="377">
      <c r="C377" s="8"/>
    </row>
    <row r="378">
      <c r="C378" s="8"/>
    </row>
    <row r="379">
      <c r="C379" s="8"/>
    </row>
    <row r="380">
      <c r="C380" s="8"/>
    </row>
    <row r="381">
      <c r="C381" s="8"/>
    </row>
    <row r="382">
      <c r="C382" s="8"/>
    </row>
    <row r="383">
      <c r="C383" s="8"/>
    </row>
    <row r="384">
      <c r="C384" s="8"/>
    </row>
    <row r="385">
      <c r="C385" s="8"/>
    </row>
    <row r="386">
      <c r="C386" s="8"/>
    </row>
    <row r="387">
      <c r="C387" s="8"/>
    </row>
    <row r="388">
      <c r="C388" s="8"/>
    </row>
    <row r="389">
      <c r="C389" s="8"/>
    </row>
    <row r="390">
      <c r="C390" s="8"/>
    </row>
    <row r="391">
      <c r="C391" s="8"/>
    </row>
    <row r="392">
      <c r="C392" s="8"/>
    </row>
    <row r="393">
      <c r="C393" s="8"/>
    </row>
    <row r="394">
      <c r="C394" s="8"/>
    </row>
    <row r="395">
      <c r="C395" s="8"/>
    </row>
    <row r="396">
      <c r="C396" s="8"/>
    </row>
    <row r="397">
      <c r="C397" s="8"/>
    </row>
    <row r="398">
      <c r="C398" s="8"/>
    </row>
    <row r="399">
      <c r="C399" s="8"/>
    </row>
    <row r="400">
      <c r="C400" s="8"/>
    </row>
    <row r="401">
      <c r="C401" s="8"/>
    </row>
    <row r="402">
      <c r="C402" s="8"/>
    </row>
    <row r="403">
      <c r="C403" s="8"/>
    </row>
    <row r="404">
      <c r="C404" s="8"/>
    </row>
    <row r="405">
      <c r="C405" s="8"/>
    </row>
    <row r="406">
      <c r="C406" s="8"/>
    </row>
    <row r="407">
      <c r="C407" s="8"/>
    </row>
    <row r="408">
      <c r="C408" s="8"/>
    </row>
    <row r="409">
      <c r="C409" s="8"/>
    </row>
    <row r="410">
      <c r="C410" s="8"/>
    </row>
    <row r="411">
      <c r="C411" s="8"/>
    </row>
    <row r="412">
      <c r="C412" s="8"/>
    </row>
    <row r="413">
      <c r="C413" s="8"/>
    </row>
    <row r="414">
      <c r="C414" s="8"/>
    </row>
    <row r="415">
      <c r="C415" s="8"/>
    </row>
    <row r="416">
      <c r="C416" s="8"/>
    </row>
    <row r="417">
      <c r="C417" s="8"/>
    </row>
    <row r="418">
      <c r="C418" s="8"/>
    </row>
    <row r="419">
      <c r="C419" s="8"/>
    </row>
    <row r="420">
      <c r="C420" s="8"/>
    </row>
    <row r="421">
      <c r="C421" s="8"/>
    </row>
    <row r="422">
      <c r="C422" s="8"/>
    </row>
    <row r="423">
      <c r="C423" s="8"/>
    </row>
    <row r="424">
      <c r="C424" s="8"/>
    </row>
    <row r="425">
      <c r="C425" s="8"/>
    </row>
    <row r="426">
      <c r="C426" s="8"/>
    </row>
    <row r="427">
      <c r="C427" s="8"/>
    </row>
    <row r="428">
      <c r="C428" s="8"/>
    </row>
    <row r="429">
      <c r="C429" s="8"/>
    </row>
    <row r="430">
      <c r="C430" s="8"/>
    </row>
    <row r="431">
      <c r="C431" s="8"/>
    </row>
    <row r="432">
      <c r="C432" s="8"/>
    </row>
    <row r="433">
      <c r="C433" s="8"/>
    </row>
    <row r="434">
      <c r="C434" s="8"/>
    </row>
    <row r="435">
      <c r="C435" s="8"/>
    </row>
    <row r="436">
      <c r="C436" s="8"/>
    </row>
    <row r="437">
      <c r="C437" s="8"/>
    </row>
    <row r="438">
      <c r="C438" s="8"/>
    </row>
    <row r="439">
      <c r="C439" s="8"/>
    </row>
    <row r="440">
      <c r="C440" s="8"/>
    </row>
    <row r="441">
      <c r="C441" s="8"/>
    </row>
    <row r="442">
      <c r="C442" s="8"/>
    </row>
    <row r="443">
      <c r="C443" s="8"/>
    </row>
    <row r="444">
      <c r="C444" s="8"/>
    </row>
    <row r="445">
      <c r="C445" s="8"/>
    </row>
    <row r="446">
      <c r="C446" s="8"/>
    </row>
    <row r="447">
      <c r="C447" s="8"/>
    </row>
    <row r="448">
      <c r="C448" s="8"/>
    </row>
    <row r="449">
      <c r="C449" s="8"/>
    </row>
    <row r="450">
      <c r="C450" s="8"/>
    </row>
    <row r="451">
      <c r="C451" s="8"/>
    </row>
    <row r="452">
      <c r="C452" s="8"/>
    </row>
    <row r="453">
      <c r="C453" s="8"/>
    </row>
    <row r="454">
      <c r="C454" s="8"/>
    </row>
    <row r="455">
      <c r="C455" s="8"/>
    </row>
    <row r="456">
      <c r="C456" s="8"/>
    </row>
    <row r="457">
      <c r="C457" s="8"/>
    </row>
    <row r="458">
      <c r="C458" s="8"/>
    </row>
    <row r="459">
      <c r="C459" s="8"/>
    </row>
    <row r="460">
      <c r="C460" s="8"/>
    </row>
    <row r="461">
      <c r="C461" s="8"/>
    </row>
    <row r="462">
      <c r="C462" s="8"/>
    </row>
    <row r="463">
      <c r="C463" s="8"/>
    </row>
    <row r="464">
      <c r="C464" s="8"/>
    </row>
    <row r="465">
      <c r="C465" s="8"/>
    </row>
    <row r="466">
      <c r="C466" s="8"/>
    </row>
    <row r="467">
      <c r="C467" s="8"/>
    </row>
    <row r="468">
      <c r="C468" s="8"/>
    </row>
    <row r="469">
      <c r="C469" s="8"/>
    </row>
    <row r="470">
      <c r="C470" s="8"/>
    </row>
    <row r="471">
      <c r="C471" s="8"/>
    </row>
    <row r="472">
      <c r="C472" s="8"/>
    </row>
    <row r="473">
      <c r="C473" s="8"/>
    </row>
    <row r="474">
      <c r="C474" s="8"/>
    </row>
    <row r="475">
      <c r="C475" s="8"/>
    </row>
    <row r="476">
      <c r="C476" s="8"/>
    </row>
    <row r="477">
      <c r="C477" s="8"/>
    </row>
    <row r="478">
      <c r="C478" s="8"/>
    </row>
    <row r="479">
      <c r="C479" s="8"/>
    </row>
    <row r="480">
      <c r="C480" s="8"/>
    </row>
    <row r="481">
      <c r="C481" s="8"/>
    </row>
    <row r="482">
      <c r="C482" s="8"/>
    </row>
    <row r="483">
      <c r="C483" s="8"/>
    </row>
    <row r="484">
      <c r="C484" s="8"/>
    </row>
    <row r="485">
      <c r="C485" s="8"/>
    </row>
    <row r="486">
      <c r="C486" s="8"/>
    </row>
    <row r="487">
      <c r="C487" s="8"/>
    </row>
    <row r="488">
      <c r="C488" s="8"/>
    </row>
    <row r="489">
      <c r="C489" s="8"/>
    </row>
    <row r="490">
      <c r="C490" s="8"/>
    </row>
    <row r="491">
      <c r="C491" s="8"/>
    </row>
    <row r="492">
      <c r="C492" s="8"/>
    </row>
    <row r="493">
      <c r="C493" s="8"/>
    </row>
    <row r="494">
      <c r="C494" s="8"/>
    </row>
    <row r="495">
      <c r="C495" s="8"/>
    </row>
    <row r="496">
      <c r="C496" s="8"/>
    </row>
    <row r="497">
      <c r="C497" s="8"/>
    </row>
    <row r="498">
      <c r="C498" s="8"/>
    </row>
    <row r="499">
      <c r="C499" s="8"/>
    </row>
    <row r="500">
      <c r="C500" s="8"/>
    </row>
    <row r="501">
      <c r="C501" s="8"/>
    </row>
    <row r="502">
      <c r="C502" s="8"/>
    </row>
    <row r="503">
      <c r="C503" s="8"/>
    </row>
    <row r="504">
      <c r="C504" s="8"/>
    </row>
    <row r="505">
      <c r="C505" s="8"/>
    </row>
    <row r="506">
      <c r="C506" s="8"/>
    </row>
    <row r="507">
      <c r="C507" s="8"/>
    </row>
    <row r="508">
      <c r="C508" s="8"/>
    </row>
    <row r="509">
      <c r="C509" s="8"/>
    </row>
    <row r="510">
      <c r="C510" s="8"/>
    </row>
    <row r="511">
      <c r="C511" s="8"/>
    </row>
    <row r="512">
      <c r="C512" s="8"/>
    </row>
    <row r="513">
      <c r="C513" s="8"/>
    </row>
    <row r="514">
      <c r="C514" s="8"/>
    </row>
    <row r="515">
      <c r="C515" s="8"/>
    </row>
    <row r="516">
      <c r="C516" s="8"/>
    </row>
    <row r="517">
      <c r="C517" s="8"/>
    </row>
    <row r="518">
      <c r="C518" s="8"/>
    </row>
    <row r="519">
      <c r="C519" s="8"/>
    </row>
    <row r="520">
      <c r="C520" s="8"/>
    </row>
    <row r="521">
      <c r="C521" s="8"/>
    </row>
    <row r="522">
      <c r="C522" s="8"/>
    </row>
    <row r="523">
      <c r="C523" s="8"/>
    </row>
    <row r="524">
      <c r="C524" s="8"/>
    </row>
    <row r="525">
      <c r="C525" s="8"/>
    </row>
    <row r="526">
      <c r="C526" s="8"/>
    </row>
    <row r="527">
      <c r="C527" s="8"/>
    </row>
    <row r="528">
      <c r="C528" s="8"/>
    </row>
    <row r="529">
      <c r="C529" s="8"/>
    </row>
    <row r="530">
      <c r="C530" s="8"/>
    </row>
    <row r="531">
      <c r="C531" s="8"/>
    </row>
    <row r="532">
      <c r="C532" s="8"/>
    </row>
    <row r="533">
      <c r="C533" s="8"/>
    </row>
    <row r="534">
      <c r="C534" s="8"/>
    </row>
    <row r="535">
      <c r="C535" s="8"/>
    </row>
    <row r="536">
      <c r="C536" s="8"/>
    </row>
    <row r="537">
      <c r="C537" s="8"/>
    </row>
    <row r="538">
      <c r="C538" s="8"/>
    </row>
    <row r="539">
      <c r="C539" s="8"/>
    </row>
    <row r="540">
      <c r="C540" s="8"/>
    </row>
    <row r="541">
      <c r="C541" s="8"/>
    </row>
    <row r="542">
      <c r="C542" s="8"/>
    </row>
    <row r="543">
      <c r="C543" s="8"/>
    </row>
    <row r="544">
      <c r="C544" s="8"/>
    </row>
    <row r="545">
      <c r="C545" s="8"/>
    </row>
    <row r="546">
      <c r="C546" s="8"/>
    </row>
    <row r="547">
      <c r="C547" s="8"/>
    </row>
    <row r="548">
      <c r="C548" s="8"/>
    </row>
    <row r="549">
      <c r="C549" s="8"/>
    </row>
    <row r="550">
      <c r="C550" s="8"/>
    </row>
    <row r="551">
      <c r="C551" s="8"/>
    </row>
    <row r="552">
      <c r="C552" s="8"/>
    </row>
    <row r="553">
      <c r="C553" s="8"/>
    </row>
    <row r="554">
      <c r="C554" s="8"/>
    </row>
    <row r="555">
      <c r="C555" s="8"/>
    </row>
    <row r="556">
      <c r="C556" s="8"/>
    </row>
    <row r="557">
      <c r="C557" s="8"/>
    </row>
    <row r="558">
      <c r="C558" s="8"/>
    </row>
    <row r="559">
      <c r="C559" s="8"/>
    </row>
    <row r="560">
      <c r="C560" s="8"/>
    </row>
    <row r="561">
      <c r="C561" s="8"/>
    </row>
    <row r="562">
      <c r="C562" s="8"/>
    </row>
    <row r="563">
      <c r="C563" s="8"/>
    </row>
    <row r="564">
      <c r="C564" s="8"/>
    </row>
    <row r="565">
      <c r="C565" s="8"/>
    </row>
    <row r="566">
      <c r="C566" s="8"/>
    </row>
    <row r="567">
      <c r="C567" s="8"/>
    </row>
    <row r="568">
      <c r="C568" s="8"/>
    </row>
    <row r="569">
      <c r="C569" s="8"/>
    </row>
    <row r="570">
      <c r="C570" s="8"/>
    </row>
    <row r="571">
      <c r="C571" s="8"/>
    </row>
    <row r="572">
      <c r="C572" s="8"/>
    </row>
    <row r="573">
      <c r="C573" s="8"/>
    </row>
    <row r="574">
      <c r="C574" s="8"/>
    </row>
    <row r="575">
      <c r="C575" s="8"/>
    </row>
    <row r="576">
      <c r="C576" s="8"/>
    </row>
    <row r="577">
      <c r="C577" s="8"/>
    </row>
    <row r="578">
      <c r="C578" s="8"/>
    </row>
    <row r="579">
      <c r="C579" s="8"/>
    </row>
    <row r="580">
      <c r="C580" s="8"/>
    </row>
    <row r="581">
      <c r="C581" s="8"/>
    </row>
    <row r="582">
      <c r="C582" s="8"/>
    </row>
    <row r="583">
      <c r="C583" s="8"/>
    </row>
    <row r="584">
      <c r="C584" s="8"/>
    </row>
    <row r="585">
      <c r="C585" s="8"/>
    </row>
    <row r="586">
      <c r="C586" s="8"/>
    </row>
    <row r="587">
      <c r="C587" s="8"/>
    </row>
    <row r="588">
      <c r="C588" s="8"/>
    </row>
    <row r="589">
      <c r="C589" s="8"/>
    </row>
    <row r="590">
      <c r="C590" s="8"/>
    </row>
    <row r="591">
      <c r="C591" s="8"/>
    </row>
    <row r="592">
      <c r="C592" s="8"/>
    </row>
    <row r="593">
      <c r="C593" s="8"/>
    </row>
    <row r="594">
      <c r="C594" s="8"/>
    </row>
    <row r="595">
      <c r="C595" s="8"/>
    </row>
    <row r="596">
      <c r="C596" s="8"/>
    </row>
    <row r="597">
      <c r="C597" s="8"/>
    </row>
    <row r="598">
      <c r="C598" s="8"/>
    </row>
    <row r="599">
      <c r="C599" s="8"/>
    </row>
    <row r="600">
      <c r="C600" s="8"/>
    </row>
    <row r="601">
      <c r="C601" s="8"/>
    </row>
    <row r="602">
      <c r="C602" s="8"/>
    </row>
    <row r="603">
      <c r="C603" s="8"/>
    </row>
    <row r="604">
      <c r="C604" s="8"/>
    </row>
    <row r="605">
      <c r="C605" s="8"/>
    </row>
    <row r="606">
      <c r="C606" s="8"/>
    </row>
    <row r="607">
      <c r="C607" s="8"/>
    </row>
    <row r="608">
      <c r="C608" s="8"/>
    </row>
    <row r="609">
      <c r="C609" s="8"/>
    </row>
    <row r="610">
      <c r="C610" s="8"/>
    </row>
    <row r="611">
      <c r="C611" s="8"/>
    </row>
    <row r="612">
      <c r="C612" s="8"/>
    </row>
    <row r="613">
      <c r="C613" s="8"/>
    </row>
    <row r="614">
      <c r="C614" s="8"/>
    </row>
    <row r="615">
      <c r="C615" s="8"/>
    </row>
    <row r="616">
      <c r="C616" s="8"/>
    </row>
    <row r="617">
      <c r="C617" s="8"/>
    </row>
    <row r="618">
      <c r="C618" s="8"/>
    </row>
    <row r="619">
      <c r="C619" s="8"/>
    </row>
    <row r="620">
      <c r="C620" s="8"/>
    </row>
    <row r="621">
      <c r="C621" s="8"/>
    </row>
    <row r="622">
      <c r="C622" s="8"/>
    </row>
    <row r="623">
      <c r="C623" s="8"/>
    </row>
    <row r="624">
      <c r="C624" s="8"/>
    </row>
    <row r="625">
      <c r="C625" s="8"/>
    </row>
    <row r="626">
      <c r="C626" s="8"/>
    </row>
    <row r="627">
      <c r="C627" s="8"/>
    </row>
    <row r="628">
      <c r="C628" s="8"/>
    </row>
    <row r="629">
      <c r="C629" s="8"/>
    </row>
    <row r="630">
      <c r="C630" s="8"/>
    </row>
    <row r="631">
      <c r="C631" s="8"/>
    </row>
    <row r="632">
      <c r="C632" s="8"/>
    </row>
    <row r="633">
      <c r="C633" s="8"/>
    </row>
    <row r="634">
      <c r="C634" s="8"/>
    </row>
    <row r="635">
      <c r="C635" s="8"/>
    </row>
    <row r="636">
      <c r="C636" s="8"/>
    </row>
    <row r="637">
      <c r="C637" s="8"/>
    </row>
    <row r="638">
      <c r="C638" s="8"/>
    </row>
    <row r="639">
      <c r="C639" s="8"/>
    </row>
    <row r="640">
      <c r="C640" s="8"/>
    </row>
    <row r="641">
      <c r="C641" s="8"/>
    </row>
    <row r="642">
      <c r="C642" s="8"/>
    </row>
    <row r="643">
      <c r="C643" s="8"/>
    </row>
    <row r="644">
      <c r="C644" s="8"/>
    </row>
    <row r="645">
      <c r="C645" s="8"/>
    </row>
    <row r="646">
      <c r="C646" s="8"/>
    </row>
    <row r="647">
      <c r="C647" s="8"/>
    </row>
    <row r="648">
      <c r="C648" s="8"/>
    </row>
    <row r="649">
      <c r="C649" s="8"/>
    </row>
    <row r="650">
      <c r="C650" s="8"/>
    </row>
    <row r="651">
      <c r="C651" s="8"/>
    </row>
    <row r="652">
      <c r="C652" s="8"/>
    </row>
    <row r="653">
      <c r="C653" s="8"/>
    </row>
    <row r="654">
      <c r="C654" s="8"/>
    </row>
    <row r="655">
      <c r="C655" s="8"/>
    </row>
    <row r="656">
      <c r="C656" s="8"/>
    </row>
    <row r="657">
      <c r="C657" s="8"/>
    </row>
    <row r="658">
      <c r="C658" s="8"/>
    </row>
    <row r="659">
      <c r="C659" s="8"/>
    </row>
    <row r="660">
      <c r="C660" s="8"/>
    </row>
    <row r="661">
      <c r="C661" s="8"/>
    </row>
    <row r="662">
      <c r="C662" s="8"/>
    </row>
    <row r="663">
      <c r="C663" s="8"/>
    </row>
    <row r="664">
      <c r="C664" s="8"/>
    </row>
    <row r="665">
      <c r="C665" s="8"/>
    </row>
    <row r="666">
      <c r="C666" s="8"/>
    </row>
    <row r="667">
      <c r="C667" s="8"/>
    </row>
    <row r="668">
      <c r="C668" s="8"/>
    </row>
    <row r="669">
      <c r="C669" s="8"/>
    </row>
    <row r="670">
      <c r="C670" s="8"/>
    </row>
    <row r="671">
      <c r="C671" s="8"/>
    </row>
    <row r="672">
      <c r="C672" s="8"/>
    </row>
    <row r="673">
      <c r="C673" s="8"/>
    </row>
    <row r="674">
      <c r="C674" s="8"/>
    </row>
    <row r="675">
      <c r="C675" s="8"/>
    </row>
    <row r="676">
      <c r="C676" s="8"/>
    </row>
    <row r="677">
      <c r="C677" s="8"/>
    </row>
    <row r="678">
      <c r="C678" s="8"/>
    </row>
    <row r="679">
      <c r="C679" s="8"/>
    </row>
    <row r="680">
      <c r="C680" s="8"/>
    </row>
    <row r="681">
      <c r="C681" s="8"/>
    </row>
    <row r="682">
      <c r="C682" s="8"/>
    </row>
    <row r="683">
      <c r="C683" s="8"/>
    </row>
    <row r="684">
      <c r="C684" s="8"/>
    </row>
    <row r="685">
      <c r="C685" s="8"/>
    </row>
    <row r="686">
      <c r="C686" s="8"/>
    </row>
    <row r="687">
      <c r="C687" s="8"/>
    </row>
    <row r="688">
      <c r="C688" s="8"/>
    </row>
    <row r="689">
      <c r="C689" s="8"/>
    </row>
    <row r="690">
      <c r="C690" s="8"/>
    </row>
    <row r="691">
      <c r="C691" s="8"/>
    </row>
    <row r="692">
      <c r="C692" s="8"/>
    </row>
    <row r="693">
      <c r="C693" s="8"/>
    </row>
    <row r="694">
      <c r="C694" s="8"/>
    </row>
    <row r="695">
      <c r="C695" s="8"/>
    </row>
    <row r="696">
      <c r="C696" s="8"/>
    </row>
    <row r="697">
      <c r="C697" s="8"/>
    </row>
    <row r="698">
      <c r="C698" s="8"/>
    </row>
    <row r="699">
      <c r="C699" s="8"/>
    </row>
    <row r="700">
      <c r="C700" s="8"/>
    </row>
    <row r="701">
      <c r="C701" s="8"/>
    </row>
    <row r="702">
      <c r="C702" s="8"/>
    </row>
    <row r="703">
      <c r="C703" s="8"/>
    </row>
    <row r="704">
      <c r="C704" s="8"/>
    </row>
    <row r="705">
      <c r="C705" s="8"/>
    </row>
    <row r="706">
      <c r="C706" s="8"/>
    </row>
    <row r="707">
      <c r="C707" s="8"/>
    </row>
    <row r="708">
      <c r="C708" s="8"/>
    </row>
    <row r="709">
      <c r="C709" s="8"/>
    </row>
    <row r="710">
      <c r="C710" s="8"/>
    </row>
    <row r="711">
      <c r="C711" s="8"/>
    </row>
    <row r="712">
      <c r="C712" s="8"/>
    </row>
    <row r="713">
      <c r="C713" s="8"/>
    </row>
    <row r="714">
      <c r="C714" s="8"/>
    </row>
    <row r="715">
      <c r="C715" s="8"/>
    </row>
    <row r="716">
      <c r="C716" s="8"/>
    </row>
    <row r="717">
      <c r="C717" s="8"/>
    </row>
    <row r="718">
      <c r="C718" s="8"/>
    </row>
    <row r="719">
      <c r="C719" s="8"/>
    </row>
    <row r="720">
      <c r="C720" s="8"/>
    </row>
    <row r="721">
      <c r="C721" s="8"/>
    </row>
    <row r="722">
      <c r="C722" s="8"/>
    </row>
    <row r="723">
      <c r="C723" s="8"/>
    </row>
    <row r="724">
      <c r="C724" s="8"/>
    </row>
    <row r="725">
      <c r="C725" s="8"/>
    </row>
    <row r="726">
      <c r="C726" s="8"/>
    </row>
    <row r="727">
      <c r="C727" s="8"/>
    </row>
    <row r="728">
      <c r="C728" s="8"/>
    </row>
    <row r="729">
      <c r="C729" s="8"/>
    </row>
    <row r="730">
      <c r="C730" s="8"/>
    </row>
    <row r="731">
      <c r="C731" s="8"/>
    </row>
    <row r="732">
      <c r="C732" s="8"/>
    </row>
    <row r="733">
      <c r="C733" s="8"/>
    </row>
    <row r="734">
      <c r="C734" s="8"/>
    </row>
    <row r="735">
      <c r="C735" s="8"/>
    </row>
    <row r="736">
      <c r="C736" s="8"/>
    </row>
    <row r="737">
      <c r="C737" s="8"/>
    </row>
    <row r="738">
      <c r="C738" s="8"/>
    </row>
    <row r="739">
      <c r="C739" s="8"/>
    </row>
    <row r="740">
      <c r="C740" s="8"/>
    </row>
    <row r="741">
      <c r="C741" s="8"/>
    </row>
    <row r="742">
      <c r="C742" s="8"/>
    </row>
    <row r="743">
      <c r="C743" s="8"/>
    </row>
    <row r="744">
      <c r="C744" s="8"/>
    </row>
    <row r="745">
      <c r="C745" s="8"/>
    </row>
    <row r="746">
      <c r="C746" s="8"/>
    </row>
    <row r="747">
      <c r="C747" s="8"/>
    </row>
    <row r="748">
      <c r="C748" s="8"/>
    </row>
    <row r="749">
      <c r="C749" s="8"/>
    </row>
    <row r="750">
      <c r="C750" s="8"/>
    </row>
    <row r="751">
      <c r="C751" s="8"/>
    </row>
    <row r="752">
      <c r="C752" s="8"/>
    </row>
    <row r="753">
      <c r="C753" s="8"/>
    </row>
    <row r="754">
      <c r="C754" s="8"/>
    </row>
    <row r="755">
      <c r="C755" s="8"/>
    </row>
    <row r="756">
      <c r="C756" s="8"/>
    </row>
    <row r="757">
      <c r="C757" s="8"/>
    </row>
    <row r="758">
      <c r="C758" s="8"/>
    </row>
    <row r="759">
      <c r="C759" s="8"/>
    </row>
    <row r="760">
      <c r="C760" s="8"/>
    </row>
    <row r="761">
      <c r="C761" s="8"/>
    </row>
    <row r="762">
      <c r="C762" s="8"/>
    </row>
    <row r="763">
      <c r="C763" s="8"/>
    </row>
    <row r="764">
      <c r="C764" s="8"/>
    </row>
    <row r="765">
      <c r="C765" s="8"/>
    </row>
    <row r="766">
      <c r="C766" s="8"/>
    </row>
    <row r="767">
      <c r="C767" s="8"/>
    </row>
    <row r="768">
      <c r="C768" s="8"/>
    </row>
    <row r="769">
      <c r="C769" s="8"/>
    </row>
    <row r="770">
      <c r="C770" s="8"/>
    </row>
    <row r="771">
      <c r="C771" s="8"/>
    </row>
    <row r="772">
      <c r="C772" s="8"/>
    </row>
    <row r="773">
      <c r="C773" s="8"/>
    </row>
    <row r="774">
      <c r="C774" s="8"/>
    </row>
    <row r="775">
      <c r="C775" s="8"/>
    </row>
    <row r="776">
      <c r="C776" s="8"/>
    </row>
    <row r="777">
      <c r="C777" s="8"/>
    </row>
    <row r="778">
      <c r="C778" s="8"/>
    </row>
    <row r="779">
      <c r="C779" s="8"/>
    </row>
    <row r="780">
      <c r="C780" s="8"/>
    </row>
    <row r="781">
      <c r="C781" s="8"/>
    </row>
    <row r="782">
      <c r="C782" s="8"/>
    </row>
    <row r="783">
      <c r="C783" s="8"/>
    </row>
    <row r="784">
      <c r="C784" s="8"/>
    </row>
    <row r="785">
      <c r="C785" s="8"/>
    </row>
    <row r="786">
      <c r="C786" s="8"/>
    </row>
    <row r="787">
      <c r="C787" s="8"/>
    </row>
    <row r="788">
      <c r="C788" s="8"/>
    </row>
    <row r="789">
      <c r="C789" s="8"/>
    </row>
    <row r="790">
      <c r="C790" s="8"/>
    </row>
    <row r="791">
      <c r="C791" s="8"/>
    </row>
    <row r="792">
      <c r="C792" s="8"/>
    </row>
    <row r="793">
      <c r="C793" s="8"/>
    </row>
    <row r="794">
      <c r="C794" s="8"/>
    </row>
    <row r="795">
      <c r="C795" s="8"/>
    </row>
    <row r="796">
      <c r="C796" s="8"/>
    </row>
    <row r="797">
      <c r="C797" s="8"/>
    </row>
    <row r="798">
      <c r="C798" s="8"/>
    </row>
    <row r="799">
      <c r="C799" s="8"/>
    </row>
    <row r="800">
      <c r="C800" s="8"/>
    </row>
    <row r="801">
      <c r="C801" s="8"/>
    </row>
    <row r="802">
      <c r="C802" s="8"/>
    </row>
    <row r="803">
      <c r="C803" s="8"/>
    </row>
    <row r="804">
      <c r="C804" s="8"/>
    </row>
    <row r="805">
      <c r="C805" s="8"/>
    </row>
    <row r="806">
      <c r="C806" s="8"/>
    </row>
    <row r="807">
      <c r="C807" s="8"/>
    </row>
    <row r="808">
      <c r="C808" s="8"/>
    </row>
    <row r="809">
      <c r="C809" s="8"/>
    </row>
    <row r="810">
      <c r="C810" s="8"/>
    </row>
    <row r="811">
      <c r="C811" s="8"/>
    </row>
    <row r="812">
      <c r="C812" s="8"/>
    </row>
    <row r="813">
      <c r="C813" s="8"/>
    </row>
    <row r="814">
      <c r="C814" s="8"/>
    </row>
    <row r="815">
      <c r="C815" s="8"/>
    </row>
    <row r="816">
      <c r="C816" s="8"/>
    </row>
    <row r="817">
      <c r="C817" s="8"/>
    </row>
    <row r="818">
      <c r="C818" s="8"/>
    </row>
    <row r="819">
      <c r="C819" s="8"/>
    </row>
    <row r="820">
      <c r="C820" s="8"/>
    </row>
    <row r="821">
      <c r="C821" s="8"/>
    </row>
    <row r="822">
      <c r="C822" s="8"/>
    </row>
    <row r="823">
      <c r="C823" s="8"/>
    </row>
    <row r="824">
      <c r="C824" s="8"/>
    </row>
    <row r="825">
      <c r="C825" s="8"/>
    </row>
    <row r="826">
      <c r="C826" s="8"/>
    </row>
    <row r="827">
      <c r="C827" s="8"/>
    </row>
    <row r="828">
      <c r="C828" s="8"/>
    </row>
    <row r="829">
      <c r="C829" s="8"/>
    </row>
    <row r="830">
      <c r="C830" s="8"/>
    </row>
    <row r="831">
      <c r="C831" s="8"/>
    </row>
    <row r="832">
      <c r="C832" s="8"/>
    </row>
    <row r="833">
      <c r="C833" s="8"/>
    </row>
    <row r="834">
      <c r="C834" s="8"/>
    </row>
    <row r="835">
      <c r="C835" s="8"/>
    </row>
    <row r="836">
      <c r="C836" s="8"/>
    </row>
    <row r="837">
      <c r="C837" s="8"/>
    </row>
    <row r="838">
      <c r="C838" s="8"/>
    </row>
    <row r="839">
      <c r="C839" s="8"/>
    </row>
    <row r="840">
      <c r="C840" s="8"/>
    </row>
    <row r="841">
      <c r="C841" s="8"/>
    </row>
    <row r="842">
      <c r="C842" s="8"/>
    </row>
    <row r="843">
      <c r="C843" s="8"/>
    </row>
    <row r="844">
      <c r="C844" s="8"/>
    </row>
    <row r="845">
      <c r="C845" s="8"/>
    </row>
    <row r="846">
      <c r="C846" s="8"/>
    </row>
    <row r="847">
      <c r="C847" s="8"/>
    </row>
    <row r="848">
      <c r="C848" s="8"/>
    </row>
    <row r="849">
      <c r="C849" s="8"/>
    </row>
    <row r="850">
      <c r="C850" s="8"/>
    </row>
    <row r="851">
      <c r="C851" s="8"/>
    </row>
    <row r="852">
      <c r="C852" s="8"/>
    </row>
    <row r="853">
      <c r="C853" s="8"/>
    </row>
    <row r="854">
      <c r="C854" s="8"/>
    </row>
    <row r="855">
      <c r="C855" s="8"/>
    </row>
    <row r="856">
      <c r="C856" s="8"/>
    </row>
    <row r="857">
      <c r="C857" s="8"/>
    </row>
    <row r="858">
      <c r="C858" s="8"/>
    </row>
    <row r="859">
      <c r="C859" s="8"/>
    </row>
    <row r="860">
      <c r="C860" s="8"/>
    </row>
    <row r="861">
      <c r="C861" s="8"/>
    </row>
    <row r="862">
      <c r="C862" s="8"/>
    </row>
    <row r="863">
      <c r="C863" s="8"/>
    </row>
    <row r="864">
      <c r="C864" s="8"/>
    </row>
    <row r="865">
      <c r="C865" s="8"/>
    </row>
    <row r="866">
      <c r="C866" s="8"/>
    </row>
    <row r="867">
      <c r="C867" s="8"/>
    </row>
    <row r="868">
      <c r="C868" s="8"/>
    </row>
    <row r="869">
      <c r="C869" s="8"/>
    </row>
    <row r="870">
      <c r="C870" s="8"/>
    </row>
    <row r="871">
      <c r="C871" s="8"/>
    </row>
    <row r="872">
      <c r="C872" s="8"/>
    </row>
    <row r="873">
      <c r="C873" s="8"/>
    </row>
    <row r="874">
      <c r="C874" s="8"/>
    </row>
    <row r="875">
      <c r="C875" s="8"/>
    </row>
    <row r="876">
      <c r="C876" s="8"/>
    </row>
    <row r="877">
      <c r="C877" s="8"/>
    </row>
    <row r="878">
      <c r="C878" s="8"/>
    </row>
    <row r="879">
      <c r="C879" s="8"/>
    </row>
    <row r="880">
      <c r="C880" s="8"/>
    </row>
    <row r="881">
      <c r="C881" s="8"/>
    </row>
    <row r="882">
      <c r="C882" s="8"/>
    </row>
    <row r="883">
      <c r="C883" s="8"/>
    </row>
    <row r="884">
      <c r="C884" s="8"/>
    </row>
    <row r="885">
      <c r="C885" s="8"/>
    </row>
    <row r="886">
      <c r="C886" s="8"/>
    </row>
    <row r="887">
      <c r="C887" s="8"/>
    </row>
    <row r="888">
      <c r="C888" s="8"/>
    </row>
    <row r="889">
      <c r="C889" s="8"/>
    </row>
    <row r="890">
      <c r="C890" s="8"/>
    </row>
    <row r="891">
      <c r="C891" s="8"/>
    </row>
    <row r="892">
      <c r="C892" s="8"/>
    </row>
    <row r="893">
      <c r="C893" s="8"/>
    </row>
    <row r="894">
      <c r="C894" s="8"/>
    </row>
    <row r="895">
      <c r="C895" s="8"/>
    </row>
    <row r="896">
      <c r="C896" s="8"/>
    </row>
    <row r="897">
      <c r="C897" s="8"/>
    </row>
    <row r="898">
      <c r="C898" s="8"/>
    </row>
    <row r="899">
      <c r="C899" s="8"/>
    </row>
    <row r="900">
      <c r="C900" s="8"/>
    </row>
    <row r="901">
      <c r="C901" s="8"/>
    </row>
    <row r="902">
      <c r="C902" s="8"/>
    </row>
    <row r="903">
      <c r="C903" s="8"/>
    </row>
    <row r="904">
      <c r="C904" s="8"/>
    </row>
    <row r="905">
      <c r="C905" s="8"/>
    </row>
    <row r="906">
      <c r="C906" s="8"/>
    </row>
    <row r="907">
      <c r="C907" s="8"/>
    </row>
    <row r="908">
      <c r="C908" s="8"/>
    </row>
    <row r="909">
      <c r="C909" s="8"/>
    </row>
    <row r="910">
      <c r="C910" s="8"/>
    </row>
    <row r="911">
      <c r="C911" s="8"/>
    </row>
    <row r="912">
      <c r="C912" s="8"/>
    </row>
    <row r="913">
      <c r="C913" s="8"/>
    </row>
    <row r="914">
      <c r="C914" s="8"/>
    </row>
    <row r="915">
      <c r="C915" s="8"/>
    </row>
    <row r="916">
      <c r="C916" s="8"/>
    </row>
    <row r="917">
      <c r="C917" s="8"/>
    </row>
    <row r="918">
      <c r="C918" s="8"/>
    </row>
    <row r="919">
      <c r="C919" s="8"/>
    </row>
    <row r="920">
      <c r="C920" s="8"/>
    </row>
    <row r="921">
      <c r="C921" s="8"/>
    </row>
    <row r="922">
      <c r="C922" s="8"/>
    </row>
    <row r="923">
      <c r="C923" s="8"/>
    </row>
    <row r="924">
      <c r="C924" s="8"/>
    </row>
    <row r="925">
      <c r="C925" s="8"/>
    </row>
    <row r="926">
      <c r="C926" s="8"/>
    </row>
    <row r="927">
      <c r="C927" s="8"/>
    </row>
    <row r="928">
      <c r="C928" s="8"/>
    </row>
    <row r="929">
      <c r="C929" s="8"/>
    </row>
    <row r="930">
      <c r="C930" s="8"/>
    </row>
    <row r="931">
      <c r="C931" s="8"/>
    </row>
    <row r="932">
      <c r="C932" s="8"/>
    </row>
    <row r="933">
      <c r="C933" s="8"/>
    </row>
    <row r="934">
      <c r="C934" s="8"/>
    </row>
    <row r="935">
      <c r="C935" s="8"/>
    </row>
    <row r="936">
      <c r="C936" s="8"/>
    </row>
    <row r="937">
      <c r="C937" s="8"/>
    </row>
    <row r="938">
      <c r="C938" s="8"/>
    </row>
    <row r="939">
      <c r="C939" s="8"/>
    </row>
    <row r="940">
      <c r="C940" s="8"/>
    </row>
    <row r="941">
      <c r="C941" s="8"/>
    </row>
    <row r="942">
      <c r="C942" s="8"/>
    </row>
    <row r="943">
      <c r="C943" s="8"/>
    </row>
    <row r="944">
      <c r="C944" s="8"/>
    </row>
    <row r="945">
      <c r="C945" s="8"/>
    </row>
    <row r="946">
      <c r="C946" s="8"/>
    </row>
    <row r="947">
      <c r="C947" s="8"/>
    </row>
    <row r="948">
      <c r="C948" s="8"/>
    </row>
    <row r="949">
      <c r="C949" s="8"/>
    </row>
    <row r="950">
      <c r="C950" s="8"/>
    </row>
    <row r="951">
      <c r="C951" s="8"/>
    </row>
    <row r="952">
      <c r="C952" s="8"/>
    </row>
    <row r="953">
      <c r="C953" s="8"/>
    </row>
    <row r="954">
      <c r="C954" s="8"/>
    </row>
    <row r="955">
      <c r="C955" s="8"/>
    </row>
    <row r="956">
      <c r="C956" s="8"/>
    </row>
    <row r="957">
      <c r="C957" s="8"/>
    </row>
    <row r="958">
      <c r="C958" s="8"/>
    </row>
    <row r="959">
      <c r="C959" s="8"/>
    </row>
    <row r="960">
      <c r="C960" s="8"/>
    </row>
    <row r="961">
      <c r="C961" s="8"/>
    </row>
    <row r="962">
      <c r="C962" s="8"/>
    </row>
    <row r="963">
      <c r="C963" s="8"/>
    </row>
    <row r="964">
      <c r="C964" s="8"/>
    </row>
    <row r="965">
      <c r="C965" s="8"/>
    </row>
    <row r="966">
      <c r="C966" s="8"/>
    </row>
    <row r="967">
      <c r="C967" s="8"/>
    </row>
    <row r="968">
      <c r="C968" s="8"/>
    </row>
    <row r="969">
      <c r="C969" s="8"/>
    </row>
    <row r="970">
      <c r="C970" s="8"/>
    </row>
    <row r="971">
      <c r="C971" s="8"/>
    </row>
    <row r="972">
      <c r="C972" s="8"/>
    </row>
    <row r="973">
      <c r="C973" s="8"/>
    </row>
    <row r="974">
      <c r="C974" s="8"/>
    </row>
    <row r="975">
      <c r="C975" s="8"/>
    </row>
    <row r="976">
      <c r="C976" s="8"/>
    </row>
    <row r="977">
      <c r="C977" s="8"/>
    </row>
    <row r="978">
      <c r="C978" s="8"/>
    </row>
    <row r="979">
      <c r="C979" s="8"/>
    </row>
    <row r="980">
      <c r="C980" s="8"/>
    </row>
    <row r="981">
      <c r="C981" s="8"/>
    </row>
    <row r="982">
      <c r="C982" s="8"/>
    </row>
    <row r="983">
      <c r="C983" s="8"/>
    </row>
    <row r="984">
      <c r="C984" s="8"/>
    </row>
    <row r="985">
      <c r="C985" s="8"/>
    </row>
    <row r="986">
      <c r="C986" s="8"/>
    </row>
    <row r="987">
      <c r="C987" s="8"/>
    </row>
    <row r="988">
      <c r="C988" s="8"/>
    </row>
    <row r="989">
      <c r="C989" s="8"/>
    </row>
    <row r="990">
      <c r="C990" s="8"/>
    </row>
    <row r="991">
      <c r="C991" s="8"/>
    </row>
    <row r="992">
      <c r="C992" s="8"/>
    </row>
    <row r="993">
      <c r="C993" s="8"/>
    </row>
    <row r="994">
      <c r="C994" s="8"/>
    </row>
    <row r="995">
      <c r="C995" s="8"/>
    </row>
    <row r="996">
      <c r="C996" s="8"/>
    </row>
    <row r="997">
      <c r="C997" s="8"/>
    </row>
    <row r="998">
      <c r="C998" s="8"/>
    </row>
    <row r="999">
      <c r="C999" s="8"/>
    </row>
    <row r="1000">
      <c r="C1000" s="8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13"/>
    <col customWidth="1" min="2" max="2" width="13.5"/>
    <col customWidth="1" min="3" max="3" width="11.13"/>
    <col customWidth="1" min="4" max="5" width="12.63"/>
    <col customWidth="1" min="6" max="6" width="12.38"/>
    <col customWidth="1" min="7" max="7" width="12.13"/>
    <col customWidth="1" min="8" max="8" width="11.5"/>
    <col customWidth="1" min="9" max="9" width="10.5"/>
    <col customWidth="1" min="10" max="10" width="14.25"/>
    <col customWidth="1" min="11" max="11" width="15.88"/>
    <col customWidth="1" min="12" max="12" width="9.13"/>
    <col customWidth="1" min="13" max="13" width="12.13"/>
    <col customWidth="1" min="14" max="14" width="10.88"/>
    <col customWidth="1" min="15" max="15" width="11.13"/>
    <col customWidth="1" min="16" max="16" width="10.25"/>
    <col customWidth="1" min="17" max="17" width="19.63"/>
    <col customWidth="1" min="18" max="19" width="12.13"/>
  </cols>
  <sheetData>
    <row r="1">
      <c r="A1" s="12" t="s">
        <v>1</v>
      </c>
      <c r="B1" s="13" t="s">
        <v>2</v>
      </c>
      <c r="C1" s="2" t="s">
        <v>3</v>
      </c>
      <c r="D1" s="13" t="s">
        <v>2996</v>
      </c>
      <c r="E1" s="1" t="s">
        <v>2997</v>
      </c>
      <c r="F1" s="13" t="s">
        <v>4</v>
      </c>
      <c r="G1" s="13" t="s">
        <v>2317</v>
      </c>
      <c r="H1" s="13" t="s">
        <v>2318</v>
      </c>
      <c r="I1" s="13" t="s">
        <v>9</v>
      </c>
      <c r="J1" s="13" t="s">
        <v>10</v>
      </c>
      <c r="K1" s="13" t="s">
        <v>11</v>
      </c>
      <c r="L1" s="13" t="s">
        <v>14</v>
      </c>
      <c r="M1" s="13" t="s">
        <v>15</v>
      </c>
      <c r="N1" s="14" t="s">
        <v>2319</v>
      </c>
      <c r="O1" s="14" t="s">
        <v>2321</v>
      </c>
      <c r="P1" s="13" t="s">
        <v>17</v>
      </c>
      <c r="Q1" s="14" t="s">
        <v>2998</v>
      </c>
      <c r="R1" s="14" t="s">
        <v>2977</v>
      </c>
      <c r="S1" s="14" t="s">
        <v>2999</v>
      </c>
    </row>
    <row r="2">
      <c r="A2" s="12">
        <v>42958.0</v>
      </c>
      <c r="B2" s="12" t="s">
        <v>2322</v>
      </c>
      <c r="C2" s="2">
        <v>43050.0</v>
      </c>
      <c r="D2" s="15" t="str">
        <f t="shared" ref="D2:D1500" si="1">text(C2,"MMM")</f>
        <v>Nov</v>
      </c>
      <c r="E2" s="2" t="str">
        <f t="shared" ref="E2:E1500" si="2">RIGHT(C2, 4)
</f>
        <v>2017</v>
      </c>
      <c r="F2" s="13" t="s">
        <v>20</v>
      </c>
      <c r="G2" s="13" t="s">
        <v>2323</v>
      </c>
      <c r="H2" s="13" t="s">
        <v>2324</v>
      </c>
      <c r="I2" s="13" t="s">
        <v>23</v>
      </c>
      <c r="J2" s="13" t="s">
        <v>24</v>
      </c>
      <c r="K2" s="13" t="s">
        <v>25</v>
      </c>
      <c r="L2" s="13" t="s">
        <v>26</v>
      </c>
      <c r="M2" s="13" t="s">
        <v>27</v>
      </c>
      <c r="N2" s="14">
        <v>261.96</v>
      </c>
      <c r="O2" s="14">
        <v>261.26</v>
      </c>
      <c r="P2" s="13">
        <v>4.0</v>
      </c>
      <c r="Q2" s="14">
        <f t="shared" ref="Q2:Q1500" si="3">N2*P2</f>
        <v>1047.84</v>
      </c>
      <c r="R2" s="14">
        <f t="shared" ref="R2:R1500" si="4">Q:Q-O:O</f>
        <v>786.58</v>
      </c>
      <c r="S2" s="14">
        <f t="shared" ref="S2:S1500" si="5">Q:Q-R:R</f>
        <v>261.26</v>
      </c>
    </row>
    <row r="3">
      <c r="A3" s="12">
        <v>42958.0</v>
      </c>
      <c r="B3" s="12" t="s">
        <v>2322</v>
      </c>
      <c r="C3" s="2">
        <v>43050.0</v>
      </c>
      <c r="D3" s="15" t="str">
        <f t="shared" si="1"/>
        <v>Nov</v>
      </c>
      <c r="E3" s="2" t="str">
        <f t="shared" si="2"/>
        <v>2017</v>
      </c>
      <c r="F3" s="13" t="s">
        <v>20</v>
      </c>
      <c r="G3" s="13" t="s">
        <v>2323</v>
      </c>
      <c r="H3" s="13" t="s">
        <v>2324</v>
      </c>
      <c r="I3" s="13" t="s">
        <v>23</v>
      </c>
      <c r="J3" s="13" t="s">
        <v>24</v>
      </c>
      <c r="K3" s="13" t="s">
        <v>25</v>
      </c>
      <c r="L3" s="13" t="s">
        <v>26</v>
      </c>
      <c r="M3" s="13" t="s">
        <v>27</v>
      </c>
      <c r="N3" s="14">
        <v>731.94</v>
      </c>
      <c r="O3" s="14">
        <v>731.61</v>
      </c>
      <c r="P3" s="13">
        <v>4.0</v>
      </c>
      <c r="Q3" s="14">
        <f t="shared" si="3"/>
        <v>2927.76</v>
      </c>
      <c r="R3" s="14">
        <f t="shared" si="4"/>
        <v>2196.15</v>
      </c>
      <c r="S3" s="14">
        <f t="shared" si="5"/>
        <v>731.61</v>
      </c>
    </row>
    <row r="4">
      <c r="A4" s="12">
        <v>43075.0</v>
      </c>
      <c r="B4" s="12" t="s">
        <v>2325</v>
      </c>
      <c r="C4" s="2">
        <v>42902.0</v>
      </c>
      <c r="D4" s="15" t="str">
        <f t="shared" si="1"/>
        <v>Jun</v>
      </c>
      <c r="E4" s="2" t="str">
        <f t="shared" si="2"/>
        <v>2017</v>
      </c>
      <c r="F4" s="13" t="s">
        <v>20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52</v>
      </c>
      <c r="L4" s="13" t="s">
        <v>37</v>
      </c>
      <c r="M4" s="13" t="s">
        <v>38</v>
      </c>
      <c r="N4" s="14">
        <v>14.62</v>
      </c>
      <c r="O4" s="14">
        <v>13.97</v>
      </c>
      <c r="P4" s="13">
        <v>9.0</v>
      </c>
      <c r="Q4" s="14">
        <f t="shared" si="3"/>
        <v>131.58</v>
      </c>
      <c r="R4" s="14">
        <f t="shared" si="4"/>
        <v>117.61</v>
      </c>
      <c r="S4" s="14">
        <f t="shared" si="5"/>
        <v>13.97</v>
      </c>
    </row>
    <row r="5">
      <c r="A5" s="12">
        <v>42684.0</v>
      </c>
      <c r="B5" s="12" t="s">
        <v>2326</v>
      </c>
      <c r="C5" s="2">
        <v>42661.0</v>
      </c>
      <c r="D5" s="15" t="str">
        <f t="shared" si="1"/>
        <v>Oct</v>
      </c>
      <c r="E5" s="2" t="str">
        <f t="shared" si="2"/>
        <v>2016</v>
      </c>
      <c r="F5" s="13" t="s">
        <v>41</v>
      </c>
      <c r="G5" s="13" t="s">
        <v>2327</v>
      </c>
      <c r="H5" s="13" t="s">
        <v>2328</v>
      </c>
      <c r="I5" s="13" t="s">
        <v>23</v>
      </c>
      <c r="J5" s="13" t="s">
        <v>44</v>
      </c>
      <c r="K5" s="13" t="s">
        <v>145</v>
      </c>
      <c r="L5" s="13" t="s">
        <v>26</v>
      </c>
      <c r="M5" s="13" t="s">
        <v>27</v>
      </c>
      <c r="N5" s="14">
        <v>957.5775</v>
      </c>
      <c r="O5" s="14">
        <v>956.9</v>
      </c>
      <c r="P5" s="13">
        <v>3.0</v>
      </c>
      <c r="Q5" s="14">
        <f t="shared" si="3"/>
        <v>2872.7325</v>
      </c>
      <c r="R5" s="14">
        <f t="shared" si="4"/>
        <v>1915.8325</v>
      </c>
      <c r="S5" s="14">
        <f t="shared" si="5"/>
        <v>956.9</v>
      </c>
    </row>
    <row r="6">
      <c r="A6" s="12">
        <v>42684.0</v>
      </c>
      <c r="B6" s="12" t="s">
        <v>2326</v>
      </c>
      <c r="C6" s="2">
        <v>42661.0</v>
      </c>
      <c r="D6" s="15" t="str">
        <f t="shared" si="1"/>
        <v>Oct</v>
      </c>
      <c r="E6" s="2" t="str">
        <f t="shared" si="2"/>
        <v>2016</v>
      </c>
      <c r="F6" s="13" t="s">
        <v>41</v>
      </c>
      <c r="G6" s="13" t="s">
        <v>2327</v>
      </c>
      <c r="H6" s="13" t="s">
        <v>2328</v>
      </c>
      <c r="I6" s="13" t="s">
        <v>23</v>
      </c>
      <c r="J6" s="13" t="s">
        <v>44</v>
      </c>
      <c r="K6" s="13" t="s">
        <v>145</v>
      </c>
      <c r="L6" s="13" t="s">
        <v>26</v>
      </c>
      <c r="M6" s="13" t="s">
        <v>38</v>
      </c>
      <c r="N6" s="14">
        <v>22.368</v>
      </c>
      <c r="O6" s="14">
        <v>22.08</v>
      </c>
      <c r="P6" s="13">
        <v>3.0</v>
      </c>
      <c r="Q6" s="14">
        <f t="shared" si="3"/>
        <v>67.104</v>
      </c>
      <c r="R6" s="14">
        <f t="shared" si="4"/>
        <v>45.024</v>
      </c>
      <c r="S6" s="14">
        <f t="shared" si="5"/>
        <v>22.08</v>
      </c>
    </row>
    <row r="7">
      <c r="A7" s="12">
        <v>42253.0</v>
      </c>
      <c r="B7" s="12" t="s">
        <v>2329</v>
      </c>
      <c r="C7" s="2">
        <v>42169.0</v>
      </c>
      <c r="D7" s="15" t="str">
        <f t="shared" si="1"/>
        <v>Jun</v>
      </c>
      <c r="E7" s="2" t="str">
        <f t="shared" si="2"/>
        <v>2015</v>
      </c>
      <c r="F7" s="13" t="s">
        <v>41</v>
      </c>
      <c r="G7" s="13" t="s">
        <v>2330</v>
      </c>
      <c r="H7" s="13" t="s">
        <v>2331</v>
      </c>
      <c r="I7" s="13" t="s">
        <v>23</v>
      </c>
      <c r="J7" s="13" t="s">
        <v>35</v>
      </c>
      <c r="K7" s="13" t="s">
        <v>52</v>
      </c>
      <c r="L7" s="13" t="s">
        <v>37</v>
      </c>
      <c r="M7" s="13" t="s">
        <v>27</v>
      </c>
      <c r="N7" s="14">
        <v>48.86</v>
      </c>
      <c r="O7" s="14">
        <v>48.08</v>
      </c>
      <c r="P7" s="13">
        <v>9.0</v>
      </c>
      <c r="Q7" s="14">
        <f t="shared" si="3"/>
        <v>439.74</v>
      </c>
      <c r="R7" s="14">
        <f t="shared" si="4"/>
        <v>391.66</v>
      </c>
      <c r="S7" s="14">
        <f t="shared" si="5"/>
        <v>48.08</v>
      </c>
    </row>
    <row r="8">
      <c r="A8" s="12">
        <v>42253.0</v>
      </c>
      <c r="B8" s="12" t="s">
        <v>2329</v>
      </c>
      <c r="C8" s="2">
        <v>42169.0</v>
      </c>
      <c r="D8" s="15" t="str">
        <f t="shared" si="1"/>
        <v>Jun</v>
      </c>
      <c r="E8" s="2" t="str">
        <f t="shared" si="2"/>
        <v>2015</v>
      </c>
      <c r="F8" s="13" t="s">
        <v>41</v>
      </c>
      <c r="G8" s="13" t="s">
        <v>2330</v>
      </c>
      <c r="H8" s="13" t="s">
        <v>2331</v>
      </c>
      <c r="I8" s="13" t="s">
        <v>23</v>
      </c>
      <c r="J8" s="13" t="s">
        <v>35</v>
      </c>
      <c r="K8" s="13" t="s">
        <v>52</v>
      </c>
      <c r="L8" s="13" t="s">
        <v>37</v>
      </c>
      <c r="M8" s="13" t="s">
        <v>38</v>
      </c>
      <c r="N8" s="14">
        <v>7.28</v>
      </c>
      <c r="O8" s="14">
        <v>6.34</v>
      </c>
      <c r="P8" s="13">
        <v>9.0</v>
      </c>
      <c r="Q8" s="14">
        <f t="shared" si="3"/>
        <v>65.52</v>
      </c>
      <c r="R8" s="14">
        <f t="shared" si="4"/>
        <v>59.18</v>
      </c>
      <c r="S8" s="14">
        <f t="shared" si="5"/>
        <v>6.34</v>
      </c>
    </row>
    <row r="9">
      <c r="A9" s="12">
        <v>42253.0</v>
      </c>
      <c r="B9" s="12" t="s">
        <v>2329</v>
      </c>
      <c r="C9" s="2">
        <v>42169.0</v>
      </c>
      <c r="D9" s="15" t="str">
        <f t="shared" si="1"/>
        <v>Jun</v>
      </c>
      <c r="E9" s="2" t="str">
        <f t="shared" si="2"/>
        <v>2015</v>
      </c>
      <c r="F9" s="13" t="s">
        <v>41</v>
      </c>
      <c r="G9" s="13" t="s">
        <v>2330</v>
      </c>
      <c r="H9" s="13" t="s">
        <v>2331</v>
      </c>
      <c r="I9" s="13" t="s">
        <v>23</v>
      </c>
      <c r="J9" s="13" t="s">
        <v>35</v>
      </c>
      <c r="K9" s="13" t="s">
        <v>52</v>
      </c>
      <c r="L9" s="13" t="s">
        <v>37</v>
      </c>
      <c r="M9" s="13" t="s">
        <v>51</v>
      </c>
      <c r="N9" s="14">
        <v>907.152</v>
      </c>
      <c r="O9" s="14">
        <v>906.78</v>
      </c>
      <c r="P9" s="13">
        <v>9.0</v>
      </c>
      <c r="Q9" s="14">
        <f t="shared" si="3"/>
        <v>8164.368</v>
      </c>
      <c r="R9" s="14">
        <f t="shared" si="4"/>
        <v>7257.588</v>
      </c>
      <c r="S9" s="14">
        <f t="shared" si="5"/>
        <v>906.78</v>
      </c>
    </row>
    <row r="10">
      <c r="A10" s="12">
        <v>42253.0</v>
      </c>
      <c r="B10" s="12" t="s">
        <v>2329</v>
      </c>
      <c r="C10" s="2">
        <v>42169.0</v>
      </c>
      <c r="D10" s="15" t="str">
        <f t="shared" si="1"/>
        <v>Jun</v>
      </c>
      <c r="E10" s="2" t="str">
        <f t="shared" si="2"/>
        <v>2015</v>
      </c>
      <c r="F10" s="13" t="s">
        <v>41</v>
      </c>
      <c r="G10" s="13" t="s">
        <v>2330</v>
      </c>
      <c r="H10" s="13" t="s">
        <v>2331</v>
      </c>
      <c r="I10" s="13" t="s">
        <v>23</v>
      </c>
      <c r="J10" s="13" t="s">
        <v>35</v>
      </c>
      <c r="K10" s="13" t="s">
        <v>52</v>
      </c>
      <c r="L10" s="13" t="s">
        <v>37</v>
      </c>
      <c r="M10" s="13" t="s">
        <v>38</v>
      </c>
      <c r="N10" s="14">
        <v>18.504</v>
      </c>
      <c r="O10" s="14">
        <v>18.36</v>
      </c>
      <c r="P10" s="13">
        <v>9.0</v>
      </c>
      <c r="Q10" s="14">
        <f t="shared" si="3"/>
        <v>166.536</v>
      </c>
      <c r="R10" s="14">
        <f t="shared" si="4"/>
        <v>148.176</v>
      </c>
      <c r="S10" s="14">
        <f t="shared" si="5"/>
        <v>18.36</v>
      </c>
    </row>
    <row r="11">
      <c r="A11" s="12">
        <v>42253.0</v>
      </c>
      <c r="B11" s="12" t="s">
        <v>2329</v>
      </c>
      <c r="C11" s="2">
        <v>42169.0</v>
      </c>
      <c r="D11" s="15" t="str">
        <f t="shared" si="1"/>
        <v>Jun</v>
      </c>
      <c r="E11" s="2" t="str">
        <f t="shared" si="2"/>
        <v>2015</v>
      </c>
      <c r="F11" s="13" t="s">
        <v>41</v>
      </c>
      <c r="G11" s="13" t="s">
        <v>2330</v>
      </c>
      <c r="H11" s="13" t="s">
        <v>2331</v>
      </c>
      <c r="I11" s="13" t="s">
        <v>23</v>
      </c>
      <c r="J11" s="13" t="s">
        <v>35</v>
      </c>
      <c r="K11" s="13" t="s">
        <v>52</v>
      </c>
      <c r="L11" s="13" t="s">
        <v>37</v>
      </c>
      <c r="M11" s="13" t="s">
        <v>38</v>
      </c>
      <c r="N11" s="14">
        <v>114.9</v>
      </c>
      <c r="O11" s="14">
        <v>114.62</v>
      </c>
      <c r="P11" s="13">
        <v>9.0</v>
      </c>
      <c r="Q11" s="14">
        <f t="shared" si="3"/>
        <v>1034.1</v>
      </c>
      <c r="R11" s="14">
        <f t="shared" si="4"/>
        <v>919.48</v>
      </c>
      <c r="S11" s="14">
        <f t="shared" si="5"/>
        <v>114.62</v>
      </c>
    </row>
    <row r="12">
      <c r="A12" s="12">
        <v>42253.0</v>
      </c>
      <c r="B12" s="12" t="s">
        <v>2329</v>
      </c>
      <c r="C12" s="2">
        <v>42169.0</v>
      </c>
      <c r="D12" s="15" t="str">
        <f t="shared" si="1"/>
        <v>Jun</v>
      </c>
      <c r="E12" s="2" t="str">
        <f t="shared" si="2"/>
        <v>2015</v>
      </c>
      <c r="F12" s="13" t="s">
        <v>41</v>
      </c>
      <c r="G12" s="13" t="s">
        <v>2330</v>
      </c>
      <c r="H12" s="13" t="s">
        <v>2331</v>
      </c>
      <c r="I12" s="13" t="s">
        <v>23</v>
      </c>
      <c r="J12" s="13" t="s">
        <v>35</v>
      </c>
      <c r="K12" s="13" t="s">
        <v>52</v>
      </c>
      <c r="L12" s="13" t="s">
        <v>37</v>
      </c>
      <c r="M12" s="13" t="s">
        <v>27</v>
      </c>
      <c r="N12" s="14">
        <v>1706.184</v>
      </c>
      <c r="O12" s="14">
        <v>1705.71</v>
      </c>
      <c r="P12" s="13">
        <v>9.0</v>
      </c>
      <c r="Q12" s="14">
        <f t="shared" si="3"/>
        <v>15355.656</v>
      </c>
      <c r="R12" s="14">
        <f t="shared" si="4"/>
        <v>13649.946</v>
      </c>
      <c r="S12" s="14">
        <f t="shared" si="5"/>
        <v>1705.71</v>
      </c>
    </row>
    <row r="13">
      <c r="A13" s="12">
        <v>42253.0</v>
      </c>
      <c r="B13" s="12" t="s">
        <v>2329</v>
      </c>
      <c r="C13" s="2">
        <v>42169.0</v>
      </c>
      <c r="D13" s="15" t="str">
        <f t="shared" si="1"/>
        <v>Jun</v>
      </c>
      <c r="E13" s="2" t="str">
        <f t="shared" si="2"/>
        <v>2015</v>
      </c>
      <c r="F13" s="13" t="s">
        <v>41</v>
      </c>
      <c r="G13" s="13" t="s">
        <v>2330</v>
      </c>
      <c r="H13" s="13" t="s">
        <v>2331</v>
      </c>
      <c r="I13" s="13" t="s">
        <v>23</v>
      </c>
      <c r="J13" s="13" t="s">
        <v>35</v>
      </c>
      <c r="K13" s="13" t="s">
        <v>52</v>
      </c>
      <c r="L13" s="13" t="s">
        <v>37</v>
      </c>
      <c r="M13" s="13" t="s">
        <v>51</v>
      </c>
      <c r="N13" s="14">
        <v>911.424</v>
      </c>
      <c r="O13" s="14">
        <v>911.17</v>
      </c>
      <c r="P13" s="13">
        <v>9.0</v>
      </c>
      <c r="Q13" s="14">
        <f t="shared" si="3"/>
        <v>8202.816</v>
      </c>
      <c r="R13" s="14">
        <f t="shared" si="4"/>
        <v>7291.646</v>
      </c>
      <c r="S13" s="14">
        <f t="shared" si="5"/>
        <v>911.17</v>
      </c>
    </row>
    <row r="14">
      <c r="A14" s="12">
        <v>43205.0</v>
      </c>
      <c r="B14" s="12" t="s">
        <v>2332</v>
      </c>
      <c r="C14" s="2">
        <v>43210.0</v>
      </c>
      <c r="D14" s="15" t="str">
        <f t="shared" si="1"/>
        <v>Apr</v>
      </c>
      <c r="E14" s="2" t="str">
        <f t="shared" si="2"/>
        <v>2018</v>
      </c>
      <c r="F14" s="13" t="s">
        <v>41</v>
      </c>
      <c r="G14" s="13" t="s">
        <v>2333</v>
      </c>
      <c r="H14" s="13" t="s">
        <v>2334</v>
      </c>
      <c r="I14" s="13" t="s">
        <v>23</v>
      </c>
      <c r="J14" s="13" t="s">
        <v>57</v>
      </c>
      <c r="K14" s="13" t="s">
        <v>58</v>
      </c>
      <c r="L14" s="13" t="s">
        <v>26</v>
      </c>
      <c r="M14" s="13" t="s">
        <v>38</v>
      </c>
      <c r="N14" s="14">
        <v>15.552</v>
      </c>
      <c r="O14" s="14">
        <v>14.71</v>
      </c>
      <c r="P14" s="13">
        <v>2.0</v>
      </c>
      <c r="Q14" s="14">
        <f t="shared" si="3"/>
        <v>31.104</v>
      </c>
      <c r="R14" s="14">
        <f t="shared" si="4"/>
        <v>16.394</v>
      </c>
      <c r="S14" s="14">
        <f t="shared" si="5"/>
        <v>14.71</v>
      </c>
    </row>
    <row r="15">
      <c r="A15" s="12">
        <v>42867.0</v>
      </c>
      <c r="B15" s="12" t="s">
        <v>2335</v>
      </c>
      <c r="C15" s="2">
        <v>43020.0</v>
      </c>
      <c r="D15" s="15" t="str">
        <f t="shared" si="1"/>
        <v>Oct</v>
      </c>
      <c r="E15" s="2" t="str">
        <f t="shared" si="2"/>
        <v>2017</v>
      </c>
      <c r="F15" s="13" t="s">
        <v>41</v>
      </c>
      <c r="G15" s="13" t="s">
        <v>2336</v>
      </c>
      <c r="H15" s="13" t="s">
        <v>2337</v>
      </c>
      <c r="I15" s="13" t="s">
        <v>23</v>
      </c>
      <c r="J15" s="13" t="s">
        <v>62</v>
      </c>
      <c r="K15" s="13" t="s">
        <v>63</v>
      </c>
      <c r="L15" s="13" t="s">
        <v>37</v>
      </c>
      <c r="M15" s="13" t="s">
        <v>38</v>
      </c>
      <c r="N15" s="14">
        <v>407.976</v>
      </c>
      <c r="O15" s="14">
        <v>407.54</v>
      </c>
      <c r="P15" s="13">
        <v>9.0</v>
      </c>
      <c r="Q15" s="14">
        <f t="shared" si="3"/>
        <v>3671.784</v>
      </c>
      <c r="R15" s="14">
        <f t="shared" si="4"/>
        <v>3264.244</v>
      </c>
      <c r="S15" s="14">
        <f t="shared" si="5"/>
        <v>407.54</v>
      </c>
    </row>
    <row r="16">
      <c r="A16" s="12">
        <v>42696.0</v>
      </c>
      <c r="B16" s="12" t="s">
        <v>2326</v>
      </c>
      <c r="C16" s="2">
        <v>42700.0</v>
      </c>
      <c r="D16" s="15" t="str">
        <f t="shared" si="1"/>
        <v>Nov</v>
      </c>
      <c r="E16" s="2" t="str">
        <f t="shared" si="2"/>
        <v>2016</v>
      </c>
      <c r="F16" s="13" t="s">
        <v>41</v>
      </c>
      <c r="G16" s="13" t="s">
        <v>2338</v>
      </c>
      <c r="H16" s="13" t="s">
        <v>2339</v>
      </c>
      <c r="I16" s="13" t="s">
        <v>68</v>
      </c>
      <c r="J16" s="13" t="s">
        <v>69</v>
      </c>
      <c r="K16" s="13" t="s">
        <v>70</v>
      </c>
      <c r="L16" s="13" t="s">
        <v>71</v>
      </c>
      <c r="M16" s="13" t="s">
        <v>38</v>
      </c>
      <c r="N16" s="14">
        <v>68.81</v>
      </c>
      <c r="O16" s="14">
        <v>67.82</v>
      </c>
      <c r="P16" s="13">
        <v>7.0</v>
      </c>
      <c r="Q16" s="14">
        <f t="shared" si="3"/>
        <v>481.67</v>
      </c>
      <c r="R16" s="14">
        <f t="shared" si="4"/>
        <v>413.85</v>
      </c>
      <c r="S16" s="14">
        <f t="shared" si="5"/>
        <v>67.82</v>
      </c>
    </row>
    <row r="17">
      <c r="A17" s="12">
        <v>42696.0</v>
      </c>
      <c r="B17" s="12" t="s">
        <v>2326</v>
      </c>
      <c r="C17" s="2">
        <v>42700.0</v>
      </c>
      <c r="D17" s="15" t="str">
        <f t="shared" si="1"/>
        <v>Nov</v>
      </c>
      <c r="E17" s="2" t="str">
        <f t="shared" si="2"/>
        <v>2016</v>
      </c>
      <c r="F17" s="13" t="s">
        <v>41</v>
      </c>
      <c r="G17" s="13" t="s">
        <v>2338</v>
      </c>
      <c r="H17" s="13" t="s">
        <v>2339</v>
      </c>
      <c r="I17" s="13" t="s">
        <v>68</v>
      </c>
      <c r="J17" s="13" t="s">
        <v>69</v>
      </c>
      <c r="K17" s="13" t="s">
        <v>70</v>
      </c>
      <c r="L17" s="13" t="s">
        <v>71</v>
      </c>
      <c r="M17" s="13" t="s">
        <v>38</v>
      </c>
      <c r="N17" s="14">
        <v>2.544</v>
      </c>
      <c r="O17" s="14">
        <v>1.62</v>
      </c>
      <c r="P17" s="13">
        <v>7.0</v>
      </c>
      <c r="Q17" s="14">
        <f t="shared" si="3"/>
        <v>17.808</v>
      </c>
      <c r="R17" s="14">
        <f t="shared" si="4"/>
        <v>16.188</v>
      </c>
      <c r="S17" s="14">
        <f t="shared" si="5"/>
        <v>1.62</v>
      </c>
    </row>
    <row r="18">
      <c r="A18" s="12">
        <v>42319.0</v>
      </c>
      <c r="B18" s="12" t="s">
        <v>2326</v>
      </c>
      <c r="C18" s="2">
        <v>42326.0</v>
      </c>
      <c r="D18" s="15" t="str">
        <f t="shared" si="1"/>
        <v>Nov</v>
      </c>
      <c r="E18" s="2" t="str">
        <f t="shared" si="2"/>
        <v>2015</v>
      </c>
      <c r="F18" s="13" t="s">
        <v>41</v>
      </c>
      <c r="G18" s="13" t="s">
        <v>2340</v>
      </c>
      <c r="H18" s="13" t="s">
        <v>2341</v>
      </c>
      <c r="I18" s="13" t="s">
        <v>23</v>
      </c>
      <c r="J18" s="13" t="s">
        <v>76</v>
      </c>
      <c r="K18" s="13" t="s">
        <v>77</v>
      </c>
      <c r="L18" s="13" t="s">
        <v>71</v>
      </c>
      <c r="M18" s="13" t="s">
        <v>38</v>
      </c>
      <c r="N18" s="14">
        <v>665.88</v>
      </c>
      <c r="O18" s="14">
        <v>665.32</v>
      </c>
      <c r="P18" s="13">
        <v>5.0</v>
      </c>
      <c r="Q18" s="14">
        <f t="shared" si="3"/>
        <v>3329.4</v>
      </c>
      <c r="R18" s="14">
        <f t="shared" si="4"/>
        <v>2664.08</v>
      </c>
      <c r="S18" s="14">
        <f t="shared" si="5"/>
        <v>665.32</v>
      </c>
    </row>
    <row r="19">
      <c r="A19" s="12">
        <v>42137.0</v>
      </c>
      <c r="B19" s="12" t="s">
        <v>2335</v>
      </c>
      <c r="C19" s="2">
        <v>42139.0</v>
      </c>
      <c r="D19" s="15" t="str">
        <f t="shared" si="1"/>
        <v>May</v>
      </c>
      <c r="E19" s="2" t="str">
        <f t="shared" si="2"/>
        <v>2015</v>
      </c>
      <c r="F19" s="13" t="s">
        <v>20</v>
      </c>
      <c r="G19" s="13" t="s">
        <v>2342</v>
      </c>
      <c r="H19" s="13" t="s">
        <v>2343</v>
      </c>
      <c r="I19" s="13" t="s">
        <v>23</v>
      </c>
      <c r="J19" s="13" t="s">
        <v>82</v>
      </c>
      <c r="K19" s="13" t="s">
        <v>83</v>
      </c>
      <c r="L19" s="13" t="s">
        <v>37</v>
      </c>
      <c r="M19" s="13" t="s">
        <v>38</v>
      </c>
      <c r="N19" s="14">
        <v>55.5</v>
      </c>
      <c r="O19" s="14">
        <v>54.76</v>
      </c>
      <c r="P19" s="13">
        <v>8.0</v>
      </c>
      <c r="Q19" s="14">
        <f t="shared" si="3"/>
        <v>444</v>
      </c>
      <c r="R19" s="14">
        <f t="shared" si="4"/>
        <v>389.24</v>
      </c>
      <c r="S19" s="14">
        <f t="shared" si="5"/>
        <v>54.76</v>
      </c>
    </row>
    <row r="20">
      <c r="A20" s="12">
        <v>42243.0</v>
      </c>
      <c r="B20" s="12" t="s">
        <v>2322</v>
      </c>
      <c r="C20" s="2">
        <v>42013.0</v>
      </c>
      <c r="D20" s="15" t="str">
        <f t="shared" si="1"/>
        <v>Jan</v>
      </c>
      <c r="E20" s="2" t="str">
        <f t="shared" si="2"/>
        <v>2015</v>
      </c>
      <c r="F20" s="13" t="s">
        <v>20</v>
      </c>
      <c r="G20" s="13" t="s">
        <v>2344</v>
      </c>
      <c r="H20" s="13" t="s">
        <v>2345</v>
      </c>
      <c r="I20" s="13" t="s">
        <v>23</v>
      </c>
      <c r="J20" s="13" t="s">
        <v>87</v>
      </c>
      <c r="K20" s="13" t="s">
        <v>52</v>
      </c>
      <c r="L20" s="13" t="s">
        <v>37</v>
      </c>
      <c r="M20" s="13" t="s">
        <v>38</v>
      </c>
      <c r="N20" s="14">
        <v>8.56</v>
      </c>
      <c r="O20" s="14">
        <v>7.72</v>
      </c>
      <c r="P20" s="13">
        <v>9.0</v>
      </c>
      <c r="Q20" s="14">
        <f t="shared" si="3"/>
        <v>77.04</v>
      </c>
      <c r="R20" s="14">
        <f t="shared" si="4"/>
        <v>69.32</v>
      </c>
      <c r="S20" s="14">
        <f t="shared" si="5"/>
        <v>7.72</v>
      </c>
    </row>
    <row r="21">
      <c r="A21" s="12">
        <v>42243.0</v>
      </c>
      <c r="B21" s="12" t="s">
        <v>2322</v>
      </c>
      <c r="C21" s="2">
        <v>42013.0</v>
      </c>
      <c r="D21" s="15" t="str">
        <f t="shared" si="1"/>
        <v>Jan</v>
      </c>
      <c r="E21" s="2" t="str">
        <f t="shared" si="2"/>
        <v>2015</v>
      </c>
      <c r="F21" s="13" t="s">
        <v>20</v>
      </c>
      <c r="G21" s="13" t="s">
        <v>2344</v>
      </c>
      <c r="H21" s="13" t="s">
        <v>2345</v>
      </c>
      <c r="I21" s="13" t="s">
        <v>23</v>
      </c>
      <c r="J21" s="13" t="s">
        <v>87</v>
      </c>
      <c r="K21" s="13" t="s">
        <v>52</v>
      </c>
      <c r="L21" s="13" t="s">
        <v>37</v>
      </c>
      <c r="M21" s="13" t="s">
        <v>51</v>
      </c>
      <c r="N21" s="14">
        <v>213.48</v>
      </c>
      <c r="O21" s="14">
        <v>212.79</v>
      </c>
      <c r="P21" s="13">
        <v>9.0</v>
      </c>
      <c r="Q21" s="14">
        <f t="shared" si="3"/>
        <v>1921.32</v>
      </c>
      <c r="R21" s="14">
        <f t="shared" si="4"/>
        <v>1708.53</v>
      </c>
      <c r="S21" s="14">
        <f t="shared" si="5"/>
        <v>212.79</v>
      </c>
    </row>
    <row r="22">
      <c r="A22" s="12">
        <v>42243.0</v>
      </c>
      <c r="B22" s="12" t="s">
        <v>2322</v>
      </c>
      <c r="C22" s="2">
        <v>42013.0</v>
      </c>
      <c r="D22" s="15" t="str">
        <f t="shared" si="1"/>
        <v>Jan</v>
      </c>
      <c r="E22" s="2" t="str">
        <f t="shared" si="2"/>
        <v>2015</v>
      </c>
      <c r="F22" s="13" t="s">
        <v>20</v>
      </c>
      <c r="G22" s="13" t="s">
        <v>2344</v>
      </c>
      <c r="H22" s="13" t="s">
        <v>2345</v>
      </c>
      <c r="I22" s="13" t="s">
        <v>23</v>
      </c>
      <c r="J22" s="13" t="s">
        <v>87</v>
      </c>
      <c r="K22" s="13" t="s">
        <v>52</v>
      </c>
      <c r="L22" s="13" t="s">
        <v>37</v>
      </c>
      <c r="M22" s="13" t="s">
        <v>38</v>
      </c>
      <c r="N22" s="14">
        <v>22.72</v>
      </c>
      <c r="O22" s="14">
        <v>22.41</v>
      </c>
      <c r="P22" s="13">
        <v>9.0</v>
      </c>
      <c r="Q22" s="14">
        <f t="shared" si="3"/>
        <v>204.48</v>
      </c>
      <c r="R22" s="14">
        <f t="shared" si="4"/>
        <v>182.07</v>
      </c>
      <c r="S22" s="14">
        <f t="shared" si="5"/>
        <v>22.41</v>
      </c>
    </row>
    <row r="23">
      <c r="A23" s="12">
        <v>42990.0</v>
      </c>
      <c r="B23" s="12" t="s">
        <v>2329</v>
      </c>
      <c r="C23" s="2">
        <v>43082.0</v>
      </c>
      <c r="D23" s="15" t="str">
        <f t="shared" si="1"/>
        <v>Dec</v>
      </c>
      <c r="E23" s="2" t="str">
        <f t="shared" si="2"/>
        <v>2017</v>
      </c>
      <c r="F23" s="13" t="s">
        <v>41</v>
      </c>
      <c r="G23" s="13" t="s">
        <v>2346</v>
      </c>
      <c r="H23" s="13" t="s">
        <v>2347</v>
      </c>
      <c r="I23" s="13" t="s">
        <v>34</v>
      </c>
      <c r="J23" s="13" t="s">
        <v>92</v>
      </c>
      <c r="K23" s="13" t="s">
        <v>93</v>
      </c>
      <c r="L23" s="13" t="s">
        <v>71</v>
      </c>
      <c r="M23" s="13" t="s">
        <v>38</v>
      </c>
      <c r="N23" s="14">
        <v>19.46</v>
      </c>
      <c r="O23" s="14">
        <v>18.81</v>
      </c>
      <c r="P23" s="13">
        <v>6.0</v>
      </c>
      <c r="Q23" s="14">
        <f t="shared" si="3"/>
        <v>116.76</v>
      </c>
      <c r="R23" s="14">
        <f t="shared" si="4"/>
        <v>97.95</v>
      </c>
      <c r="S23" s="14">
        <f t="shared" si="5"/>
        <v>18.81</v>
      </c>
    </row>
    <row r="24">
      <c r="A24" s="12">
        <v>42990.0</v>
      </c>
      <c r="B24" s="12" t="s">
        <v>2329</v>
      </c>
      <c r="C24" s="2">
        <v>43082.0</v>
      </c>
      <c r="D24" s="15" t="str">
        <f t="shared" si="1"/>
        <v>Dec</v>
      </c>
      <c r="E24" s="2" t="str">
        <f t="shared" si="2"/>
        <v>2017</v>
      </c>
      <c r="F24" s="13" t="s">
        <v>41</v>
      </c>
      <c r="G24" s="13" t="s">
        <v>2346</v>
      </c>
      <c r="H24" s="13" t="s">
        <v>2347</v>
      </c>
      <c r="I24" s="13" t="s">
        <v>34</v>
      </c>
      <c r="J24" s="13" t="s">
        <v>92</v>
      </c>
      <c r="K24" s="13" t="s">
        <v>93</v>
      </c>
      <c r="L24" s="13" t="s">
        <v>71</v>
      </c>
      <c r="M24" s="13" t="s">
        <v>38</v>
      </c>
      <c r="N24" s="14">
        <v>60.34</v>
      </c>
      <c r="O24" s="14">
        <v>59.54</v>
      </c>
      <c r="P24" s="13">
        <v>6.0</v>
      </c>
      <c r="Q24" s="14">
        <f t="shared" si="3"/>
        <v>362.04</v>
      </c>
      <c r="R24" s="14">
        <f t="shared" si="4"/>
        <v>302.5</v>
      </c>
      <c r="S24" s="14">
        <f t="shared" si="5"/>
        <v>59.54</v>
      </c>
    </row>
    <row r="25">
      <c r="A25" s="12">
        <v>43297.0</v>
      </c>
      <c r="B25" s="12" t="s">
        <v>2348</v>
      </c>
      <c r="C25" s="2">
        <v>43299.0</v>
      </c>
      <c r="D25" s="15" t="str">
        <f t="shared" si="1"/>
        <v>Jul</v>
      </c>
      <c r="E25" s="2" t="str">
        <f t="shared" si="2"/>
        <v>2018</v>
      </c>
      <c r="F25" s="13" t="s">
        <v>20</v>
      </c>
      <c r="G25" s="13" t="s">
        <v>2349</v>
      </c>
      <c r="H25" s="13" t="s">
        <v>2350</v>
      </c>
      <c r="I25" s="13" t="s">
        <v>23</v>
      </c>
      <c r="J25" s="13" t="s">
        <v>98</v>
      </c>
      <c r="K25" s="13" t="s">
        <v>99</v>
      </c>
      <c r="L25" s="13" t="s">
        <v>100</v>
      </c>
      <c r="M25" s="13" t="s">
        <v>27</v>
      </c>
      <c r="N25" s="14">
        <v>71.372</v>
      </c>
      <c r="O25" s="14">
        <v>70.8</v>
      </c>
      <c r="P25" s="13">
        <v>1.0</v>
      </c>
      <c r="Q25" s="14">
        <f t="shared" si="3"/>
        <v>71.372</v>
      </c>
      <c r="R25" s="14">
        <f t="shared" si="4"/>
        <v>0.572</v>
      </c>
      <c r="S25" s="14">
        <f t="shared" si="5"/>
        <v>70.8</v>
      </c>
    </row>
    <row r="26">
      <c r="A26" s="12">
        <v>42638.0</v>
      </c>
      <c r="B26" s="12" t="s">
        <v>2329</v>
      </c>
      <c r="C26" s="2">
        <v>42643.0</v>
      </c>
      <c r="D26" s="15" t="str">
        <f t="shared" si="1"/>
        <v>Sep</v>
      </c>
      <c r="E26" s="2" t="str">
        <f t="shared" si="2"/>
        <v>2016</v>
      </c>
      <c r="F26" s="13" t="s">
        <v>41</v>
      </c>
      <c r="G26" s="13" t="s">
        <v>2351</v>
      </c>
      <c r="H26" s="13" t="s">
        <v>2352</v>
      </c>
      <c r="I26" s="13" t="s">
        <v>23</v>
      </c>
      <c r="J26" s="13" t="s">
        <v>105</v>
      </c>
      <c r="K26" s="13" t="s">
        <v>83</v>
      </c>
      <c r="L26" s="13" t="s">
        <v>37</v>
      </c>
      <c r="M26" s="13" t="s">
        <v>27</v>
      </c>
      <c r="N26" s="14">
        <v>1044.63</v>
      </c>
      <c r="O26" s="14">
        <v>1044.05</v>
      </c>
      <c r="P26" s="13">
        <v>8.0</v>
      </c>
      <c r="Q26" s="14">
        <f t="shared" si="3"/>
        <v>8357.04</v>
      </c>
      <c r="R26" s="14">
        <f t="shared" si="4"/>
        <v>7312.99</v>
      </c>
      <c r="S26" s="14">
        <f t="shared" si="5"/>
        <v>1044.05</v>
      </c>
    </row>
    <row r="27">
      <c r="A27" s="12">
        <v>42751.0</v>
      </c>
      <c r="B27" s="12" t="s">
        <v>2353</v>
      </c>
      <c r="C27" s="2">
        <v>42755.0</v>
      </c>
      <c r="D27" s="15" t="str">
        <f t="shared" si="1"/>
        <v>Jan</v>
      </c>
      <c r="E27" s="2" t="str">
        <f t="shared" si="2"/>
        <v>2017</v>
      </c>
      <c r="F27" s="13" t="s">
        <v>20</v>
      </c>
      <c r="G27" s="13" t="s">
        <v>2354</v>
      </c>
      <c r="H27" s="13" t="s">
        <v>2355</v>
      </c>
      <c r="I27" s="13" t="s">
        <v>23</v>
      </c>
      <c r="J27" s="13" t="s">
        <v>35</v>
      </c>
      <c r="K27" s="13" t="s">
        <v>52</v>
      </c>
      <c r="L27" s="13" t="s">
        <v>37</v>
      </c>
      <c r="M27" s="13" t="s">
        <v>38</v>
      </c>
      <c r="N27" s="14">
        <v>11.648</v>
      </c>
      <c r="O27" s="14">
        <v>11.39</v>
      </c>
      <c r="P27" s="13">
        <v>9.0</v>
      </c>
      <c r="Q27" s="14">
        <f t="shared" si="3"/>
        <v>104.832</v>
      </c>
      <c r="R27" s="14">
        <f t="shared" si="4"/>
        <v>93.442</v>
      </c>
      <c r="S27" s="14">
        <f t="shared" si="5"/>
        <v>11.39</v>
      </c>
    </row>
    <row r="28">
      <c r="A28" s="12">
        <v>42751.0</v>
      </c>
      <c r="B28" s="12" t="s">
        <v>2353</v>
      </c>
      <c r="C28" s="2">
        <v>42755.0</v>
      </c>
      <c r="D28" s="15" t="str">
        <f t="shared" si="1"/>
        <v>Jan</v>
      </c>
      <c r="E28" s="2" t="str">
        <f t="shared" si="2"/>
        <v>2017</v>
      </c>
      <c r="F28" s="13" t="s">
        <v>20</v>
      </c>
      <c r="G28" s="13" t="s">
        <v>2354</v>
      </c>
      <c r="H28" s="13" t="s">
        <v>2355</v>
      </c>
      <c r="I28" s="13" t="s">
        <v>23</v>
      </c>
      <c r="J28" s="13" t="s">
        <v>35</v>
      </c>
      <c r="K28" s="13" t="s">
        <v>52</v>
      </c>
      <c r="L28" s="13" t="s">
        <v>37</v>
      </c>
      <c r="M28" s="13" t="s">
        <v>51</v>
      </c>
      <c r="N28" s="14">
        <v>90.57</v>
      </c>
      <c r="O28" s="14">
        <v>89.64</v>
      </c>
      <c r="P28" s="13">
        <v>9.0</v>
      </c>
      <c r="Q28" s="14">
        <f t="shared" si="3"/>
        <v>815.13</v>
      </c>
      <c r="R28" s="14">
        <f t="shared" si="4"/>
        <v>725.49</v>
      </c>
      <c r="S28" s="14">
        <f t="shared" si="5"/>
        <v>89.64</v>
      </c>
    </row>
    <row r="29">
      <c r="A29" s="12">
        <v>42630.0</v>
      </c>
      <c r="B29" s="12" t="s">
        <v>2329</v>
      </c>
      <c r="C29" s="2">
        <v>42634.0</v>
      </c>
      <c r="D29" s="15" t="str">
        <f t="shared" si="1"/>
        <v>Sep</v>
      </c>
      <c r="E29" s="2" t="str">
        <f t="shared" si="2"/>
        <v>2016</v>
      </c>
      <c r="F29" s="13" t="s">
        <v>41</v>
      </c>
      <c r="G29" s="13" t="s">
        <v>2356</v>
      </c>
      <c r="H29" s="13" t="s">
        <v>2357</v>
      </c>
      <c r="I29" s="13" t="s">
        <v>23</v>
      </c>
      <c r="J29" s="13" t="s">
        <v>98</v>
      </c>
      <c r="K29" s="13" t="s">
        <v>99</v>
      </c>
      <c r="L29" s="13" t="s">
        <v>100</v>
      </c>
      <c r="M29" s="13" t="s">
        <v>27</v>
      </c>
      <c r="N29" s="14">
        <v>3083.43</v>
      </c>
      <c r="O29" s="14">
        <v>3082.52</v>
      </c>
      <c r="P29" s="13">
        <v>1.0</v>
      </c>
      <c r="Q29" s="14">
        <f t="shared" si="3"/>
        <v>3083.43</v>
      </c>
      <c r="R29" s="14">
        <f t="shared" si="4"/>
        <v>0.91</v>
      </c>
      <c r="S29" s="14">
        <f t="shared" si="5"/>
        <v>3082.52</v>
      </c>
    </row>
    <row r="30">
      <c r="A30" s="12">
        <v>42630.0</v>
      </c>
      <c r="B30" s="12" t="s">
        <v>2329</v>
      </c>
      <c r="C30" s="2">
        <v>42634.0</v>
      </c>
      <c r="D30" s="15" t="str">
        <f t="shared" si="1"/>
        <v>Sep</v>
      </c>
      <c r="E30" s="2" t="str">
        <f t="shared" si="2"/>
        <v>2016</v>
      </c>
      <c r="F30" s="13" t="s">
        <v>41</v>
      </c>
      <c r="G30" s="13" t="s">
        <v>2356</v>
      </c>
      <c r="H30" s="13" t="s">
        <v>2357</v>
      </c>
      <c r="I30" s="13" t="s">
        <v>23</v>
      </c>
      <c r="J30" s="13" t="s">
        <v>98</v>
      </c>
      <c r="K30" s="13" t="s">
        <v>99</v>
      </c>
      <c r="L30" s="13" t="s">
        <v>100</v>
      </c>
      <c r="M30" s="13" t="s">
        <v>38</v>
      </c>
      <c r="N30" s="14">
        <v>9.618</v>
      </c>
      <c r="O30" s="14">
        <v>9.01</v>
      </c>
      <c r="P30" s="13">
        <v>1.0</v>
      </c>
      <c r="Q30" s="14">
        <f t="shared" si="3"/>
        <v>9.618</v>
      </c>
      <c r="R30" s="14">
        <f t="shared" si="4"/>
        <v>0.608</v>
      </c>
      <c r="S30" s="14">
        <f t="shared" si="5"/>
        <v>9.01</v>
      </c>
    </row>
    <row r="31">
      <c r="A31" s="12">
        <v>42630.0</v>
      </c>
      <c r="B31" s="12" t="s">
        <v>2329</v>
      </c>
      <c r="C31" s="2">
        <v>42634.0</v>
      </c>
      <c r="D31" s="15" t="str">
        <f t="shared" si="1"/>
        <v>Sep</v>
      </c>
      <c r="E31" s="2" t="str">
        <f t="shared" si="2"/>
        <v>2016</v>
      </c>
      <c r="F31" s="13" t="s">
        <v>41</v>
      </c>
      <c r="G31" s="13" t="s">
        <v>2356</v>
      </c>
      <c r="H31" s="13" t="s">
        <v>2357</v>
      </c>
      <c r="I31" s="13" t="s">
        <v>23</v>
      </c>
      <c r="J31" s="13" t="s">
        <v>98</v>
      </c>
      <c r="K31" s="13" t="s">
        <v>99</v>
      </c>
      <c r="L31" s="13" t="s">
        <v>100</v>
      </c>
      <c r="M31" s="13" t="s">
        <v>27</v>
      </c>
      <c r="N31" s="14">
        <v>124.2</v>
      </c>
      <c r="O31" s="14">
        <v>123.99</v>
      </c>
      <c r="P31" s="13">
        <v>1.0</v>
      </c>
      <c r="Q31" s="14">
        <f t="shared" si="3"/>
        <v>124.2</v>
      </c>
      <c r="R31" s="14">
        <f t="shared" si="4"/>
        <v>0.21</v>
      </c>
      <c r="S31" s="14">
        <f t="shared" si="5"/>
        <v>123.99</v>
      </c>
    </row>
    <row r="32">
      <c r="A32" s="12">
        <v>42630.0</v>
      </c>
      <c r="B32" s="12" t="s">
        <v>2329</v>
      </c>
      <c r="C32" s="2">
        <v>42634.0</v>
      </c>
      <c r="D32" s="15" t="str">
        <f t="shared" si="1"/>
        <v>Sep</v>
      </c>
      <c r="E32" s="2" t="str">
        <f t="shared" si="2"/>
        <v>2016</v>
      </c>
      <c r="F32" s="13" t="s">
        <v>41</v>
      </c>
      <c r="G32" s="13" t="s">
        <v>2356</v>
      </c>
      <c r="H32" s="13" t="s">
        <v>2357</v>
      </c>
      <c r="I32" s="13" t="s">
        <v>23</v>
      </c>
      <c r="J32" s="13" t="s">
        <v>98</v>
      </c>
      <c r="K32" s="13" t="s">
        <v>99</v>
      </c>
      <c r="L32" s="13" t="s">
        <v>100</v>
      </c>
      <c r="M32" s="13" t="s">
        <v>38</v>
      </c>
      <c r="N32" s="14">
        <v>3.264</v>
      </c>
      <c r="O32" s="14">
        <v>3.11</v>
      </c>
      <c r="P32" s="13">
        <v>1.0</v>
      </c>
      <c r="Q32" s="14">
        <f t="shared" si="3"/>
        <v>3.264</v>
      </c>
      <c r="R32" s="14">
        <f t="shared" si="4"/>
        <v>0.154</v>
      </c>
      <c r="S32" s="14">
        <f t="shared" si="5"/>
        <v>3.11</v>
      </c>
    </row>
    <row r="33">
      <c r="A33" s="12">
        <v>42630.0</v>
      </c>
      <c r="B33" s="12" t="s">
        <v>2329</v>
      </c>
      <c r="C33" s="2">
        <v>42634.0</v>
      </c>
      <c r="D33" s="15" t="str">
        <f t="shared" si="1"/>
        <v>Sep</v>
      </c>
      <c r="E33" s="2" t="str">
        <f t="shared" si="2"/>
        <v>2016</v>
      </c>
      <c r="F33" s="13" t="s">
        <v>41</v>
      </c>
      <c r="G33" s="13" t="s">
        <v>2356</v>
      </c>
      <c r="H33" s="13" t="s">
        <v>2357</v>
      </c>
      <c r="I33" s="13" t="s">
        <v>23</v>
      </c>
      <c r="J33" s="13" t="s">
        <v>98</v>
      </c>
      <c r="K33" s="13" t="s">
        <v>99</v>
      </c>
      <c r="L33" s="13" t="s">
        <v>100</v>
      </c>
      <c r="M33" s="13" t="s">
        <v>38</v>
      </c>
      <c r="N33" s="14">
        <v>86.304</v>
      </c>
      <c r="O33" s="14">
        <v>85.88</v>
      </c>
      <c r="P33" s="13">
        <v>1.0</v>
      </c>
      <c r="Q33" s="14">
        <f t="shared" si="3"/>
        <v>86.304</v>
      </c>
      <c r="R33" s="14">
        <f t="shared" si="4"/>
        <v>0.424</v>
      </c>
      <c r="S33" s="14">
        <f t="shared" si="5"/>
        <v>85.88</v>
      </c>
    </row>
    <row r="34">
      <c r="A34" s="12">
        <v>42630.0</v>
      </c>
      <c r="B34" s="12" t="s">
        <v>2329</v>
      </c>
      <c r="C34" s="2">
        <v>42634.0</v>
      </c>
      <c r="D34" s="15" t="str">
        <f t="shared" si="1"/>
        <v>Sep</v>
      </c>
      <c r="E34" s="2" t="str">
        <f t="shared" si="2"/>
        <v>2016</v>
      </c>
      <c r="F34" s="13" t="s">
        <v>41</v>
      </c>
      <c r="G34" s="13" t="s">
        <v>2356</v>
      </c>
      <c r="H34" s="13" t="s">
        <v>2357</v>
      </c>
      <c r="I34" s="13" t="s">
        <v>23</v>
      </c>
      <c r="J34" s="13" t="s">
        <v>98</v>
      </c>
      <c r="K34" s="13" t="s">
        <v>99</v>
      </c>
      <c r="L34" s="13" t="s">
        <v>100</v>
      </c>
      <c r="M34" s="13" t="s">
        <v>38</v>
      </c>
      <c r="N34" s="14">
        <v>6.858</v>
      </c>
      <c r="O34" s="14">
        <v>6.8</v>
      </c>
      <c r="P34" s="13">
        <v>1.0</v>
      </c>
      <c r="Q34" s="14">
        <f t="shared" si="3"/>
        <v>6.858</v>
      </c>
      <c r="R34" s="14">
        <f t="shared" si="4"/>
        <v>0.058</v>
      </c>
      <c r="S34" s="14">
        <f t="shared" si="5"/>
        <v>6.8</v>
      </c>
    </row>
    <row r="35">
      <c r="A35" s="12">
        <v>42630.0</v>
      </c>
      <c r="B35" s="12" t="s">
        <v>2329</v>
      </c>
      <c r="C35" s="2">
        <v>42634.0</v>
      </c>
      <c r="D35" s="15" t="str">
        <f t="shared" si="1"/>
        <v>Sep</v>
      </c>
      <c r="E35" s="2" t="str">
        <f t="shared" si="2"/>
        <v>2016</v>
      </c>
      <c r="F35" s="13" t="s">
        <v>41</v>
      </c>
      <c r="G35" s="13" t="s">
        <v>2356</v>
      </c>
      <c r="H35" s="13" t="s">
        <v>2357</v>
      </c>
      <c r="I35" s="13" t="s">
        <v>23</v>
      </c>
      <c r="J35" s="13" t="s">
        <v>98</v>
      </c>
      <c r="K35" s="13" t="s">
        <v>99</v>
      </c>
      <c r="L35" s="13" t="s">
        <v>100</v>
      </c>
      <c r="M35" s="13" t="s">
        <v>38</v>
      </c>
      <c r="N35" s="14">
        <v>15.76</v>
      </c>
      <c r="O35" s="14">
        <v>15.66</v>
      </c>
      <c r="P35" s="13">
        <v>1.0</v>
      </c>
      <c r="Q35" s="14">
        <f t="shared" si="3"/>
        <v>15.76</v>
      </c>
      <c r="R35" s="14">
        <f t="shared" si="4"/>
        <v>0.1</v>
      </c>
      <c r="S35" s="14">
        <f t="shared" si="5"/>
        <v>15.66</v>
      </c>
    </row>
    <row r="36">
      <c r="A36" s="12">
        <v>43392.0</v>
      </c>
      <c r="B36" s="12" t="s">
        <v>2358</v>
      </c>
      <c r="C36" s="2">
        <v>43396.0</v>
      </c>
      <c r="D36" s="15" t="str">
        <f t="shared" si="1"/>
        <v>Oct</v>
      </c>
      <c r="E36" s="2" t="str">
        <f t="shared" si="2"/>
        <v>2018</v>
      </c>
      <c r="F36" s="13" t="s">
        <v>20</v>
      </c>
      <c r="G36" s="13" t="s">
        <v>2359</v>
      </c>
      <c r="H36" s="13" t="s">
        <v>2360</v>
      </c>
      <c r="I36" s="13" t="s">
        <v>68</v>
      </c>
      <c r="J36" s="13" t="s">
        <v>129</v>
      </c>
      <c r="K36" s="13" t="s">
        <v>70</v>
      </c>
      <c r="L36" s="13" t="s">
        <v>71</v>
      </c>
      <c r="M36" s="13" t="s">
        <v>38</v>
      </c>
      <c r="N36" s="14">
        <v>29.472</v>
      </c>
      <c r="O36" s="14">
        <v>28.94</v>
      </c>
      <c r="P36" s="13">
        <v>7.0</v>
      </c>
      <c r="Q36" s="14">
        <f t="shared" si="3"/>
        <v>206.304</v>
      </c>
      <c r="R36" s="14">
        <f t="shared" si="4"/>
        <v>177.364</v>
      </c>
      <c r="S36" s="14">
        <f t="shared" si="5"/>
        <v>28.94</v>
      </c>
    </row>
    <row r="37">
      <c r="A37" s="12">
        <v>42959.0</v>
      </c>
      <c r="B37" s="12" t="s">
        <v>2322</v>
      </c>
      <c r="C37" s="2">
        <v>43020.0</v>
      </c>
      <c r="D37" s="15" t="str">
        <f t="shared" si="1"/>
        <v>Oct</v>
      </c>
      <c r="E37" s="2" t="str">
        <f t="shared" si="2"/>
        <v>2017</v>
      </c>
      <c r="F37" s="13" t="s">
        <v>121</v>
      </c>
      <c r="G37" s="13" t="s">
        <v>2361</v>
      </c>
      <c r="H37" s="13" t="s">
        <v>2362</v>
      </c>
      <c r="I37" s="13" t="s">
        <v>34</v>
      </c>
      <c r="J37" s="13" t="s">
        <v>124</v>
      </c>
      <c r="K37" s="13" t="s">
        <v>70</v>
      </c>
      <c r="L37" s="13" t="s">
        <v>71</v>
      </c>
      <c r="M37" s="13" t="s">
        <v>51</v>
      </c>
      <c r="N37" s="14">
        <v>1097.544</v>
      </c>
      <c r="O37" s="14">
        <v>1096.67</v>
      </c>
      <c r="P37" s="13">
        <v>7.0</v>
      </c>
      <c r="Q37" s="14">
        <f t="shared" si="3"/>
        <v>7682.808</v>
      </c>
      <c r="R37" s="14">
        <f t="shared" si="4"/>
        <v>6586.138</v>
      </c>
      <c r="S37" s="14">
        <f t="shared" si="5"/>
        <v>1096.67</v>
      </c>
    </row>
    <row r="38">
      <c r="A38" s="12">
        <v>42959.0</v>
      </c>
      <c r="B38" s="12" t="s">
        <v>2322</v>
      </c>
      <c r="C38" s="2">
        <v>43020.0</v>
      </c>
      <c r="D38" s="15" t="str">
        <f t="shared" si="1"/>
        <v>Oct</v>
      </c>
      <c r="E38" s="2" t="str">
        <f t="shared" si="2"/>
        <v>2017</v>
      </c>
      <c r="F38" s="13" t="s">
        <v>121</v>
      </c>
      <c r="G38" s="13" t="s">
        <v>2361</v>
      </c>
      <c r="H38" s="13" t="s">
        <v>2362</v>
      </c>
      <c r="I38" s="13" t="s">
        <v>34</v>
      </c>
      <c r="J38" s="13" t="s">
        <v>124</v>
      </c>
      <c r="K38" s="13" t="s">
        <v>70</v>
      </c>
      <c r="L38" s="13" t="s">
        <v>71</v>
      </c>
      <c r="M38" s="13" t="s">
        <v>27</v>
      </c>
      <c r="N38" s="14">
        <v>190.92</v>
      </c>
      <c r="O38" s="14">
        <v>190.8</v>
      </c>
      <c r="P38" s="13">
        <v>7.0</v>
      </c>
      <c r="Q38" s="14">
        <f t="shared" si="3"/>
        <v>1336.44</v>
      </c>
      <c r="R38" s="14">
        <f t="shared" si="4"/>
        <v>1145.64</v>
      </c>
      <c r="S38" s="14">
        <f t="shared" si="5"/>
        <v>190.8</v>
      </c>
    </row>
    <row r="39">
      <c r="A39" s="12">
        <v>42731.0</v>
      </c>
      <c r="B39" s="12" t="s">
        <v>2325</v>
      </c>
      <c r="C39" s="2">
        <v>42735.0</v>
      </c>
      <c r="D39" s="15" t="str">
        <f t="shared" si="1"/>
        <v>Dec</v>
      </c>
      <c r="E39" s="2" t="str">
        <f t="shared" si="2"/>
        <v>2016</v>
      </c>
      <c r="F39" s="13" t="s">
        <v>41</v>
      </c>
      <c r="G39" s="13" t="s">
        <v>2363</v>
      </c>
      <c r="H39" s="13" t="s">
        <v>2364</v>
      </c>
      <c r="I39" s="13" t="s">
        <v>68</v>
      </c>
      <c r="J39" s="13" t="s">
        <v>129</v>
      </c>
      <c r="K39" s="13" t="s">
        <v>70</v>
      </c>
      <c r="L39" s="13" t="s">
        <v>71</v>
      </c>
      <c r="M39" s="13" t="s">
        <v>38</v>
      </c>
      <c r="N39" s="14">
        <v>113.328</v>
      </c>
      <c r="O39" s="14">
        <v>112.36</v>
      </c>
      <c r="P39" s="13">
        <v>7.0</v>
      </c>
      <c r="Q39" s="14">
        <f t="shared" si="3"/>
        <v>793.296</v>
      </c>
      <c r="R39" s="14">
        <f t="shared" si="4"/>
        <v>680.936</v>
      </c>
      <c r="S39" s="14">
        <f t="shared" si="5"/>
        <v>112.36</v>
      </c>
    </row>
    <row r="40">
      <c r="A40" s="12">
        <v>42731.0</v>
      </c>
      <c r="B40" s="12" t="s">
        <v>2325</v>
      </c>
      <c r="C40" s="2">
        <v>42735.0</v>
      </c>
      <c r="D40" s="15" t="str">
        <f t="shared" si="1"/>
        <v>Dec</v>
      </c>
      <c r="E40" s="2" t="str">
        <f t="shared" si="2"/>
        <v>2016</v>
      </c>
      <c r="F40" s="13" t="s">
        <v>41</v>
      </c>
      <c r="G40" s="13" t="s">
        <v>2363</v>
      </c>
      <c r="H40" s="13" t="s">
        <v>2364</v>
      </c>
      <c r="I40" s="13" t="s">
        <v>68</v>
      </c>
      <c r="J40" s="13" t="s">
        <v>129</v>
      </c>
      <c r="K40" s="13" t="s">
        <v>70</v>
      </c>
      <c r="L40" s="13" t="s">
        <v>71</v>
      </c>
      <c r="M40" s="13" t="s">
        <v>27</v>
      </c>
      <c r="N40" s="14">
        <v>532.3992</v>
      </c>
      <c r="O40" s="14">
        <v>532.02</v>
      </c>
      <c r="P40" s="13">
        <v>7.0</v>
      </c>
      <c r="Q40" s="14">
        <f t="shared" si="3"/>
        <v>3726.7944</v>
      </c>
      <c r="R40" s="14">
        <f t="shared" si="4"/>
        <v>3194.7744</v>
      </c>
      <c r="S40" s="14">
        <f t="shared" si="5"/>
        <v>532.02</v>
      </c>
    </row>
    <row r="41">
      <c r="A41" s="12">
        <v>42731.0</v>
      </c>
      <c r="B41" s="12" t="s">
        <v>2325</v>
      </c>
      <c r="C41" s="2">
        <v>42735.0</v>
      </c>
      <c r="D41" s="15" t="str">
        <f t="shared" si="1"/>
        <v>Dec</v>
      </c>
      <c r="E41" s="2" t="str">
        <f t="shared" si="2"/>
        <v>2016</v>
      </c>
      <c r="F41" s="13" t="s">
        <v>41</v>
      </c>
      <c r="G41" s="13" t="s">
        <v>2363</v>
      </c>
      <c r="H41" s="13" t="s">
        <v>2364</v>
      </c>
      <c r="I41" s="13" t="s">
        <v>68</v>
      </c>
      <c r="J41" s="13" t="s">
        <v>129</v>
      </c>
      <c r="K41" s="13" t="s">
        <v>70</v>
      </c>
      <c r="L41" s="13" t="s">
        <v>71</v>
      </c>
      <c r="M41" s="13" t="s">
        <v>27</v>
      </c>
      <c r="N41" s="14">
        <v>212.058</v>
      </c>
      <c r="O41" s="14">
        <v>211.08</v>
      </c>
      <c r="P41" s="13">
        <v>7.0</v>
      </c>
      <c r="Q41" s="14">
        <f t="shared" si="3"/>
        <v>1484.406</v>
      </c>
      <c r="R41" s="14">
        <f t="shared" si="4"/>
        <v>1273.326</v>
      </c>
      <c r="S41" s="14">
        <f t="shared" si="5"/>
        <v>211.08</v>
      </c>
    </row>
    <row r="42">
      <c r="A42" s="12">
        <v>42731.0</v>
      </c>
      <c r="B42" s="12" t="s">
        <v>2325</v>
      </c>
      <c r="C42" s="2">
        <v>42735.0</v>
      </c>
      <c r="D42" s="15" t="str">
        <f t="shared" si="1"/>
        <v>Dec</v>
      </c>
      <c r="E42" s="2" t="str">
        <f t="shared" si="2"/>
        <v>2016</v>
      </c>
      <c r="F42" s="13" t="s">
        <v>41</v>
      </c>
      <c r="G42" s="13" t="s">
        <v>2363</v>
      </c>
      <c r="H42" s="13" t="s">
        <v>2364</v>
      </c>
      <c r="I42" s="13" t="s">
        <v>68</v>
      </c>
      <c r="J42" s="13" t="s">
        <v>129</v>
      </c>
      <c r="K42" s="13" t="s">
        <v>70</v>
      </c>
      <c r="L42" s="13" t="s">
        <v>71</v>
      </c>
      <c r="M42" s="13" t="s">
        <v>51</v>
      </c>
      <c r="N42" s="14">
        <v>371.168</v>
      </c>
      <c r="O42" s="14">
        <v>370.36</v>
      </c>
      <c r="P42" s="13">
        <v>7.0</v>
      </c>
      <c r="Q42" s="14">
        <f t="shared" si="3"/>
        <v>2598.176</v>
      </c>
      <c r="R42" s="14">
        <f t="shared" si="4"/>
        <v>2227.816</v>
      </c>
      <c r="S42" s="14">
        <f t="shared" si="5"/>
        <v>370.36</v>
      </c>
    </row>
    <row r="43">
      <c r="A43" s="12">
        <v>43382.0</v>
      </c>
      <c r="B43" s="12" t="s">
        <v>2358</v>
      </c>
      <c r="C43" s="2">
        <v>43358.0</v>
      </c>
      <c r="D43" s="15" t="str">
        <f t="shared" si="1"/>
        <v>Sep</v>
      </c>
      <c r="E43" s="2" t="str">
        <f t="shared" si="2"/>
        <v>2018</v>
      </c>
      <c r="F43" s="13" t="s">
        <v>41</v>
      </c>
      <c r="G43" s="13" t="s">
        <v>2365</v>
      </c>
      <c r="H43" s="13" t="s">
        <v>2366</v>
      </c>
      <c r="I43" s="13" t="s">
        <v>34</v>
      </c>
      <c r="J43" s="13" t="s">
        <v>134</v>
      </c>
      <c r="K43" s="13" t="s">
        <v>135</v>
      </c>
      <c r="L43" s="13" t="s">
        <v>71</v>
      </c>
      <c r="M43" s="13" t="s">
        <v>51</v>
      </c>
      <c r="N43" s="14">
        <v>147.168</v>
      </c>
      <c r="O43" s="14">
        <v>146.34</v>
      </c>
      <c r="P43" s="13">
        <v>6.0</v>
      </c>
      <c r="Q43" s="14">
        <f t="shared" si="3"/>
        <v>883.008</v>
      </c>
      <c r="R43" s="14">
        <f t="shared" si="4"/>
        <v>736.668</v>
      </c>
      <c r="S43" s="14">
        <f t="shared" si="5"/>
        <v>146.34</v>
      </c>
    </row>
    <row r="44">
      <c r="A44" s="12">
        <v>42933.0</v>
      </c>
      <c r="B44" s="12" t="s">
        <v>2348</v>
      </c>
      <c r="C44" s="2">
        <v>42938.0</v>
      </c>
      <c r="D44" s="15" t="str">
        <f t="shared" si="1"/>
        <v>Jul</v>
      </c>
      <c r="E44" s="2" t="str">
        <f t="shared" si="2"/>
        <v>2017</v>
      </c>
      <c r="F44" s="13" t="s">
        <v>41</v>
      </c>
      <c r="G44" s="13" t="s">
        <v>2367</v>
      </c>
      <c r="H44" s="13" t="s">
        <v>2368</v>
      </c>
      <c r="I44" s="13" t="s">
        <v>34</v>
      </c>
      <c r="J44" s="13" t="s">
        <v>35</v>
      </c>
      <c r="K44" s="13" t="s">
        <v>52</v>
      </c>
      <c r="L44" s="13" t="s">
        <v>37</v>
      </c>
      <c r="M44" s="13" t="s">
        <v>38</v>
      </c>
      <c r="N44" s="14">
        <v>77.88</v>
      </c>
      <c r="O44" s="14">
        <v>77.43</v>
      </c>
      <c r="P44" s="13">
        <v>9.0</v>
      </c>
      <c r="Q44" s="14">
        <f t="shared" si="3"/>
        <v>700.92</v>
      </c>
      <c r="R44" s="14">
        <f t="shared" si="4"/>
        <v>623.49</v>
      </c>
      <c r="S44" s="14">
        <f t="shared" si="5"/>
        <v>77.43</v>
      </c>
    </row>
    <row r="45">
      <c r="A45" s="12">
        <v>43362.0</v>
      </c>
      <c r="B45" s="12" t="s">
        <v>2329</v>
      </c>
      <c r="C45" s="2">
        <v>43366.0</v>
      </c>
      <c r="D45" s="15" t="str">
        <f t="shared" si="1"/>
        <v>Sep</v>
      </c>
      <c r="E45" s="2" t="str">
        <f t="shared" si="2"/>
        <v>2018</v>
      </c>
      <c r="F45" s="13" t="s">
        <v>41</v>
      </c>
      <c r="G45" s="13" t="s">
        <v>2369</v>
      </c>
      <c r="H45" s="13" t="s">
        <v>2370</v>
      </c>
      <c r="I45" s="13" t="s">
        <v>34</v>
      </c>
      <c r="J45" s="13" t="s">
        <v>144</v>
      </c>
      <c r="K45" s="13" t="s">
        <v>145</v>
      </c>
      <c r="L45" s="13" t="s">
        <v>26</v>
      </c>
      <c r="M45" s="13" t="s">
        <v>38</v>
      </c>
      <c r="N45" s="14">
        <v>95.616</v>
      </c>
      <c r="O45" s="14">
        <v>94.71</v>
      </c>
      <c r="P45" s="13">
        <v>3.0</v>
      </c>
      <c r="Q45" s="14">
        <f t="shared" si="3"/>
        <v>286.848</v>
      </c>
      <c r="R45" s="14">
        <f t="shared" si="4"/>
        <v>192.138</v>
      </c>
      <c r="S45" s="14">
        <f t="shared" si="5"/>
        <v>94.71</v>
      </c>
    </row>
    <row r="46">
      <c r="A46" s="12">
        <v>43042.0</v>
      </c>
      <c r="B46" s="12" t="s">
        <v>2326</v>
      </c>
      <c r="C46" s="2">
        <v>42807.0</v>
      </c>
      <c r="D46" s="15" t="str">
        <f t="shared" si="1"/>
        <v>Mar</v>
      </c>
      <c r="E46" s="2" t="str">
        <f t="shared" si="2"/>
        <v>2017</v>
      </c>
      <c r="F46" s="13" t="s">
        <v>121</v>
      </c>
      <c r="G46" s="13" t="s">
        <v>2371</v>
      </c>
      <c r="H46" s="13" t="s">
        <v>2372</v>
      </c>
      <c r="I46" s="13" t="s">
        <v>34</v>
      </c>
      <c r="J46" s="13" t="s">
        <v>150</v>
      </c>
      <c r="K46" s="13" t="s">
        <v>151</v>
      </c>
      <c r="L46" s="13" t="s">
        <v>71</v>
      </c>
      <c r="M46" s="13" t="s">
        <v>51</v>
      </c>
      <c r="N46" s="14">
        <v>45.98</v>
      </c>
      <c r="O46" s="14">
        <v>45.84</v>
      </c>
      <c r="P46" s="13">
        <v>5.0</v>
      </c>
      <c r="Q46" s="14">
        <f t="shared" si="3"/>
        <v>229.9</v>
      </c>
      <c r="R46" s="14">
        <f t="shared" si="4"/>
        <v>184.06</v>
      </c>
      <c r="S46" s="14">
        <f t="shared" si="5"/>
        <v>45.84</v>
      </c>
    </row>
    <row r="47">
      <c r="A47" s="12">
        <v>43042.0</v>
      </c>
      <c r="B47" s="12" t="s">
        <v>2326</v>
      </c>
      <c r="C47" s="2">
        <v>42807.0</v>
      </c>
      <c r="D47" s="15" t="str">
        <f t="shared" si="1"/>
        <v>Mar</v>
      </c>
      <c r="E47" s="2" t="str">
        <f t="shared" si="2"/>
        <v>2017</v>
      </c>
      <c r="F47" s="13" t="s">
        <v>121</v>
      </c>
      <c r="G47" s="13" t="s">
        <v>2371</v>
      </c>
      <c r="H47" s="13" t="s">
        <v>2372</v>
      </c>
      <c r="I47" s="13" t="s">
        <v>34</v>
      </c>
      <c r="J47" s="13" t="s">
        <v>150</v>
      </c>
      <c r="K47" s="13" t="s">
        <v>151</v>
      </c>
      <c r="L47" s="13" t="s">
        <v>71</v>
      </c>
      <c r="M47" s="13" t="s">
        <v>38</v>
      </c>
      <c r="N47" s="14">
        <v>17.46</v>
      </c>
      <c r="O47" s="14">
        <v>17.12</v>
      </c>
      <c r="P47" s="13">
        <v>5.0</v>
      </c>
      <c r="Q47" s="14">
        <f t="shared" si="3"/>
        <v>87.3</v>
      </c>
      <c r="R47" s="14">
        <f t="shared" si="4"/>
        <v>70.18</v>
      </c>
      <c r="S47" s="14">
        <f t="shared" si="5"/>
        <v>17.12</v>
      </c>
    </row>
    <row r="48">
      <c r="A48" s="12">
        <v>42297.0</v>
      </c>
      <c r="B48" s="12" t="s">
        <v>2358</v>
      </c>
      <c r="C48" s="2">
        <v>42302.0</v>
      </c>
      <c r="D48" s="15" t="str">
        <f t="shared" si="1"/>
        <v>Oct</v>
      </c>
      <c r="E48" s="2" t="str">
        <f t="shared" si="2"/>
        <v>2015</v>
      </c>
      <c r="F48" s="13" t="s">
        <v>20</v>
      </c>
      <c r="G48" s="13" t="s">
        <v>2373</v>
      </c>
      <c r="H48" s="13" t="s">
        <v>2328</v>
      </c>
      <c r="I48" s="13" t="s">
        <v>23</v>
      </c>
      <c r="J48" s="13" t="s">
        <v>156</v>
      </c>
      <c r="K48" s="13" t="s">
        <v>157</v>
      </c>
      <c r="L48" s="13" t="s">
        <v>71</v>
      </c>
      <c r="M48" s="13" t="s">
        <v>38</v>
      </c>
      <c r="N48" s="14">
        <v>211.96</v>
      </c>
      <c r="O48" s="14">
        <v>211.46</v>
      </c>
      <c r="P48" s="13">
        <v>4.0</v>
      </c>
      <c r="Q48" s="14">
        <f t="shared" si="3"/>
        <v>847.84</v>
      </c>
      <c r="R48" s="14">
        <f t="shared" si="4"/>
        <v>636.38</v>
      </c>
      <c r="S48" s="14">
        <f t="shared" si="5"/>
        <v>211.46</v>
      </c>
    </row>
    <row r="49">
      <c r="A49" s="12">
        <v>42906.0</v>
      </c>
      <c r="B49" s="12" t="s">
        <v>2374</v>
      </c>
      <c r="C49" s="2">
        <v>42911.0</v>
      </c>
      <c r="D49" s="15" t="str">
        <f t="shared" si="1"/>
        <v>Jun</v>
      </c>
      <c r="E49" s="2" t="str">
        <f t="shared" si="2"/>
        <v>2017</v>
      </c>
      <c r="F49" s="13" t="s">
        <v>41</v>
      </c>
      <c r="G49" s="13" t="s">
        <v>2375</v>
      </c>
      <c r="H49" s="13" t="s">
        <v>2376</v>
      </c>
      <c r="I49" s="13" t="s">
        <v>23</v>
      </c>
      <c r="J49" s="13" t="s">
        <v>162</v>
      </c>
      <c r="K49" s="13" t="s">
        <v>163</v>
      </c>
      <c r="L49" s="13" t="s">
        <v>100</v>
      </c>
      <c r="M49" s="13" t="s">
        <v>51</v>
      </c>
      <c r="N49" s="14">
        <v>45.0</v>
      </c>
      <c r="O49" s="14">
        <v>44.59</v>
      </c>
      <c r="P49" s="13">
        <v>1.0</v>
      </c>
      <c r="Q49" s="14">
        <f t="shared" si="3"/>
        <v>45</v>
      </c>
      <c r="R49" s="14">
        <f t="shared" si="4"/>
        <v>0.41</v>
      </c>
      <c r="S49" s="14">
        <f t="shared" si="5"/>
        <v>44.59</v>
      </c>
    </row>
    <row r="50">
      <c r="A50" s="12">
        <v>42906.0</v>
      </c>
      <c r="B50" s="12" t="s">
        <v>2374</v>
      </c>
      <c r="C50" s="2">
        <v>42911.0</v>
      </c>
      <c r="D50" s="15" t="str">
        <f t="shared" si="1"/>
        <v>Jun</v>
      </c>
      <c r="E50" s="2" t="str">
        <f t="shared" si="2"/>
        <v>2017</v>
      </c>
      <c r="F50" s="13" t="s">
        <v>41</v>
      </c>
      <c r="G50" s="13" t="s">
        <v>2375</v>
      </c>
      <c r="H50" s="13" t="s">
        <v>2376</v>
      </c>
      <c r="I50" s="13" t="s">
        <v>23</v>
      </c>
      <c r="J50" s="13" t="s">
        <v>162</v>
      </c>
      <c r="K50" s="13" t="s">
        <v>163</v>
      </c>
      <c r="L50" s="13" t="s">
        <v>100</v>
      </c>
      <c r="M50" s="13" t="s">
        <v>51</v>
      </c>
      <c r="N50" s="14">
        <v>21.8</v>
      </c>
      <c r="O50" s="14">
        <v>21.04</v>
      </c>
      <c r="P50" s="13">
        <v>1.0</v>
      </c>
      <c r="Q50" s="14">
        <f t="shared" si="3"/>
        <v>21.8</v>
      </c>
      <c r="R50" s="14">
        <f t="shared" si="4"/>
        <v>0.76</v>
      </c>
      <c r="S50" s="14">
        <f t="shared" si="5"/>
        <v>21.04</v>
      </c>
    </row>
    <row r="51">
      <c r="A51" s="12">
        <v>42478.0</v>
      </c>
      <c r="B51" s="12" t="s">
        <v>2332</v>
      </c>
      <c r="C51" s="2">
        <v>42482.0</v>
      </c>
      <c r="D51" s="15" t="str">
        <f t="shared" si="1"/>
        <v>Apr</v>
      </c>
      <c r="E51" s="2" t="str">
        <f t="shared" si="2"/>
        <v>2016</v>
      </c>
      <c r="F51" s="13" t="s">
        <v>41</v>
      </c>
      <c r="G51" s="13" t="s">
        <v>2377</v>
      </c>
      <c r="H51" s="13" t="s">
        <v>2378</v>
      </c>
      <c r="I51" s="13" t="s">
        <v>23</v>
      </c>
      <c r="J51" s="13" t="s">
        <v>168</v>
      </c>
      <c r="K51" s="13" t="s">
        <v>169</v>
      </c>
      <c r="L51" s="13" t="s">
        <v>71</v>
      </c>
      <c r="M51" s="13" t="s">
        <v>38</v>
      </c>
      <c r="N51" s="14">
        <v>38.22</v>
      </c>
      <c r="O51" s="14">
        <v>37.28</v>
      </c>
      <c r="P51" s="13">
        <v>4.0</v>
      </c>
      <c r="Q51" s="14">
        <f t="shared" si="3"/>
        <v>152.88</v>
      </c>
      <c r="R51" s="14">
        <f t="shared" si="4"/>
        <v>115.6</v>
      </c>
      <c r="S51" s="14">
        <f t="shared" si="5"/>
        <v>37.28</v>
      </c>
    </row>
    <row r="52">
      <c r="A52" s="12">
        <v>42478.0</v>
      </c>
      <c r="B52" s="12" t="s">
        <v>2332</v>
      </c>
      <c r="C52" s="2">
        <v>42482.0</v>
      </c>
      <c r="D52" s="15" t="str">
        <f t="shared" si="1"/>
        <v>Apr</v>
      </c>
      <c r="E52" s="2" t="str">
        <f t="shared" si="2"/>
        <v>2016</v>
      </c>
      <c r="F52" s="13" t="s">
        <v>41</v>
      </c>
      <c r="G52" s="13" t="s">
        <v>2377</v>
      </c>
      <c r="H52" s="13" t="s">
        <v>2378</v>
      </c>
      <c r="I52" s="13" t="s">
        <v>23</v>
      </c>
      <c r="J52" s="13" t="s">
        <v>168</v>
      </c>
      <c r="K52" s="13" t="s">
        <v>169</v>
      </c>
      <c r="L52" s="13" t="s">
        <v>71</v>
      </c>
      <c r="M52" s="13" t="s">
        <v>38</v>
      </c>
      <c r="N52" s="14">
        <v>75.18</v>
      </c>
      <c r="O52" s="14">
        <v>75.01</v>
      </c>
      <c r="P52" s="13">
        <v>4.0</v>
      </c>
      <c r="Q52" s="14">
        <f t="shared" si="3"/>
        <v>300.72</v>
      </c>
      <c r="R52" s="14">
        <f t="shared" si="4"/>
        <v>225.71</v>
      </c>
      <c r="S52" s="14">
        <f t="shared" si="5"/>
        <v>75.01</v>
      </c>
    </row>
    <row r="53">
      <c r="A53" s="12">
        <v>42478.0</v>
      </c>
      <c r="B53" s="12" t="s">
        <v>2332</v>
      </c>
      <c r="C53" s="2">
        <v>42482.0</v>
      </c>
      <c r="D53" s="15" t="str">
        <f t="shared" si="1"/>
        <v>Apr</v>
      </c>
      <c r="E53" s="2" t="str">
        <f t="shared" si="2"/>
        <v>2016</v>
      </c>
      <c r="F53" s="13" t="s">
        <v>41</v>
      </c>
      <c r="G53" s="13" t="s">
        <v>2377</v>
      </c>
      <c r="H53" s="13" t="s">
        <v>2378</v>
      </c>
      <c r="I53" s="13" t="s">
        <v>23</v>
      </c>
      <c r="J53" s="13" t="s">
        <v>168</v>
      </c>
      <c r="K53" s="13" t="s">
        <v>169</v>
      </c>
      <c r="L53" s="13" t="s">
        <v>71</v>
      </c>
      <c r="M53" s="13" t="s">
        <v>27</v>
      </c>
      <c r="N53" s="14">
        <v>6.16</v>
      </c>
      <c r="O53" s="14">
        <v>6.03</v>
      </c>
      <c r="P53" s="13">
        <v>4.0</v>
      </c>
      <c r="Q53" s="14">
        <f t="shared" si="3"/>
        <v>24.64</v>
      </c>
      <c r="R53" s="14">
        <f t="shared" si="4"/>
        <v>18.61</v>
      </c>
      <c r="S53" s="14">
        <f t="shared" si="5"/>
        <v>6.03</v>
      </c>
    </row>
    <row r="54">
      <c r="A54" s="12">
        <v>42478.0</v>
      </c>
      <c r="B54" s="12" t="s">
        <v>2332</v>
      </c>
      <c r="C54" s="2">
        <v>42482.0</v>
      </c>
      <c r="D54" s="15" t="str">
        <f t="shared" si="1"/>
        <v>Apr</v>
      </c>
      <c r="E54" s="2" t="str">
        <f t="shared" si="2"/>
        <v>2016</v>
      </c>
      <c r="F54" s="13" t="s">
        <v>41</v>
      </c>
      <c r="G54" s="13" t="s">
        <v>2377</v>
      </c>
      <c r="H54" s="13" t="s">
        <v>2378</v>
      </c>
      <c r="I54" s="13" t="s">
        <v>23</v>
      </c>
      <c r="J54" s="13" t="s">
        <v>168</v>
      </c>
      <c r="K54" s="13" t="s">
        <v>169</v>
      </c>
      <c r="L54" s="13" t="s">
        <v>71</v>
      </c>
      <c r="M54" s="13" t="s">
        <v>27</v>
      </c>
      <c r="N54" s="14">
        <v>89.99</v>
      </c>
      <c r="O54" s="14">
        <v>89.04</v>
      </c>
      <c r="P54" s="13">
        <v>4.0</v>
      </c>
      <c r="Q54" s="14">
        <f t="shared" si="3"/>
        <v>359.96</v>
      </c>
      <c r="R54" s="14">
        <f t="shared" si="4"/>
        <v>270.92</v>
      </c>
      <c r="S54" s="14">
        <f t="shared" si="5"/>
        <v>89.04</v>
      </c>
    </row>
    <row r="55">
      <c r="A55" s="12">
        <v>43051.0</v>
      </c>
      <c r="B55" s="12" t="s">
        <v>2326</v>
      </c>
      <c r="C55" s="2">
        <v>43086.0</v>
      </c>
      <c r="D55" s="15" t="str">
        <f t="shared" si="1"/>
        <v>Dec</v>
      </c>
      <c r="E55" s="2" t="str">
        <f t="shared" si="2"/>
        <v>2017</v>
      </c>
      <c r="F55" s="13" t="s">
        <v>41</v>
      </c>
      <c r="G55" s="13" t="s">
        <v>2379</v>
      </c>
      <c r="H55" s="13" t="s">
        <v>2380</v>
      </c>
      <c r="I55" s="13" t="s">
        <v>34</v>
      </c>
      <c r="J55" s="13" t="s">
        <v>174</v>
      </c>
      <c r="K55" s="13" t="s">
        <v>175</v>
      </c>
      <c r="L55" s="13" t="s">
        <v>100</v>
      </c>
      <c r="M55" s="13" t="s">
        <v>38</v>
      </c>
      <c r="N55" s="14">
        <v>15.26</v>
      </c>
      <c r="O55" s="14">
        <v>14.39</v>
      </c>
      <c r="P55" s="13">
        <v>1.0</v>
      </c>
      <c r="Q55" s="14">
        <f t="shared" si="3"/>
        <v>15.26</v>
      </c>
      <c r="R55" s="14">
        <f t="shared" si="4"/>
        <v>0.87</v>
      </c>
      <c r="S55" s="14">
        <f t="shared" si="5"/>
        <v>14.39</v>
      </c>
    </row>
    <row r="56">
      <c r="A56" s="12">
        <v>43051.0</v>
      </c>
      <c r="B56" s="12" t="s">
        <v>2326</v>
      </c>
      <c r="C56" s="2">
        <v>43086.0</v>
      </c>
      <c r="D56" s="15" t="str">
        <f t="shared" si="1"/>
        <v>Dec</v>
      </c>
      <c r="E56" s="2" t="str">
        <f t="shared" si="2"/>
        <v>2017</v>
      </c>
      <c r="F56" s="13" t="s">
        <v>41</v>
      </c>
      <c r="G56" s="13" t="s">
        <v>2379</v>
      </c>
      <c r="H56" s="13" t="s">
        <v>2380</v>
      </c>
      <c r="I56" s="13" t="s">
        <v>34</v>
      </c>
      <c r="J56" s="13" t="s">
        <v>174</v>
      </c>
      <c r="K56" s="13" t="s">
        <v>175</v>
      </c>
      <c r="L56" s="13" t="s">
        <v>100</v>
      </c>
      <c r="M56" s="13" t="s">
        <v>51</v>
      </c>
      <c r="N56" s="14">
        <v>1029.95</v>
      </c>
      <c r="O56" s="14">
        <v>1029.71</v>
      </c>
      <c r="P56" s="13">
        <v>1.0</v>
      </c>
      <c r="Q56" s="14">
        <f t="shared" si="3"/>
        <v>1029.95</v>
      </c>
      <c r="R56" s="14">
        <f t="shared" si="4"/>
        <v>0.24</v>
      </c>
      <c r="S56" s="14">
        <f t="shared" si="5"/>
        <v>1029.71</v>
      </c>
    </row>
    <row r="57">
      <c r="A57" s="12">
        <v>42903.0</v>
      </c>
      <c r="B57" s="12" t="s">
        <v>2374</v>
      </c>
      <c r="C57" s="2">
        <v>42904.0</v>
      </c>
      <c r="D57" s="15" t="str">
        <f t="shared" si="1"/>
        <v>Jun</v>
      </c>
      <c r="E57" s="2" t="str">
        <f t="shared" si="2"/>
        <v>2017</v>
      </c>
      <c r="F57" s="13" t="s">
        <v>121</v>
      </c>
      <c r="G57" s="13" t="s">
        <v>2381</v>
      </c>
      <c r="H57" s="13" t="s">
        <v>2382</v>
      </c>
      <c r="I57" s="13" t="s">
        <v>23</v>
      </c>
      <c r="J57" s="13" t="s">
        <v>180</v>
      </c>
      <c r="K57" s="13" t="s">
        <v>175</v>
      </c>
      <c r="L57" s="13" t="s">
        <v>100</v>
      </c>
      <c r="M57" s="13" t="s">
        <v>38</v>
      </c>
      <c r="N57" s="14">
        <v>208.56</v>
      </c>
      <c r="O57" s="14">
        <v>208.05</v>
      </c>
      <c r="P57" s="13">
        <v>1.0</v>
      </c>
      <c r="Q57" s="14">
        <f t="shared" si="3"/>
        <v>208.56</v>
      </c>
      <c r="R57" s="14">
        <f t="shared" si="4"/>
        <v>0.51</v>
      </c>
      <c r="S57" s="14">
        <f t="shared" si="5"/>
        <v>208.05</v>
      </c>
    </row>
    <row r="58">
      <c r="A58" s="12">
        <v>42903.0</v>
      </c>
      <c r="B58" s="12" t="s">
        <v>2374</v>
      </c>
      <c r="C58" s="2">
        <v>42904.0</v>
      </c>
      <c r="D58" s="15" t="str">
        <f t="shared" si="1"/>
        <v>Jun</v>
      </c>
      <c r="E58" s="2" t="str">
        <f t="shared" si="2"/>
        <v>2017</v>
      </c>
      <c r="F58" s="13" t="s">
        <v>121</v>
      </c>
      <c r="G58" s="13" t="s">
        <v>2381</v>
      </c>
      <c r="H58" s="13" t="s">
        <v>2382</v>
      </c>
      <c r="I58" s="13" t="s">
        <v>23</v>
      </c>
      <c r="J58" s="13" t="s">
        <v>180</v>
      </c>
      <c r="K58" s="13" t="s">
        <v>175</v>
      </c>
      <c r="L58" s="13" t="s">
        <v>100</v>
      </c>
      <c r="M58" s="13" t="s">
        <v>38</v>
      </c>
      <c r="N58" s="14">
        <v>32.4</v>
      </c>
      <c r="O58" s="14">
        <v>31.73</v>
      </c>
      <c r="P58" s="13">
        <v>1.0</v>
      </c>
      <c r="Q58" s="14">
        <f t="shared" si="3"/>
        <v>32.4</v>
      </c>
      <c r="R58" s="14">
        <f t="shared" si="4"/>
        <v>0.67</v>
      </c>
      <c r="S58" s="14">
        <f t="shared" si="5"/>
        <v>31.73</v>
      </c>
    </row>
    <row r="59">
      <c r="A59" s="12">
        <v>42903.0</v>
      </c>
      <c r="B59" s="12" t="s">
        <v>2374</v>
      </c>
      <c r="C59" s="2">
        <v>42904.0</v>
      </c>
      <c r="D59" s="15" t="str">
        <f t="shared" si="1"/>
        <v>Jun</v>
      </c>
      <c r="E59" s="2" t="str">
        <f t="shared" si="2"/>
        <v>2017</v>
      </c>
      <c r="F59" s="13" t="s">
        <v>121</v>
      </c>
      <c r="G59" s="13" t="s">
        <v>2381</v>
      </c>
      <c r="H59" s="13" t="s">
        <v>2382</v>
      </c>
      <c r="I59" s="13" t="s">
        <v>23</v>
      </c>
      <c r="J59" s="13" t="s">
        <v>180</v>
      </c>
      <c r="K59" s="13" t="s">
        <v>175</v>
      </c>
      <c r="L59" s="13" t="s">
        <v>100</v>
      </c>
      <c r="M59" s="13" t="s">
        <v>27</v>
      </c>
      <c r="N59" s="14">
        <v>319.41</v>
      </c>
      <c r="O59" s="14">
        <v>319.3</v>
      </c>
      <c r="P59" s="13">
        <v>1.0</v>
      </c>
      <c r="Q59" s="14">
        <f t="shared" si="3"/>
        <v>319.41</v>
      </c>
      <c r="R59" s="14">
        <f t="shared" si="4"/>
        <v>0.11</v>
      </c>
      <c r="S59" s="14">
        <f t="shared" si="5"/>
        <v>319.3</v>
      </c>
    </row>
    <row r="60">
      <c r="A60" s="12">
        <v>42903.0</v>
      </c>
      <c r="B60" s="12" t="s">
        <v>2374</v>
      </c>
      <c r="C60" s="2">
        <v>42904.0</v>
      </c>
      <c r="D60" s="15" t="str">
        <f t="shared" si="1"/>
        <v>Jun</v>
      </c>
      <c r="E60" s="2" t="str">
        <f t="shared" si="2"/>
        <v>2017</v>
      </c>
      <c r="F60" s="13" t="s">
        <v>121</v>
      </c>
      <c r="G60" s="13" t="s">
        <v>2381</v>
      </c>
      <c r="H60" s="13" t="s">
        <v>2382</v>
      </c>
      <c r="I60" s="13" t="s">
        <v>23</v>
      </c>
      <c r="J60" s="13" t="s">
        <v>180</v>
      </c>
      <c r="K60" s="13" t="s">
        <v>175</v>
      </c>
      <c r="L60" s="13" t="s">
        <v>100</v>
      </c>
      <c r="M60" s="13" t="s">
        <v>38</v>
      </c>
      <c r="N60" s="14">
        <v>14.56</v>
      </c>
      <c r="O60" s="14">
        <v>13.78</v>
      </c>
      <c r="P60" s="13">
        <v>1.0</v>
      </c>
      <c r="Q60" s="14">
        <f t="shared" si="3"/>
        <v>14.56</v>
      </c>
      <c r="R60" s="14">
        <f t="shared" si="4"/>
        <v>0.78</v>
      </c>
      <c r="S60" s="14">
        <f t="shared" si="5"/>
        <v>13.78</v>
      </c>
    </row>
    <row r="61">
      <c r="A61" s="12">
        <v>42903.0</v>
      </c>
      <c r="B61" s="12" t="s">
        <v>2374</v>
      </c>
      <c r="C61" s="2">
        <v>42904.0</v>
      </c>
      <c r="D61" s="15" t="str">
        <f t="shared" si="1"/>
        <v>Jun</v>
      </c>
      <c r="E61" s="2" t="str">
        <f t="shared" si="2"/>
        <v>2017</v>
      </c>
      <c r="F61" s="13" t="s">
        <v>121</v>
      </c>
      <c r="G61" s="13" t="s">
        <v>2381</v>
      </c>
      <c r="H61" s="13" t="s">
        <v>2382</v>
      </c>
      <c r="I61" s="13" t="s">
        <v>23</v>
      </c>
      <c r="J61" s="13" t="s">
        <v>180</v>
      </c>
      <c r="K61" s="13" t="s">
        <v>175</v>
      </c>
      <c r="L61" s="13" t="s">
        <v>100</v>
      </c>
      <c r="M61" s="13" t="s">
        <v>51</v>
      </c>
      <c r="N61" s="14">
        <v>30.0</v>
      </c>
      <c r="O61" s="14">
        <v>29.62</v>
      </c>
      <c r="P61" s="13">
        <v>1.0</v>
      </c>
      <c r="Q61" s="14">
        <f t="shared" si="3"/>
        <v>30</v>
      </c>
      <c r="R61" s="14">
        <f t="shared" si="4"/>
        <v>0.38</v>
      </c>
      <c r="S61" s="14">
        <f t="shared" si="5"/>
        <v>29.62</v>
      </c>
    </row>
    <row r="62">
      <c r="A62" s="12">
        <v>42903.0</v>
      </c>
      <c r="B62" s="12" t="s">
        <v>2374</v>
      </c>
      <c r="C62" s="2">
        <v>42904.0</v>
      </c>
      <c r="D62" s="15" t="str">
        <f t="shared" si="1"/>
        <v>Jun</v>
      </c>
      <c r="E62" s="2" t="str">
        <f t="shared" si="2"/>
        <v>2017</v>
      </c>
      <c r="F62" s="13" t="s">
        <v>121</v>
      </c>
      <c r="G62" s="13" t="s">
        <v>2381</v>
      </c>
      <c r="H62" s="13" t="s">
        <v>2382</v>
      </c>
      <c r="I62" s="13" t="s">
        <v>23</v>
      </c>
      <c r="J62" s="13" t="s">
        <v>180</v>
      </c>
      <c r="K62" s="13" t="s">
        <v>175</v>
      </c>
      <c r="L62" s="13" t="s">
        <v>100</v>
      </c>
      <c r="M62" s="13" t="s">
        <v>38</v>
      </c>
      <c r="N62" s="14">
        <v>48.48</v>
      </c>
      <c r="O62" s="14">
        <v>48.41</v>
      </c>
      <c r="P62" s="13">
        <v>1.0</v>
      </c>
      <c r="Q62" s="14">
        <f t="shared" si="3"/>
        <v>48.48</v>
      </c>
      <c r="R62" s="14">
        <f t="shared" si="4"/>
        <v>0.07</v>
      </c>
      <c r="S62" s="14">
        <f t="shared" si="5"/>
        <v>48.41</v>
      </c>
    </row>
    <row r="63">
      <c r="A63" s="12">
        <v>42903.0</v>
      </c>
      <c r="B63" s="12" t="s">
        <v>2374</v>
      </c>
      <c r="C63" s="2">
        <v>42904.0</v>
      </c>
      <c r="D63" s="15" t="str">
        <f t="shared" si="1"/>
        <v>Jun</v>
      </c>
      <c r="E63" s="2" t="str">
        <f t="shared" si="2"/>
        <v>2017</v>
      </c>
      <c r="F63" s="13" t="s">
        <v>121</v>
      </c>
      <c r="G63" s="13" t="s">
        <v>2381</v>
      </c>
      <c r="H63" s="13" t="s">
        <v>2382</v>
      </c>
      <c r="I63" s="13" t="s">
        <v>23</v>
      </c>
      <c r="J63" s="13" t="s">
        <v>180</v>
      </c>
      <c r="K63" s="13" t="s">
        <v>175</v>
      </c>
      <c r="L63" s="13" t="s">
        <v>100</v>
      </c>
      <c r="M63" s="13" t="s">
        <v>38</v>
      </c>
      <c r="N63" s="14">
        <v>1.68</v>
      </c>
      <c r="O63" s="14">
        <v>0.97</v>
      </c>
      <c r="P63" s="13">
        <v>1.0</v>
      </c>
      <c r="Q63" s="14">
        <f t="shared" si="3"/>
        <v>1.68</v>
      </c>
      <c r="R63" s="14">
        <f t="shared" si="4"/>
        <v>0.71</v>
      </c>
      <c r="S63" s="14">
        <f t="shared" si="5"/>
        <v>0.97</v>
      </c>
    </row>
    <row r="64">
      <c r="A64" s="12">
        <v>42698.0</v>
      </c>
      <c r="B64" s="12" t="s">
        <v>2326</v>
      </c>
      <c r="C64" s="2">
        <v>42704.0</v>
      </c>
      <c r="D64" s="15" t="str">
        <f t="shared" si="1"/>
        <v>Nov</v>
      </c>
      <c r="E64" s="2" t="str">
        <f t="shared" si="2"/>
        <v>2016</v>
      </c>
      <c r="F64" s="13" t="s">
        <v>41</v>
      </c>
      <c r="G64" s="13" t="s">
        <v>2383</v>
      </c>
      <c r="H64" s="13" t="s">
        <v>2384</v>
      </c>
      <c r="I64" s="13" t="s">
        <v>23</v>
      </c>
      <c r="J64" s="13" t="s">
        <v>35</v>
      </c>
      <c r="K64" s="13" t="s">
        <v>52</v>
      </c>
      <c r="L64" s="13" t="s">
        <v>37</v>
      </c>
      <c r="M64" s="13" t="s">
        <v>51</v>
      </c>
      <c r="N64" s="14">
        <v>13.98</v>
      </c>
      <c r="O64" s="14">
        <v>13.69</v>
      </c>
      <c r="P64" s="13">
        <v>9.0</v>
      </c>
      <c r="Q64" s="14">
        <f t="shared" si="3"/>
        <v>125.82</v>
      </c>
      <c r="R64" s="14">
        <f t="shared" si="4"/>
        <v>112.13</v>
      </c>
      <c r="S64" s="14">
        <f t="shared" si="5"/>
        <v>13.69</v>
      </c>
    </row>
    <row r="65">
      <c r="A65" s="12">
        <v>42698.0</v>
      </c>
      <c r="B65" s="12" t="s">
        <v>2326</v>
      </c>
      <c r="C65" s="2">
        <v>42704.0</v>
      </c>
      <c r="D65" s="15" t="str">
        <f t="shared" si="1"/>
        <v>Nov</v>
      </c>
      <c r="E65" s="2" t="str">
        <f t="shared" si="2"/>
        <v>2016</v>
      </c>
      <c r="F65" s="13" t="s">
        <v>41</v>
      </c>
      <c r="G65" s="13" t="s">
        <v>2383</v>
      </c>
      <c r="H65" s="13" t="s">
        <v>2384</v>
      </c>
      <c r="I65" s="13" t="s">
        <v>23</v>
      </c>
      <c r="J65" s="13" t="s">
        <v>35</v>
      </c>
      <c r="K65" s="13" t="s">
        <v>52</v>
      </c>
      <c r="L65" s="13" t="s">
        <v>37</v>
      </c>
      <c r="M65" s="13" t="s">
        <v>38</v>
      </c>
      <c r="N65" s="14">
        <v>25.824</v>
      </c>
      <c r="O65" s="14">
        <v>25.3</v>
      </c>
      <c r="P65" s="13">
        <v>9.0</v>
      </c>
      <c r="Q65" s="14">
        <f t="shared" si="3"/>
        <v>232.416</v>
      </c>
      <c r="R65" s="14">
        <f t="shared" si="4"/>
        <v>207.116</v>
      </c>
      <c r="S65" s="14">
        <f t="shared" si="5"/>
        <v>25.3</v>
      </c>
    </row>
    <row r="66">
      <c r="A66" s="12">
        <v>42698.0</v>
      </c>
      <c r="B66" s="12" t="s">
        <v>2326</v>
      </c>
      <c r="C66" s="2">
        <v>42704.0</v>
      </c>
      <c r="D66" s="15" t="str">
        <f t="shared" si="1"/>
        <v>Nov</v>
      </c>
      <c r="E66" s="2" t="str">
        <f t="shared" si="2"/>
        <v>2016</v>
      </c>
      <c r="F66" s="13" t="s">
        <v>41</v>
      </c>
      <c r="G66" s="13" t="s">
        <v>2383</v>
      </c>
      <c r="H66" s="13" t="s">
        <v>2384</v>
      </c>
      <c r="I66" s="13" t="s">
        <v>23</v>
      </c>
      <c r="J66" s="13" t="s">
        <v>35</v>
      </c>
      <c r="K66" s="13" t="s">
        <v>52</v>
      </c>
      <c r="L66" s="13" t="s">
        <v>37</v>
      </c>
      <c r="M66" s="13" t="s">
        <v>38</v>
      </c>
      <c r="N66" s="14">
        <v>146.73</v>
      </c>
      <c r="O66" s="14">
        <v>146.32</v>
      </c>
      <c r="P66" s="13">
        <v>9.0</v>
      </c>
      <c r="Q66" s="14">
        <f t="shared" si="3"/>
        <v>1320.57</v>
      </c>
      <c r="R66" s="14">
        <f t="shared" si="4"/>
        <v>1174.25</v>
      </c>
      <c r="S66" s="14">
        <f t="shared" si="5"/>
        <v>146.32</v>
      </c>
    </row>
    <row r="67">
      <c r="A67" s="12">
        <v>42698.0</v>
      </c>
      <c r="B67" s="12" t="s">
        <v>2326</v>
      </c>
      <c r="C67" s="2">
        <v>42704.0</v>
      </c>
      <c r="D67" s="15" t="str">
        <f t="shared" si="1"/>
        <v>Nov</v>
      </c>
      <c r="E67" s="2" t="str">
        <f t="shared" si="2"/>
        <v>2016</v>
      </c>
      <c r="F67" s="13" t="s">
        <v>41</v>
      </c>
      <c r="G67" s="13" t="s">
        <v>2383</v>
      </c>
      <c r="H67" s="13" t="s">
        <v>2384</v>
      </c>
      <c r="I67" s="13" t="s">
        <v>23</v>
      </c>
      <c r="J67" s="13" t="s">
        <v>35</v>
      </c>
      <c r="K67" s="13" t="s">
        <v>52</v>
      </c>
      <c r="L67" s="13" t="s">
        <v>37</v>
      </c>
      <c r="M67" s="13" t="s">
        <v>27</v>
      </c>
      <c r="N67" s="14">
        <v>79.76</v>
      </c>
      <c r="O67" s="14">
        <v>79.56</v>
      </c>
      <c r="P67" s="13">
        <v>9.0</v>
      </c>
      <c r="Q67" s="14">
        <f t="shared" si="3"/>
        <v>717.84</v>
      </c>
      <c r="R67" s="14">
        <f t="shared" si="4"/>
        <v>638.28</v>
      </c>
      <c r="S67" s="14">
        <f t="shared" si="5"/>
        <v>79.56</v>
      </c>
    </row>
    <row r="68">
      <c r="A68" s="12">
        <v>42490.0</v>
      </c>
      <c r="B68" s="12" t="s">
        <v>2332</v>
      </c>
      <c r="C68" s="2">
        <v>42495.0</v>
      </c>
      <c r="D68" s="15" t="str">
        <f t="shared" si="1"/>
        <v>May</v>
      </c>
      <c r="E68" s="2" t="str">
        <f t="shared" si="2"/>
        <v>2016</v>
      </c>
      <c r="F68" s="13" t="s">
        <v>41</v>
      </c>
      <c r="G68" s="13" t="s">
        <v>1839</v>
      </c>
      <c r="H68" s="13" t="s">
        <v>2385</v>
      </c>
      <c r="I68" s="13" t="s">
        <v>68</v>
      </c>
      <c r="J68" s="13" t="s">
        <v>188</v>
      </c>
      <c r="K68" s="13" t="s">
        <v>135</v>
      </c>
      <c r="L68" s="13" t="s">
        <v>71</v>
      </c>
      <c r="M68" s="13" t="s">
        <v>27</v>
      </c>
      <c r="N68" s="14">
        <v>213.115</v>
      </c>
      <c r="O68" s="14">
        <v>212.69</v>
      </c>
      <c r="P68" s="13">
        <v>6.0</v>
      </c>
      <c r="Q68" s="14">
        <f t="shared" si="3"/>
        <v>1278.69</v>
      </c>
      <c r="R68" s="14">
        <f t="shared" si="4"/>
        <v>1066</v>
      </c>
      <c r="S68" s="14">
        <f t="shared" si="5"/>
        <v>212.69</v>
      </c>
    </row>
    <row r="69">
      <c r="A69" s="12">
        <v>42136.0</v>
      </c>
      <c r="B69" s="12" t="s">
        <v>2335</v>
      </c>
      <c r="C69" s="2">
        <v>42289.0</v>
      </c>
      <c r="D69" s="15" t="str">
        <f t="shared" si="1"/>
        <v>Oct</v>
      </c>
      <c r="E69" s="2" t="str">
        <f t="shared" si="2"/>
        <v>2015</v>
      </c>
      <c r="F69" s="13" t="s">
        <v>41</v>
      </c>
      <c r="G69" s="13" t="s">
        <v>2386</v>
      </c>
      <c r="H69" s="13" t="s">
        <v>2387</v>
      </c>
      <c r="I69" s="13" t="s">
        <v>34</v>
      </c>
      <c r="J69" s="13" t="s">
        <v>192</v>
      </c>
      <c r="K69" s="13" t="s">
        <v>193</v>
      </c>
      <c r="L69" s="13" t="s">
        <v>37</v>
      </c>
      <c r="M69" s="13" t="s">
        <v>38</v>
      </c>
      <c r="N69" s="14">
        <v>1113.024</v>
      </c>
      <c r="O69" s="14">
        <v>1112.23</v>
      </c>
      <c r="P69" s="13">
        <v>8.0</v>
      </c>
      <c r="Q69" s="14">
        <f t="shared" si="3"/>
        <v>8904.192</v>
      </c>
      <c r="R69" s="14">
        <f t="shared" si="4"/>
        <v>7791.962</v>
      </c>
      <c r="S69" s="14">
        <f t="shared" si="5"/>
        <v>1112.23</v>
      </c>
    </row>
    <row r="70">
      <c r="A70" s="12">
        <v>42136.0</v>
      </c>
      <c r="B70" s="12" t="s">
        <v>2335</v>
      </c>
      <c r="C70" s="2">
        <v>42289.0</v>
      </c>
      <c r="D70" s="15" t="str">
        <f t="shared" si="1"/>
        <v>Oct</v>
      </c>
      <c r="E70" s="2" t="str">
        <f t="shared" si="2"/>
        <v>2015</v>
      </c>
      <c r="F70" s="13" t="s">
        <v>41</v>
      </c>
      <c r="G70" s="13" t="s">
        <v>2386</v>
      </c>
      <c r="H70" s="13" t="s">
        <v>2387</v>
      </c>
      <c r="I70" s="13" t="s">
        <v>34</v>
      </c>
      <c r="J70" s="13" t="s">
        <v>192</v>
      </c>
      <c r="K70" s="13" t="s">
        <v>193</v>
      </c>
      <c r="L70" s="13" t="s">
        <v>37</v>
      </c>
      <c r="M70" s="13" t="s">
        <v>51</v>
      </c>
      <c r="N70" s="14">
        <v>167.968</v>
      </c>
      <c r="O70" s="14">
        <v>167.14</v>
      </c>
      <c r="P70" s="13">
        <v>8.0</v>
      </c>
      <c r="Q70" s="14">
        <f t="shared" si="3"/>
        <v>1343.744</v>
      </c>
      <c r="R70" s="14">
        <f t="shared" si="4"/>
        <v>1176.604</v>
      </c>
      <c r="S70" s="14">
        <f t="shared" si="5"/>
        <v>167.14</v>
      </c>
    </row>
    <row r="71">
      <c r="A71" s="12">
        <v>42831.0</v>
      </c>
      <c r="B71" s="12" t="s">
        <v>2332</v>
      </c>
      <c r="C71" s="2">
        <v>42892.0</v>
      </c>
      <c r="D71" s="15" t="str">
        <f t="shared" si="1"/>
        <v>Jun</v>
      </c>
      <c r="E71" s="2" t="str">
        <f t="shared" si="2"/>
        <v>2017</v>
      </c>
      <c r="F71" s="13" t="s">
        <v>121</v>
      </c>
      <c r="G71" s="13" t="s">
        <v>2388</v>
      </c>
      <c r="H71" s="13" t="s">
        <v>2389</v>
      </c>
      <c r="I71" s="13" t="s">
        <v>23</v>
      </c>
      <c r="J71" s="13" t="s">
        <v>197</v>
      </c>
      <c r="K71" s="13" t="s">
        <v>198</v>
      </c>
      <c r="L71" s="13" t="s">
        <v>26</v>
      </c>
      <c r="M71" s="13" t="s">
        <v>38</v>
      </c>
      <c r="N71" s="14">
        <v>75.88</v>
      </c>
      <c r="O71" s="14">
        <v>74.93</v>
      </c>
      <c r="P71" s="13">
        <v>2.0</v>
      </c>
      <c r="Q71" s="14">
        <f t="shared" si="3"/>
        <v>151.76</v>
      </c>
      <c r="R71" s="14">
        <f t="shared" si="4"/>
        <v>76.83</v>
      </c>
      <c r="S71" s="14">
        <f t="shared" si="5"/>
        <v>74.93</v>
      </c>
    </row>
    <row r="72">
      <c r="A72" s="12">
        <v>42996.0</v>
      </c>
      <c r="B72" s="12" t="s">
        <v>2329</v>
      </c>
      <c r="C72" s="2">
        <v>43001.0</v>
      </c>
      <c r="D72" s="15" t="str">
        <f t="shared" si="1"/>
        <v>Sep</v>
      </c>
      <c r="E72" s="2" t="str">
        <f t="shared" si="2"/>
        <v>2017</v>
      </c>
      <c r="F72" s="13" t="s">
        <v>41</v>
      </c>
      <c r="G72" s="13" t="s">
        <v>2390</v>
      </c>
      <c r="H72" s="13" t="s">
        <v>2391</v>
      </c>
      <c r="I72" s="13" t="s">
        <v>23</v>
      </c>
      <c r="J72" s="13" t="s">
        <v>174</v>
      </c>
      <c r="K72" s="13" t="s">
        <v>175</v>
      </c>
      <c r="L72" s="13" t="s">
        <v>100</v>
      </c>
      <c r="M72" s="13" t="s">
        <v>38</v>
      </c>
      <c r="N72" s="14">
        <v>4.616</v>
      </c>
      <c r="O72" s="14">
        <v>3.87</v>
      </c>
      <c r="P72" s="13">
        <v>1.0</v>
      </c>
      <c r="Q72" s="14">
        <f t="shared" si="3"/>
        <v>4.616</v>
      </c>
      <c r="R72" s="14">
        <f t="shared" si="4"/>
        <v>0.746</v>
      </c>
      <c r="S72" s="14">
        <f t="shared" si="5"/>
        <v>3.87</v>
      </c>
    </row>
    <row r="73">
      <c r="A73" s="12">
        <v>43357.0</v>
      </c>
      <c r="B73" s="12" t="s">
        <v>2329</v>
      </c>
      <c r="C73" s="2">
        <v>43360.0</v>
      </c>
      <c r="D73" s="15" t="str">
        <f t="shared" si="1"/>
        <v>Sep</v>
      </c>
      <c r="E73" s="2" t="str">
        <f t="shared" si="2"/>
        <v>2018</v>
      </c>
      <c r="F73" s="13" t="s">
        <v>20</v>
      </c>
      <c r="G73" s="13" t="s">
        <v>2356</v>
      </c>
      <c r="H73" s="13" t="s">
        <v>2357</v>
      </c>
      <c r="I73" s="13" t="s">
        <v>23</v>
      </c>
      <c r="J73" s="13" t="s">
        <v>205</v>
      </c>
      <c r="K73" s="13" t="s">
        <v>157</v>
      </c>
      <c r="L73" s="13" t="s">
        <v>71</v>
      </c>
      <c r="M73" s="13" t="s">
        <v>38</v>
      </c>
      <c r="N73" s="14">
        <v>19.05</v>
      </c>
      <c r="O73" s="14">
        <v>18.79</v>
      </c>
      <c r="P73" s="13">
        <v>4.0</v>
      </c>
      <c r="Q73" s="14">
        <f t="shared" si="3"/>
        <v>76.2</v>
      </c>
      <c r="R73" s="14">
        <f t="shared" si="4"/>
        <v>57.41</v>
      </c>
      <c r="S73" s="14">
        <f t="shared" si="5"/>
        <v>18.79</v>
      </c>
    </row>
    <row r="74">
      <c r="A74" s="12">
        <v>42486.0</v>
      </c>
      <c r="B74" s="12" t="s">
        <v>2332</v>
      </c>
      <c r="C74" s="2">
        <v>42405.0</v>
      </c>
      <c r="D74" s="15" t="str">
        <f t="shared" si="1"/>
        <v>Feb</v>
      </c>
      <c r="E74" s="2" t="str">
        <f t="shared" si="2"/>
        <v>2016</v>
      </c>
      <c r="F74" s="13" t="s">
        <v>41</v>
      </c>
      <c r="G74" s="13" t="s">
        <v>2392</v>
      </c>
      <c r="H74" s="13" t="s">
        <v>2393</v>
      </c>
      <c r="I74" s="13" t="s">
        <v>23</v>
      </c>
      <c r="J74" s="13" t="s">
        <v>209</v>
      </c>
      <c r="K74" s="13" t="s">
        <v>210</v>
      </c>
      <c r="L74" s="13" t="s">
        <v>26</v>
      </c>
      <c r="M74" s="13" t="s">
        <v>27</v>
      </c>
      <c r="N74" s="14">
        <v>831.936</v>
      </c>
      <c r="O74" s="14">
        <v>831.72</v>
      </c>
      <c r="P74" s="13">
        <v>3.0</v>
      </c>
      <c r="Q74" s="14">
        <f t="shared" si="3"/>
        <v>2495.808</v>
      </c>
      <c r="R74" s="14">
        <f t="shared" si="4"/>
        <v>1664.088</v>
      </c>
      <c r="S74" s="14">
        <f t="shared" si="5"/>
        <v>831.72</v>
      </c>
    </row>
    <row r="75">
      <c r="A75" s="12">
        <v>42486.0</v>
      </c>
      <c r="B75" s="12" t="s">
        <v>2332</v>
      </c>
      <c r="C75" s="2">
        <v>42405.0</v>
      </c>
      <c r="D75" s="15" t="str">
        <f t="shared" si="1"/>
        <v>Feb</v>
      </c>
      <c r="E75" s="2" t="str">
        <f t="shared" si="2"/>
        <v>2016</v>
      </c>
      <c r="F75" s="13" t="s">
        <v>41</v>
      </c>
      <c r="G75" s="13" t="s">
        <v>2392</v>
      </c>
      <c r="H75" s="13" t="s">
        <v>2393</v>
      </c>
      <c r="I75" s="13" t="s">
        <v>23</v>
      </c>
      <c r="J75" s="13" t="s">
        <v>209</v>
      </c>
      <c r="K75" s="13" t="s">
        <v>210</v>
      </c>
      <c r="L75" s="13" t="s">
        <v>26</v>
      </c>
      <c r="M75" s="13" t="s">
        <v>27</v>
      </c>
      <c r="N75" s="14">
        <v>97.04</v>
      </c>
      <c r="O75" s="14">
        <v>96.98</v>
      </c>
      <c r="P75" s="13">
        <v>3.0</v>
      </c>
      <c r="Q75" s="14">
        <f t="shared" si="3"/>
        <v>291.12</v>
      </c>
      <c r="R75" s="14">
        <f t="shared" si="4"/>
        <v>194.14</v>
      </c>
      <c r="S75" s="14">
        <f t="shared" si="5"/>
        <v>96.98</v>
      </c>
    </row>
    <row r="76">
      <c r="A76" s="12">
        <v>42486.0</v>
      </c>
      <c r="B76" s="12" t="s">
        <v>2332</v>
      </c>
      <c r="C76" s="2">
        <v>42405.0</v>
      </c>
      <c r="D76" s="15" t="str">
        <f t="shared" si="1"/>
        <v>Feb</v>
      </c>
      <c r="E76" s="2" t="str">
        <f t="shared" si="2"/>
        <v>2016</v>
      </c>
      <c r="F76" s="13" t="s">
        <v>41</v>
      </c>
      <c r="G76" s="13" t="s">
        <v>2392</v>
      </c>
      <c r="H76" s="13" t="s">
        <v>2393</v>
      </c>
      <c r="I76" s="13" t="s">
        <v>23</v>
      </c>
      <c r="J76" s="13" t="s">
        <v>209</v>
      </c>
      <c r="K76" s="13" t="s">
        <v>210</v>
      </c>
      <c r="L76" s="13" t="s">
        <v>26</v>
      </c>
      <c r="M76" s="13" t="s">
        <v>38</v>
      </c>
      <c r="N76" s="14">
        <v>72.784</v>
      </c>
      <c r="O76" s="14">
        <v>72.57</v>
      </c>
      <c r="P76" s="13">
        <v>3.0</v>
      </c>
      <c r="Q76" s="14">
        <f t="shared" si="3"/>
        <v>218.352</v>
      </c>
      <c r="R76" s="14">
        <f t="shared" si="4"/>
        <v>145.782</v>
      </c>
      <c r="S76" s="14">
        <f t="shared" si="5"/>
        <v>72.57</v>
      </c>
    </row>
    <row r="77">
      <c r="A77" s="12">
        <v>43355.0</v>
      </c>
      <c r="B77" s="12" t="s">
        <v>2329</v>
      </c>
      <c r="C77" s="2">
        <v>43416.0</v>
      </c>
      <c r="D77" s="15" t="str">
        <f t="shared" si="1"/>
        <v>Nov</v>
      </c>
      <c r="E77" s="2" t="str">
        <f t="shared" si="2"/>
        <v>2018</v>
      </c>
      <c r="F77" s="13" t="s">
        <v>121</v>
      </c>
      <c r="G77" s="13" t="s">
        <v>2346</v>
      </c>
      <c r="H77" s="13" t="s">
        <v>2394</v>
      </c>
      <c r="I77" s="13" t="s">
        <v>34</v>
      </c>
      <c r="J77" s="13" t="s">
        <v>129</v>
      </c>
      <c r="K77" s="13" t="s">
        <v>70</v>
      </c>
      <c r="L77" s="13" t="s">
        <v>71</v>
      </c>
      <c r="M77" s="13" t="s">
        <v>38</v>
      </c>
      <c r="N77" s="14">
        <v>1.248</v>
      </c>
      <c r="O77" s="14">
        <v>0.33</v>
      </c>
      <c r="P77" s="13">
        <v>7.0</v>
      </c>
      <c r="Q77" s="14">
        <f t="shared" si="3"/>
        <v>8.736</v>
      </c>
      <c r="R77" s="14">
        <f t="shared" si="4"/>
        <v>8.406</v>
      </c>
      <c r="S77" s="14">
        <f t="shared" si="5"/>
        <v>0.33</v>
      </c>
    </row>
    <row r="78">
      <c r="A78" s="12">
        <v>43355.0</v>
      </c>
      <c r="B78" s="12" t="s">
        <v>2329</v>
      </c>
      <c r="C78" s="2">
        <v>43416.0</v>
      </c>
      <c r="D78" s="15" t="str">
        <f t="shared" si="1"/>
        <v>Nov</v>
      </c>
      <c r="E78" s="2" t="str">
        <f t="shared" si="2"/>
        <v>2018</v>
      </c>
      <c r="F78" s="13" t="s">
        <v>121</v>
      </c>
      <c r="G78" s="13" t="s">
        <v>2346</v>
      </c>
      <c r="H78" s="13" t="s">
        <v>2394</v>
      </c>
      <c r="I78" s="13" t="s">
        <v>34</v>
      </c>
      <c r="J78" s="13" t="s">
        <v>129</v>
      </c>
      <c r="K78" s="13" t="s">
        <v>70</v>
      </c>
      <c r="L78" s="13" t="s">
        <v>71</v>
      </c>
      <c r="M78" s="13" t="s">
        <v>27</v>
      </c>
      <c r="N78" s="14">
        <v>9.708</v>
      </c>
      <c r="O78" s="14">
        <v>8.88</v>
      </c>
      <c r="P78" s="13">
        <v>7.0</v>
      </c>
      <c r="Q78" s="14">
        <f t="shared" si="3"/>
        <v>67.956</v>
      </c>
      <c r="R78" s="14">
        <f t="shared" si="4"/>
        <v>59.076</v>
      </c>
      <c r="S78" s="14">
        <f t="shared" si="5"/>
        <v>8.88</v>
      </c>
    </row>
    <row r="79">
      <c r="A79" s="12">
        <v>43355.0</v>
      </c>
      <c r="B79" s="12" t="s">
        <v>2329</v>
      </c>
      <c r="C79" s="2">
        <v>43416.0</v>
      </c>
      <c r="D79" s="15" t="str">
        <f t="shared" si="1"/>
        <v>Nov</v>
      </c>
      <c r="E79" s="2" t="str">
        <f t="shared" si="2"/>
        <v>2018</v>
      </c>
      <c r="F79" s="13" t="s">
        <v>121</v>
      </c>
      <c r="G79" s="13" t="s">
        <v>2346</v>
      </c>
      <c r="H79" s="13" t="s">
        <v>2394</v>
      </c>
      <c r="I79" s="13" t="s">
        <v>34</v>
      </c>
      <c r="J79" s="13" t="s">
        <v>129</v>
      </c>
      <c r="K79" s="13" t="s">
        <v>70</v>
      </c>
      <c r="L79" s="13" t="s">
        <v>71</v>
      </c>
      <c r="M79" s="13" t="s">
        <v>38</v>
      </c>
      <c r="N79" s="14">
        <v>27.24</v>
      </c>
      <c r="O79" s="14">
        <v>26.58</v>
      </c>
      <c r="P79" s="13">
        <v>7.0</v>
      </c>
      <c r="Q79" s="14">
        <f t="shared" si="3"/>
        <v>190.68</v>
      </c>
      <c r="R79" s="14">
        <f t="shared" si="4"/>
        <v>164.1</v>
      </c>
      <c r="S79" s="14">
        <f t="shared" si="5"/>
        <v>26.58</v>
      </c>
    </row>
    <row r="80">
      <c r="A80" s="12">
        <v>42334.0</v>
      </c>
      <c r="B80" s="12" t="s">
        <v>2326</v>
      </c>
      <c r="C80" s="2">
        <v>42016.0</v>
      </c>
      <c r="D80" s="15" t="str">
        <f t="shared" si="1"/>
        <v>Jan</v>
      </c>
      <c r="E80" s="2" t="str">
        <f t="shared" si="2"/>
        <v>2015</v>
      </c>
      <c r="F80" s="13" t="s">
        <v>20</v>
      </c>
      <c r="G80" s="13" t="s">
        <v>2392</v>
      </c>
      <c r="H80" s="13" t="s">
        <v>2393</v>
      </c>
      <c r="I80" s="13" t="s">
        <v>23</v>
      </c>
      <c r="J80" s="13" t="s">
        <v>129</v>
      </c>
      <c r="K80" s="13" t="s">
        <v>70</v>
      </c>
      <c r="L80" s="13" t="s">
        <v>71</v>
      </c>
      <c r="M80" s="13" t="s">
        <v>27</v>
      </c>
      <c r="N80" s="14">
        <v>19.3</v>
      </c>
      <c r="O80" s="14">
        <v>18.65</v>
      </c>
      <c r="P80" s="13">
        <v>7.0</v>
      </c>
      <c r="Q80" s="14">
        <f t="shared" si="3"/>
        <v>135.1</v>
      </c>
      <c r="R80" s="14">
        <f t="shared" si="4"/>
        <v>116.45</v>
      </c>
      <c r="S80" s="14">
        <f t="shared" si="5"/>
        <v>18.65</v>
      </c>
    </row>
    <row r="81">
      <c r="A81" s="12">
        <v>43075.0</v>
      </c>
      <c r="B81" s="12" t="s">
        <v>2325</v>
      </c>
      <c r="C81" s="2">
        <v>42901.0</v>
      </c>
      <c r="D81" s="15" t="str">
        <f t="shared" si="1"/>
        <v>Jun</v>
      </c>
      <c r="E81" s="2" t="str">
        <f t="shared" si="2"/>
        <v>2017</v>
      </c>
      <c r="F81" s="13" t="s">
        <v>121</v>
      </c>
      <c r="G81" s="13" t="s">
        <v>2395</v>
      </c>
      <c r="H81" s="13" t="s">
        <v>2396</v>
      </c>
      <c r="I81" s="13" t="s">
        <v>34</v>
      </c>
      <c r="J81" s="13" t="s">
        <v>219</v>
      </c>
      <c r="K81" s="13" t="s">
        <v>220</v>
      </c>
      <c r="L81" s="13" t="s">
        <v>26</v>
      </c>
      <c r="M81" s="13" t="s">
        <v>38</v>
      </c>
      <c r="N81" s="14">
        <v>208.16</v>
      </c>
      <c r="O81" s="14">
        <v>208.11</v>
      </c>
      <c r="P81" s="13">
        <v>3.0</v>
      </c>
      <c r="Q81" s="14">
        <f t="shared" si="3"/>
        <v>624.48</v>
      </c>
      <c r="R81" s="14">
        <f t="shared" si="4"/>
        <v>416.37</v>
      </c>
      <c r="S81" s="14">
        <f t="shared" si="5"/>
        <v>208.11</v>
      </c>
    </row>
    <row r="82">
      <c r="A82" s="12">
        <v>43075.0</v>
      </c>
      <c r="B82" s="12" t="s">
        <v>2325</v>
      </c>
      <c r="C82" s="2">
        <v>42901.0</v>
      </c>
      <c r="D82" s="15" t="str">
        <f t="shared" si="1"/>
        <v>Jun</v>
      </c>
      <c r="E82" s="2" t="str">
        <f t="shared" si="2"/>
        <v>2017</v>
      </c>
      <c r="F82" s="13" t="s">
        <v>121</v>
      </c>
      <c r="G82" s="13" t="s">
        <v>2395</v>
      </c>
      <c r="H82" s="13" t="s">
        <v>2396</v>
      </c>
      <c r="I82" s="13" t="s">
        <v>34</v>
      </c>
      <c r="J82" s="13" t="s">
        <v>219</v>
      </c>
      <c r="K82" s="13" t="s">
        <v>220</v>
      </c>
      <c r="L82" s="13" t="s">
        <v>26</v>
      </c>
      <c r="M82" s="13" t="s">
        <v>38</v>
      </c>
      <c r="N82" s="14">
        <v>16.74</v>
      </c>
      <c r="O82" s="14">
        <v>16.28</v>
      </c>
      <c r="P82" s="13">
        <v>3.0</v>
      </c>
      <c r="Q82" s="14">
        <f t="shared" si="3"/>
        <v>50.22</v>
      </c>
      <c r="R82" s="14">
        <f t="shared" si="4"/>
        <v>33.94</v>
      </c>
      <c r="S82" s="14">
        <f t="shared" si="5"/>
        <v>16.28</v>
      </c>
    </row>
    <row r="83">
      <c r="A83" s="12">
        <v>42348.0</v>
      </c>
      <c r="B83" s="12" t="s">
        <v>2325</v>
      </c>
      <c r="C83" s="2">
        <v>42293.0</v>
      </c>
      <c r="D83" s="15" t="str">
        <f t="shared" si="1"/>
        <v>Oct</v>
      </c>
      <c r="E83" s="2" t="str">
        <f t="shared" si="2"/>
        <v>2015</v>
      </c>
      <c r="F83" s="13" t="s">
        <v>41</v>
      </c>
      <c r="G83" s="13" t="s">
        <v>2397</v>
      </c>
      <c r="H83" s="13" t="s">
        <v>2398</v>
      </c>
      <c r="I83" s="13" t="s">
        <v>23</v>
      </c>
      <c r="J83" s="13" t="s">
        <v>87</v>
      </c>
      <c r="K83" s="13" t="s">
        <v>52</v>
      </c>
      <c r="L83" s="13" t="s">
        <v>37</v>
      </c>
      <c r="M83" s="13" t="s">
        <v>38</v>
      </c>
      <c r="N83" s="14">
        <v>14.9</v>
      </c>
      <c r="O83" s="14">
        <v>14.61</v>
      </c>
      <c r="P83" s="13">
        <v>9.0</v>
      </c>
      <c r="Q83" s="14">
        <f t="shared" si="3"/>
        <v>134.1</v>
      </c>
      <c r="R83" s="14">
        <f t="shared" si="4"/>
        <v>119.49</v>
      </c>
      <c r="S83" s="14">
        <f t="shared" si="5"/>
        <v>14.61</v>
      </c>
    </row>
    <row r="84">
      <c r="A84" s="12">
        <v>42348.0</v>
      </c>
      <c r="B84" s="12" t="s">
        <v>2325</v>
      </c>
      <c r="C84" s="2">
        <v>42293.0</v>
      </c>
      <c r="D84" s="15" t="str">
        <f t="shared" si="1"/>
        <v>Oct</v>
      </c>
      <c r="E84" s="2" t="str">
        <f t="shared" si="2"/>
        <v>2015</v>
      </c>
      <c r="F84" s="13" t="s">
        <v>41</v>
      </c>
      <c r="G84" s="13" t="s">
        <v>2397</v>
      </c>
      <c r="H84" s="13" t="s">
        <v>2398</v>
      </c>
      <c r="I84" s="13" t="s">
        <v>23</v>
      </c>
      <c r="J84" s="13" t="s">
        <v>87</v>
      </c>
      <c r="K84" s="13" t="s">
        <v>52</v>
      </c>
      <c r="L84" s="13" t="s">
        <v>37</v>
      </c>
      <c r="M84" s="13" t="s">
        <v>38</v>
      </c>
      <c r="N84" s="14">
        <v>21.39</v>
      </c>
      <c r="O84" s="14">
        <v>20.68</v>
      </c>
      <c r="P84" s="13">
        <v>9.0</v>
      </c>
      <c r="Q84" s="14">
        <f t="shared" si="3"/>
        <v>192.51</v>
      </c>
      <c r="R84" s="14">
        <f t="shared" si="4"/>
        <v>171.83</v>
      </c>
      <c r="S84" s="14">
        <f t="shared" si="5"/>
        <v>20.68</v>
      </c>
    </row>
    <row r="85">
      <c r="A85" s="12">
        <v>42438.0</v>
      </c>
      <c r="B85" s="12" t="s">
        <v>2399</v>
      </c>
      <c r="C85" s="2">
        <v>42591.0</v>
      </c>
      <c r="D85" s="15" t="str">
        <f t="shared" si="1"/>
        <v>Aug</v>
      </c>
      <c r="E85" s="2" t="str">
        <f t="shared" si="2"/>
        <v>2016</v>
      </c>
      <c r="F85" s="13" t="s">
        <v>41</v>
      </c>
      <c r="G85" s="13" t="s">
        <v>2400</v>
      </c>
      <c r="H85" s="13" t="s">
        <v>2401</v>
      </c>
      <c r="I85" s="13" t="s">
        <v>34</v>
      </c>
      <c r="J85" s="13" t="s">
        <v>228</v>
      </c>
      <c r="K85" s="13" t="s">
        <v>58</v>
      </c>
      <c r="L85" s="13" t="s">
        <v>26</v>
      </c>
      <c r="M85" s="13" t="s">
        <v>38</v>
      </c>
      <c r="N85" s="14">
        <v>200.984</v>
      </c>
      <c r="O85" s="14">
        <v>200.44</v>
      </c>
      <c r="P85" s="13">
        <v>2.0</v>
      </c>
      <c r="Q85" s="14">
        <f t="shared" si="3"/>
        <v>401.968</v>
      </c>
      <c r="R85" s="14">
        <f t="shared" si="4"/>
        <v>201.528</v>
      </c>
      <c r="S85" s="14">
        <f t="shared" si="5"/>
        <v>200.44</v>
      </c>
    </row>
    <row r="86">
      <c r="A86" s="12">
        <v>43417.0</v>
      </c>
      <c r="B86" s="12" t="s">
        <v>2326</v>
      </c>
      <c r="C86" s="2">
        <v>43420.0</v>
      </c>
      <c r="D86" s="15" t="str">
        <f t="shared" si="1"/>
        <v>Nov</v>
      </c>
      <c r="E86" s="2" t="str">
        <f t="shared" si="2"/>
        <v>2018</v>
      </c>
      <c r="F86" s="13" t="s">
        <v>121</v>
      </c>
      <c r="G86" s="13" t="s">
        <v>2402</v>
      </c>
      <c r="H86" s="13" t="s">
        <v>2403</v>
      </c>
      <c r="I86" s="13" t="s">
        <v>68</v>
      </c>
      <c r="J86" s="13" t="s">
        <v>188</v>
      </c>
      <c r="K86" s="13" t="s">
        <v>135</v>
      </c>
      <c r="L86" s="13" t="s">
        <v>71</v>
      </c>
      <c r="M86" s="13" t="s">
        <v>38</v>
      </c>
      <c r="N86" s="14">
        <v>230.376</v>
      </c>
      <c r="O86" s="14">
        <v>229.82</v>
      </c>
      <c r="P86" s="13">
        <v>6.0</v>
      </c>
      <c r="Q86" s="14">
        <f t="shared" si="3"/>
        <v>1382.256</v>
      </c>
      <c r="R86" s="14">
        <f t="shared" si="4"/>
        <v>1152.436</v>
      </c>
      <c r="S86" s="14">
        <f t="shared" si="5"/>
        <v>229.82</v>
      </c>
    </row>
    <row r="87">
      <c r="A87" s="12">
        <v>43248.0</v>
      </c>
      <c r="B87" s="12" t="s">
        <v>2335</v>
      </c>
      <c r="C87" s="2">
        <v>43250.0</v>
      </c>
      <c r="D87" s="15" t="str">
        <f t="shared" si="1"/>
        <v>May</v>
      </c>
      <c r="E87" s="2" t="str">
        <f t="shared" si="2"/>
        <v>2018</v>
      </c>
      <c r="F87" s="13" t="s">
        <v>20</v>
      </c>
      <c r="G87" s="13" t="s">
        <v>2373</v>
      </c>
      <c r="H87" s="13" t="s">
        <v>2328</v>
      </c>
      <c r="I87" s="13" t="s">
        <v>23</v>
      </c>
      <c r="J87" s="13" t="s">
        <v>235</v>
      </c>
      <c r="K87" s="13" t="s">
        <v>236</v>
      </c>
      <c r="L87" s="13" t="s">
        <v>26</v>
      </c>
      <c r="M87" s="13" t="s">
        <v>27</v>
      </c>
      <c r="N87" s="14">
        <v>301.96</v>
      </c>
      <c r="O87" s="14">
        <v>301.07</v>
      </c>
      <c r="P87" s="13">
        <v>2.0</v>
      </c>
      <c r="Q87" s="14">
        <f t="shared" si="3"/>
        <v>603.92</v>
      </c>
      <c r="R87" s="14">
        <f t="shared" si="4"/>
        <v>302.85</v>
      </c>
      <c r="S87" s="14">
        <f t="shared" si="5"/>
        <v>301.07</v>
      </c>
    </row>
    <row r="88">
      <c r="A88" s="12">
        <v>43399.0</v>
      </c>
      <c r="B88" s="12" t="s">
        <v>2358</v>
      </c>
      <c r="C88" s="2">
        <v>43142.0</v>
      </c>
      <c r="D88" s="15" t="str">
        <f t="shared" si="1"/>
        <v>Feb</v>
      </c>
      <c r="E88" s="2" t="str">
        <f t="shared" si="2"/>
        <v>2018</v>
      </c>
      <c r="F88" s="13" t="s">
        <v>41</v>
      </c>
      <c r="G88" s="13" t="s">
        <v>1839</v>
      </c>
      <c r="H88" s="13" t="s">
        <v>2404</v>
      </c>
      <c r="I88" s="13" t="s">
        <v>23</v>
      </c>
      <c r="J88" s="13" t="s">
        <v>240</v>
      </c>
      <c r="K88" s="13" t="s">
        <v>151</v>
      </c>
      <c r="L88" s="13" t="s">
        <v>71</v>
      </c>
      <c r="M88" s="13" t="s">
        <v>51</v>
      </c>
      <c r="N88" s="14">
        <v>19.99</v>
      </c>
      <c r="O88" s="14">
        <v>19.77</v>
      </c>
      <c r="P88" s="13">
        <v>5.0</v>
      </c>
      <c r="Q88" s="14">
        <f t="shared" si="3"/>
        <v>99.95</v>
      </c>
      <c r="R88" s="14">
        <f t="shared" si="4"/>
        <v>80.18</v>
      </c>
      <c r="S88" s="14">
        <f t="shared" si="5"/>
        <v>19.77</v>
      </c>
    </row>
    <row r="89">
      <c r="A89" s="12">
        <v>43399.0</v>
      </c>
      <c r="B89" s="12" t="s">
        <v>2358</v>
      </c>
      <c r="C89" s="2">
        <v>43142.0</v>
      </c>
      <c r="D89" s="15" t="str">
        <f t="shared" si="1"/>
        <v>Feb</v>
      </c>
      <c r="E89" s="2" t="str">
        <f t="shared" si="2"/>
        <v>2018</v>
      </c>
      <c r="F89" s="13" t="s">
        <v>41</v>
      </c>
      <c r="G89" s="13" t="s">
        <v>1839</v>
      </c>
      <c r="H89" s="13" t="s">
        <v>2404</v>
      </c>
      <c r="I89" s="13" t="s">
        <v>23</v>
      </c>
      <c r="J89" s="13" t="s">
        <v>240</v>
      </c>
      <c r="K89" s="13" t="s">
        <v>151</v>
      </c>
      <c r="L89" s="13" t="s">
        <v>71</v>
      </c>
      <c r="M89" s="13" t="s">
        <v>38</v>
      </c>
      <c r="N89" s="14">
        <v>6.16</v>
      </c>
      <c r="O89" s="14">
        <v>5.27</v>
      </c>
      <c r="P89" s="13">
        <v>5.0</v>
      </c>
      <c r="Q89" s="14">
        <f t="shared" si="3"/>
        <v>30.8</v>
      </c>
      <c r="R89" s="14">
        <f t="shared" si="4"/>
        <v>25.53</v>
      </c>
      <c r="S89" s="14">
        <f t="shared" si="5"/>
        <v>5.27</v>
      </c>
    </row>
    <row r="90">
      <c r="A90" s="12">
        <v>42859.0</v>
      </c>
      <c r="B90" s="12" t="s">
        <v>2335</v>
      </c>
      <c r="C90" s="2">
        <v>43012.0</v>
      </c>
      <c r="D90" s="15" t="str">
        <f t="shared" si="1"/>
        <v>Oct</v>
      </c>
      <c r="E90" s="2" t="str">
        <f t="shared" si="2"/>
        <v>2017</v>
      </c>
      <c r="F90" s="13" t="s">
        <v>20</v>
      </c>
      <c r="G90" s="13" t="s">
        <v>2405</v>
      </c>
      <c r="H90" s="13" t="s">
        <v>2406</v>
      </c>
      <c r="I90" s="13" t="s">
        <v>68</v>
      </c>
      <c r="J90" s="13" t="s">
        <v>129</v>
      </c>
      <c r="K90" s="13" t="s">
        <v>70</v>
      </c>
      <c r="L90" s="13" t="s">
        <v>71</v>
      </c>
      <c r="M90" s="13" t="s">
        <v>38</v>
      </c>
      <c r="N90" s="14">
        <v>158.368</v>
      </c>
      <c r="O90" s="14">
        <v>158.13</v>
      </c>
      <c r="P90" s="13">
        <v>7.0</v>
      </c>
      <c r="Q90" s="14">
        <f t="shared" si="3"/>
        <v>1108.576</v>
      </c>
      <c r="R90" s="14">
        <f t="shared" si="4"/>
        <v>950.446</v>
      </c>
      <c r="S90" s="14">
        <f t="shared" si="5"/>
        <v>158.13</v>
      </c>
    </row>
    <row r="91">
      <c r="A91" s="12">
        <v>42995.0</v>
      </c>
      <c r="B91" s="12" t="s">
        <v>2329</v>
      </c>
      <c r="C91" s="2">
        <v>43000.0</v>
      </c>
      <c r="D91" s="15" t="str">
        <f t="shared" si="1"/>
        <v>Sep</v>
      </c>
      <c r="E91" s="2" t="str">
        <f t="shared" si="2"/>
        <v>2017</v>
      </c>
      <c r="F91" s="13" t="s">
        <v>41</v>
      </c>
      <c r="G91" s="13" t="s">
        <v>2407</v>
      </c>
      <c r="H91" s="13" t="s">
        <v>2408</v>
      </c>
      <c r="I91" s="13" t="s">
        <v>34</v>
      </c>
      <c r="J91" s="13" t="s">
        <v>35</v>
      </c>
      <c r="K91" s="13" t="s">
        <v>52</v>
      </c>
      <c r="L91" s="13" t="s">
        <v>37</v>
      </c>
      <c r="M91" s="13" t="s">
        <v>38</v>
      </c>
      <c r="N91" s="14">
        <v>20.1</v>
      </c>
      <c r="O91" s="14">
        <v>19.41</v>
      </c>
      <c r="P91" s="13">
        <v>9.0</v>
      </c>
      <c r="Q91" s="14">
        <f t="shared" si="3"/>
        <v>180.9</v>
      </c>
      <c r="R91" s="14">
        <f t="shared" si="4"/>
        <v>161.49</v>
      </c>
      <c r="S91" s="14">
        <f t="shared" si="5"/>
        <v>19.41</v>
      </c>
    </row>
    <row r="92">
      <c r="A92" s="12">
        <v>42995.0</v>
      </c>
      <c r="B92" s="12" t="s">
        <v>2329</v>
      </c>
      <c r="C92" s="2">
        <v>43000.0</v>
      </c>
      <c r="D92" s="15" t="str">
        <f t="shared" si="1"/>
        <v>Sep</v>
      </c>
      <c r="E92" s="2" t="str">
        <f t="shared" si="2"/>
        <v>2017</v>
      </c>
      <c r="F92" s="13" t="s">
        <v>41</v>
      </c>
      <c r="G92" s="13" t="s">
        <v>2407</v>
      </c>
      <c r="H92" s="13" t="s">
        <v>2408</v>
      </c>
      <c r="I92" s="13" t="s">
        <v>34</v>
      </c>
      <c r="J92" s="13" t="s">
        <v>35</v>
      </c>
      <c r="K92" s="13" t="s">
        <v>52</v>
      </c>
      <c r="L92" s="13" t="s">
        <v>37</v>
      </c>
      <c r="M92" s="13" t="s">
        <v>51</v>
      </c>
      <c r="N92" s="14">
        <v>73.584</v>
      </c>
      <c r="O92" s="14">
        <v>73.53</v>
      </c>
      <c r="P92" s="13">
        <v>9.0</v>
      </c>
      <c r="Q92" s="14">
        <f t="shared" si="3"/>
        <v>662.256</v>
      </c>
      <c r="R92" s="14">
        <f t="shared" si="4"/>
        <v>588.726</v>
      </c>
      <c r="S92" s="14">
        <f t="shared" si="5"/>
        <v>73.53</v>
      </c>
    </row>
    <row r="93">
      <c r="A93" s="12">
        <v>42995.0</v>
      </c>
      <c r="B93" s="12" t="s">
        <v>2329</v>
      </c>
      <c r="C93" s="2">
        <v>43000.0</v>
      </c>
      <c r="D93" s="15" t="str">
        <f t="shared" si="1"/>
        <v>Sep</v>
      </c>
      <c r="E93" s="2" t="str">
        <f t="shared" si="2"/>
        <v>2017</v>
      </c>
      <c r="F93" s="13" t="s">
        <v>41</v>
      </c>
      <c r="G93" s="13" t="s">
        <v>2407</v>
      </c>
      <c r="H93" s="13" t="s">
        <v>2408</v>
      </c>
      <c r="I93" s="13" t="s">
        <v>34</v>
      </c>
      <c r="J93" s="13" t="s">
        <v>35</v>
      </c>
      <c r="K93" s="13" t="s">
        <v>52</v>
      </c>
      <c r="L93" s="13" t="s">
        <v>37</v>
      </c>
      <c r="M93" s="13" t="s">
        <v>38</v>
      </c>
      <c r="N93" s="14">
        <v>6.48</v>
      </c>
      <c r="O93" s="14">
        <v>6.27</v>
      </c>
      <c r="P93" s="13">
        <v>9.0</v>
      </c>
      <c r="Q93" s="14">
        <f t="shared" si="3"/>
        <v>58.32</v>
      </c>
      <c r="R93" s="14">
        <f t="shared" si="4"/>
        <v>52.05</v>
      </c>
      <c r="S93" s="14">
        <f t="shared" si="5"/>
        <v>6.27</v>
      </c>
    </row>
    <row r="94">
      <c r="A94" s="12">
        <v>42400.0</v>
      </c>
      <c r="B94" s="12" t="s">
        <v>2353</v>
      </c>
      <c r="C94" s="2">
        <v>42492.0</v>
      </c>
      <c r="D94" s="15" t="str">
        <f t="shared" si="1"/>
        <v>May</v>
      </c>
      <c r="E94" s="2" t="str">
        <f t="shared" si="2"/>
        <v>2016</v>
      </c>
      <c r="F94" s="13" t="s">
        <v>20</v>
      </c>
      <c r="G94" s="13" t="s">
        <v>2409</v>
      </c>
      <c r="H94" s="13" t="s">
        <v>2410</v>
      </c>
      <c r="I94" s="13" t="s">
        <v>23</v>
      </c>
      <c r="J94" s="13" t="s">
        <v>251</v>
      </c>
      <c r="K94" s="13" t="s">
        <v>151</v>
      </c>
      <c r="L94" s="13" t="s">
        <v>71</v>
      </c>
      <c r="M94" s="13" t="s">
        <v>38</v>
      </c>
      <c r="N94" s="14">
        <v>12.96</v>
      </c>
      <c r="O94" s="14">
        <v>12.69</v>
      </c>
      <c r="P94" s="13">
        <v>5.0</v>
      </c>
      <c r="Q94" s="14">
        <f t="shared" si="3"/>
        <v>64.8</v>
      </c>
      <c r="R94" s="14">
        <f t="shared" si="4"/>
        <v>52.11</v>
      </c>
      <c r="S94" s="14">
        <f t="shared" si="5"/>
        <v>12.69</v>
      </c>
    </row>
    <row r="95">
      <c r="A95" s="12">
        <v>42400.0</v>
      </c>
      <c r="B95" s="12" t="s">
        <v>2353</v>
      </c>
      <c r="C95" s="2">
        <v>42492.0</v>
      </c>
      <c r="D95" s="15" t="str">
        <f t="shared" si="1"/>
        <v>May</v>
      </c>
      <c r="E95" s="2" t="str">
        <f t="shared" si="2"/>
        <v>2016</v>
      </c>
      <c r="F95" s="13" t="s">
        <v>20</v>
      </c>
      <c r="G95" s="13" t="s">
        <v>2409</v>
      </c>
      <c r="H95" s="13" t="s">
        <v>2410</v>
      </c>
      <c r="I95" s="13" t="s">
        <v>23</v>
      </c>
      <c r="J95" s="13" t="s">
        <v>251</v>
      </c>
      <c r="K95" s="13" t="s">
        <v>151</v>
      </c>
      <c r="L95" s="13" t="s">
        <v>71</v>
      </c>
      <c r="M95" s="13" t="s">
        <v>27</v>
      </c>
      <c r="N95" s="14">
        <v>53.34</v>
      </c>
      <c r="O95" s="14">
        <v>53.3</v>
      </c>
      <c r="P95" s="13">
        <v>5.0</v>
      </c>
      <c r="Q95" s="14">
        <f t="shared" si="3"/>
        <v>266.7</v>
      </c>
      <c r="R95" s="14">
        <f t="shared" si="4"/>
        <v>213.4</v>
      </c>
      <c r="S95" s="14">
        <f t="shared" si="5"/>
        <v>53.3</v>
      </c>
    </row>
    <row r="96">
      <c r="A96" s="12">
        <v>42400.0</v>
      </c>
      <c r="B96" s="12" t="s">
        <v>2353</v>
      </c>
      <c r="C96" s="2">
        <v>42492.0</v>
      </c>
      <c r="D96" s="15" t="str">
        <f t="shared" si="1"/>
        <v>May</v>
      </c>
      <c r="E96" s="2" t="str">
        <f t="shared" si="2"/>
        <v>2016</v>
      </c>
      <c r="F96" s="13" t="s">
        <v>20</v>
      </c>
      <c r="G96" s="13" t="s">
        <v>2409</v>
      </c>
      <c r="H96" s="13" t="s">
        <v>2410</v>
      </c>
      <c r="I96" s="13" t="s">
        <v>23</v>
      </c>
      <c r="J96" s="13" t="s">
        <v>251</v>
      </c>
      <c r="K96" s="13" t="s">
        <v>151</v>
      </c>
      <c r="L96" s="13" t="s">
        <v>71</v>
      </c>
      <c r="M96" s="13" t="s">
        <v>38</v>
      </c>
      <c r="N96" s="14">
        <v>32.96</v>
      </c>
      <c r="O96" s="14">
        <v>32.55</v>
      </c>
      <c r="P96" s="13">
        <v>5.0</v>
      </c>
      <c r="Q96" s="14">
        <f t="shared" si="3"/>
        <v>164.8</v>
      </c>
      <c r="R96" s="14">
        <f t="shared" si="4"/>
        <v>132.25</v>
      </c>
      <c r="S96" s="14">
        <f t="shared" si="5"/>
        <v>32.55</v>
      </c>
    </row>
    <row r="97">
      <c r="A97" s="12">
        <v>43262.0</v>
      </c>
      <c r="B97" s="12" t="s">
        <v>2374</v>
      </c>
      <c r="C97" s="2">
        <v>43445.0</v>
      </c>
      <c r="D97" s="15" t="str">
        <f t="shared" si="1"/>
        <v>Dec</v>
      </c>
      <c r="E97" s="2" t="str">
        <f t="shared" si="2"/>
        <v>2018</v>
      </c>
      <c r="F97" s="13" t="s">
        <v>41</v>
      </c>
      <c r="G97" s="13" t="s">
        <v>2411</v>
      </c>
      <c r="H97" s="13" t="s">
        <v>2412</v>
      </c>
      <c r="I97" s="13" t="s">
        <v>68</v>
      </c>
      <c r="J97" s="13" t="s">
        <v>255</v>
      </c>
      <c r="K97" s="13" t="s">
        <v>256</v>
      </c>
      <c r="L97" s="13" t="s">
        <v>37</v>
      </c>
      <c r="M97" s="13" t="s">
        <v>38</v>
      </c>
      <c r="N97" s="14">
        <v>5.682</v>
      </c>
      <c r="O97" s="14">
        <v>5.25</v>
      </c>
      <c r="P97" s="13">
        <v>9.0</v>
      </c>
      <c r="Q97" s="14">
        <f t="shared" si="3"/>
        <v>51.138</v>
      </c>
      <c r="R97" s="14">
        <f t="shared" si="4"/>
        <v>45.888</v>
      </c>
      <c r="S97" s="14">
        <f t="shared" si="5"/>
        <v>5.25</v>
      </c>
    </row>
    <row r="98">
      <c r="A98" s="12">
        <v>43354.0</v>
      </c>
      <c r="B98" s="12" t="s">
        <v>2329</v>
      </c>
      <c r="C98" s="2">
        <v>43415.0</v>
      </c>
      <c r="D98" s="15" t="str">
        <f t="shared" si="1"/>
        <v>Nov</v>
      </c>
      <c r="E98" s="2" t="str">
        <f t="shared" si="2"/>
        <v>2018</v>
      </c>
      <c r="F98" s="13" t="s">
        <v>20</v>
      </c>
      <c r="G98" s="13" t="s">
        <v>2413</v>
      </c>
      <c r="H98" s="13" t="s">
        <v>2414</v>
      </c>
      <c r="I98" s="13" t="s">
        <v>68</v>
      </c>
      <c r="J98" s="13" t="s">
        <v>174</v>
      </c>
      <c r="K98" s="13" t="s">
        <v>175</v>
      </c>
      <c r="L98" s="13" t="s">
        <v>100</v>
      </c>
      <c r="M98" s="13" t="s">
        <v>27</v>
      </c>
      <c r="N98" s="14">
        <v>96.53</v>
      </c>
      <c r="O98" s="14">
        <v>95.66</v>
      </c>
      <c r="P98" s="13">
        <v>1.0</v>
      </c>
      <c r="Q98" s="14">
        <f t="shared" si="3"/>
        <v>96.53</v>
      </c>
      <c r="R98" s="14">
        <f t="shared" si="4"/>
        <v>0.87</v>
      </c>
      <c r="S98" s="14">
        <f t="shared" si="5"/>
        <v>95.66</v>
      </c>
    </row>
    <row r="99">
      <c r="A99" s="12">
        <v>43268.0</v>
      </c>
      <c r="B99" s="12" t="s">
        <v>2374</v>
      </c>
      <c r="C99" s="2">
        <v>43271.0</v>
      </c>
      <c r="D99" s="15" t="str">
        <f t="shared" si="1"/>
        <v>Jun</v>
      </c>
      <c r="E99" s="2" t="str">
        <f t="shared" si="2"/>
        <v>2018</v>
      </c>
      <c r="F99" s="13" t="s">
        <v>121</v>
      </c>
      <c r="G99" s="13" t="s">
        <v>2415</v>
      </c>
      <c r="H99" s="13" t="s">
        <v>2416</v>
      </c>
      <c r="I99" s="13" t="s">
        <v>23</v>
      </c>
      <c r="J99" s="13" t="s">
        <v>87</v>
      </c>
      <c r="K99" s="13" t="s">
        <v>52</v>
      </c>
      <c r="L99" s="13" t="s">
        <v>37</v>
      </c>
      <c r="M99" s="13" t="s">
        <v>38</v>
      </c>
      <c r="N99" s="14">
        <v>51.312</v>
      </c>
      <c r="O99" s="14">
        <v>50.59</v>
      </c>
      <c r="P99" s="13">
        <v>9.0</v>
      </c>
      <c r="Q99" s="14">
        <f t="shared" si="3"/>
        <v>461.808</v>
      </c>
      <c r="R99" s="14">
        <f t="shared" si="4"/>
        <v>411.218</v>
      </c>
      <c r="S99" s="14">
        <f t="shared" si="5"/>
        <v>50.59</v>
      </c>
    </row>
    <row r="100">
      <c r="A100" s="12">
        <v>42895.0</v>
      </c>
      <c r="B100" s="12" t="s">
        <v>2374</v>
      </c>
      <c r="C100" s="2">
        <v>43048.0</v>
      </c>
      <c r="D100" s="15" t="str">
        <f t="shared" si="1"/>
        <v>Nov</v>
      </c>
      <c r="E100" s="2" t="str">
        <f t="shared" si="2"/>
        <v>2017</v>
      </c>
      <c r="F100" s="13" t="s">
        <v>41</v>
      </c>
      <c r="G100" s="13" t="s">
        <v>2417</v>
      </c>
      <c r="H100" s="13" t="s">
        <v>2418</v>
      </c>
      <c r="I100" s="13" t="s">
        <v>34</v>
      </c>
      <c r="J100" s="13" t="s">
        <v>267</v>
      </c>
      <c r="K100" s="13" t="s">
        <v>151</v>
      </c>
      <c r="L100" s="13" t="s">
        <v>71</v>
      </c>
      <c r="M100" s="13" t="s">
        <v>38</v>
      </c>
      <c r="N100" s="14">
        <v>77.88</v>
      </c>
      <c r="O100" s="14">
        <v>77.71</v>
      </c>
      <c r="P100" s="13">
        <v>5.0</v>
      </c>
      <c r="Q100" s="14">
        <f t="shared" si="3"/>
        <v>389.4</v>
      </c>
      <c r="R100" s="14">
        <f t="shared" si="4"/>
        <v>311.69</v>
      </c>
      <c r="S100" s="14">
        <f t="shared" si="5"/>
        <v>77.71</v>
      </c>
    </row>
    <row r="101">
      <c r="A101" s="12">
        <v>42976.0</v>
      </c>
      <c r="B101" s="12" t="s">
        <v>2322</v>
      </c>
      <c r="C101" s="2">
        <v>42775.0</v>
      </c>
      <c r="D101" s="15" t="str">
        <f t="shared" si="1"/>
        <v>Feb</v>
      </c>
      <c r="E101" s="2" t="str">
        <f t="shared" si="2"/>
        <v>2017</v>
      </c>
      <c r="F101" s="13" t="s">
        <v>41</v>
      </c>
      <c r="G101" s="13" t="s">
        <v>2419</v>
      </c>
      <c r="H101" s="13" t="s">
        <v>2420</v>
      </c>
      <c r="I101" s="13" t="s">
        <v>68</v>
      </c>
      <c r="J101" s="13" t="s">
        <v>188</v>
      </c>
      <c r="K101" s="13" t="s">
        <v>135</v>
      </c>
      <c r="L101" s="13" t="s">
        <v>71</v>
      </c>
      <c r="M101" s="13" t="s">
        <v>38</v>
      </c>
      <c r="N101" s="14">
        <v>64.624</v>
      </c>
      <c r="O101" s="14">
        <v>63.94</v>
      </c>
      <c r="P101" s="13">
        <v>6.0</v>
      </c>
      <c r="Q101" s="14">
        <f t="shared" si="3"/>
        <v>387.744</v>
      </c>
      <c r="R101" s="14">
        <f t="shared" si="4"/>
        <v>323.804</v>
      </c>
      <c r="S101" s="14">
        <f t="shared" si="5"/>
        <v>63.94</v>
      </c>
    </row>
    <row r="102">
      <c r="A102" s="12">
        <v>42976.0</v>
      </c>
      <c r="B102" s="12" t="s">
        <v>2322</v>
      </c>
      <c r="C102" s="2">
        <v>42775.0</v>
      </c>
      <c r="D102" s="15" t="str">
        <f t="shared" si="1"/>
        <v>Feb</v>
      </c>
      <c r="E102" s="2" t="str">
        <f t="shared" si="2"/>
        <v>2017</v>
      </c>
      <c r="F102" s="13" t="s">
        <v>41</v>
      </c>
      <c r="G102" s="13" t="s">
        <v>2419</v>
      </c>
      <c r="H102" s="13" t="s">
        <v>2420</v>
      </c>
      <c r="I102" s="13" t="s">
        <v>68</v>
      </c>
      <c r="J102" s="13" t="s">
        <v>188</v>
      </c>
      <c r="K102" s="13" t="s">
        <v>135</v>
      </c>
      <c r="L102" s="13" t="s">
        <v>71</v>
      </c>
      <c r="M102" s="13" t="s">
        <v>51</v>
      </c>
      <c r="N102" s="14">
        <v>95.976</v>
      </c>
      <c r="O102" s="14">
        <v>95.67</v>
      </c>
      <c r="P102" s="13">
        <v>6.0</v>
      </c>
      <c r="Q102" s="14">
        <f t="shared" si="3"/>
        <v>575.856</v>
      </c>
      <c r="R102" s="14">
        <f t="shared" si="4"/>
        <v>480.186</v>
      </c>
      <c r="S102" s="14">
        <f t="shared" si="5"/>
        <v>95.67</v>
      </c>
    </row>
    <row r="103">
      <c r="A103" s="12">
        <v>42976.0</v>
      </c>
      <c r="B103" s="12" t="s">
        <v>2322</v>
      </c>
      <c r="C103" s="2">
        <v>42775.0</v>
      </c>
      <c r="D103" s="15" t="str">
        <f t="shared" si="1"/>
        <v>Feb</v>
      </c>
      <c r="E103" s="2" t="str">
        <f t="shared" si="2"/>
        <v>2017</v>
      </c>
      <c r="F103" s="13" t="s">
        <v>41</v>
      </c>
      <c r="G103" s="13" t="s">
        <v>2419</v>
      </c>
      <c r="H103" s="13" t="s">
        <v>2420</v>
      </c>
      <c r="I103" s="13" t="s">
        <v>68</v>
      </c>
      <c r="J103" s="13" t="s">
        <v>188</v>
      </c>
      <c r="K103" s="13" t="s">
        <v>135</v>
      </c>
      <c r="L103" s="13" t="s">
        <v>71</v>
      </c>
      <c r="M103" s="13" t="s">
        <v>38</v>
      </c>
      <c r="N103" s="14">
        <v>1.788</v>
      </c>
      <c r="O103" s="14">
        <v>1.03</v>
      </c>
      <c r="P103" s="13">
        <v>6.0</v>
      </c>
      <c r="Q103" s="14">
        <f t="shared" si="3"/>
        <v>10.728</v>
      </c>
      <c r="R103" s="14">
        <f t="shared" si="4"/>
        <v>9.698</v>
      </c>
      <c r="S103" s="14">
        <f t="shared" si="5"/>
        <v>1.03</v>
      </c>
    </row>
    <row r="104">
      <c r="A104" s="12">
        <v>42747.0</v>
      </c>
      <c r="B104" s="12" t="s">
        <v>2353</v>
      </c>
      <c r="C104" s="2">
        <v>42837.0</v>
      </c>
      <c r="D104" s="15" t="str">
        <f t="shared" si="1"/>
        <v>Apr</v>
      </c>
      <c r="E104" s="2" t="str">
        <f t="shared" si="2"/>
        <v>2017</v>
      </c>
      <c r="F104" s="13" t="s">
        <v>20</v>
      </c>
      <c r="G104" s="13" t="s">
        <v>2405</v>
      </c>
      <c r="H104" s="13" t="s">
        <v>2421</v>
      </c>
      <c r="I104" s="13" t="s">
        <v>23</v>
      </c>
      <c r="J104" s="13" t="s">
        <v>240</v>
      </c>
      <c r="K104" s="13" t="s">
        <v>151</v>
      </c>
      <c r="L104" s="13" t="s">
        <v>71</v>
      </c>
      <c r="M104" s="13" t="s">
        <v>38</v>
      </c>
      <c r="N104" s="14">
        <v>23.92</v>
      </c>
      <c r="O104" s="14">
        <v>23.15</v>
      </c>
      <c r="P104" s="13">
        <v>5.0</v>
      </c>
      <c r="Q104" s="14">
        <f t="shared" si="3"/>
        <v>119.6</v>
      </c>
      <c r="R104" s="14">
        <f t="shared" si="4"/>
        <v>96.45</v>
      </c>
      <c r="S104" s="14">
        <f t="shared" si="5"/>
        <v>23.15</v>
      </c>
    </row>
    <row r="105">
      <c r="A105" s="12">
        <v>42687.0</v>
      </c>
      <c r="B105" s="12" t="s">
        <v>2326</v>
      </c>
      <c r="C105" s="2">
        <v>42691.0</v>
      </c>
      <c r="D105" s="15" t="str">
        <f t="shared" si="1"/>
        <v>Nov</v>
      </c>
      <c r="E105" s="2" t="str">
        <f t="shared" si="2"/>
        <v>2016</v>
      </c>
      <c r="F105" s="13" t="s">
        <v>41</v>
      </c>
      <c r="G105" s="13" t="s">
        <v>2375</v>
      </c>
      <c r="H105" s="13" t="s">
        <v>2422</v>
      </c>
      <c r="I105" s="13" t="s">
        <v>23</v>
      </c>
      <c r="J105" s="13" t="s">
        <v>278</v>
      </c>
      <c r="K105" s="13" t="s">
        <v>279</v>
      </c>
      <c r="L105" s="13" t="s">
        <v>37</v>
      </c>
      <c r="M105" s="13" t="s">
        <v>51</v>
      </c>
      <c r="N105" s="14">
        <v>238.896</v>
      </c>
      <c r="O105" s="14">
        <v>238.02</v>
      </c>
      <c r="P105" s="13">
        <v>8.0</v>
      </c>
      <c r="Q105" s="14">
        <f t="shared" si="3"/>
        <v>1911.168</v>
      </c>
      <c r="R105" s="14">
        <f t="shared" si="4"/>
        <v>1673.148</v>
      </c>
      <c r="S105" s="14">
        <f t="shared" si="5"/>
        <v>238.02</v>
      </c>
    </row>
    <row r="106">
      <c r="A106" s="12">
        <v>42687.0</v>
      </c>
      <c r="B106" s="12" t="s">
        <v>2326</v>
      </c>
      <c r="C106" s="2">
        <v>42691.0</v>
      </c>
      <c r="D106" s="15" t="str">
        <f t="shared" si="1"/>
        <v>Nov</v>
      </c>
      <c r="E106" s="2" t="str">
        <f t="shared" si="2"/>
        <v>2016</v>
      </c>
      <c r="F106" s="13" t="s">
        <v>41</v>
      </c>
      <c r="G106" s="13" t="s">
        <v>2375</v>
      </c>
      <c r="H106" s="13" t="s">
        <v>2422</v>
      </c>
      <c r="I106" s="13" t="s">
        <v>23</v>
      </c>
      <c r="J106" s="13" t="s">
        <v>278</v>
      </c>
      <c r="K106" s="13" t="s">
        <v>279</v>
      </c>
      <c r="L106" s="13" t="s">
        <v>37</v>
      </c>
      <c r="M106" s="13" t="s">
        <v>27</v>
      </c>
      <c r="N106" s="14">
        <v>102.36</v>
      </c>
      <c r="O106" s="14">
        <v>101.97</v>
      </c>
      <c r="P106" s="13">
        <v>8.0</v>
      </c>
      <c r="Q106" s="14">
        <f t="shared" si="3"/>
        <v>818.88</v>
      </c>
      <c r="R106" s="14">
        <f t="shared" si="4"/>
        <v>716.91</v>
      </c>
      <c r="S106" s="14">
        <f t="shared" si="5"/>
        <v>101.97</v>
      </c>
    </row>
    <row r="107">
      <c r="A107" s="12">
        <v>42687.0</v>
      </c>
      <c r="B107" s="12" t="s">
        <v>2326</v>
      </c>
      <c r="C107" s="2">
        <v>42691.0</v>
      </c>
      <c r="D107" s="15" t="str">
        <f t="shared" si="1"/>
        <v>Nov</v>
      </c>
      <c r="E107" s="2" t="str">
        <f t="shared" si="2"/>
        <v>2016</v>
      </c>
      <c r="F107" s="13" t="s">
        <v>41</v>
      </c>
      <c r="G107" s="13" t="s">
        <v>2375</v>
      </c>
      <c r="H107" s="13" t="s">
        <v>2422</v>
      </c>
      <c r="I107" s="13" t="s">
        <v>23</v>
      </c>
      <c r="J107" s="13" t="s">
        <v>278</v>
      </c>
      <c r="K107" s="13" t="s">
        <v>279</v>
      </c>
      <c r="L107" s="13" t="s">
        <v>37</v>
      </c>
      <c r="M107" s="13" t="s">
        <v>38</v>
      </c>
      <c r="N107" s="14">
        <v>36.882</v>
      </c>
      <c r="O107" s="14">
        <v>36.75</v>
      </c>
      <c r="P107" s="13">
        <v>8.0</v>
      </c>
      <c r="Q107" s="14">
        <f t="shared" si="3"/>
        <v>295.056</v>
      </c>
      <c r="R107" s="14">
        <f t="shared" si="4"/>
        <v>258.306</v>
      </c>
      <c r="S107" s="14">
        <f t="shared" si="5"/>
        <v>36.75</v>
      </c>
    </row>
    <row r="108">
      <c r="A108" s="12">
        <v>43427.0</v>
      </c>
      <c r="B108" s="12" t="s">
        <v>2326</v>
      </c>
      <c r="C108" s="2">
        <v>43432.0</v>
      </c>
      <c r="D108" s="15" t="str">
        <f t="shared" si="1"/>
        <v>Nov</v>
      </c>
      <c r="E108" s="2" t="str">
        <f t="shared" si="2"/>
        <v>2018</v>
      </c>
      <c r="F108" s="13" t="s">
        <v>41</v>
      </c>
      <c r="G108" s="13" t="s">
        <v>2379</v>
      </c>
      <c r="H108" s="13" t="s">
        <v>2423</v>
      </c>
      <c r="I108" s="13" t="s">
        <v>23</v>
      </c>
      <c r="J108" s="13" t="s">
        <v>284</v>
      </c>
      <c r="K108" s="13" t="s">
        <v>58</v>
      </c>
      <c r="L108" s="13" t="s">
        <v>26</v>
      </c>
      <c r="M108" s="13" t="s">
        <v>51</v>
      </c>
      <c r="N108" s="14">
        <v>74.112</v>
      </c>
      <c r="O108" s="14">
        <v>73.41</v>
      </c>
      <c r="P108" s="13">
        <v>2.0</v>
      </c>
      <c r="Q108" s="14">
        <f t="shared" si="3"/>
        <v>148.224</v>
      </c>
      <c r="R108" s="14">
        <f t="shared" si="4"/>
        <v>74.814</v>
      </c>
      <c r="S108" s="14">
        <f t="shared" si="5"/>
        <v>73.41</v>
      </c>
    </row>
    <row r="109">
      <c r="A109" s="12">
        <v>43427.0</v>
      </c>
      <c r="B109" s="12" t="s">
        <v>2326</v>
      </c>
      <c r="C109" s="2">
        <v>43432.0</v>
      </c>
      <c r="D109" s="15" t="str">
        <f t="shared" si="1"/>
        <v>Nov</v>
      </c>
      <c r="E109" s="2" t="str">
        <f t="shared" si="2"/>
        <v>2018</v>
      </c>
      <c r="F109" s="13" t="s">
        <v>41</v>
      </c>
      <c r="G109" s="13" t="s">
        <v>2379</v>
      </c>
      <c r="H109" s="13" t="s">
        <v>2423</v>
      </c>
      <c r="I109" s="13" t="s">
        <v>23</v>
      </c>
      <c r="J109" s="13" t="s">
        <v>284</v>
      </c>
      <c r="K109" s="13" t="s">
        <v>58</v>
      </c>
      <c r="L109" s="13" t="s">
        <v>26</v>
      </c>
      <c r="M109" s="13" t="s">
        <v>51</v>
      </c>
      <c r="N109" s="14">
        <v>27.992</v>
      </c>
      <c r="O109" s="14">
        <v>27.88</v>
      </c>
      <c r="P109" s="13">
        <v>2.0</v>
      </c>
      <c r="Q109" s="14">
        <f t="shared" si="3"/>
        <v>55.984</v>
      </c>
      <c r="R109" s="14">
        <f t="shared" si="4"/>
        <v>28.104</v>
      </c>
      <c r="S109" s="14">
        <f t="shared" si="5"/>
        <v>27.88</v>
      </c>
    </row>
    <row r="110">
      <c r="A110" s="12">
        <v>43427.0</v>
      </c>
      <c r="B110" s="12" t="s">
        <v>2326</v>
      </c>
      <c r="C110" s="2">
        <v>43432.0</v>
      </c>
      <c r="D110" s="15" t="str">
        <f t="shared" si="1"/>
        <v>Nov</v>
      </c>
      <c r="E110" s="2" t="str">
        <f t="shared" si="2"/>
        <v>2018</v>
      </c>
      <c r="F110" s="13" t="s">
        <v>41</v>
      </c>
      <c r="G110" s="13" t="s">
        <v>2379</v>
      </c>
      <c r="H110" s="13" t="s">
        <v>2423</v>
      </c>
      <c r="I110" s="13" t="s">
        <v>23</v>
      </c>
      <c r="J110" s="13" t="s">
        <v>284</v>
      </c>
      <c r="K110" s="13" t="s">
        <v>58</v>
      </c>
      <c r="L110" s="13" t="s">
        <v>26</v>
      </c>
      <c r="M110" s="13" t="s">
        <v>38</v>
      </c>
      <c r="N110" s="14">
        <v>3.304</v>
      </c>
      <c r="O110" s="14">
        <v>2.47</v>
      </c>
      <c r="P110" s="13">
        <v>2.0</v>
      </c>
      <c r="Q110" s="14">
        <f t="shared" si="3"/>
        <v>6.608</v>
      </c>
      <c r="R110" s="14">
        <f t="shared" si="4"/>
        <v>4.138</v>
      </c>
      <c r="S110" s="14">
        <f t="shared" si="5"/>
        <v>2.47</v>
      </c>
    </row>
    <row r="111">
      <c r="A111" s="12">
        <v>42658.0</v>
      </c>
      <c r="B111" s="12" t="s">
        <v>2358</v>
      </c>
      <c r="C111" s="2">
        <v>42663.0</v>
      </c>
      <c r="D111" s="15" t="str">
        <f t="shared" si="1"/>
        <v>Oct</v>
      </c>
      <c r="E111" s="2" t="str">
        <f t="shared" si="2"/>
        <v>2016</v>
      </c>
      <c r="F111" s="13" t="s">
        <v>41</v>
      </c>
      <c r="G111" s="13" t="s">
        <v>2340</v>
      </c>
      <c r="H111" s="13" t="s">
        <v>2424</v>
      </c>
      <c r="I111" s="13" t="s">
        <v>68</v>
      </c>
      <c r="J111" s="13" t="s">
        <v>289</v>
      </c>
      <c r="K111" s="13" t="s">
        <v>135</v>
      </c>
      <c r="L111" s="13" t="s">
        <v>71</v>
      </c>
      <c r="M111" s="13" t="s">
        <v>51</v>
      </c>
      <c r="N111" s="14">
        <v>339.96</v>
      </c>
      <c r="O111" s="14">
        <v>339.63</v>
      </c>
      <c r="P111" s="13">
        <v>6.0</v>
      </c>
      <c r="Q111" s="14">
        <f t="shared" si="3"/>
        <v>2039.76</v>
      </c>
      <c r="R111" s="14">
        <f t="shared" si="4"/>
        <v>1700.13</v>
      </c>
      <c r="S111" s="14">
        <f t="shared" si="5"/>
        <v>339.63</v>
      </c>
    </row>
    <row r="112">
      <c r="A112" s="12">
        <v>43459.0</v>
      </c>
      <c r="B112" s="12" t="s">
        <v>2325</v>
      </c>
      <c r="C112" s="2">
        <v>43464.0</v>
      </c>
      <c r="D112" s="15" t="str">
        <f t="shared" si="1"/>
        <v>Dec</v>
      </c>
      <c r="E112" s="2" t="str">
        <f t="shared" si="2"/>
        <v>2018</v>
      </c>
      <c r="F112" s="13" t="s">
        <v>41</v>
      </c>
      <c r="G112" s="13" t="s">
        <v>2425</v>
      </c>
      <c r="H112" s="13" t="s">
        <v>2426</v>
      </c>
      <c r="I112" s="13" t="s">
        <v>34</v>
      </c>
      <c r="J112" s="13" t="s">
        <v>174</v>
      </c>
      <c r="K112" s="13" t="s">
        <v>175</v>
      </c>
      <c r="L112" s="13" t="s">
        <v>100</v>
      </c>
      <c r="M112" s="13" t="s">
        <v>27</v>
      </c>
      <c r="N112" s="14">
        <v>41.96</v>
      </c>
      <c r="O112" s="14">
        <v>41.02</v>
      </c>
      <c r="P112" s="13">
        <v>1.0</v>
      </c>
      <c r="Q112" s="14">
        <f t="shared" si="3"/>
        <v>41.96</v>
      </c>
      <c r="R112" s="14">
        <f t="shared" si="4"/>
        <v>0.94</v>
      </c>
      <c r="S112" s="14">
        <f t="shared" si="5"/>
        <v>41.02</v>
      </c>
    </row>
    <row r="113">
      <c r="A113" s="12">
        <v>42805.0</v>
      </c>
      <c r="B113" s="12" t="s">
        <v>2399</v>
      </c>
      <c r="C113" s="2">
        <v>43019.0</v>
      </c>
      <c r="D113" s="15" t="str">
        <f t="shared" si="1"/>
        <v>Oct</v>
      </c>
      <c r="E113" s="2" t="str">
        <f t="shared" si="2"/>
        <v>2017</v>
      </c>
      <c r="F113" s="13" t="s">
        <v>41</v>
      </c>
      <c r="G113" s="13" t="s">
        <v>2427</v>
      </c>
      <c r="H113" s="13" t="s">
        <v>2428</v>
      </c>
      <c r="I113" s="13" t="s">
        <v>23</v>
      </c>
      <c r="J113" s="13" t="s">
        <v>297</v>
      </c>
      <c r="K113" s="13" t="s">
        <v>298</v>
      </c>
      <c r="L113" s="13" t="s">
        <v>71</v>
      </c>
      <c r="M113" s="13" t="s">
        <v>38</v>
      </c>
      <c r="N113" s="14">
        <v>75.96</v>
      </c>
      <c r="O113" s="14">
        <v>75.3</v>
      </c>
      <c r="P113" s="13">
        <v>5.0</v>
      </c>
      <c r="Q113" s="14">
        <f t="shared" si="3"/>
        <v>379.8</v>
      </c>
      <c r="R113" s="14">
        <f t="shared" si="4"/>
        <v>304.5</v>
      </c>
      <c r="S113" s="14">
        <f t="shared" si="5"/>
        <v>75.3</v>
      </c>
    </row>
    <row r="114">
      <c r="A114" s="12">
        <v>42805.0</v>
      </c>
      <c r="B114" s="12" t="s">
        <v>2399</v>
      </c>
      <c r="C114" s="2">
        <v>43019.0</v>
      </c>
      <c r="D114" s="15" t="str">
        <f t="shared" si="1"/>
        <v>Oct</v>
      </c>
      <c r="E114" s="2" t="str">
        <f t="shared" si="2"/>
        <v>2017</v>
      </c>
      <c r="F114" s="13" t="s">
        <v>41</v>
      </c>
      <c r="G114" s="13" t="s">
        <v>2427</v>
      </c>
      <c r="H114" s="13" t="s">
        <v>2428</v>
      </c>
      <c r="I114" s="13" t="s">
        <v>23</v>
      </c>
      <c r="J114" s="13" t="s">
        <v>297</v>
      </c>
      <c r="K114" s="13" t="s">
        <v>298</v>
      </c>
      <c r="L114" s="13" t="s">
        <v>71</v>
      </c>
      <c r="M114" s="13" t="s">
        <v>38</v>
      </c>
      <c r="N114" s="14">
        <v>27.24</v>
      </c>
      <c r="O114" s="14">
        <v>26.8</v>
      </c>
      <c r="P114" s="13">
        <v>5.0</v>
      </c>
      <c r="Q114" s="14">
        <f t="shared" si="3"/>
        <v>136.2</v>
      </c>
      <c r="R114" s="14">
        <f t="shared" si="4"/>
        <v>109.4</v>
      </c>
      <c r="S114" s="14">
        <f t="shared" si="5"/>
        <v>26.8</v>
      </c>
    </row>
    <row r="115">
      <c r="A115" s="12">
        <v>42241.0</v>
      </c>
      <c r="B115" s="12" t="s">
        <v>2322</v>
      </c>
      <c r="C115" s="2">
        <v>42243.0</v>
      </c>
      <c r="D115" s="15" t="str">
        <f t="shared" si="1"/>
        <v>Aug</v>
      </c>
      <c r="E115" s="2" t="str">
        <f t="shared" si="2"/>
        <v>2015</v>
      </c>
      <c r="F115" s="13" t="s">
        <v>20</v>
      </c>
      <c r="G115" s="13" t="s">
        <v>2429</v>
      </c>
      <c r="H115" s="13" t="s">
        <v>2430</v>
      </c>
      <c r="I115" s="13" t="s">
        <v>23</v>
      </c>
      <c r="J115" s="13" t="s">
        <v>303</v>
      </c>
      <c r="K115" s="13" t="s">
        <v>304</v>
      </c>
      <c r="L115" s="13" t="s">
        <v>100</v>
      </c>
      <c r="M115" s="13" t="s">
        <v>38</v>
      </c>
      <c r="N115" s="14">
        <v>40.096</v>
      </c>
      <c r="O115" s="14">
        <v>39.18</v>
      </c>
      <c r="P115" s="13">
        <v>4.0</v>
      </c>
      <c r="Q115" s="14">
        <f t="shared" si="3"/>
        <v>160.384</v>
      </c>
      <c r="R115" s="14">
        <f t="shared" si="4"/>
        <v>121.204</v>
      </c>
      <c r="S115" s="14">
        <f t="shared" si="5"/>
        <v>39.18</v>
      </c>
    </row>
    <row r="116">
      <c r="A116" s="12">
        <v>42241.0</v>
      </c>
      <c r="B116" s="12" t="s">
        <v>2322</v>
      </c>
      <c r="C116" s="2">
        <v>42243.0</v>
      </c>
      <c r="D116" s="15" t="str">
        <f t="shared" si="1"/>
        <v>Aug</v>
      </c>
      <c r="E116" s="2" t="str">
        <f t="shared" si="2"/>
        <v>2015</v>
      </c>
      <c r="F116" s="13" t="s">
        <v>20</v>
      </c>
      <c r="G116" s="13" t="s">
        <v>2429</v>
      </c>
      <c r="H116" s="13" t="s">
        <v>2430</v>
      </c>
      <c r="I116" s="13" t="s">
        <v>23</v>
      </c>
      <c r="J116" s="13" t="s">
        <v>303</v>
      </c>
      <c r="K116" s="13" t="s">
        <v>304</v>
      </c>
      <c r="L116" s="13" t="s">
        <v>100</v>
      </c>
      <c r="M116" s="13" t="s">
        <v>38</v>
      </c>
      <c r="N116" s="14">
        <v>4.72</v>
      </c>
      <c r="O116" s="14">
        <v>4.56</v>
      </c>
      <c r="P116" s="13">
        <v>4.0</v>
      </c>
      <c r="Q116" s="14">
        <f t="shared" si="3"/>
        <v>18.88</v>
      </c>
      <c r="R116" s="14">
        <f t="shared" si="4"/>
        <v>14.32</v>
      </c>
      <c r="S116" s="14">
        <f t="shared" si="5"/>
        <v>4.56</v>
      </c>
    </row>
    <row r="117">
      <c r="A117" s="12">
        <v>42241.0</v>
      </c>
      <c r="B117" s="12" t="s">
        <v>2322</v>
      </c>
      <c r="C117" s="2">
        <v>42243.0</v>
      </c>
      <c r="D117" s="15" t="str">
        <f t="shared" si="1"/>
        <v>Aug</v>
      </c>
      <c r="E117" s="2" t="str">
        <f t="shared" si="2"/>
        <v>2015</v>
      </c>
      <c r="F117" s="13" t="s">
        <v>20</v>
      </c>
      <c r="G117" s="13" t="s">
        <v>2429</v>
      </c>
      <c r="H117" s="13" t="s">
        <v>2430</v>
      </c>
      <c r="I117" s="13" t="s">
        <v>23</v>
      </c>
      <c r="J117" s="13" t="s">
        <v>303</v>
      </c>
      <c r="K117" s="13" t="s">
        <v>304</v>
      </c>
      <c r="L117" s="13" t="s">
        <v>100</v>
      </c>
      <c r="M117" s="13" t="s">
        <v>38</v>
      </c>
      <c r="N117" s="14">
        <v>23.976</v>
      </c>
      <c r="O117" s="14">
        <v>23.97</v>
      </c>
      <c r="P117" s="13">
        <v>4.0</v>
      </c>
      <c r="Q117" s="14">
        <f t="shared" si="3"/>
        <v>95.904</v>
      </c>
      <c r="R117" s="14">
        <f t="shared" si="4"/>
        <v>71.934</v>
      </c>
      <c r="S117" s="14">
        <f t="shared" si="5"/>
        <v>23.97</v>
      </c>
    </row>
    <row r="118">
      <c r="A118" s="12">
        <v>42241.0</v>
      </c>
      <c r="B118" s="12" t="s">
        <v>2322</v>
      </c>
      <c r="C118" s="2">
        <v>42243.0</v>
      </c>
      <c r="D118" s="15" t="str">
        <f t="shared" si="1"/>
        <v>Aug</v>
      </c>
      <c r="E118" s="2" t="str">
        <f t="shared" si="2"/>
        <v>2015</v>
      </c>
      <c r="F118" s="13" t="s">
        <v>20</v>
      </c>
      <c r="G118" s="13" t="s">
        <v>2429</v>
      </c>
      <c r="H118" s="13" t="s">
        <v>2430</v>
      </c>
      <c r="I118" s="13" t="s">
        <v>23</v>
      </c>
      <c r="J118" s="13" t="s">
        <v>303</v>
      </c>
      <c r="K118" s="13" t="s">
        <v>304</v>
      </c>
      <c r="L118" s="13" t="s">
        <v>100</v>
      </c>
      <c r="M118" s="13" t="s">
        <v>38</v>
      </c>
      <c r="N118" s="14">
        <v>130.464</v>
      </c>
      <c r="O118" s="14">
        <v>129.68</v>
      </c>
      <c r="P118" s="13">
        <v>4.0</v>
      </c>
      <c r="Q118" s="14">
        <f t="shared" si="3"/>
        <v>521.856</v>
      </c>
      <c r="R118" s="14">
        <f t="shared" si="4"/>
        <v>392.176</v>
      </c>
      <c r="S118" s="14">
        <f t="shared" si="5"/>
        <v>129.68</v>
      </c>
    </row>
    <row r="119">
      <c r="A119" s="12">
        <v>42403.0</v>
      </c>
      <c r="B119" s="12" t="s">
        <v>2431</v>
      </c>
      <c r="C119" s="2">
        <v>42524.0</v>
      </c>
      <c r="D119" s="15" t="str">
        <f t="shared" si="1"/>
        <v>Jun</v>
      </c>
      <c r="E119" s="2" t="str">
        <f t="shared" si="2"/>
        <v>2016</v>
      </c>
      <c r="F119" s="13" t="s">
        <v>41</v>
      </c>
      <c r="G119" s="13" t="s">
        <v>2432</v>
      </c>
      <c r="H119" s="13" t="s">
        <v>2433</v>
      </c>
      <c r="I119" s="13" t="s">
        <v>23</v>
      </c>
      <c r="J119" s="13" t="s">
        <v>62</v>
      </c>
      <c r="K119" s="13" t="s">
        <v>63</v>
      </c>
      <c r="L119" s="13" t="s">
        <v>37</v>
      </c>
      <c r="M119" s="13" t="s">
        <v>27</v>
      </c>
      <c r="N119" s="14">
        <v>787.53</v>
      </c>
      <c r="O119" s="14">
        <v>786.93</v>
      </c>
      <c r="P119" s="13">
        <v>9.0</v>
      </c>
      <c r="Q119" s="14">
        <f t="shared" si="3"/>
        <v>7087.77</v>
      </c>
      <c r="R119" s="14">
        <f t="shared" si="4"/>
        <v>6300.84</v>
      </c>
      <c r="S119" s="14">
        <f t="shared" si="5"/>
        <v>786.93</v>
      </c>
    </row>
    <row r="120">
      <c r="A120" s="12">
        <v>42494.0</v>
      </c>
      <c r="B120" s="12" t="s">
        <v>2335</v>
      </c>
      <c r="C120" s="2">
        <v>42647.0</v>
      </c>
      <c r="D120" s="15" t="str">
        <f t="shared" si="1"/>
        <v>Oct</v>
      </c>
      <c r="E120" s="2" t="str">
        <f t="shared" si="2"/>
        <v>2016</v>
      </c>
      <c r="F120" s="13" t="s">
        <v>41</v>
      </c>
      <c r="G120" s="13" t="s">
        <v>2434</v>
      </c>
      <c r="H120" s="13" t="s">
        <v>2435</v>
      </c>
      <c r="I120" s="13" t="s">
        <v>34</v>
      </c>
      <c r="J120" s="13" t="s">
        <v>311</v>
      </c>
      <c r="K120" s="13" t="s">
        <v>210</v>
      </c>
      <c r="L120" s="13" t="s">
        <v>26</v>
      </c>
      <c r="M120" s="13" t="s">
        <v>38</v>
      </c>
      <c r="N120" s="14">
        <v>157.794</v>
      </c>
      <c r="O120" s="14">
        <v>156.91</v>
      </c>
      <c r="P120" s="13">
        <v>3.0</v>
      </c>
      <c r="Q120" s="14">
        <f t="shared" si="3"/>
        <v>473.382</v>
      </c>
      <c r="R120" s="14">
        <f t="shared" si="4"/>
        <v>316.472</v>
      </c>
      <c r="S120" s="14">
        <f t="shared" si="5"/>
        <v>156.91</v>
      </c>
    </row>
    <row r="121">
      <c r="A121" s="12">
        <v>43075.0</v>
      </c>
      <c r="B121" s="12" t="s">
        <v>2325</v>
      </c>
      <c r="C121" s="2">
        <v>42901.0</v>
      </c>
      <c r="D121" s="15" t="str">
        <f t="shared" si="1"/>
        <v>Jun</v>
      </c>
      <c r="E121" s="2" t="str">
        <f t="shared" si="2"/>
        <v>2017</v>
      </c>
      <c r="F121" s="13" t="s">
        <v>121</v>
      </c>
      <c r="G121" s="13" t="s">
        <v>2436</v>
      </c>
      <c r="H121" s="13" t="s">
        <v>2437</v>
      </c>
      <c r="I121" s="13" t="s">
        <v>23</v>
      </c>
      <c r="J121" s="13" t="s">
        <v>315</v>
      </c>
      <c r="K121" s="13" t="s">
        <v>163</v>
      </c>
      <c r="L121" s="13" t="s">
        <v>100</v>
      </c>
      <c r="M121" s="13" t="s">
        <v>27</v>
      </c>
      <c r="N121" s="14">
        <v>47.04</v>
      </c>
      <c r="O121" s="14">
        <v>46.83</v>
      </c>
      <c r="P121" s="13">
        <v>1.0</v>
      </c>
      <c r="Q121" s="14">
        <f t="shared" si="3"/>
        <v>47.04</v>
      </c>
      <c r="R121" s="14">
        <f t="shared" si="4"/>
        <v>0.21</v>
      </c>
      <c r="S121" s="14">
        <f t="shared" si="5"/>
        <v>46.83</v>
      </c>
    </row>
    <row r="122">
      <c r="A122" s="12">
        <v>43075.0</v>
      </c>
      <c r="B122" s="12" t="s">
        <v>2325</v>
      </c>
      <c r="C122" s="2">
        <v>42901.0</v>
      </c>
      <c r="D122" s="15" t="str">
        <f t="shared" si="1"/>
        <v>Jun</v>
      </c>
      <c r="E122" s="2" t="str">
        <f t="shared" si="2"/>
        <v>2017</v>
      </c>
      <c r="F122" s="13" t="s">
        <v>121</v>
      </c>
      <c r="G122" s="13" t="s">
        <v>2436</v>
      </c>
      <c r="H122" s="13" t="s">
        <v>2437</v>
      </c>
      <c r="I122" s="13" t="s">
        <v>23</v>
      </c>
      <c r="J122" s="13" t="s">
        <v>315</v>
      </c>
      <c r="K122" s="13" t="s">
        <v>163</v>
      </c>
      <c r="L122" s="13" t="s">
        <v>100</v>
      </c>
      <c r="M122" s="13" t="s">
        <v>38</v>
      </c>
      <c r="N122" s="14">
        <v>30.84</v>
      </c>
      <c r="O122" s="14">
        <v>30.78</v>
      </c>
      <c r="P122" s="13">
        <v>1.0</v>
      </c>
      <c r="Q122" s="14">
        <f t="shared" si="3"/>
        <v>30.84</v>
      </c>
      <c r="R122" s="14">
        <f t="shared" si="4"/>
        <v>0.06</v>
      </c>
      <c r="S122" s="14">
        <f t="shared" si="5"/>
        <v>30.78</v>
      </c>
    </row>
    <row r="123">
      <c r="A123" s="12">
        <v>43075.0</v>
      </c>
      <c r="B123" s="12" t="s">
        <v>2325</v>
      </c>
      <c r="C123" s="2">
        <v>42901.0</v>
      </c>
      <c r="D123" s="15" t="str">
        <f t="shared" si="1"/>
        <v>Jun</v>
      </c>
      <c r="E123" s="2" t="str">
        <f t="shared" si="2"/>
        <v>2017</v>
      </c>
      <c r="F123" s="13" t="s">
        <v>121</v>
      </c>
      <c r="G123" s="13" t="s">
        <v>2436</v>
      </c>
      <c r="H123" s="13" t="s">
        <v>2437</v>
      </c>
      <c r="I123" s="13" t="s">
        <v>23</v>
      </c>
      <c r="J123" s="13" t="s">
        <v>315</v>
      </c>
      <c r="K123" s="13" t="s">
        <v>163</v>
      </c>
      <c r="L123" s="13" t="s">
        <v>100</v>
      </c>
      <c r="M123" s="13" t="s">
        <v>38</v>
      </c>
      <c r="N123" s="14">
        <v>226.56</v>
      </c>
      <c r="O123" s="14">
        <v>225.99</v>
      </c>
      <c r="P123" s="13">
        <v>1.0</v>
      </c>
      <c r="Q123" s="14">
        <f t="shared" si="3"/>
        <v>226.56</v>
      </c>
      <c r="R123" s="14">
        <f t="shared" si="4"/>
        <v>0.57</v>
      </c>
      <c r="S123" s="14">
        <f t="shared" si="5"/>
        <v>225.99</v>
      </c>
    </row>
    <row r="124">
      <c r="A124" s="12">
        <v>43075.0</v>
      </c>
      <c r="B124" s="12" t="s">
        <v>2325</v>
      </c>
      <c r="C124" s="2">
        <v>42901.0</v>
      </c>
      <c r="D124" s="15" t="str">
        <f t="shared" si="1"/>
        <v>Jun</v>
      </c>
      <c r="E124" s="2" t="str">
        <f t="shared" si="2"/>
        <v>2017</v>
      </c>
      <c r="F124" s="13" t="s">
        <v>121</v>
      </c>
      <c r="G124" s="13" t="s">
        <v>2436</v>
      </c>
      <c r="H124" s="13" t="s">
        <v>2437</v>
      </c>
      <c r="I124" s="13" t="s">
        <v>23</v>
      </c>
      <c r="J124" s="13" t="s">
        <v>315</v>
      </c>
      <c r="K124" s="13" t="s">
        <v>163</v>
      </c>
      <c r="L124" s="13" t="s">
        <v>100</v>
      </c>
      <c r="M124" s="13" t="s">
        <v>38</v>
      </c>
      <c r="N124" s="14">
        <v>115.02</v>
      </c>
      <c r="O124" s="14">
        <v>114.44</v>
      </c>
      <c r="P124" s="13">
        <v>1.0</v>
      </c>
      <c r="Q124" s="14">
        <f t="shared" si="3"/>
        <v>115.02</v>
      </c>
      <c r="R124" s="14">
        <f t="shared" si="4"/>
        <v>0.58</v>
      </c>
      <c r="S124" s="14">
        <f t="shared" si="5"/>
        <v>114.44</v>
      </c>
    </row>
    <row r="125">
      <c r="A125" s="12">
        <v>43075.0</v>
      </c>
      <c r="B125" s="12" t="s">
        <v>2325</v>
      </c>
      <c r="C125" s="2">
        <v>42901.0</v>
      </c>
      <c r="D125" s="15" t="str">
        <f t="shared" si="1"/>
        <v>Jun</v>
      </c>
      <c r="E125" s="2" t="str">
        <f t="shared" si="2"/>
        <v>2017</v>
      </c>
      <c r="F125" s="13" t="s">
        <v>121</v>
      </c>
      <c r="G125" s="13" t="s">
        <v>2436</v>
      </c>
      <c r="H125" s="13" t="s">
        <v>2437</v>
      </c>
      <c r="I125" s="13" t="s">
        <v>23</v>
      </c>
      <c r="J125" s="13" t="s">
        <v>315</v>
      </c>
      <c r="K125" s="13" t="s">
        <v>163</v>
      </c>
      <c r="L125" s="13" t="s">
        <v>100</v>
      </c>
      <c r="M125" s="13" t="s">
        <v>51</v>
      </c>
      <c r="N125" s="14">
        <v>68.04</v>
      </c>
      <c r="O125" s="14">
        <v>67.05</v>
      </c>
      <c r="P125" s="13">
        <v>1.0</v>
      </c>
      <c r="Q125" s="14">
        <f t="shared" si="3"/>
        <v>68.04</v>
      </c>
      <c r="R125" s="14">
        <f t="shared" si="4"/>
        <v>0.99</v>
      </c>
      <c r="S125" s="14">
        <f t="shared" si="5"/>
        <v>67.05</v>
      </c>
    </row>
    <row r="126">
      <c r="A126" s="12">
        <v>42364.0</v>
      </c>
      <c r="B126" s="12" t="s">
        <v>2325</v>
      </c>
      <c r="C126" s="2">
        <v>42366.0</v>
      </c>
      <c r="D126" s="15" t="str">
        <f t="shared" si="1"/>
        <v>Dec</v>
      </c>
      <c r="E126" s="2" t="str">
        <f t="shared" si="2"/>
        <v>2015</v>
      </c>
      <c r="F126" s="13" t="s">
        <v>20</v>
      </c>
      <c r="G126" s="13" t="s">
        <v>2438</v>
      </c>
      <c r="H126" s="13" t="s">
        <v>2439</v>
      </c>
      <c r="I126" s="13" t="s">
        <v>68</v>
      </c>
      <c r="J126" s="13" t="s">
        <v>129</v>
      </c>
      <c r="K126" s="13" t="s">
        <v>70</v>
      </c>
      <c r="L126" s="13" t="s">
        <v>71</v>
      </c>
      <c r="M126" s="13" t="s">
        <v>27</v>
      </c>
      <c r="N126" s="14">
        <v>600.558</v>
      </c>
      <c r="O126" s="14">
        <v>600.44</v>
      </c>
      <c r="P126" s="13">
        <v>7.0</v>
      </c>
      <c r="Q126" s="14">
        <f t="shared" si="3"/>
        <v>4203.906</v>
      </c>
      <c r="R126" s="14">
        <f t="shared" si="4"/>
        <v>3603.466</v>
      </c>
      <c r="S126" s="14">
        <f t="shared" si="5"/>
        <v>600.44</v>
      </c>
    </row>
    <row r="127">
      <c r="A127" s="12">
        <v>42267.0</v>
      </c>
      <c r="B127" s="12" t="s">
        <v>2329</v>
      </c>
      <c r="C127" s="2">
        <v>42272.0</v>
      </c>
      <c r="D127" s="15" t="str">
        <f t="shared" si="1"/>
        <v>Sep</v>
      </c>
      <c r="E127" s="2" t="str">
        <f t="shared" si="2"/>
        <v>2015</v>
      </c>
      <c r="F127" s="13" t="s">
        <v>41</v>
      </c>
      <c r="G127" s="13" t="s">
        <v>2440</v>
      </c>
      <c r="H127" s="13" t="s">
        <v>2441</v>
      </c>
      <c r="I127" s="13" t="s">
        <v>23</v>
      </c>
      <c r="J127" s="13" t="s">
        <v>324</v>
      </c>
      <c r="K127" s="13" t="s">
        <v>135</v>
      </c>
      <c r="L127" s="13" t="s">
        <v>71</v>
      </c>
      <c r="M127" s="13" t="s">
        <v>27</v>
      </c>
      <c r="N127" s="14">
        <v>617.7</v>
      </c>
      <c r="O127" s="14">
        <v>616.9</v>
      </c>
      <c r="P127" s="13">
        <v>6.0</v>
      </c>
      <c r="Q127" s="14">
        <f t="shared" si="3"/>
        <v>3706.2</v>
      </c>
      <c r="R127" s="14">
        <f t="shared" si="4"/>
        <v>3089.3</v>
      </c>
      <c r="S127" s="14">
        <f t="shared" si="5"/>
        <v>616.9</v>
      </c>
    </row>
    <row r="128">
      <c r="A128" s="12">
        <v>43231.0</v>
      </c>
      <c r="B128" s="12" t="s">
        <v>2335</v>
      </c>
      <c r="C128" s="2">
        <v>43445.0</v>
      </c>
      <c r="D128" s="15" t="str">
        <f t="shared" si="1"/>
        <v>Dec</v>
      </c>
      <c r="E128" s="2" t="str">
        <f t="shared" si="2"/>
        <v>2018</v>
      </c>
      <c r="F128" s="13" t="s">
        <v>41</v>
      </c>
      <c r="G128" s="13" t="s">
        <v>180</v>
      </c>
      <c r="H128" s="13" t="s">
        <v>2442</v>
      </c>
      <c r="I128" s="13" t="s">
        <v>23</v>
      </c>
      <c r="J128" s="13" t="s">
        <v>328</v>
      </c>
      <c r="K128" s="13" t="s">
        <v>193</v>
      </c>
      <c r="L128" s="13" t="s">
        <v>37</v>
      </c>
      <c r="M128" s="13" t="s">
        <v>38</v>
      </c>
      <c r="N128" s="14">
        <v>2.388</v>
      </c>
      <c r="O128" s="14">
        <v>2.19</v>
      </c>
      <c r="P128" s="13">
        <v>8.0</v>
      </c>
      <c r="Q128" s="14">
        <f t="shared" si="3"/>
        <v>19.104</v>
      </c>
      <c r="R128" s="14">
        <f t="shared" si="4"/>
        <v>16.914</v>
      </c>
      <c r="S128" s="14">
        <f t="shared" si="5"/>
        <v>2.19</v>
      </c>
    </row>
    <row r="129">
      <c r="A129" s="12">
        <v>43231.0</v>
      </c>
      <c r="B129" s="12" t="s">
        <v>2335</v>
      </c>
      <c r="C129" s="2">
        <v>43445.0</v>
      </c>
      <c r="D129" s="15" t="str">
        <f t="shared" si="1"/>
        <v>Dec</v>
      </c>
      <c r="E129" s="2" t="str">
        <f t="shared" si="2"/>
        <v>2018</v>
      </c>
      <c r="F129" s="13" t="s">
        <v>41</v>
      </c>
      <c r="G129" s="13" t="s">
        <v>180</v>
      </c>
      <c r="H129" s="13" t="s">
        <v>2442</v>
      </c>
      <c r="I129" s="13" t="s">
        <v>23</v>
      </c>
      <c r="J129" s="13" t="s">
        <v>328</v>
      </c>
      <c r="K129" s="13" t="s">
        <v>193</v>
      </c>
      <c r="L129" s="13" t="s">
        <v>37</v>
      </c>
      <c r="M129" s="13" t="s">
        <v>38</v>
      </c>
      <c r="N129" s="14">
        <v>243.992</v>
      </c>
      <c r="O129" s="14">
        <v>243.79</v>
      </c>
      <c r="P129" s="13">
        <v>8.0</v>
      </c>
      <c r="Q129" s="14">
        <f t="shared" si="3"/>
        <v>1951.936</v>
      </c>
      <c r="R129" s="14">
        <f t="shared" si="4"/>
        <v>1708.146</v>
      </c>
      <c r="S129" s="14">
        <f t="shared" si="5"/>
        <v>243.79</v>
      </c>
    </row>
    <row r="130">
      <c r="A130" s="12">
        <v>42897.0</v>
      </c>
      <c r="B130" s="12" t="s">
        <v>2374</v>
      </c>
      <c r="C130" s="2">
        <v>43019.0</v>
      </c>
      <c r="D130" s="15" t="str">
        <f t="shared" si="1"/>
        <v>Oct</v>
      </c>
      <c r="E130" s="2" t="str">
        <f t="shared" si="2"/>
        <v>2017</v>
      </c>
      <c r="F130" s="13" t="s">
        <v>20</v>
      </c>
      <c r="G130" s="13" t="s">
        <v>2443</v>
      </c>
      <c r="H130" s="13" t="s">
        <v>2444</v>
      </c>
      <c r="I130" s="13" t="s">
        <v>68</v>
      </c>
      <c r="J130" s="13" t="s">
        <v>35</v>
      </c>
      <c r="K130" s="13" t="s">
        <v>52</v>
      </c>
      <c r="L130" s="13" t="s">
        <v>37</v>
      </c>
      <c r="M130" s="13" t="s">
        <v>27</v>
      </c>
      <c r="N130" s="14">
        <v>81.424</v>
      </c>
      <c r="O130" s="14">
        <v>80.61</v>
      </c>
      <c r="P130" s="13">
        <v>9.0</v>
      </c>
      <c r="Q130" s="14">
        <f t="shared" si="3"/>
        <v>732.816</v>
      </c>
      <c r="R130" s="14">
        <f t="shared" si="4"/>
        <v>652.206</v>
      </c>
      <c r="S130" s="14">
        <f t="shared" si="5"/>
        <v>80.61</v>
      </c>
    </row>
    <row r="131">
      <c r="A131" s="12">
        <v>42897.0</v>
      </c>
      <c r="B131" s="12" t="s">
        <v>2374</v>
      </c>
      <c r="C131" s="2">
        <v>43019.0</v>
      </c>
      <c r="D131" s="15" t="str">
        <f t="shared" si="1"/>
        <v>Oct</v>
      </c>
      <c r="E131" s="2" t="str">
        <f t="shared" si="2"/>
        <v>2017</v>
      </c>
      <c r="F131" s="13" t="s">
        <v>20</v>
      </c>
      <c r="G131" s="13" t="s">
        <v>2443</v>
      </c>
      <c r="H131" s="13" t="s">
        <v>2444</v>
      </c>
      <c r="I131" s="13" t="s">
        <v>68</v>
      </c>
      <c r="J131" s="13" t="s">
        <v>35</v>
      </c>
      <c r="K131" s="13" t="s">
        <v>52</v>
      </c>
      <c r="L131" s="13" t="s">
        <v>37</v>
      </c>
      <c r="M131" s="13" t="s">
        <v>27</v>
      </c>
      <c r="N131" s="14">
        <v>238.56</v>
      </c>
      <c r="O131" s="14">
        <v>238.11</v>
      </c>
      <c r="P131" s="13">
        <v>9.0</v>
      </c>
      <c r="Q131" s="14">
        <f t="shared" si="3"/>
        <v>2147.04</v>
      </c>
      <c r="R131" s="14">
        <f t="shared" si="4"/>
        <v>1908.93</v>
      </c>
      <c r="S131" s="14">
        <f t="shared" si="5"/>
        <v>238.11</v>
      </c>
    </row>
    <row r="132">
      <c r="A132" s="12">
        <v>43133.0</v>
      </c>
      <c r="B132" s="12" t="s">
        <v>2431</v>
      </c>
      <c r="C132" s="2">
        <v>43222.0</v>
      </c>
      <c r="D132" s="15" t="str">
        <f t="shared" si="1"/>
        <v>May</v>
      </c>
      <c r="E132" s="2" t="str">
        <f t="shared" si="2"/>
        <v>2018</v>
      </c>
      <c r="F132" s="13" t="s">
        <v>121</v>
      </c>
      <c r="G132" s="13" t="s">
        <v>2445</v>
      </c>
      <c r="H132" s="13" t="s">
        <v>2446</v>
      </c>
      <c r="I132" s="13" t="s">
        <v>34</v>
      </c>
      <c r="J132" s="13" t="s">
        <v>303</v>
      </c>
      <c r="K132" s="13" t="s">
        <v>304</v>
      </c>
      <c r="L132" s="13" t="s">
        <v>100</v>
      </c>
      <c r="M132" s="13" t="s">
        <v>51</v>
      </c>
      <c r="N132" s="14">
        <v>59.97</v>
      </c>
      <c r="O132" s="14">
        <v>59.36</v>
      </c>
      <c r="P132" s="13">
        <v>4.0</v>
      </c>
      <c r="Q132" s="14">
        <f t="shared" si="3"/>
        <v>239.88</v>
      </c>
      <c r="R132" s="14">
        <f t="shared" si="4"/>
        <v>180.52</v>
      </c>
      <c r="S132" s="14">
        <f t="shared" si="5"/>
        <v>59.36</v>
      </c>
    </row>
    <row r="133">
      <c r="A133" s="12">
        <v>43133.0</v>
      </c>
      <c r="B133" s="12" t="s">
        <v>2431</v>
      </c>
      <c r="C133" s="2">
        <v>43222.0</v>
      </c>
      <c r="D133" s="15" t="str">
        <f t="shared" si="1"/>
        <v>May</v>
      </c>
      <c r="E133" s="2" t="str">
        <f t="shared" si="2"/>
        <v>2018</v>
      </c>
      <c r="F133" s="13" t="s">
        <v>121</v>
      </c>
      <c r="G133" s="13" t="s">
        <v>2445</v>
      </c>
      <c r="H133" s="13" t="s">
        <v>2446</v>
      </c>
      <c r="I133" s="13" t="s">
        <v>34</v>
      </c>
      <c r="J133" s="13" t="s">
        <v>303</v>
      </c>
      <c r="K133" s="13" t="s">
        <v>304</v>
      </c>
      <c r="L133" s="13" t="s">
        <v>100</v>
      </c>
      <c r="M133" s="13" t="s">
        <v>38</v>
      </c>
      <c r="N133" s="14">
        <v>78.304</v>
      </c>
      <c r="O133" s="14">
        <v>78.24</v>
      </c>
      <c r="P133" s="13">
        <v>4.0</v>
      </c>
      <c r="Q133" s="14">
        <f t="shared" si="3"/>
        <v>313.216</v>
      </c>
      <c r="R133" s="14">
        <f t="shared" si="4"/>
        <v>234.976</v>
      </c>
      <c r="S133" s="14">
        <f t="shared" si="5"/>
        <v>78.24</v>
      </c>
    </row>
    <row r="134">
      <c r="A134" s="12">
        <v>43133.0</v>
      </c>
      <c r="B134" s="12" t="s">
        <v>2431</v>
      </c>
      <c r="C134" s="2">
        <v>43222.0</v>
      </c>
      <c r="D134" s="15" t="str">
        <f t="shared" si="1"/>
        <v>May</v>
      </c>
      <c r="E134" s="2" t="str">
        <f t="shared" si="2"/>
        <v>2018</v>
      </c>
      <c r="F134" s="13" t="s">
        <v>121</v>
      </c>
      <c r="G134" s="13" t="s">
        <v>2445</v>
      </c>
      <c r="H134" s="13" t="s">
        <v>2446</v>
      </c>
      <c r="I134" s="13" t="s">
        <v>34</v>
      </c>
      <c r="J134" s="13" t="s">
        <v>303</v>
      </c>
      <c r="K134" s="13" t="s">
        <v>304</v>
      </c>
      <c r="L134" s="13" t="s">
        <v>100</v>
      </c>
      <c r="M134" s="13" t="s">
        <v>38</v>
      </c>
      <c r="N134" s="14">
        <v>21.456</v>
      </c>
      <c r="O134" s="14">
        <v>20.85</v>
      </c>
      <c r="P134" s="13">
        <v>4.0</v>
      </c>
      <c r="Q134" s="14">
        <f t="shared" si="3"/>
        <v>85.824</v>
      </c>
      <c r="R134" s="14">
        <f t="shared" si="4"/>
        <v>64.974</v>
      </c>
      <c r="S134" s="14">
        <f t="shared" si="5"/>
        <v>20.85</v>
      </c>
    </row>
    <row r="135">
      <c r="A135" s="12">
        <v>43021.0</v>
      </c>
      <c r="B135" s="12" t="s">
        <v>2358</v>
      </c>
      <c r="C135" s="2">
        <v>43027.0</v>
      </c>
      <c r="D135" s="15" t="str">
        <f t="shared" si="1"/>
        <v>Oct</v>
      </c>
      <c r="E135" s="2" t="str">
        <f t="shared" si="2"/>
        <v>2017</v>
      </c>
      <c r="F135" s="13" t="s">
        <v>41</v>
      </c>
      <c r="G135" s="13" t="s">
        <v>2375</v>
      </c>
      <c r="H135" s="13" t="s">
        <v>2401</v>
      </c>
      <c r="I135" s="13" t="s">
        <v>23</v>
      </c>
      <c r="J135" s="13" t="s">
        <v>339</v>
      </c>
      <c r="K135" s="13" t="s">
        <v>52</v>
      </c>
      <c r="L135" s="13" t="s">
        <v>37</v>
      </c>
      <c r="M135" s="13" t="s">
        <v>38</v>
      </c>
      <c r="N135" s="14">
        <v>20.04</v>
      </c>
      <c r="O135" s="14">
        <v>20.0</v>
      </c>
      <c r="P135" s="13">
        <v>9.0</v>
      </c>
      <c r="Q135" s="14">
        <f t="shared" si="3"/>
        <v>180.36</v>
      </c>
      <c r="R135" s="14">
        <f t="shared" si="4"/>
        <v>160.36</v>
      </c>
      <c r="S135" s="14">
        <f t="shared" si="5"/>
        <v>20</v>
      </c>
    </row>
    <row r="136">
      <c r="A136" s="12">
        <v>43021.0</v>
      </c>
      <c r="B136" s="12" t="s">
        <v>2358</v>
      </c>
      <c r="C136" s="2">
        <v>43027.0</v>
      </c>
      <c r="D136" s="15" t="str">
        <f t="shared" si="1"/>
        <v>Oct</v>
      </c>
      <c r="E136" s="2" t="str">
        <f t="shared" si="2"/>
        <v>2017</v>
      </c>
      <c r="F136" s="13" t="s">
        <v>41</v>
      </c>
      <c r="G136" s="13" t="s">
        <v>2375</v>
      </c>
      <c r="H136" s="13" t="s">
        <v>2401</v>
      </c>
      <c r="I136" s="13" t="s">
        <v>23</v>
      </c>
      <c r="J136" s="13" t="s">
        <v>339</v>
      </c>
      <c r="K136" s="13" t="s">
        <v>52</v>
      </c>
      <c r="L136" s="13" t="s">
        <v>37</v>
      </c>
      <c r="M136" s="13" t="s">
        <v>38</v>
      </c>
      <c r="N136" s="14">
        <v>35.44</v>
      </c>
      <c r="O136" s="14">
        <v>35.26</v>
      </c>
      <c r="P136" s="13">
        <v>9.0</v>
      </c>
      <c r="Q136" s="14">
        <f t="shared" si="3"/>
        <v>318.96</v>
      </c>
      <c r="R136" s="14">
        <f t="shared" si="4"/>
        <v>283.7</v>
      </c>
      <c r="S136" s="14">
        <f t="shared" si="5"/>
        <v>35.26</v>
      </c>
    </row>
    <row r="137">
      <c r="A137" s="12">
        <v>43021.0</v>
      </c>
      <c r="B137" s="12" t="s">
        <v>2358</v>
      </c>
      <c r="C137" s="2">
        <v>43027.0</v>
      </c>
      <c r="D137" s="15" t="str">
        <f t="shared" si="1"/>
        <v>Oct</v>
      </c>
      <c r="E137" s="2" t="str">
        <f t="shared" si="2"/>
        <v>2017</v>
      </c>
      <c r="F137" s="13" t="s">
        <v>41</v>
      </c>
      <c r="G137" s="13" t="s">
        <v>2375</v>
      </c>
      <c r="H137" s="13" t="s">
        <v>2401</v>
      </c>
      <c r="I137" s="13" t="s">
        <v>23</v>
      </c>
      <c r="J137" s="13" t="s">
        <v>339</v>
      </c>
      <c r="K137" s="13" t="s">
        <v>52</v>
      </c>
      <c r="L137" s="13" t="s">
        <v>37</v>
      </c>
      <c r="M137" s="13" t="s">
        <v>38</v>
      </c>
      <c r="N137" s="14">
        <v>11.52</v>
      </c>
      <c r="O137" s="14">
        <v>10.88</v>
      </c>
      <c r="P137" s="13">
        <v>9.0</v>
      </c>
      <c r="Q137" s="14">
        <f t="shared" si="3"/>
        <v>103.68</v>
      </c>
      <c r="R137" s="14">
        <f t="shared" si="4"/>
        <v>92.8</v>
      </c>
      <c r="S137" s="14">
        <f t="shared" si="5"/>
        <v>10.88</v>
      </c>
    </row>
    <row r="138">
      <c r="A138" s="12">
        <v>43021.0</v>
      </c>
      <c r="B138" s="12" t="s">
        <v>2358</v>
      </c>
      <c r="C138" s="2">
        <v>43027.0</v>
      </c>
      <c r="D138" s="15" t="str">
        <f t="shared" si="1"/>
        <v>Oct</v>
      </c>
      <c r="E138" s="2" t="str">
        <f t="shared" si="2"/>
        <v>2017</v>
      </c>
      <c r="F138" s="13" t="s">
        <v>41</v>
      </c>
      <c r="G138" s="13" t="s">
        <v>2375</v>
      </c>
      <c r="H138" s="13" t="s">
        <v>2401</v>
      </c>
      <c r="I138" s="13" t="s">
        <v>23</v>
      </c>
      <c r="J138" s="13" t="s">
        <v>339</v>
      </c>
      <c r="K138" s="13" t="s">
        <v>52</v>
      </c>
      <c r="L138" s="13" t="s">
        <v>37</v>
      </c>
      <c r="M138" s="13" t="s">
        <v>38</v>
      </c>
      <c r="N138" s="14">
        <v>4.02</v>
      </c>
      <c r="O138" s="14">
        <v>3.77</v>
      </c>
      <c r="P138" s="13">
        <v>9.0</v>
      </c>
      <c r="Q138" s="14">
        <f t="shared" si="3"/>
        <v>36.18</v>
      </c>
      <c r="R138" s="14">
        <f t="shared" si="4"/>
        <v>32.41</v>
      </c>
      <c r="S138" s="14">
        <f t="shared" si="5"/>
        <v>3.77</v>
      </c>
    </row>
    <row r="139">
      <c r="A139" s="12">
        <v>43021.0</v>
      </c>
      <c r="B139" s="12" t="s">
        <v>2358</v>
      </c>
      <c r="C139" s="2">
        <v>43027.0</v>
      </c>
      <c r="D139" s="15" t="str">
        <f t="shared" si="1"/>
        <v>Oct</v>
      </c>
      <c r="E139" s="2" t="str">
        <f t="shared" si="2"/>
        <v>2017</v>
      </c>
      <c r="F139" s="13" t="s">
        <v>41</v>
      </c>
      <c r="G139" s="13" t="s">
        <v>2375</v>
      </c>
      <c r="H139" s="13" t="s">
        <v>2401</v>
      </c>
      <c r="I139" s="13" t="s">
        <v>23</v>
      </c>
      <c r="J139" s="13" t="s">
        <v>339</v>
      </c>
      <c r="K139" s="13" t="s">
        <v>52</v>
      </c>
      <c r="L139" s="13" t="s">
        <v>37</v>
      </c>
      <c r="M139" s="13" t="s">
        <v>38</v>
      </c>
      <c r="N139" s="14">
        <v>76.176</v>
      </c>
      <c r="O139" s="14">
        <v>76.02</v>
      </c>
      <c r="P139" s="13">
        <v>9.0</v>
      </c>
      <c r="Q139" s="14">
        <f t="shared" si="3"/>
        <v>685.584</v>
      </c>
      <c r="R139" s="14">
        <f t="shared" si="4"/>
        <v>609.564</v>
      </c>
      <c r="S139" s="14">
        <f t="shared" si="5"/>
        <v>76.02</v>
      </c>
    </row>
    <row r="140">
      <c r="A140" s="12">
        <v>43021.0</v>
      </c>
      <c r="B140" s="12" t="s">
        <v>2358</v>
      </c>
      <c r="C140" s="2">
        <v>43027.0</v>
      </c>
      <c r="D140" s="15" t="str">
        <f t="shared" si="1"/>
        <v>Oct</v>
      </c>
      <c r="E140" s="2" t="str">
        <f t="shared" si="2"/>
        <v>2017</v>
      </c>
      <c r="F140" s="13" t="s">
        <v>41</v>
      </c>
      <c r="G140" s="13" t="s">
        <v>2375</v>
      </c>
      <c r="H140" s="13" t="s">
        <v>2401</v>
      </c>
      <c r="I140" s="13" t="s">
        <v>23</v>
      </c>
      <c r="J140" s="13" t="s">
        <v>339</v>
      </c>
      <c r="K140" s="13" t="s">
        <v>52</v>
      </c>
      <c r="L140" s="13" t="s">
        <v>37</v>
      </c>
      <c r="M140" s="13" t="s">
        <v>38</v>
      </c>
      <c r="N140" s="14">
        <v>65.88</v>
      </c>
      <c r="O140" s="14">
        <v>65.27</v>
      </c>
      <c r="P140" s="13">
        <v>9.0</v>
      </c>
      <c r="Q140" s="14">
        <f t="shared" si="3"/>
        <v>592.92</v>
      </c>
      <c r="R140" s="14">
        <f t="shared" si="4"/>
        <v>527.65</v>
      </c>
      <c r="S140" s="14">
        <f t="shared" si="5"/>
        <v>65.27</v>
      </c>
    </row>
    <row r="141">
      <c r="A141" s="12">
        <v>43021.0</v>
      </c>
      <c r="B141" s="12" t="s">
        <v>2358</v>
      </c>
      <c r="C141" s="2">
        <v>43027.0</v>
      </c>
      <c r="D141" s="15" t="str">
        <f t="shared" si="1"/>
        <v>Oct</v>
      </c>
      <c r="E141" s="2" t="str">
        <f t="shared" si="2"/>
        <v>2017</v>
      </c>
      <c r="F141" s="13" t="s">
        <v>41</v>
      </c>
      <c r="G141" s="13" t="s">
        <v>2375</v>
      </c>
      <c r="H141" s="13" t="s">
        <v>2401</v>
      </c>
      <c r="I141" s="13" t="s">
        <v>23</v>
      </c>
      <c r="J141" s="13" t="s">
        <v>339</v>
      </c>
      <c r="K141" s="13" t="s">
        <v>52</v>
      </c>
      <c r="L141" s="13" t="s">
        <v>37</v>
      </c>
      <c r="M141" s="13" t="s">
        <v>27</v>
      </c>
      <c r="N141" s="14">
        <v>43.12</v>
      </c>
      <c r="O141" s="14">
        <v>42.27</v>
      </c>
      <c r="P141" s="13">
        <v>9.0</v>
      </c>
      <c r="Q141" s="14">
        <f t="shared" si="3"/>
        <v>388.08</v>
      </c>
      <c r="R141" s="14">
        <f t="shared" si="4"/>
        <v>345.81</v>
      </c>
      <c r="S141" s="14">
        <f t="shared" si="5"/>
        <v>42.27</v>
      </c>
    </row>
    <row r="142">
      <c r="A142" s="12">
        <v>42864.0</v>
      </c>
      <c r="B142" s="12" t="s">
        <v>2335</v>
      </c>
      <c r="C142" s="2">
        <v>42925.0</v>
      </c>
      <c r="D142" s="15" t="str">
        <f t="shared" si="1"/>
        <v>Jul</v>
      </c>
      <c r="E142" s="2" t="str">
        <f t="shared" si="2"/>
        <v>2017</v>
      </c>
      <c r="F142" s="13" t="s">
        <v>20</v>
      </c>
      <c r="G142" s="13" t="s">
        <v>2447</v>
      </c>
      <c r="H142" s="13" t="s">
        <v>2448</v>
      </c>
      <c r="I142" s="13" t="s">
        <v>34</v>
      </c>
      <c r="J142" s="13" t="s">
        <v>98</v>
      </c>
      <c r="K142" s="13" t="s">
        <v>99</v>
      </c>
      <c r="L142" s="13" t="s">
        <v>100</v>
      </c>
      <c r="M142" s="13" t="s">
        <v>27</v>
      </c>
      <c r="N142" s="14">
        <v>82.8</v>
      </c>
      <c r="O142" s="14">
        <v>82.56</v>
      </c>
      <c r="P142" s="13">
        <v>1.0</v>
      </c>
      <c r="Q142" s="14">
        <f t="shared" si="3"/>
        <v>82.8</v>
      </c>
      <c r="R142" s="14">
        <f t="shared" si="4"/>
        <v>0.24</v>
      </c>
      <c r="S142" s="14">
        <f t="shared" si="5"/>
        <v>82.56</v>
      </c>
    </row>
    <row r="143">
      <c r="A143" s="12">
        <v>43361.0</v>
      </c>
      <c r="B143" s="12" t="s">
        <v>2329</v>
      </c>
      <c r="C143" s="2">
        <v>43366.0</v>
      </c>
      <c r="D143" s="15" t="str">
        <f t="shared" si="1"/>
        <v>Sep</v>
      </c>
      <c r="E143" s="2" t="str">
        <f t="shared" si="2"/>
        <v>2018</v>
      </c>
      <c r="F143" s="13" t="s">
        <v>41</v>
      </c>
      <c r="G143" s="13" t="s">
        <v>2449</v>
      </c>
      <c r="H143" s="13" t="s">
        <v>2450</v>
      </c>
      <c r="I143" s="13" t="s">
        <v>34</v>
      </c>
      <c r="J143" s="13" t="s">
        <v>87</v>
      </c>
      <c r="K143" s="13" t="s">
        <v>52</v>
      </c>
      <c r="L143" s="13" t="s">
        <v>37</v>
      </c>
      <c r="M143" s="13" t="s">
        <v>38</v>
      </c>
      <c r="N143" s="14">
        <v>8.82</v>
      </c>
      <c r="O143" s="14">
        <v>8.76</v>
      </c>
      <c r="P143" s="13">
        <v>9.0</v>
      </c>
      <c r="Q143" s="14">
        <f t="shared" si="3"/>
        <v>79.38</v>
      </c>
      <c r="R143" s="14">
        <f t="shared" si="4"/>
        <v>70.62</v>
      </c>
      <c r="S143" s="14">
        <f t="shared" si="5"/>
        <v>8.76</v>
      </c>
    </row>
    <row r="144">
      <c r="A144" s="12">
        <v>43361.0</v>
      </c>
      <c r="B144" s="12" t="s">
        <v>2329</v>
      </c>
      <c r="C144" s="2">
        <v>43366.0</v>
      </c>
      <c r="D144" s="15" t="str">
        <f t="shared" si="1"/>
        <v>Sep</v>
      </c>
      <c r="E144" s="2" t="str">
        <f t="shared" si="2"/>
        <v>2018</v>
      </c>
      <c r="F144" s="13" t="s">
        <v>41</v>
      </c>
      <c r="G144" s="13" t="s">
        <v>2449</v>
      </c>
      <c r="H144" s="13" t="s">
        <v>2450</v>
      </c>
      <c r="I144" s="13" t="s">
        <v>34</v>
      </c>
      <c r="J144" s="13" t="s">
        <v>87</v>
      </c>
      <c r="K144" s="13" t="s">
        <v>52</v>
      </c>
      <c r="L144" s="13" t="s">
        <v>37</v>
      </c>
      <c r="M144" s="13" t="s">
        <v>38</v>
      </c>
      <c r="N144" s="14">
        <v>10.86</v>
      </c>
      <c r="O144" s="14">
        <v>10.56</v>
      </c>
      <c r="P144" s="13">
        <v>9.0</v>
      </c>
      <c r="Q144" s="14">
        <f t="shared" si="3"/>
        <v>97.74</v>
      </c>
      <c r="R144" s="14">
        <f t="shared" si="4"/>
        <v>87.18</v>
      </c>
      <c r="S144" s="14">
        <f t="shared" si="5"/>
        <v>10.56</v>
      </c>
    </row>
    <row r="145">
      <c r="A145" s="12">
        <v>43361.0</v>
      </c>
      <c r="B145" s="12" t="s">
        <v>2329</v>
      </c>
      <c r="C145" s="2">
        <v>43366.0</v>
      </c>
      <c r="D145" s="15" t="str">
        <f t="shared" si="1"/>
        <v>Sep</v>
      </c>
      <c r="E145" s="2" t="str">
        <f t="shared" si="2"/>
        <v>2018</v>
      </c>
      <c r="F145" s="13" t="s">
        <v>41</v>
      </c>
      <c r="G145" s="13" t="s">
        <v>2449</v>
      </c>
      <c r="H145" s="13" t="s">
        <v>2450</v>
      </c>
      <c r="I145" s="13" t="s">
        <v>34</v>
      </c>
      <c r="J145" s="13" t="s">
        <v>87</v>
      </c>
      <c r="K145" s="13" t="s">
        <v>52</v>
      </c>
      <c r="L145" s="13" t="s">
        <v>37</v>
      </c>
      <c r="M145" s="13" t="s">
        <v>38</v>
      </c>
      <c r="N145" s="14">
        <v>143.7</v>
      </c>
      <c r="O145" s="14">
        <v>143.52</v>
      </c>
      <c r="P145" s="13">
        <v>9.0</v>
      </c>
      <c r="Q145" s="14">
        <f t="shared" si="3"/>
        <v>1293.3</v>
      </c>
      <c r="R145" s="14">
        <f t="shared" si="4"/>
        <v>1149.78</v>
      </c>
      <c r="S145" s="14">
        <f t="shared" si="5"/>
        <v>143.52</v>
      </c>
    </row>
    <row r="146">
      <c r="A146" s="12">
        <v>43456.0</v>
      </c>
      <c r="B146" s="12" t="s">
        <v>2325</v>
      </c>
      <c r="C146" s="2">
        <v>43461.0</v>
      </c>
      <c r="D146" s="15" t="str">
        <f t="shared" si="1"/>
        <v>Dec</v>
      </c>
      <c r="E146" s="2" t="str">
        <f t="shared" si="2"/>
        <v>2018</v>
      </c>
      <c r="F146" s="13" t="s">
        <v>41</v>
      </c>
      <c r="G146" s="13" t="s">
        <v>2349</v>
      </c>
      <c r="H146" s="13" t="s">
        <v>2451</v>
      </c>
      <c r="I146" s="13" t="s">
        <v>23</v>
      </c>
      <c r="J146" s="13" t="s">
        <v>350</v>
      </c>
      <c r="K146" s="13" t="s">
        <v>351</v>
      </c>
      <c r="L146" s="13" t="s">
        <v>71</v>
      </c>
      <c r="M146" s="13" t="s">
        <v>38</v>
      </c>
      <c r="N146" s="14">
        <v>839.43</v>
      </c>
      <c r="O146" s="14">
        <v>838.57</v>
      </c>
      <c r="P146" s="13">
        <v>6.0</v>
      </c>
      <c r="Q146" s="14">
        <f t="shared" si="3"/>
        <v>5036.58</v>
      </c>
      <c r="R146" s="14">
        <f t="shared" si="4"/>
        <v>4198.01</v>
      </c>
      <c r="S146" s="14">
        <f t="shared" si="5"/>
        <v>838.57</v>
      </c>
    </row>
    <row r="147">
      <c r="A147" s="12">
        <v>42560.0</v>
      </c>
      <c r="B147" s="12" t="s">
        <v>2348</v>
      </c>
      <c r="C147" s="2">
        <v>42713.0</v>
      </c>
      <c r="D147" s="15" t="str">
        <f t="shared" si="1"/>
        <v>Dec</v>
      </c>
      <c r="E147" s="2" t="str">
        <f t="shared" si="2"/>
        <v>2016</v>
      </c>
      <c r="F147" s="13" t="s">
        <v>41</v>
      </c>
      <c r="G147" s="13" t="s">
        <v>2452</v>
      </c>
      <c r="H147" s="13" t="s">
        <v>2453</v>
      </c>
      <c r="I147" s="13" t="s">
        <v>23</v>
      </c>
      <c r="J147" s="13" t="s">
        <v>355</v>
      </c>
      <c r="K147" s="13" t="s">
        <v>52</v>
      </c>
      <c r="L147" s="13" t="s">
        <v>37</v>
      </c>
      <c r="M147" s="13" t="s">
        <v>38</v>
      </c>
      <c r="N147" s="14">
        <v>671.93</v>
      </c>
      <c r="O147" s="14">
        <v>671.11</v>
      </c>
      <c r="P147" s="13">
        <v>9.0</v>
      </c>
      <c r="Q147" s="14">
        <f t="shared" si="3"/>
        <v>6047.37</v>
      </c>
      <c r="R147" s="14">
        <f t="shared" si="4"/>
        <v>5376.26</v>
      </c>
      <c r="S147" s="14">
        <f t="shared" si="5"/>
        <v>671.11</v>
      </c>
    </row>
    <row r="148">
      <c r="A148" s="12">
        <v>42299.0</v>
      </c>
      <c r="B148" s="12" t="s">
        <v>2358</v>
      </c>
      <c r="C148" s="2">
        <v>42305.0</v>
      </c>
      <c r="D148" s="15" t="str">
        <f t="shared" si="1"/>
        <v>Oct</v>
      </c>
      <c r="E148" s="2" t="str">
        <f t="shared" si="2"/>
        <v>2015</v>
      </c>
      <c r="F148" s="13" t="s">
        <v>41</v>
      </c>
      <c r="G148" s="13" t="s">
        <v>2454</v>
      </c>
      <c r="H148" s="13" t="s">
        <v>2455</v>
      </c>
      <c r="I148" s="13" t="s">
        <v>68</v>
      </c>
      <c r="J148" s="13" t="s">
        <v>360</v>
      </c>
      <c r="K148" s="13" t="s">
        <v>304</v>
      </c>
      <c r="L148" s="13" t="s">
        <v>100</v>
      </c>
      <c r="M148" s="13" t="s">
        <v>27</v>
      </c>
      <c r="N148" s="14">
        <v>93.888</v>
      </c>
      <c r="O148" s="14">
        <v>93.42</v>
      </c>
      <c r="P148" s="13">
        <v>4.0</v>
      </c>
      <c r="Q148" s="14">
        <f t="shared" si="3"/>
        <v>375.552</v>
      </c>
      <c r="R148" s="14">
        <f t="shared" si="4"/>
        <v>282.132</v>
      </c>
      <c r="S148" s="14">
        <f t="shared" si="5"/>
        <v>93.42</v>
      </c>
    </row>
    <row r="149">
      <c r="A149" s="12">
        <v>42867.0</v>
      </c>
      <c r="B149" s="12" t="s">
        <v>2335</v>
      </c>
      <c r="C149" s="2">
        <v>42990.0</v>
      </c>
      <c r="D149" s="15" t="str">
        <f t="shared" si="1"/>
        <v>Sep</v>
      </c>
      <c r="E149" s="2" t="str">
        <f t="shared" si="2"/>
        <v>2017</v>
      </c>
      <c r="F149" s="13" t="s">
        <v>41</v>
      </c>
      <c r="G149" s="13" t="s">
        <v>2456</v>
      </c>
      <c r="H149" s="13" t="s">
        <v>2457</v>
      </c>
      <c r="I149" s="13" t="s">
        <v>34</v>
      </c>
      <c r="J149" s="13" t="s">
        <v>364</v>
      </c>
      <c r="K149" s="13" t="s">
        <v>77</v>
      </c>
      <c r="L149" s="13" t="s">
        <v>71</v>
      </c>
      <c r="M149" s="13" t="s">
        <v>51</v>
      </c>
      <c r="N149" s="14">
        <v>384.45</v>
      </c>
      <c r="O149" s="14">
        <v>383.76</v>
      </c>
      <c r="P149" s="13">
        <v>5.0</v>
      </c>
      <c r="Q149" s="14">
        <f t="shared" si="3"/>
        <v>1922.25</v>
      </c>
      <c r="R149" s="14">
        <f t="shared" si="4"/>
        <v>1538.49</v>
      </c>
      <c r="S149" s="14">
        <f t="shared" si="5"/>
        <v>383.76</v>
      </c>
    </row>
    <row r="150">
      <c r="A150" s="12">
        <v>42867.0</v>
      </c>
      <c r="B150" s="12" t="s">
        <v>2335</v>
      </c>
      <c r="C150" s="2">
        <v>42990.0</v>
      </c>
      <c r="D150" s="15" t="str">
        <f t="shared" si="1"/>
        <v>Sep</v>
      </c>
      <c r="E150" s="2" t="str">
        <f t="shared" si="2"/>
        <v>2017</v>
      </c>
      <c r="F150" s="13" t="s">
        <v>41</v>
      </c>
      <c r="G150" s="13" t="s">
        <v>2456</v>
      </c>
      <c r="H150" s="13" t="s">
        <v>2457</v>
      </c>
      <c r="I150" s="13" t="s">
        <v>34</v>
      </c>
      <c r="J150" s="13" t="s">
        <v>364</v>
      </c>
      <c r="K150" s="13" t="s">
        <v>77</v>
      </c>
      <c r="L150" s="13" t="s">
        <v>71</v>
      </c>
      <c r="M150" s="13" t="s">
        <v>51</v>
      </c>
      <c r="N150" s="14">
        <v>149.97</v>
      </c>
      <c r="O150" s="14">
        <v>149.92</v>
      </c>
      <c r="P150" s="13">
        <v>5.0</v>
      </c>
      <c r="Q150" s="14">
        <f t="shared" si="3"/>
        <v>749.85</v>
      </c>
      <c r="R150" s="14">
        <f t="shared" si="4"/>
        <v>599.93</v>
      </c>
      <c r="S150" s="14">
        <f t="shared" si="5"/>
        <v>149.92</v>
      </c>
    </row>
    <row r="151">
      <c r="A151" s="12">
        <v>42867.0</v>
      </c>
      <c r="B151" s="12" t="s">
        <v>2335</v>
      </c>
      <c r="C151" s="2">
        <v>42990.0</v>
      </c>
      <c r="D151" s="15" t="str">
        <f t="shared" si="1"/>
        <v>Sep</v>
      </c>
      <c r="E151" s="2" t="str">
        <f t="shared" si="2"/>
        <v>2017</v>
      </c>
      <c r="F151" s="13" t="s">
        <v>41</v>
      </c>
      <c r="G151" s="13" t="s">
        <v>2456</v>
      </c>
      <c r="H151" s="13" t="s">
        <v>2457</v>
      </c>
      <c r="I151" s="13" t="s">
        <v>34</v>
      </c>
      <c r="J151" s="13" t="s">
        <v>364</v>
      </c>
      <c r="K151" s="13" t="s">
        <v>77</v>
      </c>
      <c r="L151" s="13" t="s">
        <v>71</v>
      </c>
      <c r="M151" s="13" t="s">
        <v>27</v>
      </c>
      <c r="N151" s="14">
        <v>1951.84</v>
      </c>
      <c r="O151" s="14">
        <v>1950.87</v>
      </c>
      <c r="P151" s="13">
        <v>5.0</v>
      </c>
      <c r="Q151" s="14">
        <f t="shared" si="3"/>
        <v>9759.2</v>
      </c>
      <c r="R151" s="14">
        <f t="shared" si="4"/>
        <v>7808.33</v>
      </c>
      <c r="S151" s="14">
        <f t="shared" si="5"/>
        <v>1950.87</v>
      </c>
    </row>
    <row r="152">
      <c r="A152" s="12">
        <v>42867.0</v>
      </c>
      <c r="B152" s="12" t="s">
        <v>2335</v>
      </c>
      <c r="C152" s="2">
        <v>42990.0</v>
      </c>
      <c r="D152" s="15" t="str">
        <f t="shared" si="1"/>
        <v>Sep</v>
      </c>
      <c r="E152" s="2" t="str">
        <f t="shared" si="2"/>
        <v>2017</v>
      </c>
      <c r="F152" s="13" t="s">
        <v>41</v>
      </c>
      <c r="G152" s="13" t="s">
        <v>2456</v>
      </c>
      <c r="H152" s="13" t="s">
        <v>2457</v>
      </c>
      <c r="I152" s="13" t="s">
        <v>34</v>
      </c>
      <c r="J152" s="13" t="s">
        <v>364</v>
      </c>
      <c r="K152" s="13" t="s">
        <v>77</v>
      </c>
      <c r="L152" s="13" t="s">
        <v>71</v>
      </c>
      <c r="M152" s="13" t="s">
        <v>38</v>
      </c>
      <c r="N152" s="14">
        <v>171.55</v>
      </c>
      <c r="O152" s="14">
        <v>170.65</v>
      </c>
      <c r="P152" s="13">
        <v>5.0</v>
      </c>
      <c r="Q152" s="14">
        <f t="shared" si="3"/>
        <v>857.75</v>
      </c>
      <c r="R152" s="14">
        <f t="shared" si="4"/>
        <v>687.1</v>
      </c>
      <c r="S152" s="14">
        <f t="shared" si="5"/>
        <v>170.65</v>
      </c>
    </row>
    <row r="153">
      <c r="A153" s="12">
        <v>42807.0</v>
      </c>
      <c r="B153" s="12" t="s">
        <v>2399</v>
      </c>
      <c r="C153" s="2">
        <v>42810.0</v>
      </c>
      <c r="D153" s="15" t="str">
        <f t="shared" si="1"/>
        <v>Mar</v>
      </c>
      <c r="E153" s="2" t="str">
        <f t="shared" si="2"/>
        <v>2017</v>
      </c>
      <c r="F153" s="13" t="s">
        <v>121</v>
      </c>
      <c r="G153" s="13" t="s">
        <v>2458</v>
      </c>
      <c r="H153" s="13" t="s">
        <v>2459</v>
      </c>
      <c r="I153" s="13" t="s">
        <v>68</v>
      </c>
      <c r="J153" s="13" t="s">
        <v>369</v>
      </c>
      <c r="K153" s="13" t="s">
        <v>193</v>
      </c>
      <c r="L153" s="13" t="s">
        <v>37</v>
      </c>
      <c r="M153" s="13" t="s">
        <v>38</v>
      </c>
      <c r="N153" s="14">
        <v>157.92</v>
      </c>
      <c r="O153" s="14">
        <v>157.4</v>
      </c>
      <c r="P153" s="13">
        <v>8.0</v>
      </c>
      <c r="Q153" s="14">
        <f t="shared" si="3"/>
        <v>1263.36</v>
      </c>
      <c r="R153" s="14">
        <f t="shared" si="4"/>
        <v>1105.96</v>
      </c>
      <c r="S153" s="14">
        <f t="shared" si="5"/>
        <v>157.4</v>
      </c>
    </row>
    <row r="154">
      <c r="A154" s="12">
        <v>42807.0</v>
      </c>
      <c r="B154" s="12" t="s">
        <v>2399</v>
      </c>
      <c r="C154" s="2">
        <v>42810.0</v>
      </c>
      <c r="D154" s="15" t="str">
        <f t="shared" si="1"/>
        <v>Mar</v>
      </c>
      <c r="E154" s="2" t="str">
        <f t="shared" si="2"/>
        <v>2017</v>
      </c>
      <c r="F154" s="13" t="s">
        <v>121</v>
      </c>
      <c r="G154" s="13" t="s">
        <v>2458</v>
      </c>
      <c r="H154" s="13" t="s">
        <v>2459</v>
      </c>
      <c r="I154" s="13" t="s">
        <v>68</v>
      </c>
      <c r="J154" s="13" t="s">
        <v>369</v>
      </c>
      <c r="K154" s="13" t="s">
        <v>193</v>
      </c>
      <c r="L154" s="13" t="s">
        <v>37</v>
      </c>
      <c r="M154" s="13" t="s">
        <v>51</v>
      </c>
      <c r="N154" s="14">
        <v>203.184</v>
      </c>
      <c r="O154" s="14">
        <v>202.89</v>
      </c>
      <c r="P154" s="13">
        <v>8.0</v>
      </c>
      <c r="Q154" s="14">
        <f t="shared" si="3"/>
        <v>1625.472</v>
      </c>
      <c r="R154" s="14">
        <f t="shared" si="4"/>
        <v>1422.582</v>
      </c>
      <c r="S154" s="14">
        <f t="shared" si="5"/>
        <v>202.89</v>
      </c>
    </row>
    <row r="155">
      <c r="A155" s="12">
        <v>42521.0</v>
      </c>
      <c r="B155" s="12" t="s">
        <v>2335</v>
      </c>
      <c r="C155" s="2">
        <v>42406.0</v>
      </c>
      <c r="D155" s="15" t="str">
        <f t="shared" si="1"/>
        <v>Feb</v>
      </c>
      <c r="E155" s="2" t="str">
        <f t="shared" si="2"/>
        <v>2016</v>
      </c>
      <c r="F155" s="13" t="s">
        <v>121</v>
      </c>
      <c r="G155" s="13" t="s">
        <v>2460</v>
      </c>
      <c r="H155" s="13" t="s">
        <v>2461</v>
      </c>
      <c r="I155" s="13" t="s">
        <v>34</v>
      </c>
      <c r="J155" s="13" t="s">
        <v>373</v>
      </c>
      <c r="K155" s="13" t="s">
        <v>52</v>
      </c>
      <c r="L155" s="13" t="s">
        <v>37</v>
      </c>
      <c r="M155" s="13" t="s">
        <v>38</v>
      </c>
      <c r="N155" s="14">
        <v>58.38</v>
      </c>
      <c r="O155" s="14">
        <v>57.9</v>
      </c>
      <c r="P155" s="13">
        <v>9.0</v>
      </c>
      <c r="Q155" s="14">
        <f t="shared" si="3"/>
        <v>525.42</v>
      </c>
      <c r="R155" s="14">
        <f t="shared" si="4"/>
        <v>467.52</v>
      </c>
      <c r="S155" s="14">
        <f t="shared" si="5"/>
        <v>57.9</v>
      </c>
    </row>
    <row r="156">
      <c r="A156" s="12">
        <v>42521.0</v>
      </c>
      <c r="B156" s="12" t="s">
        <v>2335</v>
      </c>
      <c r="C156" s="2">
        <v>42406.0</v>
      </c>
      <c r="D156" s="15" t="str">
        <f t="shared" si="1"/>
        <v>Feb</v>
      </c>
      <c r="E156" s="2" t="str">
        <f t="shared" si="2"/>
        <v>2016</v>
      </c>
      <c r="F156" s="13" t="s">
        <v>121</v>
      </c>
      <c r="G156" s="13" t="s">
        <v>2460</v>
      </c>
      <c r="H156" s="13" t="s">
        <v>2461</v>
      </c>
      <c r="I156" s="13" t="s">
        <v>34</v>
      </c>
      <c r="J156" s="13" t="s">
        <v>373</v>
      </c>
      <c r="K156" s="13" t="s">
        <v>52</v>
      </c>
      <c r="L156" s="13" t="s">
        <v>37</v>
      </c>
      <c r="M156" s="13" t="s">
        <v>38</v>
      </c>
      <c r="N156" s="14">
        <v>105.52</v>
      </c>
      <c r="O156" s="14">
        <v>104.63</v>
      </c>
      <c r="P156" s="13">
        <v>9.0</v>
      </c>
      <c r="Q156" s="14">
        <f t="shared" si="3"/>
        <v>949.68</v>
      </c>
      <c r="R156" s="14">
        <f t="shared" si="4"/>
        <v>845.05</v>
      </c>
      <c r="S156" s="14">
        <f t="shared" si="5"/>
        <v>104.63</v>
      </c>
    </row>
    <row r="157">
      <c r="A157" s="12">
        <v>42521.0</v>
      </c>
      <c r="B157" s="12" t="s">
        <v>2335</v>
      </c>
      <c r="C157" s="2">
        <v>42406.0</v>
      </c>
      <c r="D157" s="15" t="str">
        <f t="shared" si="1"/>
        <v>Feb</v>
      </c>
      <c r="E157" s="2" t="str">
        <f t="shared" si="2"/>
        <v>2016</v>
      </c>
      <c r="F157" s="13" t="s">
        <v>121</v>
      </c>
      <c r="G157" s="13" t="s">
        <v>2460</v>
      </c>
      <c r="H157" s="13" t="s">
        <v>2461</v>
      </c>
      <c r="I157" s="13" t="s">
        <v>34</v>
      </c>
      <c r="J157" s="13" t="s">
        <v>373</v>
      </c>
      <c r="K157" s="13" t="s">
        <v>52</v>
      </c>
      <c r="L157" s="13" t="s">
        <v>37</v>
      </c>
      <c r="M157" s="13" t="s">
        <v>38</v>
      </c>
      <c r="N157" s="14">
        <v>80.88</v>
      </c>
      <c r="O157" s="14">
        <v>80.53</v>
      </c>
      <c r="P157" s="13">
        <v>9.0</v>
      </c>
      <c r="Q157" s="14">
        <f t="shared" si="3"/>
        <v>727.92</v>
      </c>
      <c r="R157" s="14">
        <f t="shared" si="4"/>
        <v>647.39</v>
      </c>
      <c r="S157" s="14">
        <f t="shared" si="5"/>
        <v>80.53</v>
      </c>
    </row>
    <row r="158">
      <c r="A158" s="12">
        <v>42518.0</v>
      </c>
      <c r="B158" s="12" t="s">
        <v>2335</v>
      </c>
      <c r="C158" s="2">
        <v>42435.0</v>
      </c>
      <c r="D158" s="15" t="str">
        <f t="shared" si="1"/>
        <v>Mar</v>
      </c>
      <c r="E158" s="2" t="str">
        <f t="shared" si="2"/>
        <v>2016</v>
      </c>
      <c r="F158" s="13" t="s">
        <v>41</v>
      </c>
      <c r="G158" s="13" t="s">
        <v>2462</v>
      </c>
      <c r="H158" s="13" t="s">
        <v>2463</v>
      </c>
      <c r="I158" s="13" t="s">
        <v>68</v>
      </c>
      <c r="J158" s="13" t="s">
        <v>62</v>
      </c>
      <c r="K158" s="13" t="s">
        <v>63</v>
      </c>
      <c r="L158" s="13" t="s">
        <v>37</v>
      </c>
      <c r="M158" s="13" t="s">
        <v>38</v>
      </c>
      <c r="N158" s="14">
        <v>6.63</v>
      </c>
      <c r="O158" s="14">
        <v>6.47</v>
      </c>
      <c r="P158" s="13">
        <v>9.0</v>
      </c>
      <c r="Q158" s="14">
        <f t="shared" si="3"/>
        <v>59.67</v>
      </c>
      <c r="R158" s="14">
        <f t="shared" si="4"/>
        <v>53.2</v>
      </c>
      <c r="S158" s="14">
        <f t="shared" si="5"/>
        <v>6.47</v>
      </c>
    </row>
    <row r="159">
      <c r="A159" s="12">
        <v>42007.0</v>
      </c>
      <c r="B159" s="12" t="s">
        <v>2353</v>
      </c>
      <c r="C159" s="2">
        <v>42158.0</v>
      </c>
      <c r="D159" s="15" t="str">
        <f t="shared" si="1"/>
        <v>Jun</v>
      </c>
      <c r="E159" s="2" t="str">
        <f t="shared" si="2"/>
        <v>2015</v>
      </c>
      <c r="F159" s="13" t="s">
        <v>20</v>
      </c>
      <c r="G159" s="13" t="s">
        <v>2432</v>
      </c>
      <c r="H159" s="13" t="s">
        <v>2464</v>
      </c>
      <c r="I159" s="13" t="s">
        <v>23</v>
      </c>
      <c r="J159" s="13" t="s">
        <v>62</v>
      </c>
      <c r="K159" s="13" t="s">
        <v>63</v>
      </c>
      <c r="L159" s="13" t="s">
        <v>37</v>
      </c>
      <c r="M159" s="13" t="s">
        <v>27</v>
      </c>
      <c r="N159" s="14">
        <v>457.568</v>
      </c>
      <c r="O159" s="14">
        <v>457.38</v>
      </c>
      <c r="P159" s="13">
        <v>9.0</v>
      </c>
      <c r="Q159" s="14">
        <f t="shared" si="3"/>
        <v>4118.112</v>
      </c>
      <c r="R159" s="14">
        <f t="shared" si="4"/>
        <v>3660.732</v>
      </c>
      <c r="S159" s="14">
        <f t="shared" si="5"/>
        <v>457.38</v>
      </c>
    </row>
    <row r="160">
      <c r="A160" s="12">
        <v>43059.0</v>
      </c>
      <c r="B160" s="12" t="s">
        <v>2326</v>
      </c>
      <c r="C160" s="2">
        <v>43063.0</v>
      </c>
      <c r="D160" s="15" t="str">
        <f t="shared" si="1"/>
        <v>Nov</v>
      </c>
      <c r="E160" s="2" t="str">
        <f t="shared" si="2"/>
        <v>2017</v>
      </c>
      <c r="F160" s="13" t="s">
        <v>41</v>
      </c>
      <c r="G160" s="13" t="s">
        <v>2465</v>
      </c>
      <c r="H160" s="13" t="s">
        <v>2466</v>
      </c>
      <c r="I160" s="13" t="s">
        <v>23</v>
      </c>
      <c r="J160" s="13" t="s">
        <v>384</v>
      </c>
      <c r="K160" s="13" t="s">
        <v>385</v>
      </c>
      <c r="L160" s="13" t="s">
        <v>71</v>
      </c>
      <c r="M160" s="13" t="s">
        <v>38</v>
      </c>
      <c r="N160" s="14">
        <v>14.62</v>
      </c>
      <c r="O160" s="14">
        <v>14.22</v>
      </c>
      <c r="P160" s="13">
        <v>7.0</v>
      </c>
      <c r="Q160" s="14">
        <f t="shared" si="3"/>
        <v>102.34</v>
      </c>
      <c r="R160" s="14">
        <f t="shared" si="4"/>
        <v>88.12</v>
      </c>
      <c r="S160" s="14">
        <f t="shared" si="5"/>
        <v>14.22</v>
      </c>
    </row>
    <row r="161">
      <c r="A161" s="12">
        <v>43059.0</v>
      </c>
      <c r="B161" s="12" t="s">
        <v>2326</v>
      </c>
      <c r="C161" s="2">
        <v>43063.0</v>
      </c>
      <c r="D161" s="15" t="str">
        <f t="shared" si="1"/>
        <v>Nov</v>
      </c>
      <c r="E161" s="2" t="str">
        <f t="shared" si="2"/>
        <v>2017</v>
      </c>
      <c r="F161" s="13" t="s">
        <v>41</v>
      </c>
      <c r="G161" s="13" t="s">
        <v>2465</v>
      </c>
      <c r="H161" s="13" t="s">
        <v>2466</v>
      </c>
      <c r="I161" s="13" t="s">
        <v>23</v>
      </c>
      <c r="J161" s="13" t="s">
        <v>384</v>
      </c>
      <c r="K161" s="13" t="s">
        <v>385</v>
      </c>
      <c r="L161" s="13" t="s">
        <v>71</v>
      </c>
      <c r="M161" s="13" t="s">
        <v>51</v>
      </c>
      <c r="N161" s="14">
        <v>944.93</v>
      </c>
      <c r="O161" s="14">
        <v>944.09</v>
      </c>
      <c r="P161" s="13">
        <v>7.0</v>
      </c>
      <c r="Q161" s="14">
        <f t="shared" si="3"/>
        <v>6614.51</v>
      </c>
      <c r="R161" s="14">
        <f t="shared" si="4"/>
        <v>5670.42</v>
      </c>
      <c r="S161" s="14">
        <f t="shared" si="5"/>
        <v>944.09</v>
      </c>
    </row>
    <row r="162">
      <c r="A162" s="12">
        <v>43044.0</v>
      </c>
      <c r="B162" s="12" t="s">
        <v>2326</v>
      </c>
      <c r="C162" s="2">
        <v>43074.0</v>
      </c>
      <c r="D162" s="15" t="str">
        <f t="shared" si="1"/>
        <v>Dec</v>
      </c>
      <c r="E162" s="2" t="str">
        <f t="shared" si="2"/>
        <v>2017</v>
      </c>
      <c r="F162" s="13" t="s">
        <v>121</v>
      </c>
      <c r="G162" s="13" t="s">
        <v>2381</v>
      </c>
      <c r="H162" s="13" t="s">
        <v>2467</v>
      </c>
      <c r="I162" s="13" t="s">
        <v>23</v>
      </c>
      <c r="J162" s="13" t="s">
        <v>35</v>
      </c>
      <c r="K162" s="13" t="s">
        <v>52</v>
      </c>
      <c r="L162" s="13" t="s">
        <v>37</v>
      </c>
      <c r="M162" s="13" t="s">
        <v>38</v>
      </c>
      <c r="N162" s="14">
        <v>5.98</v>
      </c>
      <c r="O162" s="14">
        <v>5.79</v>
      </c>
      <c r="P162" s="13">
        <v>9.0</v>
      </c>
      <c r="Q162" s="14">
        <f t="shared" si="3"/>
        <v>53.82</v>
      </c>
      <c r="R162" s="14">
        <f t="shared" si="4"/>
        <v>48.03</v>
      </c>
      <c r="S162" s="14">
        <f t="shared" si="5"/>
        <v>5.79</v>
      </c>
    </row>
    <row r="163">
      <c r="A163" s="12">
        <v>42732.0</v>
      </c>
      <c r="B163" s="12" t="s">
        <v>2325</v>
      </c>
      <c r="C163" s="2">
        <v>42735.0</v>
      </c>
      <c r="D163" s="15" t="str">
        <f t="shared" si="1"/>
        <v>Dec</v>
      </c>
      <c r="E163" s="2" t="str">
        <f t="shared" si="2"/>
        <v>2016</v>
      </c>
      <c r="F163" s="13" t="s">
        <v>20</v>
      </c>
      <c r="G163" s="13" t="s">
        <v>2354</v>
      </c>
      <c r="H163" s="13" t="s">
        <v>2468</v>
      </c>
      <c r="I163" s="13" t="s">
        <v>23</v>
      </c>
      <c r="J163" s="13" t="s">
        <v>98</v>
      </c>
      <c r="K163" s="13" t="s">
        <v>99</v>
      </c>
      <c r="L163" s="13" t="s">
        <v>100</v>
      </c>
      <c r="M163" s="13" t="s">
        <v>51</v>
      </c>
      <c r="N163" s="14">
        <v>54.384</v>
      </c>
      <c r="O163" s="14">
        <v>54.3</v>
      </c>
      <c r="P163" s="13">
        <v>1.0</v>
      </c>
      <c r="Q163" s="14">
        <f t="shared" si="3"/>
        <v>54.384</v>
      </c>
      <c r="R163" s="14">
        <f t="shared" si="4"/>
        <v>0.084</v>
      </c>
      <c r="S163" s="14">
        <f t="shared" si="5"/>
        <v>54.3</v>
      </c>
    </row>
    <row r="164">
      <c r="A164" s="12">
        <v>43055.0</v>
      </c>
      <c r="B164" s="12" t="s">
        <v>2326</v>
      </c>
      <c r="C164" s="2">
        <v>43059.0</v>
      </c>
      <c r="D164" s="15" t="str">
        <f t="shared" si="1"/>
        <v>Nov</v>
      </c>
      <c r="E164" s="2" t="str">
        <f t="shared" si="2"/>
        <v>2017</v>
      </c>
      <c r="F164" s="13" t="s">
        <v>41</v>
      </c>
      <c r="G164" s="13" t="s">
        <v>2367</v>
      </c>
      <c r="H164" s="13" t="s">
        <v>2469</v>
      </c>
      <c r="I164" s="13" t="s">
        <v>23</v>
      </c>
      <c r="J164" s="13" t="s">
        <v>396</v>
      </c>
      <c r="K164" s="13" t="s">
        <v>397</v>
      </c>
      <c r="L164" s="13" t="s">
        <v>37</v>
      </c>
      <c r="M164" s="13" t="s">
        <v>38</v>
      </c>
      <c r="N164" s="14">
        <v>28.4</v>
      </c>
      <c r="O164" s="14">
        <v>28.11</v>
      </c>
      <c r="P164" s="13">
        <v>8.0</v>
      </c>
      <c r="Q164" s="14">
        <f t="shared" si="3"/>
        <v>227.2</v>
      </c>
      <c r="R164" s="14">
        <f t="shared" si="4"/>
        <v>199.09</v>
      </c>
      <c r="S164" s="14">
        <f t="shared" si="5"/>
        <v>28.11</v>
      </c>
    </row>
    <row r="165">
      <c r="A165" s="12">
        <v>42927.0</v>
      </c>
      <c r="B165" s="12" t="s">
        <v>2348</v>
      </c>
      <c r="C165" s="2">
        <v>43050.0</v>
      </c>
      <c r="D165" s="15" t="str">
        <f t="shared" si="1"/>
        <v>Nov</v>
      </c>
      <c r="E165" s="2" t="str">
        <f t="shared" si="2"/>
        <v>2017</v>
      </c>
      <c r="F165" s="13" t="s">
        <v>41</v>
      </c>
      <c r="G165" s="13" t="s">
        <v>2470</v>
      </c>
      <c r="H165" s="13" t="s">
        <v>2471</v>
      </c>
      <c r="I165" s="13" t="s">
        <v>23</v>
      </c>
      <c r="J165" s="13" t="s">
        <v>62</v>
      </c>
      <c r="K165" s="13" t="s">
        <v>63</v>
      </c>
      <c r="L165" s="13" t="s">
        <v>37</v>
      </c>
      <c r="M165" s="13" t="s">
        <v>38</v>
      </c>
      <c r="N165" s="14">
        <v>27.68</v>
      </c>
      <c r="O165" s="14">
        <v>27.09</v>
      </c>
      <c r="P165" s="13">
        <v>9.0</v>
      </c>
      <c r="Q165" s="14">
        <f t="shared" si="3"/>
        <v>249.12</v>
      </c>
      <c r="R165" s="14">
        <f t="shared" si="4"/>
        <v>222.03</v>
      </c>
      <c r="S165" s="14">
        <f t="shared" si="5"/>
        <v>27.09</v>
      </c>
    </row>
    <row r="166">
      <c r="A166" s="12">
        <v>42225.0</v>
      </c>
      <c r="B166" s="12" t="s">
        <v>2322</v>
      </c>
      <c r="C166" s="2">
        <v>42347.0</v>
      </c>
      <c r="D166" s="15" t="str">
        <f t="shared" si="1"/>
        <v>Dec</v>
      </c>
      <c r="E166" s="2" t="str">
        <f t="shared" si="2"/>
        <v>2015</v>
      </c>
      <c r="F166" s="13" t="s">
        <v>41</v>
      </c>
      <c r="G166" s="13" t="s">
        <v>2472</v>
      </c>
      <c r="H166" s="13" t="s">
        <v>2423</v>
      </c>
      <c r="I166" s="13" t="s">
        <v>23</v>
      </c>
      <c r="J166" s="13" t="s">
        <v>404</v>
      </c>
      <c r="K166" s="13" t="s">
        <v>70</v>
      </c>
      <c r="L166" s="13" t="s">
        <v>71</v>
      </c>
      <c r="M166" s="13" t="s">
        <v>38</v>
      </c>
      <c r="N166" s="14">
        <v>9.936</v>
      </c>
      <c r="O166" s="14">
        <v>8.96</v>
      </c>
      <c r="P166" s="13">
        <v>7.0</v>
      </c>
      <c r="Q166" s="14">
        <f t="shared" si="3"/>
        <v>69.552</v>
      </c>
      <c r="R166" s="14">
        <f t="shared" si="4"/>
        <v>60.592</v>
      </c>
      <c r="S166" s="14">
        <f t="shared" si="5"/>
        <v>8.96</v>
      </c>
    </row>
    <row r="167">
      <c r="A167" s="12">
        <v>42225.0</v>
      </c>
      <c r="B167" s="12" t="s">
        <v>2322</v>
      </c>
      <c r="C167" s="2">
        <v>42347.0</v>
      </c>
      <c r="D167" s="15" t="str">
        <f t="shared" si="1"/>
        <v>Dec</v>
      </c>
      <c r="E167" s="2" t="str">
        <f t="shared" si="2"/>
        <v>2015</v>
      </c>
      <c r="F167" s="13" t="s">
        <v>41</v>
      </c>
      <c r="G167" s="13" t="s">
        <v>2472</v>
      </c>
      <c r="H167" s="13" t="s">
        <v>2423</v>
      </c>
      <c r="I167" s="13" t="s">
        <v>23</v>
      </c>
      <c r="J167" s="13" t="s">
        <v>404</v>
      </c>
      <c r="K167" s="13" t="s">
        <v>70</v>
      </c>
      <c r="L167" s="13" t="s">
        <v>71</v>
      </c>
      <c r="M167" s="13" t="s">
        <v>51</v>
      </c>
      <c r="N167" s="14">
        <v>8159.952</v>
      </c>
      <c r="O167" s="14">
        <v>8159.36</v>
      </c>
      <c r="P167" s="13">
        <v>7.0</v>
      </c>
      <c r="Q167" s="14">
        <f t="shared" si="3"/>
        <v>57119.664</v>
      </c>
      <c r="R167" s="14">
        <f t="shared" si="4"/>
        <v>48960.304</v>
      </c>
      <c r="S167" s="14">
        <f t="shared" si="5"/>
        <v>8159.36</v>
      </c>
    </row>
    <row r="168">
      <c r="A168" s="12">
        <v>42225.0</v>
      </c>
      <c r="B168" s="12" t="s">
        <v>2322</v>
      </c>
      <c r="C168" s="2">
        <v>42347.0</v>
      </c>
      <c r="D168" s="15" t="str">
        <f t="shared" si="1"/>
        <v>Dec</v>
      </c>
      <c r="E168" s="2" t="str">
        <f t="shared" si="2"/>
        <v>2015</v>
      </c>
      <c r="F168" s="13" t="s">
        <v>41</v>
      </c>
      <c r="G168" s="13" t="s">
        <v>2472</v>
      </c>
      <c r="H168" s="13" t="s">
        <v>2423</v>
      </c>
      <c r="I168" s="13" t="s">
        <v>23</v>
      </c>
      <c r="J168" s="13" t="s">
        <v>404</v>
      </c>
      <c r="K168" s="13" t="s">
        <v>70</v>
      </c>
      <c r="L168" s="13" t="s">
        <v>71</v>
      </c>
      <c r="M168" s="13" t="s">
        <v>38</v>
      </c>
      <c r="N168" s="14">
        <v>275.928</v>
      </c>
      <c r="O168" s="14">
        <v>275.48</v>
      </c>
      <c r="P168" s="13">
        <v>7.0</v>
      </c>
      <c r="Q168" s="14">
        <f t="shared" si="3"/>
        <v>1931.496</v>
      </c>
      <c r="R168" s="14">
        <f t="shared" si="4"/>
        <v>1656.016</v>
      </c>
      <c r="S168" s="14">
        <f t="shared" si="5"/>
        <v>275.48</v>
      </c>
    </row>
    <row r="169">
      <c r="A169" s="12">
        <v>42225.0</v>
      </c>
      <c r="B169" s="12" t="s">
        <v>2322</v>
      </c>
      <c r="C169" s="2">
        <v>42347.0</v>
      </c>
      <c r="D169" s="15" t="str">
        <f t="shared" si="1"/>
        <v>Dec</v>
      </c>
      <c r="E169" s="2" t="str">
        <f t="shared" si="2"/>
        <v>2015</v>
      </c>
      <c r="F169" s="13" t="s">
        <v>41</v>
      </c>
      <c r="G169" s="13" t="s">
        <v>2472</v>
      </c>
      <c r="H169" s="13" t="s">
        <v>2423</v>
      </c>
      <c r="I169" s="13" t="s">
        <v>23</v>
      </c>
      <c r="J169" s="13" t="s">
        <v>404</v>
      </c>
      <c r="K169" s="13" t="s">
        <v>70</v>
      </c>
      <c r="L169" s="13" t="s">
        <v>71</v>
      </c>
      <c r="M169" s="13" t="s">
        <v>27</v>
      </c>
      <c r="N169" s="14">
        <v>1740.06</v>
      </c>
      <c r="O169" s="14">
        <v>1739.72</v>
      </c>
      <c r="P169" s="13">
        <v>7.0</v>
      </c>
      <c r="Q169" s="14">
        <f t="shared" si="3"/>
        <v>12180.42</v>
      </c>
      <c r="R169" s="14">
        <f t="shared" si="4"/>
        <v>10440.7</v>
      </c>
      <c r="S169" s="14">
        <f t="shared" si="5"/>
        <v>1739.72</v>
      </c>
    </row>
    <row r="170">
      <c r="A170" s="12">
        <v>42225.0</v>
      </c>
      <c r="B170" s="12" t="s">
        <v>2322</v>
      </c>
      <c r="C170" s="2">
        <v>42347.0</v>
      </c>
      <c r="D170" s="15" t="str">
        <f t="shared" si="1"/>
        <v>Dec</v>
      </c>
      <c r="E170" s="2" t="str">
        <f t="shared" si="2"/>
        <v>2015</v>
      </c>
      <c r="F170" s="13" t="s">
        <v>41</v>
      </c>
      <c r="G170" s="13" t="s">
        <v>2472</v>
      </c>
      <c r="H170" s="13" t="s">
        <v>2423</v>
      </c>
      <c r="I170" s="13" t="s">
        <v>23</v>
      </c>
      <c r="J170" s="13" t="s">
        <v>404</v>
      </c>
      <c r="K170" s="13" t="s">
        <v>70</v>
      </c>
      <c r="L170" s="13" t="s">
        <v>71</v>
      </c>
      <c r="M170" s="13" t="s">
        <v>38</v>
      </c>
      <c r="N170" s="14">
        <v>32.064</v>
      </c>
      <c r="O170" s="14">
        <v>31.9</v>
      </c>
      <c r="P170" s="13">
        <v>7.0</v>
      </c>
      <c r="Q170" s="14">
        <f t="shared" si="3"/>
        <v>224.448</v>
      </c>
      <c r="R170" s="14">
        <f t="shared" si="4"/>
        <v>192.548</v>
      </c>
      <c r="S170" s="14">
        <f t="shared" si="5"/>
        <v>31.9</v>
      </c>
    </row>
    <row r="171">
      <c r="A171" s="12">
        <v>42225.0</v>
      </c>
      <c r="B171" s="12" t="s">
        <v>2322</v>
      </c>
      <c r="C171" s="2">
        <v>42347.0</v>
      </c>
      <c r="D171" s="15" t="str">
        <f t="shared" si="1"/>
        <v>Dec</v>
      </c>
      <c r="E171" s="2" t="str">
        <f t="shared" si="2"/>
        <v>2015</v>
      </c>
      <c r="F171" s="13" t="s">
        <v>41</v>
      </c>
      <c r="G171" s="13" t="s">
        <v>2472</v>
      </c>
      <c r="H171" s="13" t="s">
        <v>2423</v>
      </c>
      <c r="I171" s="13" t="s">
        <v>23</v>
      </c>
      <c r="J171" s="13" t="s">
        <v>404</v>
      </c>
      <c r="K171" s="13" t="s">
        <v>70</v>
      </c>
      <c r="L171" s="13" t="s">
        <v>71</v>
      </c>
      <c r="M171" s="13" t="s">
        <v>38</v>
      </c>
      <c r="N171" s="14">
        <v>177.98</v>
      </c>
      <c r="O171" s="14">
        <v>177.53</v>
      </c>
      <c r="P171" s="13">
        <v>7.0</v>
      </c>
      <c r="Q171" s="14">
        <f t="shared" si="3"/>
        <v>1245.86</v>
      </c>
      <c r="R171" s="14">
        <f t="shared" si="4"/>
        <v>1068.33</v>
      </c>
      <c r="S171" s="14">
        <f t="shared" si="5"/>
        <v>177.53</v>
      </c>
    </row>
    <row r="172">
      <c r="A172" s="12">
        <v>42225.0</v>
      </c>
      <c r="B172" s="12" t="s">
        <v>2322</v>
      </c>
      <c r="C172" s="2">
        <v>42347.0</v>
      </c>
      <c r="D172" s="15" t="str">
        <f t="shared" si="1"/>
        <v>Dec</v>
      </c>
      <c r="E172" s="2" t="str">
        <f t="shared" si="2"/>
        <v>2015</v>
      </c>
      <c r="F172" s="13" t="s">
        <v>41</v>
      </c>
      <c r="G172" s="13" t="s">
        <v>2472</v>
      </c>
      <c r="H172" s="13" t="s">
        <v>2423</v>
      </c>
      <c r="I172" s="13" t="s">
        <v>23</v>
      </c>
      <c r="J172" s="13" t="s">
        <v>404</v>
      </c>
      <c r="K172" s="13" t="s">
        <v>70</v>
      </c>
      <c r="L172" s="13" t="s">
        <v>71</v>
      </c>
      <c r="M172" s="13" t="s">
        <v>51</v>
      </c>
      <c r="N172" s="14">
        <v>143.976</v>
      </c>
      <c r="O172" s="14">
        <v>143.23</v>
      </c>
      <c r="P172" s="13">
        <v>7.0</v>
      </c>
      <c r="Q172" s="14">
        <f t="shared" si="3"/>
        <v>1007.832</v>
      </c>
      <c r="R172" s="14">
        <f t="shared" si="4"/>
        <v>864.602</v>
      </c>
      <c r="S172" s="14">
        <f t="shared" si="5"/>
        <v>143.23</v>
      </c>
    </row>
    <row r="173">
      <c r="A173" s="12">
        <v>42132.0</v>
      </c>
      <c r="B173" s="12" t="s">
        <v>2335</v>
      </c>
      <c r="C173" s="2">
        <v>42255.0</v>
      </c>
      <c r="D173" s="15" t="str">
        <f t="shared" si="1"/>
        <v>Sep</v>
      </c>
      <c r="E173" s="2" t="str">
        <f t="shared" si="2"/>
        <v>2015</v>
      </c>
      <c r="F173" s="13" t="s">
        <v>41</v>
      </c>
      <c r="G173" s="13" t="s">
        <v>2473</v>
      </c>
      <c r="H173" s="13" t="s">
        <v>2474</v>
      </c>
      <c r="I173" s="13" t="s">
        <v>23</v>
      </c>
      <c r="J173" s="13" t="s">
        <v>35</v>
      </c>
      <c r="K173" s="13" t="s">
        <v>52</v>
      </c>
      <c r="L173" s="13" t="s">
        <v>37</v>
      </c>
      <c r="M173" s="13" t="s">
        <v>38</v>
      </c>
      <c r="N173" s="14">
        <v>20.94</v>
      </c>
      <c r="O173" s="14">
        <v>20.32</v>
      </c>
      <c r="P173" s="13">
        <v>9.0</v>
      </c>
      <c r="Q173" s="14">
        <f t="shared" si="3"/>
        <v>188.46</v>
      </c>
      <c r="R173" s="14">
        <f t="shared" si="4"/>
        <v>168.14</v>
      </c>
      <c r="S173" s="14">
        <f t="shared" si="5"/>
        <v>20.32</v>
      </c>
    </row>
    <row r="174">
      <c r="A174" s="12">
        <v>42132.0</v>
      </c>
      <c r="B174" s="12" t="s">
        <v>2335</v>
      </c>
      <c r="C174" s="2">
        <v>42255.0</v>
      </c>
      <c r="D174" s="15" t="str">
        <f t="shared" si="1"/>
        <v>Sep</v>
      </c>
      <c r="E174" s="2" t="str">
        <f t="shared" si="2"/>
        <v>2015</v>
      </c>
      <c r="F174" s="13" t="s">
        <v>41</v>
      </c>
      <c r="G174" s="13" t="s">
        <v>2473</v>
      </c>
      <c r="H174" s="13" t="s">
        <v>2474</v>
      </c>
      <c r="I174" s="13" t="s">
        <v>23</v>
      </c>
      <c r="J174" s="13" t="s">
        <v>35</v>
      </c>
      <c r="K174" s="13" t="s">
        <v>52</v>
      </c>
      <c r="L174" s="13" t="s">
        <v>37</v>
      </c>
      <c r="M174" s="13" t="s">
        <v>38</v>
      </c>
      <c r="N174" s="14">
        <v>110.96</v>
      </c>
      <c r="O174" s="14">
        <v>110.3</v>
      </c>
      <c r="P174" s="13">
        <v>9.0</v>
      </c>
      <c r="Q174" s="14">
        <f t="shared" si="3"/>
        <v>998.64</v>
      </c>
      <c r="R174" s="14">
        <f t="shared" si="4"/>
        <v>888.34</v>
      </c>
      <c r="S174" s="14">
        <f t="shared" si="5"/>
        <v>110.3</v>
      </c>
    </row>
    <row r="175">
      <c r="A175" s="12">
        <v>42132.0</v>
      </c>
      <c r="B175" s="12" t="s">
        <v>2335</v>
      </c>
      <c r="C175" s="2">
        <v>42255.0</v>
      </c>
      <c r="D175" s="15" t="str">
        <f t="shared" si="1"/>
        <v>Sep</v>
      </c>
      <c r="E175" s="2" t="str">
        <f t="shared" si="2"/>
        <v>2015</v>
      </c>
      <c r="F175" s="13" t="s">
        <v>41</v>
      </c>
      <c r="G175" s="13" t="s">
        <v>2473</v>
      </c>
      <c r="H175" s="13" t="s">
        <v>2474</v>
      </c>
      <c r="I175" s="13" t="s">
        <v>23</v>
      </c>
      <c r="J175" s="13" t="s">
        <v>35</v>
      </c>
      <c r="K175" s="13" t="s">
        <v>52</v>
      </c>
      <c r="L175" s="13" t="s">
        <v>37</v>
      </c>
      <c r="M175" s="13" t="s">
        <v>27</v>
      </c>
      <c r="N175" s="14">
        <v>340.144</v>
      </c>
      <c r="O175" s="14">
        <v>339.46</v>
      </c>
      <c r="P175" s="13">
        <v>9.0</v>
      </c>
      <c r="Q175" s="14">
        <f t="shared" si="3"/>
        <v>3061.296</v>
      </c>
      <c r="R175" s="14">
        <f t="shared" si="4"/>
        <v>2721.836</v>
      </c>
      <c r="S175" s="14">
        <f t="shared" si="5"/>
        <v>339.46</v>
      </c>
    </row>
    <row r="176">
      <c r="A176" s="12">
        <v>42261.0</v>
      </c>
      <c r="B176" s="12" t="s">
        <v>2329</v>
      </c>
      <c r="C176" s="2">
        <v>42266.0</v>
      </c>
      <c r="D176" s="15" t="str">
        <f t="shared" si="1"/>
        <v>Sep</v>
      </c>
      <c r="E176" s="2" t="str">
        <f t="shared" si="2"/>
        <v>2015</v>
      </c>
      <c r="F176" s="13" t="s">
        <v>41</v>
      </c>
      <c r="G176" s="13" t="s">
        <v>2475</v>
      </c>
      <c r="H176" s="13" t="s">
        <v>2476</v>
      </c>
      <c r="I176" s="13" t="s">
        <v>34</v>
      </c>
      <c r="J176" s="13" t="s">
        <v>188</v>
      </c>
      <c r="K176" s="13" t="s">
        <v>135</v>
      </c>
      <c r="L176" s="13" t="s">
        <v>71</v>
      </c>
      <c r="M176" s="13" t="s">
        <v>38</v>
      </c>
      <c r="N176" s="14">
        <v>52.448</v>
      </c>
      <c r="O176" s="14">
        <v>51.78</v>
      </c>
      <c r="P176" s="13">
        <v>6.0</v>
      </c>
      <c r="Q176" s="14">
        <f t="shared" si="3"/>
        <v>314.688</v>
      </c>
      <c r="R176" s="14">
        <f t="shared" si="4"/>
        <v>262.908</v>
      </c>
      <c r="S176" s="14">
        <f t="shared" si="5"/>
        <v>51.78</v>
      </c>
    </row>
    <row r="177">
      <c r="A177" s="12">
        <v>42261.0</v>
      </c>
      <c r="B177" s="12" t="s">
        <v>2329</v>
      </c>
      <c r="C177" s="2">
        <v>42266.0</v>
      </c>
      <c r="D177" s="15" t="str">
        <f t="shared" si="1"/>
        <v>Sep</v>
      </c>
      <c r="E177" s="2" t="str">
        <f t="shared" si="2"/>
        <v>2015</v>
      </c>
      <c r="F177" s="13" t="s">
        <v>41</v>
      </c>
      <c r="G177" s="13" t="s">
        <v>2475</v>
      </c>
      <c r="H177" s="13" t="s">
        <v>2476</v>
      </c>
      <c r="I177" s="13" t="s">
        <v>34</v>
      </c>
      <c r="J177" s="13" t="s">
        <v>188</v>
      </c>
      <c r="K177" s="13" t="s">
        <v>135</v>
      </c>
      <c r="L177" s="13" t="s">
        <v>71</v>
      </c>
      <c r="M177" s="13" t="s">
        <v>38</v>
      </c>
      <c r="N177" s="14">
        <v>20.16</v>
      </c>
      <c r="O177" s="14">
        <v>19.4</v>
      </c>
      <c r="P177" s="13">
        <v>6.0</v>
      </c>
      <c r="Q177" s="14">
        <f t="shared" si="3"/>
        <v>120.96</v>
      </c>
      <c r="R177" s="14">
        <f t="shared" si="4"/>
        <v>101.56</v>
      </c>
      <c r="S177" s="14">
        <f t="shared" si="5"/>
        <v>19.4</v>
      </c>
    </row>
    <row r="178">
      <c r="A178" s="12">
        <v>43211.0</v>
      </c>
      <c r="B178" s="12" t="s">
        <v>2332</v>
      </c>
      <c r="C178" s="2">
        <v>43215.0</v>
      </c>
      <c r="D178" s="15" t="str">
        <f t="shared" si="1"/>
        <v>Apr</v>
      </c>
      <c r="E178" s="2" t="str">
        <f t="shared" si="2"/>
        <v>2018</v>
      </c>
      <c r="F178" s="13" t="s">
        <v>20</v>
      </c>
      <c r="G178" s="13" t="s">
        <v>2477</v>
      </c>
      <c r="H178" s="13" t="s">
        <v>205</v>
      </c>
      <c r="I178" s="13" t="s">
        <v>23</v>
      </c>
      <c r="J178" s="13" t="s">
        <v>129</v>
      </c>
      <c r="K178" s="13" t="s">
        <v>70</v>
      </c>
      <c r="L178" s="13" t="s">
        <v>71</v>
      </c>
      <c r="M178" s="13" t="s">
        <v>38</v>
      </c>
      <c r="N178" s="14">
        <v>97.264</v>
      </c>
      <c r="O178" s="14">
        <v>96.62</v>
      </c>
      <c r="P178" s="13">
        <v>7.0</v>
      </c>
      <c r="Q178" s="14">
        <f t="shared" si="3"/>
        <v>680.848</v>
      </c>
      <c r="R178" s="14">
        <f t="shared" si="4"/>
        <v>584.228</v>
      </c>
      <c r="S178" s="14">
        <f t="shared" si="5"/>
        <v>96.62</v>
      </c>
    </row>
    <row r="179">
      <c r="A179" s="12">
        <v>42695.0</v>
      </c>
      <c r="B179" s="12" t="s">
        <v>2326</v>
      </c>
      <c r="C179" s="2">
        <v>42697.0</v>
      </c>
      <c r="D179" s="15" t="str">
        <f t="shared" si="1"/>
        <v>Nov</v>
      </c>
      <c r="E179" s="2" t="str">
        <f t="shared" si="2"/>
        <v>2016</v>
      </c>
      <c r="F179" s="13" t="s">
        <v>20</v>
      </c>
      <c r="G179" s="13" t="s">
        <v>2392</v>
      </c>
      <c r="H179" s="13" t="s">
        <v>2393</v>
      </c>
      <c r="I179" s="13" t="s">
        <v>23</v>
      </c>
      <c r="J179" s="13" t="s">
        <v>360</v>
      </c>
      <c r="K179" s="13" t="s">
        <v>304</v>
      </c>
      <c r="L179" s="13" t="s">
        <v>100</v>
      </c>
      <c r="M179" s="13" t="s">
        <v>27</v>
      </c>
      <c r="N179" s="14">
        <v>396.802</v>
      </c>
      <c r="O179" s="14">
        <v>396.53</v>
      </c>
      <c r="P179" s="13">
        <v>4.0</v>
      </c>
      <c r="Q179" s="14">
        <f t="shared" si="3"/>
        <v>1587.208</v>
      </c>
      <c r="R179" s="14">
        <f t="shared" si="4"/>
        <v>1190.678</v>
      </c>
      <c r="S179" s="14">
        <f t="shared" si="5"/>
        <v>396.53</v>
      </c>
    </row>
    <row r="180">
      <c r="A180" s="12">
        <v>42695.0</v>
      </c>
      <c r="B180" s="12" t="s">
        <v>2326</v>
      </c>
      <c r="C180" s="2">
        <v>42697.0</v>
      </c>
      <c r="D180" s="15" t="str">
        <f t="shared" si="1"/>
        <v>Nov</v>
      </c>
      <c r="E180" s="2" t="str">
        <f t="shared" si="2"/>
        <v>2016</v>
      </c>
      <c r="F180" s="13" t="s">
        <v>20</v>
      </c>
      <c r="G180" s="13" t="s">
        <v>2392</v>
      </c>
      <c r="H180" s="13" t="s">
        <v>2393</v>
      </c>
      <c r="I180" s="13" t="s">
        <v>23</v>
      </c>
      <c r="J180" s="13" t="s">
        <v>360</v>
      </c>
      <c r="K180" s="13" t="s">
        <v>304</v>
      </c>
      <c r="L180" s="13" t="s">
        <v>100</v>
      </c>
      <c r="M180" s="13" t="s">
        <v>38</v>
      </c>
      <c r="N180" s="14">
        <v>15.88</v>
      </c>
      <c r="O180" s="14">
        <v>15.7</v>
      </c>
      <c r="P180" s="13">
        <v>4.0</v>
      </c>
      <c r="Q180" s="14">
        <f t="shared" si="3"/>
        <v>63.52</v>
      </c>
      <c r="R180" s="14">
        <f t="shared" si="4"/>
        <v>47.82</v>
      </c>
      <c r="S180" s="14">
        <f t="shared" si="5"/>
        <v>15.7</v>
      </c>
    </row>
    <row r="181">
      <c r="A181" s="12">
        <v>42719.0</v>
      </c>
      <c r="B181" s="12" t="s">
        <v>2325</v>
      </c>
      <c r="C181" s="2">
        <v>42723.0</v>
      </c>
      <c r="D181" s="15" t="str">
        <f t="shared" si="1"/>
        <v>Dec</v>
      </c>
      <c r="E181" s="2" t="str">
        <f t="shared" si="2"/>
        <v>2016</v>
      </c>
      <c r="F181" s="13" t="s">
        <v>41</v>
      </c>
      <c r="G181" s="13" t="s">
        <v>2407</v>
      </c>
      <c r="H181" s="13" t="s">
        <v>2341</v>
      </c>
      <c r="I181" s="13" t="s">
        <v>68</v>
      </c>
      <c r="J181" s="13" t="s">
        <v>174</v>
      </c>
      <c r="K181" s="13" t="s">
        <v>175</v>
      </c>
      <c r="L181" s="13" t="s">
        <v>100</v>
      </c>
      <c r="M181" s="13" t="s">
        <v>38</v>
      </c>
      <c r="N181" s="14">
        <v>3.28</v>
      </c>
      <c r="O181" s="14">
        <v>2.32</v>
      </c>
      <c r="P181" s="13">
        <v>1.0</v>
      </c>
      <c r="Q181" s="14">
        <f t="shared" si="3"/>
        <v>3.28</v>
      </c>
      <c r="R181" s="14">
        <f t="shared" si="4"/>
        <v>0.96</v>
      </c>
      <c r="S181" s="14">
        <f t="shared" si="5"/>
        <v>2.32</v>
      </c>
    </row>
    <row r="182">
      <c r="A182" s="12">
        <v>42136.0</v>
      </c>
      <c r="B182" s="12" t="s">
        <v>2335</v>
      </c>
      <c r="C182" s="2">
        <v>42259.0</v>
      </c>
      <c r="D182" s="15" t="str">
        <f t="shared" si="1"/>
        <v>Sep</v>
      </c>
      <c r="E182" s="2" t="str">
        <f t="shared" si="2"/>
        <v>2015</v>
      </c>
      <c r="F182" s="13" t="s">
        <v>20</v>
      </c>
      <c r="G182" s="13" t="s">
        <v>2478</v>
      </c>
      <c r="H182" s="13" t="s">
        <v>2479</v>
      </c>
      <c r="I182" s="13" t="s">
        <v>34</v>
      </c>
      <c r="J182" s="13" t="s">
        <v>219</v>
      </c>
      <c r="K182" s="13" t="s">
        <v>135</v>
      </c>
      <c r="L182" s="13" t="s">
        <v>71</v>
      </c>
      <c r="M182" s="13" t="s">
        <v>38</v>
      </c>
      <c r="N182" s="14">
        <v>24.816</v>
      </c>
      <c r="O182" s="14">
        <v>24.64</v>
      </c>
      <c r="P182" s="13">
        <v>6.0</v>
      </c>
      <c r="Q182" s="14">
        <f t="shared" si="3"/>
        <v>148.896</v>
      </c>
      <c r="R182" s="14">
        <f t="shared" si="4"/>
        <v>124.256</v>
      </c>
      <c r="S182" s="14">
        <f t="shared" si="5"/>
        <v>24.64</v>
      </c>
    </row>
    <row r="183">
      <c r="A183" s="12">
        <v>42136.0</v>
      </c>
      <c r="B183" s="12" t="s">
        <v>2335</v>
      </c>
      <c r="C183" s="2">
        <v>42259.0</v>
      </c>
      <c r="D183" s="15" t="str">
        <f t="shared" si="1"/>
        <v>Sep</v>
      </c>
      <c r="E183" s="2" t="str">
        <f t="shared" si="2"/>
        <v>2015</v>
      </c>
      <c r="F183" s="13" t="s">
        <v>20</v>
      </c>
      <c r="G183" s="13" t="s">
        <v>2478</v>
      </c>
      <c r="H183" s="13" t="s">
        <v>2479</v>
      </c>
      <c r="I183" s="13" t="s">
        <v>34</v>
      </c>
      <c r="J183" s="13" t="s">
        <v>219</v>
      </c>
      <c r="K183" s="13" t="s">
        <v>135</v>
      </c>
      <c r="L183" s="13" t="s">
        <v>71</v>
      </c>
      <c r="M183" s="13" t="s">
        <v>51</v>
      </c>
      <c r="N183" s="14">
        <v>408.744</v>
      </c>
      <c r="O183" s="14">
        <v>408.52</v>
      </c>
      <c r="P183" s="13">
        <v>6.0</v>
      </c>
      <c r="Q183" s="14">
        <f t="shared" si="3"/>
        <v>2452.464</v>
      </c>
      <c r="R183" s="14">
        <f t="shared" si="4"/>
        <v>2043.944</v>
      </c>
      <c r="S183" s="14">
        <f t="shared" si="5"/>
        <v>408.52</v>
      </c>
    </row>
    <row r="184">
      <c r="A184" s="12">
        <v>42327.0</v>
      </c>
      <c r="B184" s="12" t="s">
        <v>2326</v>
      </c>
      <c r="C184" s="2">
        <v>42332.0</v>
      </c>
      <c r="D184" s="15" t="str">
        <f t="shared" si="1"/>
        <v>Nov</v>
      </c>
      <c r="E184" s="2" t="str">
        <f t="shared" si="2"/>
        <v>2015</v>
      </c>
      <c r="F184" s="13" t="s">
        <v>20</v>
      </c>
      <c r="G184" s="13" t="s">
        <v>2480</v>
      </c>
      <c r="H184" s="13" t="s">
        <v>2481</v>
      </c>
      <c r="I184" s="13" t="s">
        <v>68</v>
      </c>
      <c r="J184" s="13" t="s">
        <v>429</v>
      </c>
      <c r="K184" s="13" t="s">
        <v>430</v>
      </c>
      <c r="L184" s="13" t="s">
        <v>26</v>
      </c>
      <c r="M184" s="13" t="s">
        <v>51</v>
      </c>
      <c r="N184" s="14">
        <v>503.96</v>
      </c>
      <c r="O184" s="14">
        <v>503.87</v>
      </c>
      <c r="P184" s="13">
        <v>7.0</v>
      </c>
      <c r="Q184" s="14">
        <f t="shared" si="3"/>
        <v>3527.72</v>
      </c>
      <c r="R184" s="14">
        <f t="shared" si="4"/>
        <v>3023.85</v>
      </c>
      <c r="S184" s="14">
        <f t="shared" si="5"/>
        <v>503.87</v>
      </c>
    </row>
    <row r="185">
      <c r="A185" s="12">
        <v>42327.0</v>
      </c>
      <c r="B185" s="12" t="s">
        <v>2326</v>
      </c>
      <c r="C185" s="2">
        <v>42332.0</v>
      </c>
      <c r="D185" s="15" t="str">
        <f t="shared" si="1"/>
        <v>Nov</v>
      </c>
      <c r="E185" s="2" t="str">
        <f t="shared" si="2"/>
        <v>2015</v>
      </c>
      <c r="F185" s="13" t="s">
        <v>20</v>
      </c>
      <c r="G185" s="13" t="s">
        <v>2480</v>
      </c>
      <c r="H185" s="13" t="s">
        <v>2481</v>
      </c>
      <c r="I185" s="13" t="s">
        <v>68</v>
      </c>
      <c r="J185" s="13" t="s">
        <v>429</v>
      </c>
      <c r="K185" s="13" t="s">
        <v>430</v>
      </c>
      <c r="L185" s="13" t="s">
        <v>26</v>
      </c>
      <c r="M185" s="13" t="s">
        <v>51</v>
      </c>
      <c r="N185" s="14">
        <v>149.95</v>
      </c>
      <c r="O185" s="14">
        <v>149.34</v>
      </c>
      <c r="P185" s="13">
        <v>7.0</v>
      </c>
      <c r="Q185" s="14">
        <f t="shared" si="3"/>
        <v>1049.65</v>
      </c>
      <c r="R185" s="14">
        <f t="shared" si="4"/>
        <v>900.31</v>
      </c>
      <c r="S185" s="14">
        <f t="shared" si="5"/>
        <v>149.34</v>
      </c>
    </row>
    <row r="186">
      <c r="A186" s="12">
        <v>42327.0</v>
      </c>
      <c r="B186" s="12" t="s">
        <v>2326</v>
      </c>
      <c r="C186" s="2">
        <v>42332.0</v>
      </c>
      <c r="D186" s="15" t="str">
        <f t="shared" si="1"/>
        <v>Nov</v>
      </c>
      <c r="E186" s="2" t="str">
        <f t="shared" si="2"/>
        <v>2015</v>
      </c>
      <c r="F186" s="13" t="s">
        <v>20</v>
      </c>
      <c r="G186" s="13" t="s">
        <v>2480</v>
      </c>
      <c r="H186" s="13" t="s">
        <v>2481</v>
      </c>
      <c r="I186" s="13" t="s">
        <v>68</v>
      </c>
      <c r="J186" s="13" t="s">
        <v>429</v>
      </c>
      <c r="K186" s="13" t="s">
        <v>430</v>
      </c>
      <c r="L186" s="13" t="s">
        <v>26</v>
      </c>
      <c r="M186" s="13" t="s">
        <v>51</v>
      </c>
      <c r="N186" s="14">
        <v>29.0</v>
      </c>
      <c r="O186" s="14">
        <v>28.46</v>
      </c>
      <c r="P186" s="13">
        <v>7.0</v>
      </c>
      <c r="Q186" s="14">
        <f t="shared" si="3"/>
        <v>203</v>
      </c>
      <c r="R186" s="14">
        <f t="shared" si="4"/>
        <v>174.54</v>
      </c>
      <c r="S186" s="14">
        <f t="shared" si="5"/>
        <v>28.46</v>
      </c>
    </row>
    <row r="187">
      <c r="A187" s="12">
        <v>43067.0</v>
      </c>
      <c r="B187" s="12" t="s">
        <v>2326</v>
      </c>
      <c r="C187" s="2">
        <v>42778.0</v>
      </c>
      <c r="D187" s="15" t="str">
        <f t="shared" si="1"/>
        <v>Feb</v>
      </c>
      <c r="E187" s="2" t="str">
        <f t="shared" si="2"/>
        <v>2017</v>
      </c>
      <c r="F187" s="13" t="s">
        <v>41</v>
      </c>
      <c r="G187" s="13" t="s">
        <v>2449</v>
      </c>
      <c r="H187" s="13" t="s">
        <v>2482</v>
      </c>
      <c r="I187" s="13" t="s">
        <v>23</v>
      </c>
      <c r="J187" s="13" t="s">
        <v>434</v>
      </c>
      <c r="K187" s="13" t="s">
        <v>435</v>
      </c>
      <c r="L187" s="13" t="s">
        <v>100</v>
      </c>
      <c r="M187" s="13" t="s">
        <v>38</v>
      </c>
      <c r="N187" s="14">
        <v>7.16</v>
      </c>
      <c r="O187" s="14">
        <v>6.85</v>
      </c>
      <c r="P187" s="13">
        <v>6.0</v>
      </c>
      <c r="Q187" s="14">
        <f t="shared" si="3"/>
        <v>42.96</v>
      </c>
      <c r="R187" s="14">
        <f t="shared" si="4"/>
        <v>36.11</v>
      </c>
      <c r="S187" s="14">
        <f t="shared" si="5"/>
        <v>6.85</v>
      </c>
    </row>
    <row r="188">
      <c r="A188" s="12">
        <v>42242.0</v>
      </c>
      <c r="B188" s="12" t="s">
        <v>2322</v>
      </c>
      <c r="C188" s="2">
        <v>42246.0</v>
      </c>
      <c r="D188" s="15" t="str">
        <f t="shared" si="1"/>
        <v>Aug</v>
      </c>
      <c r="E188" s="2" t="str">
        <f t="shared" si="2"/>
        <v>2015</v>
      </c>
      <c r="F188" s="13" t="s">
        <v>41</v>
      </c>
      <c r="G188" s="13" t="s">
        <v>2483</v>
      </c>
      <c r="H188" s="13" t="s">
        <v>2484</v>
      </c>
      <c r="I188" s="13" t="s">
        <v>68</v>
      </c>
      <c r="J188" s="13" t="s">
        <v>35</v>
      </c>
      <c r="K188" s="13" t="s">
        <v>52</v>
      </c>
      <c r="L188" s="13" t="s">
        <v>37</v>
      </c>
      <c r="M188" s="13" t="s">
        <v>51</v>
      </c>
      <c r="N188" s="14">
        <v>176.8</v>
      </c>
      <c r="O188" s="14">
        <v>176.49</v>
      </c>
      <c r="P188" s="13">
        <v>9.0</v>
      </c>
      <c r="Q188" s="14">
        <f t="shared" si="3"/>
        <v>1591.2</v>
      </c>
      <c r="R188" s="14">
        <f t="shared" si="4"/>
        <v>1414.71</v>
      </c>
      <c r="S188" s="14">
        <f t="shared" si="5"/>
        <v>176.49</v>
      </c>
    </row>
    <row r="189">
      <c r="A189" s="12">
        <v>42932.0</v>
      </c>
      <c r="B189" s="12" t="s">
        <v>2348</v>
      </c>
      <c r="C189" s="2">
        <v>42938.0</v>
      </c>
      <c r="D189" s="15" t="str">
        <f t="shared" si="1"/>
        <v>Jul</v>
      </c>
      <c r="E189" s="2" t="str">
        <f t="shared" si="2"/>
        <v>2017</v>
      </c>
      <c r="F189" s="13" t="s">
        <v>41</v>
      </c>
      <c r="G189" s="13" t="s">
        <v>2485</v>
      </c>
      <c r="H189" s="13" t="s">
        <v>2486</v>
      </c>
      <c r="I189" s="13" t="s">
        <v>34</v>
      </c>
      <c r="J189" s="13" t="s">
        <v>443</v>
      </c>
      <c r="K189" s="13" t="s">
        <v>70</v>
      </c>
      <c r="L189" s="13" t="s">
        <v>71</v>
      </c>
      <c r="M189" s="13" t="s">
        <v>38</v>
      </c>
      <c r="N189" s="14">
        <v>37.224</v>
      </c>
      <c r="O189" s="14">
        <v>37.03</v>
      </c>
      <c r="P189" s="13">
        <v>7.0</v>
      </c>
      <c r="Q189" s="14">
        <f t="shared" si="3"/>
        <v>260.568</v>
      </c>
      <c r="R189" s="14">
        <f t="shared" si="4"/>
        <v>223.538</v>
      </c>
      <c r="S189" s="14">
        <f t="shared" si="5"/>
        <v>37.03</v>
      </c>
    </row>
    <row r="190">
      <c r="A190" s="12">
        <v>42932.0</v>
      </c>
      <c r="B190" s="12" t="s">
        <v>2348</v>
      </c>
      <c r="C190" s="2">
        <v>42938.0</v>
      </c>
      <c r="D190" s="15" t="str">
        <f t="shared" si="1"/>
        <v>Jul</v>
      </c>
      <c r="E190" s="2" t="str">
        <f t="shared" si="2"/>
        <v>2017</v>
      </c>
      <c r="F190" s="13" t="s">
        <v>41</v>
      </c>
      <c r="G190" s="13" t="s">
        <v>2485</v>
      </c>
      <c r="H190" s="13" t="s">
        <v>2486</v>
      </c>
      <c r="I190" s="13" t="s">
        <v>34</v>
      </c>
      <c r="J190" s="13" t="s">
        <v>443</v>
      </c>
      <c r="K190" s="13" t="s">
        <v>70</v>
      </c>
      <c r="L190" s="13" t="s">
        <v>71</v>
      </c>
      <c r="M190" s="13" t="s">
        <v>38</v>
      </c>
      <c r="N190" s="14">
        <v>20.016</v>
      </c>
      <c r="O190" s="14">
        <v>19.38</v>
      </c>
      <c r="P190" s="13">
        <v>7.0</v>
      </c>
      <c r="Q190" s="14">
        <f t="shared" si="3"/>
        <v>140.112</v>
      </c>
      <c r="R190" s="14">
        <f t="shared" si="4"/>
        <v>120.732</v>
      </c>
      <c r="S190" s="14">
        <f t="shared" si="5"/>
        <v>19.38</v>
      </c>
    </row>
    <row r="191">
      <c r="A191" s="12">
        <v>42714.0</v>
      </c>
      <c r="B191" s="12" t="s">
        <v>2325</v>
      </c>
      <c r="C191" s="2">
        <v>42657.0</v>
      </c>
      <c r="D191" s="15" t="str">
        <f t="shared" si="1"/>
        <v>Oct</v>
      </c>
      <c r="E191" s="2" t="str">
        <f t="shared" si="2"/>
        <v>2016</v>
      </c>
      <c r="F191" s="13" t="s">
        <v>121</v>
      </c>
      <c r="G191" s="13" t="s">
        <v>2487</v>
      </c>
      <c r="H191" s="13" t="s">
        <v>2488</v>
      </c>
      <c r="I191" s="13" t="s">
        <v>68</v>
      </c>
      <c r="J191" s="13" t="s">
        <v>174</v>
      </c>
      <c r="K191" s="13" t="s">
        <v>175</v>
      </c>
      <c r="L191" s="13" t="s">
        <v>100</v>
      </c>
      <c r="M191" s="13" t="s">
        <v>27</v>
      </c>
      <c r="N191" s="14">
        <v>899.136</v>
      </c>
      <c r="O191" s="14">
        <v>898.53</v>
      </c>
      <c r="P191" s="13">
        <v>1.0</v>
      </c>
      <c r="Q191" s="14">
        <f t="shared" si="3"/>
        <v>899.136</v>
      </c>
      <c r="R191" s="14">
        <f t="shared" si="4"/>
        <v>0.606</v>
      </c>
      <c r="S191" s="14">
        <f t="shared" si="5"/>
        <v>898.53</v>
      </c>
    </row>
    <row r="192">
      <c r="A192" s="12">
        <v>42714.0</v>
      </c>
      <c r="B192" s="12" t="s">
        <v>2325</v>
      </c>
      <c r="C192" s="2">
        <v>42657.0</v>
      </c>
      <c r="D192" s="15" t="str">
        <f t="shared" si="1"/>
        <v>Oct</v>
      </c>
      <c r="E192" s="2" t="str">
        <f t="shared" si="2"/>
        <v>2016</v>
      </c>
      <c r="F192" s="13" t="s">
        <v>121</v>
      </c>
      <c r="G192" s="13" t="s">
        <v>2487</v>
      </c>
      <c r="H192" s="13" t="s">
        <v>2488</v>
      </c>
      <c r="I192" s="13" t="s">
        <v>68</v>
      </c>
      <c r="J192" s="13" t="s">
        <v>174</v>
      </c>
      <c r="K192" s="13" t="s">
        <v>175</v>
      </c>
      <c r="L192" s="13" t="s">
        <v>100</v>
      </c>
      <c r="M192" s="13" t="s">
        <v>51</v>
      </c>
      <c r="N192" s="14">
        <v>71.76</v>
      </c>
      <c r="O192" s="14">
        <v>71.44</v>
      </c>
      <c r="P192" s="13">
        <v>1.0</v>
      </c>
      <c r="Q192" s="14">
        <f t="shared" si="3"/>
        <v>71.76</v>
      </c>
      <c r="R192" s="14">
        <f t="shared" si="4"/>
        <v>0.32</v>
      </c>
      <c r="S192" s="14">
        <f t="shared" si="5"/>
        <v>71.44</v>
      </c>
    </row>
    <row r="193">
      <c r="A193" s="12">
        <v>42714.0</v>
      </c>
      <c r="B193" s="12" t="s">
        <v>2325</v>
      </c>
      <c r="C193" s="2">
        <v>42657.0</v>
      </c>
      <c r="D193" s="15" t="str">
        <f t="shared" si="1"/>
        <v>Oct</v>
      </c>
      <c r="E193" s="2" t="str">
        <f t="shared" si="2"/>
        <v>2016</v>
      </c>
      <c r="F193" s="13" t="s">
        <v>121</v>
      </c>
      <c r="G193" s="13" t="s">
        <v>2487</v>
      </c>
      <c r="H193" s="13" t="s">
        <v>2488</v>
      </c>
      <c r="I193" s="13" t="s">
        <v>68</v>
      </c>
      <c r="J193" s="13" t="s">
        <v>174</v>
      </c>
      <c r="K193" s="13" t="s">
        <v>175</v>
      </c>
      <c r="L193" s="13" t="s">
        <v>100</v>
      </c>
      <c r="M193" s="13" t="s">
        <v>38</v>
      </c>
      <c r="N193" s="14">
        <v>51.84</v>
      </c>
      <c r="O193" s="14">
        <v>51.52</v>
      </c>
      <c r="P193" s="13">
        <v>1.0</v>
      </c>
      <c r="Q193" s="14">
        <f t="shared" si="3"/>
        <v>51.84</v>
      </c>
      <c r="R193" s="14">
        <f t="shared" si="4"/>
        <v>0.32</v>
      </c>
      <c r="S193" s="14">
        <f t="shared" si="5"/>
        <v>51.52</v>
      </c>
    </row>
    <row r="194">
      <c r="A194" s="12">
        <v>42714.0</v>
      </c>
      <c r="B194" s="12" t="s">
        <v>2325</v>
      </c>
      <c r="C194" s="2">
        <v>42657.0</v>
      </c>
      <c r="D194" s="15" t="str">
        <f t="shared" si="1"/>
        <v>Oct</v>
      </c>
      <c r="E194" s="2" t="str">
        <f t="shared" si="2"/>
        <v>2016</v>
      </c>
      <c r="F194" s="13" t="s">
        <v>121</v>
      </c>
      <c r="G194" s="13" t="s">
        <v>2487</v>
      </c>
      <c r="H194" s="13" t="s">
        <v>2488</v>
      </c>
      <c r="I194" s="13" t="s">
        <v>68</v>
      </c>
      <c r="J194" s="13" t="s">
        <v>174</v>
      </c>
      <c r="K194" s="13" t="s">
        <v>175</v>
      </c>
      <c r="L194" s="13" t="s">
        <v>100</v>
      </c>
      <c r="M194" s="13" t="s">
        <v>27</v>
      </c>
      <c r="N194" s="14">
        <v>626.352</v>
      </c>
      <c r="O194" s="14">
        <v>625.59</v>
      </c>
      <c r="P194" s="13">
        <v>1.0</v>
      </c>
      <c r="Q194" s="14">
        <f t="shared" si="3"/>
        <v>626.352</v>
      </c>
      <c r="R194" s="14">
        <f t="shared" si="4"/>
        <v>0.762</v>
      </c>
      <c r="S194" s="14">
        <f t="shared" si="5"/>
        <v>625.59</v>
      </c>
    </row>
    <row r="195">
      <c r="A195" s="12">
        <v>42714.0</v>
      </c>
      <c r="B195" s="12" t="s">
        <v>2325</v>
      </c>
      <c r="C195" s="2">
        <v>42657.0</v>
      </c>
      <c r="D195" s="15" t="str">
        <f t="shared" si="1"/>
        <v>Oct</v>
      </c>
      <c r="E195" s="2" t="str">
        <f t="shared" si="2"/>
        <v>2016</v>
      </c>
      <c r="F195" s="13" t="s">
        <v>121</v>
      </c>
      <c r="G195" s="13" t="s">
        <v>2487</v>
      </c>
      <c r="H195" s="13" t="s">
        <v>2488</v>
      </c>
      <c r="I195" s="13" t="s">
        <v>68</v>
      </c>
      <c r="J195" s="13" t="s">
        <v>174</v>
      </c>
      <c r="K195" s="13" t="s">
        <v>175</v>
      </c>
      <c r="L195" s="13" t="s">
        <v>100</v>
      </c>
      <c r="M195" s="13" t="s">
        <v>38</v>
      </c>
      <c r="N195" s="14">
        <v>19.9</v>
      </c>
      <c r="O195" s="14">
        <v>19.54</v>
      </c>
      <c r="P195" s="13">
        <v>1.0</v>
      </c>
      <c r="Q195" s="14">
        <f t="shared" si="3"/>
        <v>19.9</v>
      </c>
      <c r="R195" s="14">
        <f t="shared" si="4"/>
        <v>0.36</v>
      </c>
      <c r="S195" s="14">
        <f t="shared" si="5"/>
        <v>19.54</v>
      </c>
    </row>
    <row r="196">
      <c r="A196" s="12">
        <v>42674.0</v>
      </c>
      <c r="B196" s="12" t="s">
        <v>2358</v>
      </c>
      <c r="C196" s="2">
        <v>42532.0</v>
      </c>
      <c r="D196" s="15" t="str">
        <f t="shared" si="1"/>
        <v>Jun</v>
      </c>
      <c r="E196" s="2" t="str">
        <f t="shared" si="2"/>
        <v>2016</v>
      </c>
      <c r="F196" s="13" t="s">
        <v>41</v>
      </c>
      <c r="G196" s="13" t="s">
        <v>2489</v>
      </c>
      <c r="H196" s="13" t="s">
        <v>2490</v>
      </c>
      <c r="I196" s="13" t="s">
        <v>34</v>
      </c>
      <c r="J196" s="13" t="s">
        <v>451</v>
      </c>
      <c r="K196" s="13" t="s">
        <v>52</v>
      </c>
      <c r="L196" s="13" t="s">
        <v>37</v>
      </c>
      <c r="M196" s="13" t="s">
        <v>38</v>
      </c>
      <c r="N196" s="14">
        <v>14.28</v>
      </c>
      <c r="O196" s="14">
        <v>14.19</v>
      </c>
      <c r="P196" s="13">
        <v>9.0</v>
      </c>
      <c r="Q196" s="14">
        <f t="shared" si="3"/>
        <v>128.52</v>
      </c>
      <c r="R196" s="14">
        <f t="shared" si="4"/>
        <v>114.33</v>
      </c>
      <c r="S196" s="14">
        <f t="shared" si="5"/>
        <v>14.19</v>
      </c>
    </row>
    <row r="197">
      <c r="A197" s="12">
        <v>42084.0</v>
      </c>
      <c r="B197" s="12" t="s">
        <v>2399</v>
      </c>
      <c r="C197" s="2">
        <v>42088.0</v>
      </c>
      <c r="D197" s="15" t="str">
        <f t="shared" si="1"/>
        <v>Mar</v>
      </c>
      <c r="E197" s="2" t="str">
        <f t="shared" si="2"/>
        <v>2015</v>
      </c>
      <c r="F197" s="13" t="s">
        <v>41</v>
      </c>
      <c r="G197" s="13" t="s">
        <v>2491</v>
      </c>
      <c r="H197" s="13" t="s">
        <v>2492</v>
      </c>
      <c r="I197" s="13" t="s">
        <v>23</v>
      </c>
      <c r="J197" s="13" t="s">
        <v>456</v>
      </c>
      <c r="K197" s="13" t="s">
        <v>304</v>
      </c>
      <c r="L197" s="13" t="s">
        <v>100</v>
      </c>
      <c r="M197" s="13" t="s">
        <v>38</v>
      </c>
      <c r="N197" s="14">
        <v>7.408</v>
      </c>
      <c r="O197" s="14">
        <v>6.46</v>
      </c>
      <c r="P197" s="13">
        <v>4.0</v>
      </c>
      <c r="Q197" s="14">
        <f t="shared" si="3"/>
        <v>29.632</v>
      </c>
      <c r="R197" s="14">
        <f t="shared" si="4"/>
        <v>23.172</v>
      </c>
      <c r="S197" s="14">
        <f t="shared" si="5"/>
        <v>6.46</v>
      </c>
    </row>
    <row r="198">
      <c r="A198" s="12">
        <v>42084.0</v>
      </c>
      <c r="B198" s="12" t="s">
        <v>2399</v>
      </c>
      <c r="C198" s="2">
        <v>42088.0</v>
      </c>
      <c r="D198" s="15" t="str">
        <f t="shared" si="1"/>
        <v>Mar</v>
      </c>
      <c r="E198" s="2" t="str">
        <f t="shared" si="2"/>
        <v>2015</v>
      </c>
      <c r="F198" s="13" t="s">
        <v>41</v>
      </c>
      <c r="G198" s="13" t="s">
        <v>2491</v>
      </c>
      <c r="H198" s="13" t="s">
        <v>2492</v>
      </c>
      <c r="I198" s="13" t="s">
        <v>23</v>
      </c>
      <c r="J198" s="13" t="s">
        <v>456</v>
      </c>
      <c r="K198" s="13" t="s">
        <v>304</v>
      </c>
      <c r="L198" s="13" t="s">
        <v>100</v>
      </c>
      <c r="M198" s="13" t="s">
        <v>38</v>
      </c>
      <c r="N198" s="14">
        <v>6.048</v>
      </c>
      <c r="O198" s="14">
        <v>5.82</v>
      </c>
      <c r="P198" s="13">
        <v>4.0</v>
      </c>
      <c r="Q198" s="14">
        <f t="shared" si="3"/>
        <v>24.192</v>
      </c>
      <c r="R198" s="14">
        <f t="shared" si="4"/>
        <v>18.372</v>
      </c>
      <c r="S198" s="14">
        <f t="shared" si="5"/>
        <v>5.82</v>
      </c>
    </row>
    <row r="199">
      <c r="A199" s="12">
        <v>43262.0</v>
      </c>
      <c r="B199" s="12" t="s">
        <v>2374</v>
      </c>
      <c r="C199" s="2">
        <v>43417.0</v>
      </c>
      <c r="D199" s="15" t="str">
        <f t="shared" si="1"/>
        <v>Nov</v>
      </c>
      <c r="E199" s="2" t="str">
        <f t="shared" si="2"/>
        <v>2018</v>
      </c>
      <c r="F199" s="13" t="s">
        <v>41</v>
      </c>
      <c r="G199" s="13" t="s">
        <v>2493</v>
      </c>
      <c r="H199" s="13" t="s">
        <v>2406</v>
      </c>
      <c r="I199" s="13" t="s">
        <v>68</v>
      </c>
      <c r="J199" s="13" t="s">
        <v>461</v>
      </c>
      <c r="K199" s="13" t="s">
        <v>462</v>
      </c>
      <c r="L199" s="13" t="s">
        <v>100</v>
      </c>
      <c r="M199" s="13" t="s">
        <v>38</v>
      </c>
      <c r="N199" s="14">
        <v>46.26</v>
      </c>
      <c r="O199" s="14">
        <v>45.71</v>
      </c>
      <c r="P199" s="13">
        <v>7.0</v>
      </c>
      <c r="Q199" s="14">
        <f t="shared" si="3"/>
        <v>323.82</v>
      </c>
      <c r="R199" s="14">
        <f t="shared" si="4"/>
        <v>278.11</v>
      </c>
      <c r="S199" s="14">
        <f t="shared" si="5"/>
        <v>45.71</v>
      </c>
    </row>
    <row r="200">
      <c r="A200" s="12">
        <v>43258.0</v>
      </c>
      <c r="B200" s="12" t="s">
        <v>2374</v>
      </c>
      <c r="C200" s="2">
        <v>43294.0</v>
      </c>
      <c r="D200" s="15" t="str">
        <f t="shared" si="1"/>
        <v>Jul</v>
      </c>
      <c r="E200" s="2" t="str">
        <f t="shared" si="2"/>
        <v>2018</v>
      </c>
      <c r="F200" s="13" t="s">
        <v>41</v>
      </c>
      <c r="G200" s="13" t="s">
        <v>2494</v>
      </c>
      <c r="H200" s="13" t="s">
        <v>2495</v>
      </c>
      <c r="I200" s="13" t="s">
        <v>34</v>
      </c>
      <c r="J200" s="13" t="s">
        <v>98</v>
      </c>
      <c r="K200" s="13" t="s">
        <v>99</v>
      </c>
      <c r="L200" s="13" t="s">
        <v>100</v>
      </c>
      <c r="M200" s="13" t="s">
        <v>38</v>
      </c>
      <c r="N200" s="14">
        <v>2.946</v>
      </c>
      <c r="O200" s="14">
        <v>2.85</v>
      </c>
      <c r="P200" s="13">
        <v>1.0</v>
      </c>
      <c r="Q200" s="14">
        <f t="shared" si="3"/>
        <v>2.946</v>
      </c>
      <c r="R200" s="14">
        <f t="shared" si="4"/>
        <v>0.096</v>
      </c>
      <c r="S200" s="14">
        <f t="shared" si="5"/>
        <v>2.85</v>
      </c>
    </row>
    <row r="201">
      <c r="A201" s="12">
        <v>43258.0</v>
      </c>
      <c r="B201" s="12" t="s">
        <v>2374</v>
      </c>
      <c r="C201" s="2">
        <v>43294.0</v>
      </c>
      <c r="D201" s="15" t="str">
        <f t="shared" si="1"/>
        <v>Jul</v>
      </c>
      <c r="E201" s="2" t="str">
        <f t="shared" si="2"/>
        <v>2018</v>
      </c>
      <c r="F201" s="13" t="s">
        <v>41</v>
      </c>
      <c r="G201" s="13" t="s">
        <v>2494</v>
      </c>
      <c r="H201" s="13" t="s">
        <v>2495</v>
      </c>
      <c r="I201" s="13" t="s">
        <v>34</v>
      </c>
      <c r="J201" s="13" t="s">
        <v>98</v>
      </c>
      <c r="K201" s="13" t="s">
        <v>99</v>
      </c>
      <c r="L201" s="13" t="s">
        <v>100</v>
      </c>
      <c r="M201" s="13" t="s">
        <v>38</v>
      </c>
      <c r="N201" s="14">
        <v>16.056</v>
      </c>
      <c r="O201" s="14">
        <v>15.84</v>
      </c>
      <c r="P201" s="13">
        <v>1.0</v>
      </c>
      <c r="Q201" s="14">
        <f t="shared" si="3"/>
        <v>16.056</v>
      </c>
      <c r="R201" s="14">
        <f t="shared" si="4"/>
        <v>0.216</v>
      </c>
      <c r="S201" s="14">
        <f t="shared" si="5"/>
        <v>15.84</v>
      </c>
    </row>
    <row r="202">
      <c r="A202" s="12">
        <v>43275.0</v>
      </c>
      <c r="B202" s="12" t="s">
        <v>2374</v>
      </c>
      <c r="C202" s="2">
        <v>43280.0</v>
      </c>
      <c r="D202" s="15" t="str">
        <f t="shared" si="1"/>
        <v>Jun</v>
      </c>
      <c r="E202" s="2" t="str">
        <f t="shared" si="2"/>
        <v>2018</v>
      </c>
      <c r="F202" s="13" t="s">
        <v>41</v>
      </c>
      <c r="G202" s="13" t="s">
        <v>2496</v>
      </c>
      <c r="H202" s="13" t="s">
        <v>2497</v>
      </c>
      <c r="I202" s="13" t="s">
        <v>23</v>
      </c>
      <c r="J202" s="13" t="s">
        <v>471</v>
      </c>
      <c r="K202" s="13" t="s">
        <v>304</v>
      </c>
      <c r="L202" s="13" t="s">
        <v>100</v>
      </c>
      <c r="M202" s="13" t="s">
        <v>38</v>
      </c>
      <c r="N202" s="14">
        <v>21.744</v>
      </c>
      <c r="O202" s="14">
        <v>21.73</v>
      </c>
      <c r="P202" s="13">
        <v>4.0</v>
      </c>
      <c r="Q202" s="14">
        <f t="shared" si="3"/>
        <v>86.976</v>
      </c>
      <c r="R202" s="14">
        <f t="shared" si="4"/>
        <v>65.246</v>
      </c>
      <c r="S202" s="14">
        <f t="shared" si="5"/>
        <v>21.73</v>
      </c>
    </row>
    <row r="203">
      <c r="A203" s="12">
        <v>42071.0</v>
      </c>
      <c r="B203" s="12" t="s">
        <v>2399</v>
      </c>
      <c r="C203" s="2">
        <v>42132.0</v>
      </c>
      <c r="D203" s="15" t="str">
        <f t="shared" si="1"/>
        <v>May</v>
      </c>
      <c r="E203" s="2" t="str">
        <f t="shared" si="2"/>
        <v>2015</v>
      </c>
      <c r="F203" s="13" t="s">
        <v>121</v>
      </c>
      <c r="G203" s="13" t="s">
        <v>2498</v>
      </c>
      <c r="H203" s="13" t="s">
        <v>2395</v>
      </c>
      <c r="I203" s="13" t="s">
        <v>23</v>
      </c>
      <c r="J203" s="13" t="s">
        <v>475</v>
      </c>
      <c r="K203" s="13" t="s">
        <v>279</v>
      </c>
      <c r="L203" s="13" t="s">
        <v>37</v>
      </c>
      <c r="M203" s="13" t="s">
        <v>27</v>
      </c>
      <c r="N203" s="14">
        <v>218.75</v>
      </c>
      <c r="O203" s="14">
        <v>218.11</v>
      </c>
      <c r="P203" s="13">
        <v>8.0</v>
      </c>
      <c r="Q203" s="14">
        <f t="shared" si="3"/>
        <v>1750</v>
      </c>
      <c r="R203" s="14">
        <f t="shared" si="4"/>
        <v>1531.89</v>
      </c>
      <c r="S203" s="14">
        <f t="shared" si="5"/>
        <v>218.11</v>
      </c>
    </row>
    <row r="204">
      <c r="A204" s="12">
        <v>42071.0</v>
      </c>
      <c r="B204" s="12" t="s">
        <v>2399</v>
      </c>
      <c r="C204" s="2">
        <v>42132.0</v>
      </c>
      <c r="D204" s="15" t="str">
        <f t="shared" si="1"/>
        <v>May</v>
      </c>
      <c r="E204" s="2" t="str">
        <f t="shared" si="2"/>
        <v>2015</v>
      </c>
      <c r="F204" s="13" t="s">
        <v>121</v>
      </c>
      <c r="G204" s="13" t="s">
        <v>2498</v>
      </c>
      <c r="H204" s="13" t="s">
        <v>2395</v>
      </c>
      <c r="I204" s="13" t="s">
        <v>23</v>
      </c>
      <c r="J204" s="13" t="s">
        <v>475</v>
      </c>
      <c r="K204" s="13" t="s">
        <v>279</v>
      </c>
      <c r="L204" s="13" t="s">
        <v>37</v>
      </c>
      <c r="M204" s="13" t="s">
        <v>38</v>
      </c>
      <c r="N204" s="14">
        <v>2.6</v>
      </c>
      <c r="O204" s="14">
        <v>2.52</v>
      </c>
      <c r="P204" s="13">
        <v>8.0</v>
      </c>
      <c r="Q204" s="14">
        <f t="shared" si="3"/>
        <v>20.8</v>
      </c>
      <c r="R204" s="14">
        <f t="shared" si="4"/>
        <v>18.28</v>
      </c>
      <c r="S204" s="14">
        <f t="shared" si="5"/>
        <v>2.52</v>
      </c>
    </row>
    <row r="205">
      <c r="A205" s="12">
        <v>43451.0</v>
      </c>
      <c r="B205" s="12" t="s">
        <v>2325</v>
      </c>
      <c r="C205" s="2">
        <v>43455.0</v>
      </c>
      <c r="D205" s="15" t="str">
        <f t="shared" si="1"/>
        <v>Dec</v>
      </c>
      <c r="E205" s="2" t="str">
        <f t="shared" si="2"/>
        <v>2018</v>
      </c>
      <c r="F205" s="13" t="s">
        <v>20</v>
      </c>
      <c r="G205" s="13" t="s">
        <v>2499</v>
      </c>
      <c r="H205" s="13" t="s">
        <v>2500</v>
      </c>
      <c r="I205" s="13" t="s">
        <v>23</v>
      </c>
      <c r="J205" s="13" t="s">
        <v>480</v>
      </c>
      <c r="K205" s="13" t="s">
        <v>70</v>
      </c>
      <c r="L205" s="13" t="s">
        <v>71</v>
      </c>
      <c r="M205" s="13" t="s">
        <v>38</v>
      </c>
      <c r="N205" s="14">
        <v>66.284</v>
      </c>
      <c r="O205" s="14">
        <v>65.82</v>
      </c>
      <c r="P205" s="13">
        <v>7.0</v>
      </c>
      <c r="Q205" s="14">
        <f t="shared" si="3"/>
        <v>463.988</v>
      </c>
      <c r="R205" s="14">
        <f t="shared" si="4"/>
        <v>398.168</v>
      </c>
      <c r="S205" s="14">
        <f t="shared" si="5"/>
        <v>65.82</v>
      </c>
    </row>
    <row r="206">
      <c r="A206" s="12">
        <v>43165.0</v>
      </c>
      <c r="B206" s="12" t="s">
        <v>2399</v>
      </c>
      <c r="C206" s="2">
        <v>43287.0</v>
      </c>
      <c r="D206" s="15" t="str">
        <f t="shared" si="1"/>
        <v>Jul</v>
      </c>
      <c r="E206" s="2" t="str">
        <f t="shared" si="2"/>
        <v>2018</v>
      </c>
      <c r="F206" s="13" t="s">
        <v>41</v>
      </c>
      <c r="G206" s="13" t="s">
        <v>2501</v>
      </c>
      <c r="H206" s="13" t="s">
        <v>2502</v>
      </c>
      <c r="I206" s="13" t="s">
        <v>34</v>
      </c>
      <c r="J206" s="13" t="s">
        <v>364</v>
      </c>
      <c r="K206" s="13" t="s">
        <v>210</v>
      </c>
      <c r="L206" s="13" t="s">
        <v>26</v>
      </c>
      <c r="M206" s="13" t="s">
        <v>27</v>
      </c>
      <c r="N206" s="14">
        <v>35.168</v>
      </c>
      <c r="O206" s="14">
        <v>34.2</v>
      </c>
      <c r="P206" s="13">
        <v>3.0</v>
      </c>
      <c r="Q206" s="14">
        <f t="shared" si="3"/>
        <v>105.504</v>
      </c>
      <c r="R206" s="14">
        <f t="shared" si="4"/>
        <v>71.304</v>
      </c>
      <c r="S206" s="14">
        <f t="shared" si="5"/>
        <v>34.2</v>
      </c>
    </row>
    <row r="207">
      <c r="A207" s="12">
        <v>43355.0</v>
      </c>
      <c r="B207" s="12" t="s">
        <v>2329</v>
      </c>
      <c r="C207" s="2">
        <v>43448.0</v>
      </c>
      <c r="D207" s="15" t="str">
        <f t="shared" si="1"/>
        <v>Dec</v>
      </c>
      <c r="E207" s="2" t="str">
        <f t="shared" si="2"/>
        <v>2018</v>
      </c>
      <c r="F207" s="13" t="s">
        <v>41</v>
      </c>
      <c r="G207" s="13" t="s">
        <v>2503</v>
      </c>
      <c r="H207" s="13" t="s">
        <v>2504</v>
      </c>
      <c r="I207" s="13" t="s">
        <v>23</v>
      </c>
      <c r="J207" s="13" t="s">
        <v>488</v>
      </c>
      <c r="K207" s="13" t="s">
        <v>52</v>
      </c>
      <c r="L207" s="13" t="s">
        <v>37</v>
      </c>
      <c r="M207" s="13" t="s">
        <v>51</v>
      </c>
      <c r="N207" s="14">
        <v>444.768</v>
      </c>
      <c r="O207" s="14">
        <v>444.02</v>
      </c>
      <c r="P207" s="13">
        <v>9.0</v>
      </c>
      <c r="Q207" s="14">
        <f t="shared" si="3"/>
        <v>4002.912</v>
      </c>
      <c r="R207" s="14">
        <f t="shared" si="4"/>
        <v>3558.892</v>
      </c>
      <c r="S207" s="14">
        <f t="shared" si="5"/>
        <v>444.02</v>
      </c>
    </row>
    <row r="208">
      <c r="A208" s="12">
        <v>43112.0</v>
      </c>
      <c r="B208" s="12" t="s">
        <v>2353</v>
      </c>
      <c r="C208" s="2">
        <v>43293.0</v>
      </c>
      <c r="D208" s="15" t="str">
        <f t="shared" si="1"/>
        <v>Jul</v>
      </c>
      <c r="E208" s="2" t="str">
        <f t="shared" si="2"/>
        <v>2018</v>
      </c>
      <c r="F208" s="13" t="s">
        <v>41</v>
      </c>
      <c r="G208" s="13" t="s">
        <v>2505</v>
      </c>
      <c r="H208" s="13" t="s">
        <v>2506</v>
      </c>
      <c r="I208" s="13" t="s">
        <v>23</v>
      </c>
      <c r="J208" s="13" t="s">
        <v>492</v>
      </c>
      <c r="K208" s="13" t="s">
        <v>157</v>
      </c>
      <c r="L208" s="13" t="s">
        <v>71</v>
      </c>
      <c r="M208" s="13" t="s">
        <v>38</v>
      </c>
      <c r="N208" s="14">
        <v>83.92</v>
      </c>
      <c r="O208" s="14">
        <v>83.79</v>
      </c>
      <c r="P208" s="13">
        <v>4.0</v>
      </c>
      <c r="Q208" s="14">
        <f t="shared" si="3"/>
        <v>335.68</v>
      </c>
      <c r="R208" s="14">
        <f t="shared" si="4"/>
        <v>251.89</v>
      </c>
      <c r="S208" s="14">
        <f t="shared" si="5"/>
        <v>83.79</v>
      </c>
    </row>
    <row r="209">
      <c r="A209" s="12">
        <v>43112.0</v>
      </c>
      <c r="B209" s="12" t="s">
        <v>2353</v>
      </c>
      <c r="C209" s="2">
        <v>43293.0</v>
      </c>
      <c r="D209" s="15" t="str">
        <f t="shared" si="1"/>
        <v>Jul</v>
      </c>
      <c r="E209" s="2" t="str">
        <f t="shared" si="2"/>
        <v>2018</v>
      </c>
      <c r="F209" s="13" t="s">
        <v>41</v>
      </c>
      <c r="G209" s="13" t="s">
        <v>2505</v>
      </c>
      <c r="H209" s="13" t="s">
        <v>2506</v>
      </c>
      <c r="I209" s="13" t="s">
        <v>23</v>
      </c>
      <c r="J209" s="13" t="s">
        <v>492</v>
      </c>
      <c r="K209" s="13" t="s">
        <v>157</v>
      </c>
      <c r="L209" s="13" t="s">
        <v>71</v>
      </c>
      <c r="M209" s="13" t="s">
        <v>51</v>
      </c>
      <c r="N209" s="14">
        <v>131.98</v>
      </c>
      <c r="O209" s="14">
        <v>131.38</v>
      </c>
      <c r="P209" s="13">
        <v>4.0</v>
      </c>
      <c r="Q209" s="14">
        <f t="shared" si="3"/>
        <v>527.92</v>
      </c>
      <c r="R209" s="14">
        <f t="shared" si="4"/>
        <v>396.54</v>
      </c>
      <c r="S209" s="14">
        <f t="shared" si="5"/>
        <v>131.38</v>
      </c>
    </row>
    <row r="210">
      <c r="A210" s="12">
        <v>43112.0</v>
      </c>
      <c r="B210" s="12" t="s">
        <v>2353</v>
      </c>
      <c r="C210" s="2">
        <v>43293.0</v>
      </c>
      <c r="D210" s="15" t="str">
        <f t="shared" si="1"/>
        <v>Jul</v>
      </c>
      <c r="E210" s="2" t="str">
        <f t="shared" si="2"/>
        <v>2018</v>
      </c>
      <c r="F210" s="13" t="s">
        <v>41</v>
      </c>
      <c r="G210" s="13" t="s">
        <v>2505</v>
      </c>
      <c r="H210" s="13" t="s">
        <v>2506</v>
      </c>
      <c r="I210" s="13" t="s">
        <v>23</v>
      </c>
      <c r="J210" s="13" t="s">
        <v>492</v>
      </c>
      <c r="K210" s="13" t="s">
        <v>157</v>
      </c>
      <c r="L210" s="13" t="s">
        <v>71</v>
      </c>
      <c r="M210" s="13" t="s">
        <v>38</v>
      </c>
      <c r="N210" s="14">
        <v>15.92</v>
      </c>
      <c r="O210" s="14">
        <v>15.35</v>
      </c>
      <c r="P210" s="13">
        <v>4.0</v>
      </c>
      <c r="Q210" s="14">
        <f t="shared" si="3"/>
        <v>63.68</v>
      </c>
      <c r="R210" s="14">
        <f t="shared" si="4"/>
        <v>48.33</v>
      </c>
      <c r="S210" s="14">
        <f t="shared" si="5"/>
        <v>15.35</v>
      </c>
    </row>
    <row r="211">
      <c r="A211" s="12">
        <v>43112.0</v>
      </c>
      <c r="B211" s="12" t="s">
        <v>2353</v>
      </c>
      <c r="C211" s="2">
        <v>43293.0</v>
      </c>
      <c r="D211" s="15" t="str">
        <f t="shared" si="1"/>
        <v>Jul</v>
      </c>
      <c r="E211" s="2" t="str">
        <f t="shared" si="2"/>
        <v>2018</v>
      </c>
      <c r="F211" s="13" t="s">
        <v>41</v>
      </c>
      <c r="G211" s="13" t="s">
        <v>2505</v>
      </c>
      <c r="H211" s="13" t="s">
        <v>2506</v>
      </c>
      <c r="I211" s="13" t="s">
        <v>23</v>
      </c>
      <c r="J211" s="13" t="s">
        <v>492</v>
      </c>
      <c r="K211" s="13" t="s">
        <v>157</v>
      </c>
      <c r="L211" s="13" t="s">
        <v>71</v>
      </c>
      <c r="M211" s="13" t="s">
        <v>38</v>
      </c>
      <c r="N211" s="14">
        <v>52.29</v>
      </c>
      <c r="O211" s="14">
        <v>51.64</v>
      </c>
      <c r="P211" s="13">
        <v>4.0</v>
      </c>
      <c r="Q211" s="14">
        <f t="shared" si="3"/>
        <v>209.16</v>
      </c>
      <c r="R211" s="14">
        <f t="shared" si="4"/>
        <v>157.52</v>
      </c>
      <c r="S211" s="14">
        <f t="shared" si="5"/>
        <v>51.64</v>
      </c>
    </row>
    <row r="212">
      <c r="A212" s="12">
        <v>43112.0</v>
      </c>
      <c r="B212" s="12" t="s">
        <v>2353</v>
      </c>
      <c r="C212" s="2">
        <v>43293.0</v>
      </c>
      <c r="D212" s="15" t="str">
        <f t="shared" si="1"/>
        <v>Jul</v>
      </c>
      <c r="E212" s="2" t="str">
        <f t="shared" si="2"/>
        <v>2018</v>
      </c>
      <c r="F212" s="13" t="s">
        <v>41</v>
      </c>
      <c r="G212" s="13" t="s">
        <v>2505</v>
      </c>
      <c r="H212" s="13" t="s">
        <v>2506</v>
      </c>
      <c r="I212" s="13" t="s">
        <v>23</v>
      </c>
      <c r="J212" s="13" t="s">
        <v>492</v>
      </c>
      <c r="K212" s="13" t="s">
        <v>157</v>
      </c>
      <c r="L212" s="13" t="s">
        <v>71</v>
      </c>
      <c r="M212" s="13" t="s">
        <v>38</v>
      </c>
      <c r="N212" s="14">
        <v>91.99</v>
      </c>
      <c r="O212" s="14">
        <v>91.9</v>
      </c>
      <c r="P212" s="13">
        <v>4.0</v>
      </c>
      <c r="Q212" s="14">
        <f t="shared" si="3"/>
        <v>367.96</v>
      </c>
      <c r="R212" s="14">
        <f t="shared" si="4"/>
        <v>276.06</v>
      </c>
      <c r="S212" s="14">
        <f t="shared" si="5"/>
        <v>91.9</v>
      </c>
    </row>
    <row r="213">
      <c r="A213" s="12">
        <v>42615.0</v>
      </c>
      <c r="B213" s="12" t="s">
        <v>2329</v>
      </c>
      <c r="C213" s="2">
        <v>42413.0</v>
      </c>
      <c r="D213" s="15" t="str">
        <f t="shared" si="1"/>
        <v>Feb</v>
      </c>
      <c r="E213" s="2" t="str">
        <f t="shared" si="2"/>
        <v>2016</v>
      </c>
      <c r="F213" s="13" t="s">
        <v>20</v>
      </c>
      <c r="G213" s="13" t="s">
        <v>2507</v>
      </c>
      <c r="H213" s="13" t="s">
        <v>2395</v>
      </c>
      <c r="I213" s="13" t="s">
        <v>34</v>
      </c>
      <c r="J213" s="13" t="s">
        <v>480</v>
      </c>
      <c r="K213" s="13" t="s">
        <v>70</v>
      </c>
      <c r="L213" s="13" t="s">
        <v>71</v>
      </c>
      <c r="M213" s="13" t="s">
        <v>51</v>
      </c>
      <c r="N213" s="14">
        <v>20.8</v>
      </c>
      <c r="O213" s="14">
        <v>20.41</v>
      </c>
      <c r="P213" s="13">
        <v>7.0</v>
      </c>
      <c r="Q213" s="14">
        <f t="shared" si="3"/>
        <v>145.6</v>
      </c>
      <c r="R213" s="14">
        <f t="shared" si="4"/>
        <v>125.19</v>
      </c>
      <c r="S213" s="14">
        <f t="shared" si="5"/>
        <v>20.41</v>
      </c>
    </row>
    <row r="214">
      <c r="A214" s="12">
        <v>42401.0</v>
      </c>
      <c r="B214" s="12" t="s">
        <v>2431</v>
      </c>
      <c r="C214" s="2">
        <v>42614.0</v>
      </c>
      <c r="D214" s="15" t="str">
        <f t="shared" si="1"/>
        <v>Sep</v>
      </c>
      <c r="E214" s="2" t="str">
        <f t="shared" si="2"/>
        <v>2016</v>
      </c>
      <c r="F214" s="13" t="s">
        <v>41</v>
      </c>
      <c r="G214" s="13" t="s">
        <v>2508</v>
      </c>
      <c r="H214" s="13" t="s">
        <v>2509</v>
      </c>
      <c r="I214" s="13" t="s">
        <v>34</v>
      </c>
      <c r="J214" s="13" t="s">
        <v>500</v>
      </c>
      <c r="K214" s="13" t="s">
        <v>304</v>
      </c>
      <c r="L214" s="13" t="s">
        <v>100</v>
      </c>
      <c r="M214" s="13" t="s">
        <v>38</v>
      </c>
      <c r="N214" s="14">
        <v>23.68</v>
      </c>
      <c r="O214" s="14">
        <v>22.79</v>
      </c>
      <c r="P214" s="13">
        <v>4.0</v>
      </c>
      <c r="Q214" s="14">
        <f t="shared" si="3"/>
        <v>94.72</v>
      </c>
      <c r="R214" s="14">
        <f t="shared" si="4"/>
        <v>71.93</v>
      </c>
      <c r="S214" s="14">
        <f t="shared" si="5"/>
        <v>22.79</v>
      </c>
    </row>
    <row r="215">
      <c r="A215" s="12">
        <v>42401.0</v>
      </c>
      <c r="B215" s="12" t="s">
        <v>2431</v>
      </c>
      <c r="C215" s="2">
        <v>42614.0</v>
      </c>
      <c r="D215" s="15" t="str">
        <f t="shared" si="1"/>
        <v>Sep</v>
      </c>
      <c r="E215" s="2" t="str">
        <f t="shared" si="2"/>
        <v>2016</v>
      </c>
      <c r="F215" s="13" t="s">
        <v>41</v>
      </c>
      <c r="G215" s="13" t="s">
        <v>2508</v>
      </c>
      <c r="H215" s="13" t="s">
        <v>2509</v>
      </c>
      <c r="I215" s="13" t="s">
        <v>34</v>
      </c>
      <c r="J215" s="13" t="s">
        <v>500</v>
      </c>
      <c r="K215" s="13" t="s">
        <v>304</v>
      </c>
      <c r="L215" s="13" t="s">
        <v>100</v>
      </c>
      <c r="M215" s="13" t="s">
        <v>27</v>
      </c>
      <c r="N215" s="14">
        <v>452.45</v>
      </c>
      <c r="O215" s="14">
        <v>451.96</v>
      </c>
      <c r="P215" s="13">
        <v>4.0</v>
      </c>
      <c r="Q215" s="14">
        <f t="shared" si="3"/>
        <v>1809.8</v>
      </c>
      <c r="R215" s="14">
        <f t="shared" si="4"/>
        <v>1357.84</v>
      </c>
      <c r="S215" s="14">
        <f t="shared" si="5"/>
        <v>451.96</v>
      </c>
    </row>
    <row r="216">
      <c r="A216" s="12">
        <v>42401.0</v>
      </c>
      <c r="B216" s="12" t="s">
        <v>2431</v>
      </c>
      <c r="C216" s="2">
        <v>42614.0</v>
      </c>
      <c r="D216" s="15" t="str">
        <f t="shared" si="1"/>
        <v>Sep</v>
      </c>
      <c r="E216" s="2" t="str">
        <f t="shared" si="2"/>
        <v>2016</v>
      </c>
      <c r="F216" s="13" t="s">
        <v>41</v>
      </c>
      <c r="G216" s="13" t="s">
        <v>2508</v>
      </c>
      <c r="H216" s="13" t="s">
        <v>2509</v>
      </c>
      <c r="I216" s="13" t="s">
        <v>34</v>
      </c>
      <c r="J216" s="13" t="s">
        <v>500</v>
      </c>
      <c r="K216" s="13" t="s">
        <v>304</v>
      </c>
      <c r="L216" s="13" t="s">
        <v>100</v>
      </c>
      <c r="M216" s="13" t="s">
        <v>51</v>
      </c>
      <c r="N216" s="14">
        <v>62.982</v>
      </c>
      <c r="O216" s="14">
        <v>62.62</v>
      </c>
      <c r="P216" s="13">
        <v>4.0</v>
      </c>
      <c r="Q216" s="14">
        <f t="shared" si="3"/>
        <v>251.928</v>
      </c>
      <c r="R216" s="14">
        <f t="shared" si="4"/>
        <v>189.308</v>
      </c>
      <c r="S216" s="14">
        <f t="shared" si="5"/>
        <v>62.62</v>
      </c>
    </row>
    <row r="217">
      <c r="A217" s="12">
        <v>42401.0</v>
      </c>
      <c r="B217" s="12" t="s">
        <v>2431</v>
      </c>
      <c r="C217" s="2">
        <v>42614.0</v>
      </c>
      <c r="D217" s="15" t="str">
        <f t="shared" si="1"/>
        <v>Sep</v>
      </c>
      <c r="E217" s="2" t="str">
        <f t="shared" si="2"/>
        <v>2016</v>
      </c>
      <c r="F217" s="13" t="s">
        <v>41</v>
      </c>
      <c r="G217" s="13" t="s">
        <v>2508</v>
      </c>
      <c r="H217" s="13" t="s">
        <v>2509</v>
      </c>
      <c r="I217" s="13" t="s">
        <v>34</v>
      </c>
      <c r="J217" s="13" t="s">
        <v>500</v>
      </c>
      <c r="K217" s="13" t="s">
        <v>304</v>
      </c>
      <c r="L217" s="13" t="s">
        <v>100</v>
      </c>
      <c r="M217" s="13" t="s">
        <v>51</v>
      </c>
      <c r="N217" s="14">
        <v>1188.0</v>
      </c>
      <c r="O217" s="14">
        <v>1187.52</v>
      </c>
      <c r="P217" s="13">
        <v>4.0</v>
      </c>
      <c r="Q217" s="14">
        <f t="shared" si="3"/>
        <v>4752</v>
      </c>
      <c r="R217" s="14">
        <f t="shared" si="4"/>
        <v>3564.48</v>
      </c>
      <c r="S217" s="14">
        <f t="shared" si="5"/>
        <v>1187.52</v>
      </c>
    </row>
    <row r="218">
      <c r="A218" s="12">
        <v>42401.0</v>
      </c>
      <c r="B218" s="12" t="s">
        <v>2431</v>
      </c>
      <c r="C218" s="2">
        <v>42614.0</v>
      </c>
      <c r="D218" s="15" t="str">
        <f t="shared" si="1"/>
        <v>Sep</v>
      </c>
      <c r="E218" s="2" t="str">
        <f t="shared" si="2"/>
        <v>2016</v>
      </c>
      <c r="F218" s="13" t="s">
        <v>41</v>
      </c>
      <c r="G218" s="13" t="s">
        <v>2508</v>
      </c>
      <c r="H218" s="13" t="s">
        <v>2509</v>
      </c>
      <c r="I218" s="13" t="s">
        <v>34</v>
      </c>
      <c r="J218" s="13" t="s">
        <v>500</v>
      </c>
      <c r="K218" s="13" t="s">
        <v>304</v>
      </c>
      <c r="L218" s="13" t="s">
        <v>100</v>
      </c>
      <c r="M218" s="13" t="s">
        <v>51</v>
      </c>
      <c r="N218" s="14">
        <v>89.584</v>
      </c>
      <c r="O218" s="14">
        <v>88.71</v>
      </c>
      <c r="P218" s="13">
        <v>4.0</v>
      </c>
      <c r="Q218" s="14">
        <f t="shared" si="3"/>
        <v>358.336</v>
      </c>
      <c r="R218" s="14">
        <f t="shared" si="4"/>
        <v>269.626</v>
      </c>
      <c r="S218" s="14">
        <f t="shared" si="5"/>
        <v>88.71</v>
      </c>
    </row>
    <row r="219">
      <c r="A219" s="12">
        <v>43036.0</v>
      </c>
      <c r="B219" s="12" t="s">
        <v>2358</v>
      </c>
      <c r="C219" s="2">
        <v>42746.0</v>
      </c>
      <c r="D219" s="15" t="str">
        <f t="shared" si="1"/>
        <v>Jan</v>
      </c>
      <c r="E219" s="2" t="str">
        <f t="shared" si="2"/>
        <v>2017</v>
      </c>
      <c r="F219" s="13" t="s">
        <v>41</v>
      </c>
      <c r="G219" s="13" t="s">
        <v>2447</v>
      </c>
      <c r="H219" s="13" t="s">
        <v>2510</v>
      </c>
      <c r="I219" s="13" t="s">
        <v>23</v>
      </c>
      <c r="J219" s="13" t="s">
        <v>35</v>
      </c>
      <c r="K219" s="13" t="s">
        <v>52</v>
      </c>
      <c r="L219" s="13" t="s">
        <v>37</v>
      </c>
      <c r="M219" s="13" t="s">
        <v>38</v>
      </c>
      <c r="N219" s="14">
        <v>93.06</v>
      </c>
      <c r="O219" s="14">
        <v>92.37</v>
      </c>
      <c r="P219" s="13">
        <v>9.0</v>
      </c>
      <c r="Q219" s="14">
        <f t="shared" si="3"/>
        <v>837.54</v>
      </c>
      <c r="R219" s="14">
        <f t="shared" si="4"/>
        <v>745.17</v>
      </c>
      <c r="S219" s="14">
        <f t="shared" si="5"/>
        <v>92.37</v>
      </c>
    </row>
    <row r="220">
      <c r="A220" s="12">
        <v>43036.0</v>
      </c>
      <c r="B220" s="12" t="s">
        <v>2358</v>
      </c>
      <c r="C220" s="2">
        <v>42746.0</v>
      </c>
      <c r="D220" s="15" t="str">
        <f t="shared" si="1"/>
        <v>Jan</v>
      </c>
      <c r="E220" s="2" t="str">
        <f t="shared" si="2"/>
        <v>2017</v>
      </c>
      <c r="F220" s="13" t="s">
        <v>41</v>
      </c>
      <c r="G220" s="13" t="s">
        <v>2447</v>
      </c>
      <c r="H220" s="13" t="s">
        <v>2510</v>
      </c>
      <c r="I220" s="13" t="s">
        <v>23</v>
      </c>
      <c r="J220" s="13" t="s">
        <v>35</v>
      </c>
      <c r="K220" s="13" t="s">
        <v>52</v>
      </c>
      <c r="L220" s="13" t="s">
        <v>37</v>
      </c>
      <c r="M220" s="13" t="s">
        <v>51</v>
      </c>
      <c r="N220" s="14">
        <v>302.376</v>
      </c>
      <c r="O220" s="14">
        <v>301.89</v>
      </c>
      <c r="P220" s="13">
        <v>9.0</v>
      </c>
      <c r="Q220" s="14">
        <f t="shared" si="3"/>
        <v>2721.384</v>
      </c>
      <c r="R220" s="14">
        <f t="shared" si="4"/>
        <v>2419.494</v>
      </c>
      <c r="S220" s="14">
        <f t="shared" si="5"/>
        <v>301.89</v>
      </c>
    </row>
    <row r="221">
      <c r="A221" s="12">
        <v>42728.0</v>
      </c>
      <c r="B221" s="12" t="s">
        <v>2325</v>
      </c>
      <c r="C221" s="2">
        <v>42731.0</v>
      </c>
      <c r="D221" s="15" t="str">
        <f t="shared" si="1"/>
        <v>Dec</v>
      </c>
      <c r="E221" s="2" t="str">
        <f t="shared" si="2"/>
        <v>2016</v>
      </c>
      <c r="F221" s="13" t="s">
        <v>121</v>
      </c>
      <c r="G221" s="13" t="s">
        <v>2511</v>
      </c>
      <c r="H221" s="13" t="s">
        <v>2357</v>
      </c>
      <c r="I221" s="13" t="s">
        <v>23</v>
      </c>
      <c r="J221" s="13" t="s">
        <v>508</v>
      </c>
      <c r="K221" s="13" t="s">
        <v>304</v>
      </c>
      <c r="L221" s="13" t="s">
        <v>100</v>
      </c>
      <c r="M221" s="13" t="s">
        <v>38</v>
      </c>
      <c r="N221" s="14">
        <v>5.584</v>
      </c>
      <c r="O221" s="14">
        <v>5.29</v>
      </c>
      <c r="P221" s="13">
        <v>4.0</v>
      </c>
      <c r="Q221" s="14">
        <f t="shared" si="3"/>
        <v>22.336</v>
      </c>
      <c r="R221" s="14">
        <f t="shared" si="4"/>
        <v>17.046</v>
      </c>
      <c r="S221" s="14">
        <f t="shared" si="5"/>
        <v>5.29</v>
      </c>
    </row>
    <row r="222">
      <c r="A222" s="12">
        <v>42728.0</v>
      </c>
      <c r="B222" s="12" t="s">
        <v>2325</v>
      </c>
      <c r="C222" s="2">
        <v>42731.0</v>
      </c>
      <c r="D222" s="15" t="str">
        <f t="shared" si="1"/>
        <v>Dec</v>
      </c>
      <c r="E222" s="2" t="str">
        <f t="shared" si="2"/>
        <v>2016</v>
      </c>
      <c r="F222" s="13" t="s">
        <v>121</v>
      </c>
      <c r="G222" s="13" t="s">
        <v>2511</v>
      </c>
      <c r="H222" s="13" t="s">
        <v>2357</v>
      </c>
      <c r="I222" s="13" t="s">
        <v>23</v>
      </c>
      <c r="J222" s="13" t="s">
        <v>508</v>
      </c>
      <c r="K222" s="13" t="s">
        <v>304</v>
      </c>
      <c r="L222" s="13" t="s">
        <v>100</v>
      </c>
      <c r="M222" s="13" t="s">
        <v>38</v>
      </c>
      <c r="N222" s="14">
        <v>22.704</v>
      </c>
      <c r="O222" s="14">
        <v>22.21</v>
      </c>
      <c r="P222" s="13">
        <v>4.0</v>
      </c>
      <c r="Q222" s="14">
        <f t="shared" si="3"/>
        <v>90.816</v>
      </c>
      <c r="R222" s="14">
        <f t="shared" si="4"/>
        <v>68.606</v>
      </c>
      <c r="S222" s="14">
        <f t="shared" si="5"/>
        <v>22.21</v>
      </c>
    </row>
    <row r="223">
      <c r="A223" s="12">
        <v>42728.0</v>
      </c>
      <c r="B223" s="12" t="s">
        <v>2325</v>
      </c>
      <c r="C223" s="2">
        <v>42731.0</v>
      </c>
      <c r="D223" s="15" t="str">
        <f t="shared" si="1"/>
        <v>Dec</v>
      </c>
      <c r="E223" s="2" t="str">
        <f t="shared" si="2"/>
        <v>2016</v>
      </c>
      <c r="F223" s="13" t="s">
        <v>121</v>
      </c>
      <c r="G223" s="13" t="s">
        <v>2511</v>
      </c>
      <c r="H223" s="13" t="s">
        <v>2357</v>
      </c>
      <c r="I223" s="13" t="s">
        <v>23</v>
      </c>
      <c r="J223" s="13" t="s">
        <v>508</v>
      </c>
      <c r="K223" s="13" t="s">
        <v>304</v>
      </c>
      <c r="L223" s="13" t="s">
        <v>100</v>
      </c>
      <c r="M223" s="13" t="s">
        <v>38</v>
      </c>
      <c r="N223" s="14">
        <v>19.776</v>
      </c>
      <c r="O223" s="14">
        <v>18.84</v>
      </c>
      <c r="P223" s="13">
        <v>4.0</v>
      </c>
      <c r="Q223" s="14">
        <f t="shared" si="3"/>
        <v>79.104</v>
      </c>
      <c r="R223" s="14">
        <f t="shared" si="4"/>
        <v>60.264</v>
      </c>
      <c r="S223" s="14">
        <f t="shared" si="5"/>
        <v>18.84</v>
      </c>
    </row>
    <row r="224">
      <c r="A224" s="12">
        <v>42728.0</v>
      </c>
      <c r="B224" s="12" t="s">
        <v>2325</v>
      </c>
      <c r="C224" s="2">
        <v>42731.0</v>
      </c>
      <c r="D224" s="15" t="str">
        <f t="shared" si="1"/>
        <v>Dec</v>
      </c>
      <c r="E224" s="2" t="str">
        <f t="shared" si="2"/>
        <v>2016</v>
      </c>
      <c r="F224" s="13" t="s">
        <v>121</v>
      </c>
      <c r="G224" s="13" t="s">
        <v>2511</v>
      </c>
      <c r="H224" s="13" t="s">
        <v>2357</v>
      </c>
      <c r="I224" s="13" t="s">
        <v>23</v>
      </c>
      <c r="J224" s="13" t="s">
        <v>508</v>
      </c>
      <c r="K224" s="13" t="s">
        <v>304</v>
      </c>
      <c r="L224" s="13" t="s">
        <v>100</v>
      </c>
      <c r="M224" s="13" t="s">
        <v>27</v>
      </c>
      <c r="N224" s="14">
        <v>72.704</v>
      </c>
      <c r="O224" s="14">
        <v>72.19</v>
      </c>
      <c r="P224" s="13">
        <v>4.0</v>
      </c>
      <c r="Q224" s="14">
        <f t="shared" si="3"/>
        <v>290.816</v>
      </c>
      <c r="R224" s="14">
        <f t="shared" si="4"/>
        <v>218.626</v>
      </c>
      <c r="S224" s="14">
        <f t="shared" si="5"/>
        <v>72.19</v>
      </c>
    </row>
    <row r="225">
      <c r="A225" s="12">
        <v>42728.0</v>
      </c>
      <c r="B225" s="12" t="s">
        <v>2325</v>
      </c>
      <c r="C225" s="2">
        <v>42731.0</v>
      </c>
      <c r="D225" s="15" t="str">
        <f t="shared" si="1"/>
        <v>Dec</v>
      </c>
      <c r="E225" s="2" t="str">
        <f t="shared" si="2"/>
        <v>2016</v>
      </c>
      <c r="F225" s="13" t="s">
        <v>121</v>
      </c>
      <c r="G225" s="13" t="s">
        <v>2511</v>
      </c>
      <c r="H225" s="13" t="s">
        <v>2357</v>
      </c>
      <c r="I225" s="13" t="s">
        <v>23</v>
      </c>
      <c r="J225" s="13" t="s">
        <v>508</v>
      </c>
      <c r="K225" s="13" t="s">
        <v>304</v>
      </c>
      <c r="L225" s="13" t="s">
        <v>100</v>
      </c>
      <c r="M225" s="13" t="s">
        <v>51</v>
      </c>
      <c r="N225" s="14">
        <v>479.988</v>
      </c>
      <c r="O225" s="14">
        <v>479.35</v>
      </c>
      <c r="P225" s="13">
        <v>4.0</v>
      </c>
      <c r="Q225" s="14">
        <f t="shared" si="3"/>
        <v>1919.952</v>
      </c>
      <c r="R225" s="14">
        <f t="shared" si="4"/>
        <v>1440.602</v>
      </c>
      <c r="S225" s="14">
        <f t="shared" si="5"/>
        <v>479.35</v>
      </c>
    </row>
    <row r="226">
      <c r="A226" s="12">
        <v>42728.0</v>
      </c>
      <c r="B226" s="12" t="s">
        <v>2325</v>
      </c>
      <c r="C226" s="2">
        <v>42731.0</v>
      </c>
      <c r="D226" s="15" t="str">
        <f t="shared" si="1"/>
        <v>Dec</v>
      </c>
      <c r="E226" s="2" t="str">
        <f t="shared" si="2"/>
        <v>2016</v>
      </c>
      <c r="F226" s="13" t="s">
        <v>121</v>
      </c>
      <c r="G226" s="13" t="s">
        <v>2511</v>
      </c>
      <c r="H226" s="13" t="s">
        <v>2357</v>
      </c>
      <c r="I226" s="13" t="s">
        <v>23</v>
      </c>
      <c r="J226" s="13" t="s">
        <v>508</v>
      </c>
      <c r="K226" s="13" t="s">
        <v>304</v>
      </c>
      <c r="L226" s="13" t="s">
        <v>100</v>
      </c>
      <c r="M226" s="13" t="s">
        <v>38</v>
      </c>
      <c r="N226" s="14">
        <v>27.168</v>
      </c>
      <c r="O226" s="14">
        <v>26.83</v>
      </c>
      <c r="P226" s="13">
        <v>4.0</v>
      </c>
      <c r="Q226" s="14">
        <f t="shared" si="3"/>
        <v>108.672</v>
      </c>
      <c r="R226" s="14">
        <f t="shared" si="4"/>
        <v>81.842</v>
      </c>
      <c r="S226" s="14">
        <f t="shared" si="5"/>
        <v>26.83</v>
      </c>
    </row>
    <row r="227">
      <c r="A227" s="12">
        <v>42621.0</v>
      </c>
      <c r="B227" s="12" t="s">
        <v>2329</v>
      </c>
      <c r="C227" s="2">
        <v>42598.0</v>
      </c>
      <c r="D227" s="15" t="str">
        <f t="shared" si="1"/>
        <v>Aug</v>
      </c>
      <c r="E227" s="2" t="str">
        <f t="shared" si="2"/>
        <v>2016</v>
      </c>
      <c r="F227" s="13" t="s">
        <v>41</v>
      </c>
      <c r="G227" s="13" t="s">
        <v>2478</v>
      </c>
      <c r="H227" s="13" t="s">
        <v>2370</v>
      </c>
      <c r="I227" s="13" t="s">
        <v>34</v>
      </c>
      <c r="J227" s="13" t="s">
        <v>513</v>
      </c>
      <c r="K227" s="13" t="s">
        <v>157</v>
      </c>
      <c r="L227" s="13" t="s">
        <v>71</v>
      </c>
      <c r="M227" s="13" t="s">
        <v>38</v>
      </c>
      <c r="N227" s="14">
        <v>2.2</v>
      </c>
      <c r="O227" s="14">
        <v>2.12</v>
      </c>
      <c r="P227" s="13">
        <v>4.0</v>
      </c>
      <c r="Q227" s="14">
        <f t="shared" si="3"/>
        <v>8.8</v>
      </c>
      <c r="R227" s="14">
        <f t="shared" si="4"/>
        <v>6.68</v>
      </c>
      <c r="S227" s="14">
        <f t="shared" si="5"/>
        <v>2.12</v>
      </c>
    </row>
    <row r="228">
      <c r="A228" s="12">
        <v>42621.0</v>
      </c>
      <c r="B228" s="12" t="s">
        <v>2329</v>
      </c>
      <c r="C228" s="2">
        <v>42598.0</v>
      </c>
      <c r="D228" s="15" t="str">
        <f t="shared" si="1"/>
        <v>Aug</v>
      </c>
      <c r="E228" s="2" t="str">
        <f t="shared" si="2"/>
        <v>2016</v>
      </c>
      <c r="F228" s="13" t="s">
        <v>41</v>
      </c>
      <c r="G228" s="13" t="s">
        <v>2478</v>
      </c>
      <c r="H228" s="13" t="s">
        <v>2370</v>
      </c>
      <c r="I228" s="13" t="s">
        <v>34</v>
      </c>
      <c r="J228" s="13" t="s">
        <v>513</v>
      </c>
      <c r="K228" s="13" t="s">
        <v>157</v>
      </c>
      <c r="L228" s="13" t="s">
        <v>71</v>
      </c>
      <c r="M228" s="13" t="s">
        <v>27</v>
      </c>
      <c r="N228" s="14">
        <v>622.45</v>
      </c>
      <c r="O228" s="14">
        <v>622.09</v>
      </c>
      <c r="P228" s="13">
        <v>4.0</v>
      </c>
      <c r="Q228" s="14">
        <f t="shared" si="3"/>
        <v>2489.8</v>
      </c>
      <c r="R228" s="14">
        <f t="shared" si="4"/>
        <v>1867.71</v>
      </c>
      <c r="S228" s="14">
        <f t="shared" si="5"/>
        <v>622.09</v>
      </c>
    </row>
    <row r="229">
      <c r="A229" s="12">
        <v>42621.0</v>
      </c>
      <c r="B229" s="12" t="s">
        <v>2329</v>
      </c>
      <c r="C229" s="2">
        <v>42598.0</v>
      </c>
      <c r="D229" s="15" t="str">
        <f t="shared" si="1"/>
        <v>Aug</v>
      </c>
      <c r="E229" s="2" t="str">
        <f t="shared" si="2"/>
        <v>2016</v>
      </c>
      <c r="F229" s="13" t="s">
        <v>41</v>
      </c>
      <c r="G229" s="13" t="s">
        <v>2478</v>
      </c>
      <c r="H229" s="13" t="s">
        <v>2370</v>
      </c>
      <c r="I229" s="13" t="s">
        <v>34</v>
      </c>
      <c r="J229" s="13" t="s">
        <v>513</v>
      </c>
      <c r="K229" s="13" t="s">
        <v>157</v>
      </c>
      <c r="L229" s="13" t="s">
        <v>71</v>
      </c>
      <c r="M229" s="13" t="s">
        <v>38</v>
      </c>
      <c r="N229" s="14">
        <v>21.98</v>
      </c>
      <c r="O229" s="14">
        <v>21.78</v>
      </c>
      <c r="P229" s="13">
        <v>4.0</v>
      </c>
      <c r="Q229" s="14">
        <f t="shared" si="3"/>
        <v>87.92</v>
      </c>
      <c r="R229" s="14">
        <f t="shared" si="4"/>
        <v>66.14</v>
      </c>
      <c r="S229" s="14">
        <f t="shared" si="5"/>
        <v>21.78</v>
      </c>
    </row>
    <row r="230">
      <c r="A230" s="12">
        <v>42428.0</v>
      </c>
      <c r="B230" s="12" t="s">
        <v>2431</v>
      </c>
      <c r="C230" s="2">
        <v>42463.0</v>
      </c>
      <c r="D230" s="15" t="str">
        <f t="shared" si="1"/>
        <v>Apr</v>
      </c>
      <c r="E230" s="2" t="str">
        <f t="shared" si="2"/>
        <v>2016</v>
      </c>
      <c r="F230" s="13" t="s">
        <v>41</v>
      </c>
      <c r="G230" s="13" t="s">
        <v>2493</v>
      </c>
      <c r="H230" s="13" t="s">
        <v>2439</v>
      </c>
      <c r="I230" s="13" t="s">
        <v>23</v>
      </c>
      <c r="J230" s="13" t="s">
        <v>235</v>
      </c>
      <c r="K230" s="13" t="s">
        <v>210</v>
      </c>
      <c r="L230" s="13" t="s">
        <v>26</v>
      </c>
      <c r="M230" s="13" t="s">
        <v>27</v>
      </c>
      <c r="N230" s="14">
        <v>161.568</v>
      </c>
      <c r="O230" s="14">
        <v>161.03</v>
      </c>
      <c r="P230" s="13">
        <v>3.0</v>
      </c>
      <c r="Q230" s="14">
        <f t="shared" si="3"/>
        <v>484.704</v>
      </c>
      <c r="R230" s="14">
        <f t="shared" si="4"/>
        <v>323.674</v>
      </c>
      <c r="S230" s="14">
        <f t="shared" si="5"/>
        <v>161.03</v>
      </c>
    </row>
    <row r="231">
      <c r="A231" s="12">
        <v>42428.0</v>
      </c>
      <c r="B231" s="12" t="s">
        <v>2431</v>
      </c>
      <c r="C231" s="2">
        <v>42463.0</v>
      </c>
      <c r="D231" s="15" t="str">
        <f t="shared" si="1"/>
        <v>Apr</v>
      </c>
      <c r="E231" s="2" t="str">
        <f t="shared" si="2"/>
        <v>2016</v>
      </c>
      <c r="F231" s="13" t="s">
        <v>41</v>
      </c>
      <c r="G231" s="13" t="s">
        <v>2493</v>
      </c>
      <c r="H231" s="13" t="s">
        <v>2439</v>
      </c>
      <c r="I231" s="13" t="s">
        <v>23</v>
      </c>
      <c r="J231" s="13" t="s">
        <v>235</v>
      </c>
      <c r="K231" s="13" t="s">
        <v>210</v>
      </c>
      <c r="L231" s="13" t="s">
        <v>26</v>
      </c>
      <c r="M231" s="13" t="s">
        <v>27</v>
      </c>
      <c r="N231" s="14">
        <v>389.696</v>
      </c>
      <c r="O231" s="14">
        <v>389.21</v>
      </c>
      <c r="P231" s="13">
        <v>3.0</v>
      </c>
      <c r="Q231" s="14">
        <f t="shared" si="3"/>
        <v>1169.088</v>
      </c>
      <c r="R231" s="14">
        <f t="shared" si="4"/>
        <v>779.878</v>
      </c>
      <c r="S231" s="14">
        <f t="shared" si="5"/>
        <v>389.21</v>
      </c>
    </row>
    <row r="232">
      <c r="A232" s="12">
        <v>42260.0</v>
      </c>
      <c r="B232" s="12" t="s">
        <v>2329</v>
      </c>
      <c r="C232" s="2">
        <v>42264.0</v>
      </c>
      <c r="D232" s="15" t="str">
        <f t="shared" si="1"/>
        <v>Sep</v>
      </c>
      <c r="E232" s="2" t="str">
        <f t="shared" si="2"/>
        <v>2015</v>
      </c>
      <c r="F232" s="13" t="s">
        <v>41</v>
      </c>
      <c r="G232" s="13" t="s">
        <v>2369</v>
      </c>
      <c r="H232" s="13" t="s">
        <v>2512</v>
      </c>
      <c r="I232" s="13" t="s">
        <v>34</v>
      </c>
      <c r="J232" s="13" t="s">
        <v>284</v>
      </c>
      <c r="K232" s="13" t="s">
        <v>58</v>
      </c>
      <c r="L232" s="13" t="s">
        <v>26</v>
      </c>
      <c r="M232" s="13" t="s">
        <v>38</v>
      </c>
      <c r="N232" s="14">
        <v>18.648</v>
      </c>
      <c r="O232" s="14">
        <v>18.45</v>
      </c>
      <c r="P232" s="13">
        <v>2.0</v>
      </c>
      <c r="Q232" s="14">
        <f t="shared" si="3"/>
        <v>37.296</v>
      </c>
      <c r="R232" s="14">
        <f t="shared" si="4"/>
        <v>18.846</v>
      </c>
      <c r="S232" s="14">
        <f t="shared" si="5"/>
        <v>18.45</v>
      </c>
    </row>
    <row r="233">
      <c r="A233" s="12">
        <v>43285.0</v>
      </c>
      <c r="B233" s="12" t="s">
        <v>2348</v>
      </c>
      <c r="C233" s="2">
        <v>43438.0</v>
      </c>
      <c r="D233" s="15" t="str">
        <f t="shared" si="1"/>
        <v>Dec</v>
      </c>
      <c r="E233" s="2" t="str">
        <f t="shared" si="2"/>
        <v>2018</v>
      </c>
      <c r="F233" s="13" t="s">
        <v>41</v>
      </c>
      <c r="G233" s="13" t="s">
        <v>2402</v>
      </c>
      <c r="H233" s="13" t="s">
        <v>2403</v>
      </c>
      <c r="I233" s="13" t="s">
        <v>68</v>
      </c>
      <c r="J233" s="13" t="s">
        <v>522</v>
      </c>
      <c r="K233" s="13" t="s">
        <v>145</v>
      </c>
      <c r="L233" s="13" t="s">
        <v>26</v>
      </c>
      <c r="M233" s="13" t="s">
        <v>27</v>
      </c>
      <c r="N233" s="14">
        <v>233.86</v>
      </c>
      <c r="O233" s="14">
        <v>233.41</v>
      </c>
      <c r="P233" s="13">
        <v>3.0</v>
      </c>
      <c r="Q233" s="14">
        <f t="shared" si="3"/>
        <v>701.58</v>
      </c>
      <c r="R233" s="14">
        <f t="shared" si="4"/>
        <v>468.17</v>
      </c>
      <c r="S233" s="14">
        <f t="shared" si="5"/>
        <v>233.41</v>
      </c>
    </row>
    <row r="234">
      <c r="A234" s="12">
        <v>43285.0</v>
      </c>
      <c r="B234" s="12" t="s">
        <v>2348</v>
      </c>
      <c r="C234" s="2">
        <v>43438.0</v>
      </c>
      <c r="D234" s="15" t="str">
        <f t="shared" si="1"/>
        <v>Dec</v>
      </c>
      <c r="E234" s="2" t="str">
        <f t="shared" si="2"/>
        <v>2018</v>
      </c>
      <c r="F234" s="13" t="s">
        <v>41</v>
      </c>
      <c r="G234" s="13" t="s">
        <v>2402</v>
      </c>
      <c r="H234" s="13" t="s">
        <v>2403</v>
      </c>
      <c r="I234" s="13" t="s">
        <v>68</v>
      </c>
      <c r="J234" s="13" t="s">
        <v>522</v>
      </c>
      <c r="K234" s="13" t="s">
        <v>145</v>
      </c>
      <c r="L234" s="13" t="s">
        <v>26</v>
      </c>
      <c r="M234" s="13" t="s">
        <v>27</v>
      </c>
      <c r="N234" s="14">
        <v>620.6145</v>
      </c>
      <c r="O234" s="14">
        <v>620.39</v>
      </c>
      <c r="P234" s="13">
        <v>3.0</v>
      </c>
      <c r="Q234" s="14">
        <f t="shared" si="3"/>
        <v>1861.8435</v>
      </c>
      <c r="R234" s="14">
        <f t="shared" si="4"/>
        <v>1241.4535</v>
      </c>
      <c r="S234" s="14">
        <f t="shared" si="5"/>
        <v>620.39</v>
      </c>
    </row>
    <row r="235">
      <c r="A235" s="12">
        <v>43285.0</v>
      </c>
      <c r="B235" s="12" t="s">
        <v>2348</v>
      </c>
      <c r="C235" s="2">
        <v>43438.0</v>
      </c>
      <c r="D235" s="15" t="str">
        <f t="shared" si="1"/>
        <v>Dec</v>
      </c>
      <c r="E235" s="2" t="str">
        <f t="shared" si="2"/>
        <v>2018</v>
      </c>
      <c r="F235" s="13" t="s">
        <v>41</v>
      </c>
      <c r="G235" s="13" t="s">
        <v>2402</v>
      </c>
      <c r="H235" s="13" t="s">
        <v>2403</v>
      </c>
      <c r="I235" s="13" t="s">
        <v>68</v>
      </c>
      <c r="J235" s="13" t="s">
        <v>522</v>
      </c>
      <c r="K235" s="13" t="s">
        <v>145</v>
      </c>
      <c r="L235" s="13" t="s">
        <v>26</v>
      </c>
      <c r="M235" s="13" t="s">
        <v>38</v>
      </c>
      <c r="N235" s="14">
        <v>5.328</v>
      </c>
      <c r="O235" s="14">
        <v>4.57</v>
      </c>
      <c r="P235" s="13">
        <v>3.0</v>
      </c>
      <c r="Q235" s="14">
        <f t="shared" si="3"/>
        <v>15.984</v>
      </c>
      <c r="R235" s="14">
        <f t="shared" si="4"/>
        <v>11.414</v>
      </c>
      <c r="S235" s="14">
        <f t="shared" si="5"/>
        <v>4.57</v>
      </c>
    </row>
    <row r="236">
      <c r="A236" s="12">
        <v>43285.0</v>
      </c>
      <c r="B236" s="12" t="s">
        <v>2348</v>
      </c>
      <c r="C236" s="2">
        <v>43438.0</v>
      </c>
      <c r="D236" s="15" t="str">
        <f t="shared" si="1"/>
        <v>Dec</v>
      </c>
      <c r="E236" s="2" t="str">
        <f t="shared" si="2"/>
        <v>2018</v>
      </c>
      <c r="F236" s="13" t="s">
        <v>41</v>
      </c>
      <c r="G236" s="13" t="s">
        <v>2402</v>
      </c>
      <c r="H236" s="13" t="s">
        <v>2403</v>
      </c>
      <c r="I236" s="13" t="s">
        <v>68</v>
      </c>
      <c r="J236" s="13" t="s">
        <v>522</v>
      </c>
      <c r="K236" s="13" t="s">
        <v>145</v>
      </c>
      <c r="L236" s="13" t="s">
        <v>26</v>
      </c>
      <c r="M236" s="13" t="s">
        <v>27</v>
      </c>
      <c r="N236" s="14">
        <v>258.072</v>
      </c>
      <c r="O236" s="14">
        <v>258.03</v>
      </c>
      <c r="P236" s="13">
        <v>3.0</v>
      </c>
      <c r="Q236" s="14">
        <f t="shared" si="3"/>
        <v>774.216</v>
      </c>
      <c r="R236" s="14">
        <f t="shared" si="4"/>
        <v>516.186</v>
      </c>
      <c r="S236" s="14">
        <f t="shared" si="5"/>
        <v>258.03</v>
      </c>
    </row>
    <row r="237">
      <c r="A237" s="12">
        <v>43285.0</v>
      </c>
      <c r="B237" s="12" t="s">
        <v>2348</v>
      </c>
      <c r="C237" s="2">
        <v>43438.0</v>
      </c>
      <c r="D237" s="15" t="str">
        <f t="shared" si="1"/>
        <v>Dec</v>
      </c>
      <c r="E237" s="2" t="str">
        <f t="shared" si="2"/>
        <v>2018</v>
      </c>
      <c r="F237" s="13" t="s">
        <v>41</v>
      </c>
      <c r="G237" s="13" t="s">
        <v>2402</v>
      </c>
      <c r="H237" s="13" t="s">
        <v>2403</v>
      </c>
      <c r="I237" s="13" t="s">
        <v>68</v>
      </c>
      <c r="J237" s="13" t="s">
        <v>522</v>
      </c>
      <c r="K237" s="13" t="s">
        <v>145</v>
      </c>
      <c r="L237" s="13" t="s">
        <v>26</v>
      </c>
      <c r="M237" s="13" t="s">
        <v>51</v>
      </c>
      <c r="N237" s="14">
        <v>617.976</v>
      </c>
      <c r="O237" s="14">
        <v>617.0</v>
      </c>
      <c r="P237" s="13">
        <v>3.0</v>
      </c>
      <c r="Q237" s="14">
        <f t="shared" si="3"/>
        <v>1853.928</v>
      </c>
      <c r="R237" s="14">
        <f t="shared" si="4"/>
        <v>1236.928</v>
      </c>
      <c r="S237" s="14">
        <f t="shared" si="5"/>
        <v>617</v>
      </c>
    </row>
    <row r="238">
      <c r="A238" s="12">
        <v>43445.0</v>
      </c>
      <c r="B238" s="12" t="s">
        <v>2325</v>
      </c>
      <c r="C238" s="2">
        <v>43420.0</v>
      </c>
      <c r="D238" s="15" t="str">
        <f t="shared" si="1"/>
        <v>Nov</v>
      </c>
      <c r="E238" s="2" t="str">
        <f t="shared" si="2"/>
        <v>2018</v>
      </c>
      <c r="F238" s="13" t="s">
        <v>41</v>
      </c>
      <c r="G238" s="13" t="s">
        <v>2478</v>
      </c>
      <c r="H238" s="13" t="s">
        <v>2513</v>
      </c>
      <c r="I238" s="13" t="s">
        <v>34</v>
      </c>
      <c r="J238" s="13" t="s">
        <v>526</v>
      </c>
      <c r="K238" s="13" t="s">
        <v>52</v>
      </c>
      <c r="L238" s="13" t="s">
        <v>37</v>
      </c>
      <c r="M238" s="13" t="s">
        <v>38</v>
      </c>
      <c r="N238" s="14">
        <v>10.56</v>
      </c>
      <c r="O238" s="14">
        <v>9.71</v>
      </c>
      <c r="P238" s="13">
        <v>9.0</v>
      </c>
      <c r="Q238" s="14">
        <f t="shared" si="3"/>
        <v>95.04</v>
      </c>
      <c r="R238" s="14">
        <f t="shared" si="4"/>
        <v>85.33</v>
      </c>
      <c r="S238" s="14">
        <f t="shared" si="5"/>
        <v>9.71</v>
      </c>
    </row>
    <row r="239">
      <c r="A239" s="12">
        <v>42831.0</v>
      </c>
      <c r="B239" s="12" t="s">
        <v>2332</v>
      </c>
      <c r="C239" s="2">
        <v>42984.0</v>
      </c>
      <c r="D239" s="15" t="str">
        <f t="shared" si="1"/>
        <v>Sep</v>
      </c>
      <c r="E239" s="2" t="str">
        <f t="shared" si="2"/>
        <v>2017</v>
      </c>
      <c r="F239" s="13" t="s">
        <v>20</v>
      </c>
      <c r="G239" s="13" t="s">
        <v>2346</v>
      </c>
      <c r="H239" s="13" t="s">
        <v>2514</v>
      </c>
      <c r="I239" s="13" t="s">
        <v>23</v>
      </c>
      <c r="J239" s="13" t="s">
        <v>188</v>
      </c>
      <c r="K239" s="13" t="s">
        <v>135</v>
      </c>
      <c r="L239" s="13" t="s">
        <v>71</v>
      </c>
      <c r="M239" s="13" t="s">
        <v>38</v>
      </c>
      <c r="N239" s="14">
        <v>25.92</v>
      </c>
      <c r="O239" s="14">
        <v>25.59</v>
      </c>
      <c r="P239" s="13">
        <v>6.0</v>
      </c>
      <c r="Q239" s="14">
        <f t="shared" si="3"/>
        <v>155.52</v>
      </c>
      <c r="R239" s="14">
        <f t="shared" si="4"/>
        <v>129.93</v>
      </c>
      <c r="S239" s="14">
        <f t="shared" si="5"/>
        <v>25.59</v>
      </c>
    </row>
    <row r="240">
      <c r="A240" s="12">
        <v>42831.0</v>
      </c>
      <c r="B240" s="12" t="s">
        <v>2332</v>
      </c>
      <c r="C240" s="2">
        <v>42984.0</v>
      </c>
      <c r="D240" s="15" t="str">
        <f t="shared" si="1"/>
        <v>Sep</v>
      </c>
      <c r="E240" s="2" t="str">
        <f t="shared" si="2"/>
        <v>2017</v>
      </c>
      <c r="F240" s="13" t="s">
        <v>20</v>
      </c>
      <c r="G240" s="13" t="s">
        <v>2346</v>
      </c>
      <c r="H240" s="13" t="s">
        <v>2514</v>
      </c>
      <c r="I240" s="13" t="s">
        <v>23</v>
      </c>
      <c r="J240" s="13" t="s">
        <v>188</v>
      </c>
      <c r="K240" s="13" t="s">
        <v>135</v>
      </c>
      <c r="L240" s="13" t="s">
        <v>71</v>
      </c>
      <c r="M240" s="13" t="s">
        <v>27</v>
      </c>
      <c r="N240" s="14">
        <v>419.68</v>
      </c>
      <c r="O240" s="14">
        <v>418.98</v>
      </c>
      <c r="P240" s="13">
        <v>6.0</v>
      </c>
      <c r="Q240" s="14">
        <f t="shared" si="3"/>
        <v>2518.08</v>
      </c>
      <c r="R240" s="14">
        <f t="shared" si="4"/>
        <v>2099.1</v>
      </c>
      <c r="S240" s="14">
        <f t="shared" si="5"/>
        <v>418.98</v>
      </c>
    </row>
    <row r="241">
      <c r="A241" s="12">
        <v>42831.0</v>
      </c>
      <c r="B241" s="12" t="s">
        <v>2332</v>
      </c>
      <c r="C241" s="2">
        <v>42984.0</v>
      </c>
      <c r="D241" s="15" t="str">
        <f t="shared" si="1"/>
        <v>Sep</v>
      </c>
      <c r="E241" s="2" t="str">
        <f t="shared" si="2"/>
        <v>2017</v>
      </c>
      <c r="F241" s="13" t="s">
        <v>20</v>
      </c>
      <c r="G241" s="13" t="s">
        <v>2346</v>
      </c>
      <c r="H241" s="13" t="s">
        <v>2514</v>
      </c>
      <c r="I241" s="13" t="s">
        <v>23</v>
      </c>
      <c r="J241" s="13" t="s">
        <v>188</v>
      </c>
      <c r="K241" s="13" t="s">
        <v>135</v>
      </c>
      <c r="L241" s="13" t="s">
        <v>71</v>
      </c>
      <c r="M241" s="13" t="s">
        <v>27</v>
      </c>
      <c r="N241" s="14">
        <v>11.688</v>
      </c>
      <c r="O241" s="14">
        <v>10.99</v>
      </c>
      <c r="P241" s="13">
        <v>6.0</v>
      </c>
      <c r="Q241" s="14">
        <f t="shared" si="3"/>
        <v>70.128</v>
      </c>
      <c r="R241" s="14">
        <f t="shared" si="4"/>
        <v>59.138</v>
      </c>
      <c r="S241" s="14">
        <f t="shared" si="5"/>
        <v>10.99</v>
      </c>
    </row>
    <row r="242">
      <c r="A242" s="12">
        <v>42831.0</v>
      </c>
      <c r="B242" s="12" t="s">
        <v>2332</v>
      </c>
      <c r="C242" s="2">
        <v>42984.0</v>
      </c>
      <c r="D242" s="15" t="str">
        <f t="shared" si="1"/>
        <v>Sep</v>
      </c>
      <c r="E242" s="2" t="str">
        <f t="shared" si="2"/>
        <v>2017</v>
      </c>
      <c r="F242" s="13" t="s">
        <v>20</v>
      </c>
      <c r="G242" s="13" t="s">
        <v>2346</v>
      </c>
      <c r="H242" s="13" t="s">
        <v>2514</v>
      </c>
      <c r="I242" s="13" t="s">
        <v>23</v>
      </c>
      <c r="J242" s="13" t="s">
        <v>188</v>
      </c>
      <c r="K242" s="13" t="s">
        <v>135</v>
      </c>
      <c r="L242" s="13" t="s">
        <v>71</v>
      </c>
      <c r="M242" s="13" t="s">
        <v>51</v>
      </c>
      <c r="N242" s="14">
        <v>31.984</v>
      </c>
      <c r="O242" s="14">
        <v>31.54</v>
      </c>
      <c r="P242" s="13">
        <v>6.0</v>
      </c>
      <c r="Q242" s="14">
        <f t="shared" si="3"/>
        <v>191.904</v>
      </c>
      <c r="R242" s="14">
        <f t="shared" si="4"/>
        <v>160.364</v>
      </c>
      <c r="S242" s="14">
        <f t="shared" si="5"/>
        <v>31.54</v>
      </c>
    </row>
    <row r="243">
      <c r="A243" s="12">
        <v>42831.0</v>
      </c>
      <c r="B243" s="12" t="s">
        <v>2332</v>
      </c>
      <c r="C243" s="2">
        <v>42984.0</v>
      </c>
      <c r="D243" s="15" t="str">
        <f t="shared" si="1"/>
        <v>Sep</v>
      </c>
      <c r="E243" s="2" t="str">
        <f t="shared" si="2"/>
        <v>2017</v>
      </c>
      <c r="F243" s="13" t="s">
        <v>20</v>
      </c>
      <c r="G243" s="13" t="s">
        <v>2346</v>
      </c>
      <c r="H243" s="13" t="s">
        <v>2514</v>
      </c>
      <c r="I243" s="13" t="s">
        <v>23</v>
      </c>
      <c r="J243" s="13" t="s">
        <v>188</v>
      </c>
      <c r="K243" s="13" t="s">
        <v>135</v>
      </c>
      <c r="L243" s="13" t="s">
        <v>71</v>
      </c>
      <c r="M243" s="13" t="s">
        <v>27</v>
      </c>
      <c r="N243" s="14">
        <v>177.225</v>
      </c>
      <c r="O243" s="14">
        <v>177.17</v>
      </c>
      <c r="P243" s="13">
        <v>6.0</v>
      </c>
      <c r="Q243" s="14">
        <f t="shared" si="3"/>
        <v>1063.35</v>
      </c>
      <c r="R243" s="14">
        <f t="shared" si="4"/>
        <v>886.18</v>
      </c>
      <c r="S243" s="14">
        <f t="shared" si="5"/>
        <v>177.17</v>
      </c>
    </row>
    <row r="244">
      <c r="A244" s="12">
        <v>42831.0</v>
      </c>
      <c r="B244" s="12" t="s">
        <v>2332</v>
      </c>
      <c r="C244" s="2">
        <v>42984.0</v>
      </c>
      <c r="D244" s="15" t="str">
        <f t="shared" si="1"/>
        <v>Sep</v>
      </c>
      <c r="E244" s="2" t="str">
        <f t="shared" si="2"/>
        <v>2017</v>
      </c>
      <c r="F244" s="13" t="s">
        <v>20</v>
      </c>
      <c r="G244" s="13" t="s">
        <v>2346</v>
      </c>
      <c r="H244" s="13" t="s">
        <v>2514</v>
      </c>
      <c r="I244" s="13" t="s">
        <v>23</v>
      </c>
      <c r="J244" s="13" t="s">
        <v>188</v>
      </c>
      <c r="K244" s="13" t="s">
        <v>135</v>
      </c>
      <c r="L244" s="13" t="s">
        <v>71</v>
      </c>
      <c r="M244" s="13" t="s">
        <v>27</v>
      </c>
      <c r="N244" s="14">
        <v>4.044</v>
      </c>
      <c r="O244" s="14">
        <v>3.17</v>
      </c>
      <c r="P244" s="13">
        <v>6.0</v>
      </c>
      <c r="Q244" s="14">
        <f t="shared" si="3"/>
        <v>24.264</v>
      </c>
      <c r="R244" s="14">
        <f t="shared" si="4"/>
        <v>21.094</v>
      </c>
      <c r="S244" s="14">
        <f t="shared" si="5"/>
        <v>3.17</v>
      </c>
    </row>
    <row r="245">
      <c r="A245" s="12">
        <v>42831.0</v>
      </c>
      <c r="B245" s="12" t="s">
        <v>2332</v>
      </c>
      <c r="C245" s="2">
        <v>42984.0</v>
      </c>
      <c r="D245" s="15" t="str">
        <f t="shared" si="1"/>
        <v>Sep</v>
      </c>
      <c r="E245" s="2" t="str">
        <f t="shared" si="2"/>
        <v>2017</v>
      </c>
      <c r="F245" s="13" t="s">
        <v>20</v>
      </c>
      <c r="G245" s="13" t="s">
        <v>2346</v>
      </c>
      <c r="H245" s="13" t="s">
        <v>2514</v>
      </c>
      <c r="I245" s="13" t="s">
        <v>23</v>
      </c>
      <c r="J245" s="13" t="s">
        <v>188</v>
      </c>
      <c r="K245" s="13" t="s">
        <v>135</v>
      </c>
      <c r="L245" s="13" t="s">
        <v>71</v>
      </c>
      <c r="M245" s="13" t="s">
        <v>38</v>
      </c>
      <c r="N245" s="14">
        <v>7.408</v>
      </c>
      <c r="O245" s="14">
        <v>6.77</v>
      </c>
      <c r="P245" s="13">
        <v>6.0</v>
      </c>
      <c r="Q245" s="14">
        <f t="shared" si="3"/>
        <v>44.448</v>
      </c>
      <c r="R245" s="14">
        <f t="shared" si="4"/>
        <v>37.678</v>
      </c>
      <c r="S245" s="14">
        <f t="shared" si="5"/>
        <v>6.77</v>
      </c>
    </row>
    <row r="246">
      <c r="A246" s="12">
        <v>42010.0</v>
      </c>
      <c r="B246" s="12" t="s">
        <v>2353</v>
      </c>
      <c r="C246" s="2">
        <v>42161.0</v>
      </c>
      <c r="D246" s="15" t="str">
        <f t="shared" si="1"/>
        <v>Jun</v>
      </c>
      <c r="E246" s="2" t="str">
        <f t="shared" si="2"/>
        <v>2015</v>
      </c>
      <c r="F246" s="13" t="s">
        <v>20</v>
      </c>
      <c r="G246" s="13" t="s">
        <v>2515</v>
      </c>
      <c r="H246" s="13" t="s">
        <v>2509</v>
      </c>
      <c r="I246" s="13" t="s">
        <v>68</v>
      </c>
      <c r="J246" s="13" t="s">
        <v>533</v>
      </c>
      <c r="K246" s="13" t="s">
        <v>151</v>
      </c>
      <c r="L246" s="13" t="s">
        <v>71</v>
      </c>
      <c r="M246" s="13" t="s">
        <v>27</v>
      </c>
      <c r="N246" s="14">
        <v>2001.86</v>
      </c>
      <c r="O246" s="14">
        <v>2001.35</v>
      </c>
      <c r="P246" s="13">
        <v>5.0</v>
      </c>
      <c r="Q246" s="14">
        <f t="shared" si="3"/>
        <v>10009.3</v>
      </c>
      <c r="R246" s="14">
        <f t="shared" si="4"/>
        <v>8007.95</v>
      </c>
      <c r="S246" s="14">
        <f t="shared" si="5"/>
        <v>2001.35</v>
      </c>
    </row>
    <row r="247">
      <c r="A247" s="12">
        <v>42010.0</v>
      </c>
      <c r="B247" s="12" t="s">
        <v>2353</v>
      </c>
      <c r="C247" s="2">
        <v>42161.0</v>
      </c>
      <c r="D247" s="15" t="str">
        <f t="shared" si="1"/>
        <v>Jun</v>
      </c>
      <c r="E247" s="2" t="str">
        <f t="shared" si="2"/>
        <v>2015</v>
      </c>
      <c r="F247" s="13" t="s">
        <v>20</v>
      </c>
      <c r="G247" s="13" t="s">
        <v>2515</v>
      </c>
      <c r="H247" s="13" t="s">
        <v>2509</v>
      </c>
      <c r="I247" s="13" t="s">
        <v>68</v>
      </c>
      <c r="J247" s="13" t="s">
        <v>533</v>
      </c>
      <c r="K247" s="13" t="s">
        <v>151</v>
      </c>
      <c r="L247" s="13" t="s">
        <v>71</v>
      </c>
      <c r="M247" s="13" t="s">
        <v>38</v>
      </c>
      <c r="N247" s="14">
        <v>166.72</v>
      </c>
      <c r="O247" s="14">
        <v>166.12</v>
      </c>
      <c r="P247" s="13">
        <v>5.0</v>
      </c>
      <c r="Q247" s="14">
        <f t="shared" si="3"/>
        <v>833.6</v>
      </c>
      <c r="R247" s="14">
        <f t="shared" si="4"/>
        <v>667.48</v>
      </c>
      <c r="S247" s="14">
        <f t="shared" si="5"/>
        <v>166.12</v>
      </c>
    </row>
    <row r="248">
      <c r="A248" s="12">
        <v>42010.0</v>
      </c>
      <c r="B248" s="12" t="s">
        <v>2353</v>
      </c>
      <c r="C248" s="2">
        <v>42161.0</v>
      </c>
      <c r="D248" s="15" t="str">
        <f t="shared" si="1"/>
        <v>Jun</v>
      </c>
      <c r="E248" s="2" t="str">
        <f t="shared" si="2"/>
        <v>2015</v>
      </c>
      <c r="F248" s="13" t="s">
        <v>20</v>
      </c>
      <c r="G248" s="13" t="s">
        <v>2515</v>
      </c>
      <c r="H248" s="13" t="s">
        <v>2509</v>
      </c>
      <c r="I248" s="13" t="s">
        <v>68</v>
      </c>
      <c r="J248" s="13" t="s">
        <v>533</v>
      </c>
      <c r="K248" s="13" t="s">
        <v>151</v>
      </c>
      <c r="L248" s="13" t="s">
        <v>71</v>
      </c>
      <c r="M248" s="13" t="s">
        <v>38</v>
      </c>
      <c r="N248" s="14">
        <v>47.88</v>
      </c>
      <c r="O248" s="14">
        <v>47.37</v>
      </c>
      <c r="P248" s="13">
        <v>5.0</v>
      </c>
      <c r="Q248" s="14">
        <f t="shared" si="3"/>
        <v>239.4</v>
      </c>
      <c r="R248" s="14">
        <f t="shared" si="4"/>
        <v>192.03</v>
      </c>
      <c r="S248" s="14">
        <f t="shared" si="5"/>
        <v>47.37</v>
      </c>
    </row>
    <row r="249">
      <c r="A249" s="12">
        <v>42010.0</v>
      </c>
      <c r="B249" s="12" t="s">
        <v>2353</v>
      </c>
      <c r="C249" s="2">
        <v>42161.0</v>
      </c>
      <c r="D249" s="15" t="str">
        <f t="shared" si="1"/>
        <v>Jun</v>
      </c>
      <c r="E249" s="2" t="str">
        <f t="shared" si="2"/>
        <v>2015</v>
      </c>
      <c r="F249" s="13" t="s">
        <v>20</v>
      </c>
      <c r="G249" s="13" t="s">
        <v>2515</v>
      </c>
      <c r="H249" s="13" t="s">
        <v>2509</v>
      </c>
      <c r="I249" s="13" t="s">
        <v>68</v>
      </c>
      <c r="J249" s="13" t="s">
        <v>533</v>
      </c>
      <c r="K249" s="13" t="s">
        <v>151</v>
      </c>
      <c r="L249" s="13" t="s">
        <v>71</v>
      </c>
      <c r="M249" s="13" t="s">
        <v>38</v>
      </c>
      <c r="N249" s="14">
        <v>1503.25</v>
      </c>
      <c r="O249" s="14">
        <v>1502.81</v>
      </c>
      <c r="P249" s="13">
        <v>5.0</v>
      </c>
      <c r="Q249" s="14">
        <f t="shared" si="3"/>
        <v>7516.25</v>
      </c>
      <c r="R249" s="14">
        <f t="shared" si="4"/>
        <v>6013.44</v>
      </c>
      <c r="S249" s="14">
        <f t="shared" si="5"/>
        <v>1502.81</v>
      </c>
    </row>
    <row r="250">
      <c r="A250" s="12">
        <v>42010.0</v>
      </c>
      <c r="B250" s="12" t="s">
        <v>2353</v>
      </c>
      <c r="C250" s="2">
        <v>42161.0</v>
      </c>
      <c r="D250" s="15" t="str">
        <f t="shared" si="1"/>
        <v>Jun</v>
      </c>
      <c r="E250" s="2" t="str">
        <f t="shared" si="2"/>
        <v>2015</v>
      </c>
      <c r="F250" s="13" t="s">
        <v>20</v>
      </c>
      <c r="G250" s="13" t="s">
        <v>2515</v>
      </c>
      <c r="H250" s="13" t="s">
        <v>2509</v>
      </c>
      <c r="I250" s="13" t="s">
        <v>68</v>
      </c>
      <c r="J250" s="13" t="s">
        <v>533</v>
      </c>
      <c r="K250" s="13" t="s">
        <v>151</v>
      </c>
      <c r="L250" s="13" t="s">
        <v>71</v>
      </c>
      <c r="M250" s="13" t="s">
        <v>38</v>
      </c>
      <c r="N250" s="14">
        <v>25.92</v>
      </c>
      <c r="O250" s="14">
        <v>25.76</v>
      </c>
      <c r="P250" s="13">
        <v>5.0</v>
      </c>
      <c r="Q250" s="14">
        <f t="shared" si="3"/>
        <v>129.6</v>
      </c>
      <c r="R250" s="14">
        <f t="shared" si="4"/>
        <v>103.84</v>
      </c>
      <c r="S250" s="14">
        <f t="shared" si="5"/>
        <v>25.76</v>
      </c>
    </row>
    <row r="251">
      <c r="A251" s="12">
        <v>43020.0</v>
      </c>
      <c r="B251" s="12" t="s">
        <v>2358</v>
      </c>
      <c r="C251" s="2">
        <v>43084.0</v>
      </c>
      <c r="D251" s="15" t="str">
        <f t="shared" si="1"/>
        <v>Dec</v>
      </c>
      <c r="E251" s="2" t="str">
        <f t="shared" si="2"/>
        <v>2017</v>
      </c>
      <c r="F251" s="13" t="s">
        <v>20</v>
      </c>
      <c r="G251" s="13" t="s">
        <v>2499</v>
      </c>
      <c r="H251" s="13" t="s">
        <v>2516</v>
      </c>
      <c r="I251" s="13" t="s">
        <v>23</v>
      </c>
      <c r="J251" s="13" t="s">
        <v>87</v>
      </c>
      <c r="K251" s="13" t="s">
        <v>52</v>
      </c>
      <c r="L251" s="13" t="s">
        <v>37</v>
      </c>
      <c r="M251" s="13" t="s">
        <v>27</v>
      </c>
      <c r="N251" s="14">
        <v>321.568</v>
      </c>
      <c r="O251" s="14">
        <v>320.85</v>
      </c>
      <c r="P251" s="13">
        <v>9.0</v>
      </c>
      <c r="Q251" s="14">
        <f t="shared" si="3"/>
        <v>2894.112</v>
      </c>
      <c r="R251" s="14">
        <f t="shared" si="4"/>
        <v>2573.262</v>
      </c>
      <c r="S251" s="14">
        <f t="shared" si="5"/>
        <v>320.85</v>
      </c>
    </row>
    <row r="252">
      <c r="A252" s="12">
        <v>43048.0</v>
      </c>
      <c r="B252" s="12" t="s">
        <v>2326</v>
      </c>
      <c r="C252" s="2">
        <v>42995.0</v>
      </c>
      <c r="D252" s="15" t="str">
        <f t="shared" si="1"/>
        <v>Sep</v>
      </c>
      <c r="E252" s="2" t="str">
        <f t="shared" si="2"/>
        <v>2017</v>
      </c>
      <c r="F252" s="13" t="s">
        <v>41</v>
      </c>
      <c r="G252" s="13" t="s">
        <v>2517</v>
      </c>
      <c r="H252" s="13" t="s">
        <v>2518</v>
      </c>
      <c r="I252" s="13" t="s">
        <v>23</v>
      </c>
      <c r="J252" s="13" t="s">
        <v>542</v>
      </c>
      <c r="K252" s="13" t="s">
        <v>52</v>
      </c>
      <c r="L252" s="13" t="s">
        <v>37</v>
      </c>
      <c r="M252" s="13" t="s">
        <v>38</v>
      </c>
      <c r="N252" s="14">
        <v>7.61</v>
      </c>
      <c r="O252" s="14">
        <v>7.3</v>
      </c>
      <c r="P252" s="13">
        <v>9.0</v>
      </c>
      <c r="Q252" s="14">
        <f t="shared" si="3"/>
        <v>68.49</v>
      </c>
      <c r="R252" s="14">
        <f t="shared" si="4"/>
        <v>61.19</v>
      </c>
      <c r="S252" s="14">
        <f t="shared" si="5"/>
        <v>7.3</v>
      </c>
    </row>
    <row r="253">
      <c r="A253" s="12">
        <v>43048.0</v>
      </c>
      <c r="B253" s="12" t="s">
        <v>2326</v>
      </c>
      <c r="C253" s="2">
        <v>42995.0</v>
      </c>
      <c r="D253" s="15" t="str">
        <f t="shared" si="1"/>
        <v>Sep</v>
      </c>
      <c r="E253" s="2" t="str">
        <f t="shared" si="2"/>
        <v>2017</v>
      </c>
      <c r="F253" s="13" t="s">
        <v>41</v>
      </c>
      <c r="G253" s="13" t="s">
        <v>2517</v>
      </c>
      <c r="H253" s="13" t="s">
        <v>2518</v>
      </c>
      <c r="I253" s="13" t="s">
        <v>23</v>
      </c>
      <c r="J253" s="13" t="s">
        <v>542</v>
      </c>
      <c r="K253" s="13" t="s">
        <v>52</v>
      </c>
      <c r="L253" s="13" t="s">
        <v>37</v>
      </c>
      <c r="M253" s="13" t="s">
        <v>51</v>
      </c>
      <c r="N253" s="14">
        <v>3347.37</v>
      </c>
      <c r="O253" s="14">
        <v>3347.33</v>
      </c>
      <c r="P253" s="13">
        <v>9.0</v>
      </c>
      <c r="Q253" s="14">
        <f t="shared" si="3"/>
        <v>30126.33</v>
      </c>
      <c r="R253" s="14">
        <f t="shared" si="4"/>
        <v>26779</v>
      </c>
      <c r="S253" s="14">
        <f t="shared" si="5"/>
        <v>3347.33</v>
      </c>
    </row>
    <row r="254">
      <c r="A254" s="12">
        <v>43020.0</v>
      </c>
      <c r="B254" s="12" t="s">
        <v>2358</v>
      </c>
      <c r="C254" s="2">
        <v>43082.0</v>
      </c>
      <c r="D254" s="15" t="str">
        <f t="shared" si="1"/>
        <v>Dec</v>
      </c>
      <c r="E254" s="2" t="str">
        <f t="shared" si="2"/>
        <v>2017</v>
      </c>
      <c r="F254" s="13" t="s">
        <v>121</v>
      </c>
      <c r="G254" s="13" t="s">
        <v>2519</v>
      </c>
      <c r="H254" s="13" t="s">
        <v>2520</v>
      </c>
      <c r="I254" s="13" t="s">
        <v>23</v>
      </c>
      <c r="J254" s="13" t="s">
        <v>174</v>
      </c>
      <c r="K254" s="13" t="s">
        <v>175</v>
      </c>
      <c r="L254" s="13" t="s">
        <v>100</v>
      </c>
      <c r="M254" s="13" t="s">
        <v>38</v>
      </c>
      <c r="N254" s="14">
        <v>80.58</v>
      </c>
      <c r="O254" s="14">
        <v>79.76</v>
      </c>
      <c r="P254" s="13">
        <v>1.0</v>
      </c>
      <c r="Q254" s="14">
        <f t="shared" si="3"/>
        <v>80.58</v>
      </c>
      <c r="R254" s="14">
        <f t="shared" si="4"/>
        <v>0.82</v>
      </c>
      <c r="S254" s="14">
        <f t="shared" si="5"/>
        <v>79.76</v>
      </c>
    </row>
    <row r="255">
      <c r="A255" s="12">
        <v>43020.0</v>
      </c>
      <c r="B255" s="12" t="s">
        <v>2358</v>
      </c>
      <c r="C255" s="2">
        <v>43082.0</v>
      </c>
      <c r="D255" s="15" t="str">
        <f t="shared" si="1"/>
        <v>Dec</v>
      </c>
      <c r="E255" s="2" t="str">
        <f t="shared" si="2"/>
        <v>2017</v>
      </c>
      <c r="F255" s="13" t="s">
        <v>121</v>
      </c>
      <c r="G255" s="13" t="s">
        <v>2519</v>
      </c>
      <c r="H255" s="13" t="s">
        <v>2520</v>
      </c>
      <c r="I255" s="13" t="s">
        <v>23</v>
      </c>
      <c r="J255" s="13" t="s">
        <v>174</v>
      </c>
      <c r="K255" s="13" t="s">
        <v>175</v>
      </c>
      <c r="L255" s="13" t="s">
        <v>100</v>
      </c>
      <c r="M255" s="13" t="s">
        <v>38</v>
      </c>
      <c r="N255" s="14">
        <v>361.92</v>
      </c>
      <c r="O255" s="14">
        <v>361.13</v>
      </c>
      <c r="P255" s="13">
        <v>1.0</v>
      </c>
      <c r="Q255" s="14">
        <f t="shared" si="3"/>
        <v>361.92</v>
      </c>
      <c r="R255" s="14">
        <f t="shared" si="4"/>
        <v>0.79</v>
      </c>
      <c r="S255" s="14">
        <f t="shared" si="5"/>
        <v>361.13</v>
      </c>
    </row>
    <row r="256">
      <c r="A256" s="12">
        <v>42702.0</v>
      </c>
      <c r="B256" s="12" t="s">
        <v>2326</v>
      </c>
      <c r="C256" s="2">
        <v>42472.0</v>
      </c>
      <c r="D256" s="15" t="str">
        <f t="shared" si="1"/>
        <v>Apr</v>
      </c>
      <c r="E256" s="2" t="str">
        <f t="shared" si="2"/>
        <v>2016</v>
      </c>
      <c r="F256" s="13" t="s">
        <v>41</v>
      </c>
      <c r="G256" s="13" t="s">
        <v>2521</v>
      </c>
      <c r="H256" s="13" t="s">
        <v>2522</v>
      </c>
      <c r="I256" s="13" t="s">
        <v>34</v>
      </c>
      <c r="J256" s="13" t="s">
        <v>188</v>
      </c>
      <c r="K256" s="13" t="s">
        <v>135</v>
      </c>
      <c r="L256" s="13" t="s">
        <v>71</v>
      </c>
      <c r="M256" s="13" t="s">
        <v>27</v>
      </c>
      <c r="N256" s="14">
        <v>12.132</v>
      </c>
      <c r="O256" s="14">
        <v>11.56</v>
      </c>
      <c r="P256" s="13">
        <v>6.0</v>
      </c>
      <c r="Q256" s="14">
        <f t="shared" si="3"/>
        <v>72.792</v>
      </c>
      <c r="R256" s="14">
        <f t="shared" si="4"/>
        <v>61.232</v>
      </c>
      <c r="S256" s="14">
        <f t="shared" si="5"/>
        <v>11.56</v>
      </c>
    </row>
    <row r="257">
      <c r="A257" s="12">
        <v>42702.0</v>
      </c>
      <c r="B257" s="12" t="s">
        <v>2326</v>
      </c>
      <c r="C257" s="2">
        <v>42472.0</v>
      </c>
      <c r="D257" s="15" t="str">
        <f t="shared" si="1"/>
        <v>Apr</v>
      </c>
      <c r="E257" s="2" t="str">
        <f t="shared" si="2"/>
        <v>2016</v>
      </c>
      <c r="F257" s="13" t="s">
        <v>41</v>
      </c>
      <c r="G257" s="13" t="s">
        <v>2521</v>
      </c>
      <c r="H257" s="13" t="s">
        <v>2522</v>
      </c>
      <c r="I257" s="13" t="s">
        <v>34</v>
      </c>
      <c r="J257" s="13" t="s">
        <v>188</v>
      </c>
      <c r="K257" s="13" t="s">
        <v>135</v>
      </c>
      <c r="L257" s="13" t="s">
        <v>71</v>
      </c>
      <c r="M257" s="13" t="s">
        <v>38</v>
      </c>
      <c r="N257" s="14">
        <v>82.368</v>
      </c>
      <c r="O257" s="14">
        <v>81.4</v>
      </c>
      <c r="P257" s="13">
        <v>6.0</v>
      </c>
      <c r="Q257" s="14">
        <f t="shared" si="3"/>
        <v>494.208</v>
      </c>
      <c r="R257" s="14">
        <f t="shared" si="4"/>
        <v>412.808</v>
      </c>
      <c r="S257" s="14">
        <f t="shared" si="5"/>
        <v>81.4</v>
      </c>
    </row>
    <row r="258">
      <c r="A258" s="12">
        <v>42702.0</v>
      </c>
      <c r="B258" s="12" t="s">
        <v>2326</v>
      </c>
      <c r="C258" s="2">
        <v>42472.0</v>
      </c>
      <c r="D258" s="15" t="str">
        <f t="shared" si="1"/>
        <v>Apr</v>
      </c>
      <c r="E258" s="2" t="str">
        <f t="shared" si="2"/>
        <v>2016</v>
      </c>
      <c r="F258" s="13" t="s">
        <v>41</v>
      </c>
      <c r="G258" s="13" t="s">
        <v>2521</v>
      </c>
      <c r="H258" s="13" t="s">
        <v>2522</v>
      </c>
      <c r="I258" s="13" t="s">
        <v>34</v>
      </c>
      <c r="J258" s="13" t="s">
        <v>188</v>
      </c>
      <c r="K258" s="13" t="s">
        <v>135</v>
      </c>
      <c r="L258" s="13" t="s">
        <v>71</v>
      </c>
      <c r="M258" s="13" t="s">
        <v>38</v>
      </c>
      <c r="N258" s="14">
        <v>53.92</v>
      </c>
      <c r="O258" s="14">
        <v>53.56</v>
      </c>
      <c r="P258" s="13">
        <v>6.0</v>
      </c>
      <c r="Q258" s="14">
        <f t="shared" si="3"/>
        <v>323.52</v>
      </c>
      <c r="R258" s="14">
        <f t="shared" si="4"/>
        <v>269.96</v>
      </c>
      <c r="S258" s="14">
        <f t="shared" si="5"/>
        <v>53.56</v>
      </c>
    </row>
    <row r="259">
      <c r="A259" s="12">
        <v>42702.0</v>
      </c>
      <c r="B259" s="12" t="s">
        <v>2326</v>
      </c>
      <c r="C259" s="2">
        <v>42472.0</v>
      </c>
      <c r="D259" s="15" t="str">
        <f t="shared" si="1"/>
        <v>Apr</v>
      </c>
      <c r="E259" s="2" t="str">
        <f t="shared" si="2"/>
        <v>2016</v>
      </c>
      <c r="F259" s="13" t="s">
        <v>41</v>
      </c>
      <c r="G259" s="13" t="s">
        <v>2521</v>
      </c>
      <c r="H259" s="13" t="s">
        <v>2522</v>
      </c>
      <c r="I259" s="13" t="s">
        <v>34</v>
      </c>
      <c r="J259" s="13" t="s">
        <v>188</v>
      </c>
      <c r="K259" s="13" t="s">
        <v>135</v>
      </c>
      <c r="L259" s="13" t="s">
        <v>71</v>
      </c>
      <c r="M259" s="13" t="s">
        <v>51</v>
      </c>
      <c r="N259" s="14">
        <v>647.904</v>
      </c>
      <c r="O259" s="14">
        <v>647.48</v>
      </c>
      <c r="P259" s="13">
        <v>6.0</v>
      </c>
      <c r="Q259" s="14">
        <f t="shared" si="3"/>
        <v>3887.424</v>
      </c>
      <c r="R259" s="14">
        <f t="shared" si="4"/>
        <v>3239.944</v>
      </c>
      <c r="S259" s="14">
        <f t="shared" si="5"/>
        <v>647.48</v>
      </c>
    </row>
    <row r="260">
      <c r="A260" s="12">
        <v>43112.0</v>
      </c>
      <c r="B260" s="12" t="s">
        <v>2353</v>
      </c>
      <c r="C260" s="2">
        <v>43171.0</v>
      </c>
      <c r="D260" s="15" t="str">
        <f t="shared" si="1"/>
        <v>Mar</v>
      </c>
      <c r="E260" s="2" t="str">
        <f t="shared" si="2"/>
        <v>2018</v>
      </c>
      <c r="F260" s="13" t="s">
        <v>20</v>
      </c>
      <c r="G260" s="13" t="s">
        <v>2523</v>
      </c>
      <c r="H260" s="13" t="s">
        <v>2524</v>
      </c>
      <c r="I260" s="13" t="s">
        <v>23</v>
      </c>
      <c r="J260" s="13" t="s">
        <v>174</v>
      </c>
      <c r="K260" s="13" t="s">
        <v>175</v>
      </c>
      <c r="L260" s="13" t="s">
        <v>100</v>
      </c>
      <c r="M260" s="13" t="s">
        <v>51</v>
      </c>
      <c r="N260" s="14">
        <v>20.37</v>
      </c>
      <c r="O260" s="14">
        <v>20.03</v>
      </c>
      <c r="P260" s="13">
        <v>1.0</v>
      </c>
      <c r="Q260" s="14">
        <f t="shared" si="3"/>
        <v>20.37</v>
      </c>
      <c r="R260" s="14">
        <f t="shared" si="4"/>
        <v>0.34</v>
      </c>
      <c r="S260" s="14">
        <f t="shared" si="5"/>
        <v>20.03</v>
      </c>
    </row>
    <row r="261">
      <c r="A261" s="12">
        <v>43112.0</v>
      </c>
      <c r="B261" s="12" t="s">
        <v>2353</v>
      </c>
      <c r="C261" s="2">
        <v>43171.0</v>
      </c>
      <c r="D261" s="15" t="str">
        <f t="shared" si="1"/>
        <v>Mar</v>
      </c>
      <c r="E261" s="2" t="str">
        <f t="shared" si="2"/>
        <v>2018</v>
      </c>
      <c r="F261" s="13" t="s">
        <v>20</v>
      </c>
      <c r="G261" s="13" t="s">
        <v>2523</v>
      </c>
      <c r="H261" s="13" t="s">
        <v>2524</v>
      </c>
      <c r="I261" s="13" t="s">
        <v>23</v>
      </c>
      <c r="J261" s="13" t="s">
        <v>174</v>
      </c>
      <c r="K261" s="13" t="s">
        <v>175</v>
      </c>
      <c r="L261" s="13" t="s">
        <v>100</v>
      </c>
      <c r="M261" s="13" t="s">
        <v>38</v>
      </c>
      <c r="N261" s="14">
        <v>221.55</v>
      </c>
      <c r="O261" s="14">
        <v>220.87</v>
      </c>
      <c r="P261" s="13">
        <v>1.0</v>
      </c>
      <c r="Q261" s="14">
        <f t="shared" si="3"/>
        <v>221.55</v>
      </c>
      <c r="R261" s="14">
        <f t="shared" si="4"/>
        <v>0.68</v>
      </c>
      <c r="S261" s="14">
        <f t="shared" si="5"/>
        <v>220.87</v>
      </c>
    </row>
    <row r="262">
      <c r="A262" s="12">
        <v>43112.0</v>
      </c>
      <c r="B262" s="12" t="s">
        <v>2353</v>
      </c>
      <c r="C262" s="2">
        <v>43171.0</v>
      </c>
      <c r="D262" s="15" t="str">
        <f t="shared" si="1"/>
        <v>Mar</v>
      </c>
      <c r="E262" s="2" t="str">
        <f t="shared" si="2"/>
        <v>2018</v>
      </c>
      <c r="F262" s="13" t="s">
        <v>20</v>
      </c>
      <c r="G262" s="13" t="s">
        <v>2523</v>
      </c>
      <c r="H262" s="13" t="s">
        <v>2524</v>
      </c>
      <c r="I262" s="13" t="s">
        <v>23</v>
      </c>
      <c r="J262" s="13" t="s">
        <v>174</v>
      </c>
      <c r="K262" s="13" t="s">
        <v>175</v>
      </c>
      <c r="L262" s="13" t="s">
        <v>100</v>
      </c>
      <c r="M262" s="13" t="s">
        <v>38</v>
      </c>
      <c r="N262" s="14">
        <v>17.52</v>
      </c>
      <c r="O262" s="14">
        <v>16.7</v>
      </c>
      <c r="P262" s="13">
        <v>1.0</v>
      </c>
      <c r="Q262" s="14">
        <f t="shared" si="3"/>
        <v>17.52</v>
      </c>
      <c r="R262" s="14">
        <f t="shared" si="4"/>
        <v>0.82</v>
      </c>
      <c r="S262" s="14">
        <f t="shared" si="5"/>
        <v>16.7</v>
      </c>
    </row>
    <row r="263">
      <c r="A263" s="12">
        <v>43318.0</v>
      </c>
      <c r="B263" s="12" t="s">
        <v>2322</v>
      </c>
      <c r="C263" s="2">
        <v>43440.0</v>
      </c>
      <c r="D263" s="15" t="str">
        <f t="shared" si="1"/>
        <v>Dec</v>
      </c>
      <c r="E263" s="2" t="str">
        <f t="shared" si="2"/>
        <v>2018</v>
      </c>
      <c r="F263" s="13" t="s">
        <v>41</v>
      </c>
      <c r="G263" s="13" t="s">
        <v>2525</v>
      </c>
      <c r="H263" s="13" t="s">
        <v>2526</v>
      </c>
      <c r="I263" s="13" t="s">
        <v>34</v>
      </c>
      <c r="J263" s="13" t="s">
        <v>355</v>
      </c>
      <c r="K263" s="13" t="s">
        <v>70</v>
      </c>
      <c r="L263" s="13" t="s">
        <v>71</v>
      </c>
      <c r="M263" s="13" t="s">
        <v>38</v>
      </c>
      <c r="N263" s="14">
        <v>1.624</v>
      </c>
      <c r="O263" s="14">
        <v>0.85</v>
      </c>
      <c r="P263" s="13">
        <v>7.0</v>
      </c>
      <c r="Q263" s="14">
        <f t="shared" si="3"/>
        <v>11.368</v>
      </c>
      <c r="R263" s="14">
        <f t="shared" si="4"/>
        <v>10.518</v>
      </c>
      <c r="S263" s="14">
        <f t="shared" si="5"/>
        <v>0.85</v>
      </c>
    </row>
    <row r="264">
      <c r="A264" s="12">
        <v>42266.0</v>
      </c>
      <c r="B264" s="12" t="s">
        <v>2329</v>
      </c>
      <c r="C264" s="2">
        <v>42268.0</v>
      </c>
      <c r="D264" s="15" t="str">
        <f t="shared" si="1"/>
        <v>Sep</v>
      </c>
      <c r="E264" s="2" t="str">
        <f t="shared" si="2"/>
        <v>2015</v>
      </c>
      <c r="F264" s="13" t="s">
        <v>20</v>
      </c>
      <c r="G264" s="13" t="s">
        <v>2327</v>
      </c>
      <c r="H264" s="13" t="s">
        <v>2476</v>
      </c>
      <c r="I264" s="13" t="s">
        <v>34</v>
      </c>
      <c r="J264" s="13" t="s">
        <v>129</v>
      </c>
      <c r="K264" s="13" t="s">
        <v>70</v>
      </c>
      <c r="L264" s="13" t="s">
        <v>71</v>
      </c>
      <c r="M264" s="13" t="s">
        <v>51</v>
      </c>
      <c r="N264" s="14">
        <v>3059.982</v>
      </c>
      <c r="O264" s="14">
        <v>3059.67</v>
      </c>
      <c r="P264" s="13">
        <v>7.0</v>
      </c>
      <c r="Q264" s="14">
        <f t="shared" si="3"/>
        <v>21419.874</v>
      </c>
      <c r="R264" s="14">
        <f t="shared" si="4"/>
        <v>18360.204</v>
      </c>
      <c r="S264" s="14">
        <f t="shared" si="5"/>
        <v>3059.67</v>
      </c>
    </row>
    <row r="265">
      <c r="A265" s="12">
        <v>42266.0</v>
      </c>
      <c r="B265" s="12" t="s">
        <v>2329</v>
      </c>
      <c r="C265" s="2">
        <v>42268.0</v>
      </c>
      <c r="D265" s="15" t="str">
        <f t="shared" si="1"/>
        <v>Sep</v>
      </c>
      <c r="E265" s="2" t="str">
        <f t="shared" si="2"/>
        <v>2015</v>
      </c>
      <c r="F265" s="13" t="s">
        <v>20</v>
      </c>
      <c r="G265" s="13" t="s">
        <v>2327</v>
      </c>
      <c r="H265" s="13" t="s">
        <v>2476</v>
      </c>
      <c r="I265" s="13" t="s">
        <v>34</v>
      </c>
      <c r="J265" s="13" t="s">
        <v>129</v>
      </c>
      <c r="K265" s="13" t="s">
        <v>70</v>
      </c>
      <c r="L265" s="13" t="s">
        <v>71</v>
      </c>
      <c r="M265" s="13" t="s">
        <v>51</v>
      </c>
      <c r="N265" s="14">
        <v>2519.958</v>
      </c>
      <c r="O265" s="14">
        <v>2519.78</v>
      </c>
      <c r="P265" s="13">
        <v>7.0</v>
      </c>
      <c r="Q265" s="14">
        <f t="shared" si="3"/>
        <v>17639.706</v>
      </c>
      <c r="R265" s="14">
        <f t="shared" si="4"/>
        <v>15119.926</v>
      </c>
      <c r="S265" s="14">
        <f t="shared" si="5"/>
        <v>2519.78</v>
      </c>
    </row>
    <row r="266">
      <c r="A266" s="12">
        <v>42892.0</v>
      </c>
      <c r="B266" s="12" t="s">
        <v>2374</v>
      </c>
      <c r="C266" s="2">
        <v>42899.0</v>
      </c>
      <c r="D266" s="15" t="str">
        <f t="shared" si="1"/>
        <v>Jun</v>
      </c>
      <c r="E266" s="2" t="str">
        <f t="shared" si="2"/>
        <v>2017</v>
      </c>
      <c r="F266" s="13" t="s">
        <v>41</v>
      </c>
      <c r="G266" s="13" t="s">
        <v>2527</v>
      </c>
      <c r="H266" s="13" t="s">
        <v>2528</v>
      </c>
      <c r="I266" s="13" t="s">
        <v>23</v>
      </c>
      <c r="J266" s="13" t="s">
        <v>188</v>
      </c>
      <c r="K266" s="13" t="s">
        <v>135</v>
      </c>
      <c r="L266" s="13" t="s">
        <v>71</v>
      </c>
      <c r="M266" s="13" t="s">
        <v>51</v>
      </c>
      <c r="N266" s="14">
        <v>328.224</v>
      </c>
      <c r="O266" s="14">
        <v>328.16</v>
      </c>
      <c r="P266" s="13">
        <v>6.0</v>
      </c>
      <c r="Q266" s="14">
        <f t="shared" si="3"/>
        <v>1969.344</v>
      </c>
      <c r="R266" s="14">
        <f t="shared" si="4"/>
        <v>1641.184</v>
      </c>
      <c r="S266" s="14">
        <f t="shared" si="5"/>
        <v>328.16</v>
      </c>
    </row>
    <row r="267">
      <c r="A267" s="12">
        <v>42654.0</v>
      </c>
      <c r="B267" s="12" t="s">
        <v>2358</v>
      </c>
      <c r="C267" s="2">
        <v>42689.0</v>
      </c>
      <c r="D267" s="15" t="str">
        <f t="shared" si="1"/>
        <v>Nov</v>
      </c>
      <c r="E267" s="2" t="str">
        <f t="shared" si="2"/>
        <v>2016</v>
      </c>
      <c r="F267" s="13" t="s">
        <v>41</v>
      </c>
      <c r="G267" s="13" t="s">
        <v>2438</v>
      </c>
      <c r="H267" s="13" t="s">
        <v>2529</v>
      </c>
      <c r="I267" s="13" t="s">
        <v>23</v>
      </c>
      <c r="J267" s="13" t="s">
        <v>567</v>
      </c>
      <c r="K267" s="13" t="s">
        <v>52</v>
      </c>
      <c r="L267" s="13" t="s">
        <v>37</v>
      </c>
      <c r="M267" s="13" t="s">
        <v>51</v>
      </c>
      <c r="N267" s="14">
        <v>79.9</v>
      </c>
      <c r="O267" s="14">
        <v>79.2</v>
      </c>
      <c r="P267" s="13">
        <v>9.0</v>
      </c>
      <c r="Q267" s="14">
        <f t="shared" si="3"/>
        <v>719.1</v>
      </c>
      <c r="R267" s="14">
        <f t="shared" si="4"/>
        <v>639.9</v>
      </c>
      <c r="S267" s="14">
        <f t="shared" si="5"/>
        <v>79.2</v>
      </c>
    </row>
    <row r="268">
      <c r="A268" s="12">
        <v>43267.0</v>
      </c>
      <c r="B268" s="12" t="s">
        <v>2374</v>
      </c>
      <c r="C268" s="2">
        <v>43271.0</v>
      </c>
      <c r="D268" s="15" t="str">
        <f t="shared" si="1"/>
        <v>Jun</v>
      </c>
      <c r="E268" s="2" t="str">
        <f t="shared" si="2"/>
        <v>2018</v>
      </c>
      <c r="F268" s="13" t="s">
        <v>41</v>
      </c>
      <c r="G268" s="13" t="s">
        <v>2530</v>
      </c>
      <c r="H268" s="13" t="s">
        <v>2531</v>
      </c>
      <c r="I268" s="13" t="s">
        <v>34</v>
      </c>
      <c r="J268" s="13" t="s">
        <v>571</v>
      </c>
      <c r="K268" s="13" t="s">
        <v>58</v>
      </c>
      <c r="L268" s="13" t="s">
        <v>26</v>
      </c>
      <c r="M268" s="13" t="s">
        <v>38</v>
      </c>
      <c r="N268" s="14">
        <v>14.016</v>
      </c>
      <c r="O268" s="14">
        <v>13.92</v>
      </c>
      <c r="P268" s="13">
        <v>2.0</v>
      </c>
      <c r="Q268" s="14">
        <f t="shared" si="3"/>
        <v>28.032</v>
      </c>
      <c r="R268" s="14">
        <f t="shared" si="4"/>
        <v>14.112</v>
      </c>
      <c r="S268" s="14">
        <f t="shared" si="5"/>
        <v>13.92</v>
      </c>
    </row>
    <row r="269">
      <c r="A269" s="12">
        <v>42757.0</v>
      </c>
      <c r="B269" s="12" t="s">
        <v>2353</v>
      </c>
      <c r="C269" s="2">
        <v>42763.0</v>
      </c>
      <c r="D269" s="15" t="str">
        <f t="shared" si="1"/>
        <v>Jan</v>
      </c>
      <c r="E269" s="2" t="str">
        <f t="shared" si="2"/>
        <v>2017</v>
      </c>
      <c r="F269" s="13" t="s">
        <v>41</v>
      </c>
      <c r="G269" s="13" t="s">
        <v>1839</v>
      </c>
      <c r="H269" s="13" t="s">
        <v>2404</v>
      </c>
      <c r="I269" s="13" t="s">
        <v>23</v>
      </c>
      <c r="J269" s="13" t="s">
        <v>574</v>
      </c>
      <c r="K269" s="13" t="s">
        <v>462</v>
      </c>
      <c r="L269" s="13" t="s">
        <v>100</v>
      </c>
      <c r="M269" s="13" t="s">
        <v>38</v>
      </c>
      <c r="N269" s="14">
        <v>7.56</v>
      </c>
      <c r="O269" s="14">
        <v>6.82</v>
      </c>
      <c r="P269" s="13">
        <v>7.0</v>
      </c>
      <c r="Q269" s="14">
        <f t="shared" si="3"/>
        <v>52.92</v>
      </c>
      <c r="R269" s="14">
        <f t="shared" si="4"/>
        <v>46.1</v>
      </c>
      <c r="S269" s="14">
        <f t="shared" si="5"/>
        <v>6.82</v>
      </c>
    </row>
    <row r="270">
      <c r="A270" s="12">
        <v>43355.0</v>
      </c>
      <c r="B270" s="12" t="s">
        <v>2329</v>
      </c>
      <c r="C270" s="2">
        <v>43447.0</v>
      </c>
      <c r="D270" s="15" t="str">
        <f t="shared" si="1"/>
        <v>Dec</v>
      </c>
      <c r="E270" s="2" t="str">
        <f t="shared" si="2"/>
        <v>2018</v>
      </c>
      <c r="F270" s="13" t="s">
        <v>41</v>
      </c>
      <c r="G270" s="13" t="s">
        <v>2532</v>
      </c>
      <c r="H270" s="13" t="s">
        <v>2360</v>
      </c>
      <c r="I270" s="13" t="s">
        <v>34</v>
      </c>
      <c r="J270" s="13" t="s">
        <v>579</v>
      </c>
      <c r="K270" s="13" t="s">
        <v>304</v>
      </c>
      <c r="L270" s="13" t="s">
        <v>100</v>
      </c>
      <c r="M270" s="13" t="s">
        <v>38</v>
      </c>
      <c r="N270" s="14">
        <v>37.208</v>
      </c>
      <c r="O270" s="14">
        <v>36.95</v>
      </c>
      <c r="P270" s="13">
        <v>4.0</v>
      </c>
      <c r="Q270" s="14">
        <f t="shared" si="3"/>
        <v>148.832</v>
      </c>
      <c r="R270" s="14">
        <f t="shared" si="4"/>
        <v>111.882</v>
      </c>
      <c r="S270" s="14">
        <f t="shared" si="5"/>
        <v>36.95</v>
      </c>
    </row>
    <row r="271">
      <c r="A271" s="12">
        <v>43355.0</v>
      </c>
      <c r="B271" s="12" t="s">
        <v>2329</v>
      </c>
      <c r="C271" s="2">
        <v>43447.0</v>
      </c>
      <c r="D271" s="15" t="str">
        <f t="shared" si="1"/>
        <v>Dec</v>
      </c>
      <c r="E271" s="2" t="str">
        <f t="shared" si="2"/>
        <v>2018</v>
      </c>
      <c r="F271" s="13" t="s">
        <v>41</v>
      </c>
      <c r="G271" s="13" t="s">
        <v>2532</v>
      </c>
      <c r="H271" s="13" t="s">
        <v>2360</v>
      </c>
      <c r="I271" s="13" t="s">
        <v>34</v>
      </c>
      <c r="J271" s="13" t="s">
        <v>579</v>
      </c>
      <c r="K271" s="13" t="s">
        <v>304</v>
      </c>
      <c r="L271" s="13" t="s">
        <v>100</v>
      </c>
      <c r="M271" s="13" t="s">
        <v>38</v>
      </c>
      <c r="N271" s="14">
        <v>57.576</v>
      </c>
      <c r="O271" s="14">
        <v>56.83</v>
      </c>
      <c r="P271" s="13">
        <v>4.0</v>
      </c>
      <c r="Q271" s="14">
        <f t="shared" si="3"/>
        <v>230.304</v>
      </c>
      <c r="R271" s="14">
        <f t="shared" si="4"/>
        <v>173.474</v>
      </c>
      <c r="S271" s="14">
        <f t="shared" si="5"/>
        <v>56.83</v>
      </c>
    </row>
    <row r="272">
      <c r="A272" s="12">
        <v>43462.0</v>
      </c>
      <c r="B272" s="12" t="s">
        <v>2325</v>
      </c>
      <c r="C272" s="2">
        <v>43497.0</v>
      </c>
      <c r="D272" s="15" t="str">
        <f t="shared" si="1"/>
        <v>Feb</v>
      </c>
      <c r="E272" s="2" t="str">
        <f t="shared" si="2"/>
        <v>2019</v>
      </c>
      <c r="F272" s="13" t="s">
        <v>20</v>
      </c>
      <c r="G272" s="13" t="s">
        <v>2533</v>
      </c>
      <c r="H272" s="13" t="s">
        <v>2534</v>
      </c>
      <c r="I272" s="13" t="s">
        <v>34</v>
      </c>
      <c r="J272" s="13" t="s">
        <v>87</v>
      </c>
      <c r="K272" s="13" t="s">
        <v>52</v>
      </c>
      <c r="L272" s="13" t="s">
        <v>37</v>
      </c>
      <c r="M272" s="13" t="s">
        <v>38</v>
      </c>
      <c r="N272" s="14">
        <v>725.84</v>
      </c>
      <c r="O272" s="14">
        <v>725.11</v>
      </c>
      <c r="P272" s="13">
        <v>9.0</v>
      </c>
      <c r="Q272" s="14">
        <f t="shared" si="3"/>
        <v>6532.56</v>
      </c>
      <c r="R272" s="14">
        <f t="shared" si="4"/>
        <v>5807.45</v>
      </c>
      <c r="S272" s="14">
        <f t="shared" si="5"/>
        <v>725.11</v>
      </c>
    </row>
    <row r="273">
      <c r="A273" s="12">
        <v>42581.0</v>
      </c>
      <c r="B273" s="12" t="s">
        <v>2348</v>
      </c>
      <c r="C273" s="2">
        <v>42582.0</v>
      </c>
      <c r="D273" s="15" t="str">
        <f t="shared" si="1"/>
        <v>Jul</v>
      </c>
      <c r="E273" s="2" t="str">
        <f t="shared" si="2"/>
        <v>2016</v>
      </c>
      <c r="F273" s="13" t="s">
        <v>121</v>
      </c>
      <c r="G273" s="13" t="s">
        <v>2452</v>
      </c>
      <c r="H273" s="13" t="s">
        <v>2453</v>
      </c>
      <c r="I273" s="13" t="s">
        <v>23</v>
      </c>
      <c r="J273" s="13" t="s">
        <v>87</v>
      </c>
      <c r="K273" s="13" t="s">
        <v>52</v>
      </c>
      <c r="L273" s="13" t="s">
        <v>37</v>
      </c>
      <c r="M273" s="13" t="s">
        <v>51</v>
      </c>
      <c r="N273" s="14">
        <v>209.93</v>
      </c>
      <c r="O273" s="14">
        <v>209.15</v>
      </c>
      <c r="P273" s="13">
        <v>9.0</v>
      </c>
      <c r="Q273" s="14">
        <f t="shared" si="3"/>
        <v>1889.37</v>
      </c>
      <c r="R273" s="14">
        <f t="shared" si="4"/>
        <v>1680.22</v>
      </c>
      <c r="S273" s="14">
        <f t="shared" si="5"/>
        <v>209.15</v>
      </c>
    </row>
    <row r="274">
      <c r="A274" s="12">
        <v>42581.0</v>
      </c>
      <c r="B274" s="12" t="s">
        <v>2348</v>
      </c>
      <c r="C274" s="2">
        <v>42582.0</v>
      </c>
      <c r="D274" s="15" t="str">
        <f t="shared" si="1"/>
        <v>Jul</v>
      </c>
      <c r="E274" s="2" t="str">
        <f t="shared" si="2"/>
        <v>2016</v>
      </c>
      <c r="F274" s="13" t="s">
        <v>121</v>
      </c>
      <c r="G274" s="13" t="s">
        <v>2452</v>
      </c>
      <c r="H274" s="13" t="s">
        <v>2453</v>
      </c>
      <c r="I274" s="13" t="s">
        <v>23</v>
      </c>
      <c r="J274" s="13" t="s">
        <v>87</v>
      </c>
      <c r="K274" s="13" t="s">
        <v>52</v>
      </c>
      <c r="L274" s="13" t="s">
        <v>37</v>
      </c>
      <c r="M274" s="13" t="s">
        <v>27</v>
      </c>
      <c r="N274" s="14">
        <v>5.28</v>
      </c>
      <c r="O274" s="14">
        <v>4.86</v>
      </c>
      <c r="P274" s="13">
        <v>9.0</v>
      </c>
      <c r="Q274" s="14">
        <f t="shared" si="3"/>
        <v>47.52</v>
      </c>
      <c r="R274" s="14">
        <f t="shared" si="4"/>
        <v>42.66</v>
      </c>
      <c r="S274" s="14">
        <f t="shared" si="5"/>
        <v>4.86</v>
      </c>
    </row>
    <row r="275">
      <c r="A275" s="12">
        <v>42581.0</v>
      </c>
      <c r="B275" s="12" t="s">
        <v>2348</v>
      </c>
      <c r="C275" s="2">
        <v>42582.0</v>
      </c>
      <c r="D275" s="15" t="str">
        <f t="shared" si="1"/>
        <v>Jul</v>
      </c>
      <c r="E275" s="2" t="str">
        <f t="shared" si="2"/>
        <v>2016</v>
      </c>
      <c r="F275" s="13" t="s">
        <v>121</v>
      </c>
      <c r="G275" s="13" t="s">
        <v>2452</v>
      </c>
      <c r="H275" s="13" t="s">
        <v>2453</v>
      </c>
      <c r="I275" s="13" t="s">
        <v>23</v>
      </c>
      <c r="J275" s="13" t="s">
        <v>87</v>
      </c>
      <c r="K275" s="13" t="s">
        <v>52</v>
      </c>
      <c r="L275" s="13" t="s">
        <v>37</v>
      </c>
      <c r="M275" s="13" t="s">
        <v>38</v>
      </c>
      <c r="N275" s="14">
        <v>10.92</v>
      </c>
      <c r="O275" s="14">
        <v>10.3</v>
      </c>
      <c r="P275" s="13">
        <v>9.0</v>
      </c>
      <c r="Q275" s="14">
        <f t="shared" si="3"/>
        <v>98.28</v>
      </c>
      <c r="R275" s="14">
        <f t="shared" si="4"/>
        <v>87.98</v>
      </c>
      <c r="S275" s="14">
        <f t="shared" si="5"/>
        <v>10.3</v>
      </c>
    </row>
    <row r="276">
      <c r="A276" s="12">
        <v>43359.0</v>
      </c>
      <c r="B276" s="12" t="s">
        <v>2329</v>
      </c>
      <c r="C276" s="2">
        <v>43360.0</v>
      </c>
      <c r="D276" s="15" t="str">
        <f t="shared" si="1"/>
        <v>Sep</v>
      </c>
      <c r="E276" s="2" t="str">
        <f t="shared" si="2"/>
        <v>2018</v>
      </c>
      <c r="F276" s="13" t="s">
        <v>121</v>
      </c>
      <c r="G276" s="13" t="s">
        <v>2535</v>
      </c>
      <c r="H276" s="13" t="s">
        <v>2357</v>
      </c>
      <c r="I276" s="13" t="s">
        <v>34</v>
      </c>
      <c r="J276" s="13" t="s">
        <v>588</v>
      </c>
      <c r="K276" s="13" t="s">
        <v>52</v>
      </c>
      <c r="L276" s="13" t="s">
        <v>37</v>
      </c>
      <c r="M276" s="13" t="s">
        <v>38</v>
      </c>
      <c r="N276" s="14">
        <v>8.82</v>
      </c>
      <c r="O276" s="14">
        <v>8.48</v>
      </c>
      <c r="P276" s="13">
        <v>9.0</v>
      </c>
      <c r="Q276" s="14">
        <f t="shared" si="3"/>
        <v>79.38</v>
      </c>
      <c r="R276" s="14">
        <f t="shared" si="4"/>
        <v>70.9</v>
      </c>
      <c r="S276" s="14">
        <f t="shared" si="5"/>
        <v>8.48</v>
      </c>
    </row>
    <row r="277">
      <c r="A277" s="12">
        <v>43359.0</v>
      </c>
      <c r="B277" s="12" t="s">
        <v>2329</v>
      </c>
      <c r="C277" s="2">
        <v>43360.0</v>
      </c>
      <c r="D277" s="15" t="str">
        <f t="shared" si="1"/>
        <v>Sep</v>
      </c>
      <c r="E277" s="2" t="str">
        <f t="shared" si="2"/>
        <v>2018</v>
      </c>
      <c r="F277" s="13" t="s">
        <v>121</v>
      </c>
      <c r="G277" s="13" t="s">
        <v>2535</v>
      </c>
      <c r="H277" s="13" t="s">
        <v>2357</v>
      </c>
      <c r="I277" s="13" t="s">
        <v>34</v>
      </c>
      <c r="J277" s="13" t="s">
        <v>588</v>
      </c>
      <c r="K277" s="13" t="s">
        <v>52</v>
      </c>
      <c r="L277" s="13" t="s">
        <v>37</v>
      </c>
      <c r="M277" s="13" t="s">
        <v>38</v>
      </c>
      <c r="N277" s="14">
        <v>5.98</v>
      </c>
      <c r="O277" s="14">
        <v>5.94</v>
      </c>
      <c r="P277" s="13">
        <v>9.0</v>
      </c>
      <c r="Q277" s="14">
        <f t="shared" si="3"/>
        <v>53.82</v>
      </c>
      <c r="R277" s="14">
        <f t="shared" si="4"/>
        <v>47.88</v>
      </c>
      <c r="S277" s="14">
        <f t="shared" si="5"/>
        <v>5.94</v>
      </c>
    </row>
    <row r="278">
      <c r="A278" s="12">
        <v>43386.0</v>
      </c>
      <c r="B278" s="12" t="s">
        <v>2358</v>
      </c>
      <c r="C278" s="2">
        <v>43390.0</v>
      </c>
      <c r="D278" s="15" t="str">
        <f t="shared" si="1"/>
        <v>Oct</v>
      </c>
      <c r="E278" s="2" t="str">
        <f t="shared" si="2"/>
        <v>2018</v>
      </c>
      <c r="F278" s="13" t="s">
        <v>41</v>
      </c>
      <c r="G278" s="13" t="s">
        <v>2333</v>
      </c>
      <c r="H278" s="13" t="s">
        <v>2536</v>
      </c>
      <c r="I278" s="13" t="s">
        <v>34</v>
      </c>
      <c r="J278" s="13" t="s">
        <v>98</v>
      </c>
      <c r="K278" s="13" t="s">
        <v>99</v>
      </c>
      <c r="L278" s="13" t="s">
        <v>100</v>
      </c>
      <c r="M278" s="13" t="s">
        <v>38</v>
      </c>
      <c r="N278" s="14">
        <v>11.648</v>
      </c>
      <c r="O278" s="14">
        <v>11.42</v>
      </c>
      <c r="P278" s="13">
        <v>1.0</v>
      </c>
      <c r="Q278" s="14">
        <f t="shared" si="3"/>
        <v>11.648</v>
      </c>
      <c r="R278" s="14">
        <f t="shared" si="4"/>
        <v>0.228</v>
      </c>
      <c r="S278" s="14">
        <f t="shared" si="5"/>
        <v>11.42</v>
      </c>
    </row>
    <row r="279">
      <c r="A279" s="12">
        <v>43386.0</v>
      </c>
      <c r="B279" s="12" t="s">
        <v>2358</v>
      </c>
      <c r="C279" s="2">
        <v>43390.0</v>
      </c>
      <c r="D279" s="15" t="str">
        <f t="shared" si="1"/>
        <v>Oct</v>
      </c>
      <c r="E279" s="2" t="str">
        <f t="shared" si="2"/>
        <v>2018</v>
      </c>
      <c r="F279" s="13" t="s">
        <v>41</v>
      </c>
      <c r="G279" s="13" t="s">
        <v>2333</v>
      </c>
      <c r="H279" s="13" t="s">
        <v>2536</v>
      </c>
      <c r="I279" s="13" t="s">
        <v>34</v>
      </c>
      <c r="J279" s="13" t="s">
        <v>98</v>
      </c>
      <c r="K279" s="13" t="s">
        <v>99</v>
      </c>
      <c r="L279" s="13" t="s">
        <v>100</v>
      </c>
      <c r="M279" s="13" t="s">
        <v>38</v>
      </c>
      <c r="N279" s="14">
        <v>18.176</v>
      </c>
      <c r="O279" s="14">
        <v>18.17</v>
      </c>
      <c r="P279" s="13">
        <v>1.0</v>
      </c>
      <c r="Q279" s="14">
        <f t="shared" si="3"/>
        <v>18.176</v>
      </c>
      <c r="R279" s="14">
        <f t="shared" si="4"/>
        <v>0.006</v>
      </c>
      <c r="S279" s="14">
        <f t="shared" si="5"/>
        <v>18.17</v>
      </c>
    </row>
    <row r="280">
      <c r="A280" s="12">
        <v>43386.0</v>
      </c>
      <c r="B280" s="12" t="s">
        <v>2358</v>
      </c>
      <c r="C280" s="2">
        <v>43390.0</v>
      </c>
      <c r="D280" s="15" t="str">
        <f t="shared" si="1"/>
        <v>Oct</v>
      </c>
      <c r="E280" s="2" t="str">
        <f t="shared" si="2"/>
        <v>2018</v>
      </c>
      <c r="F280" s="13" t="s">
        <v>41</v>
      </c>
      <c r="G280" s="13" t="s">
        <v>2333</v>
      </c>
      <c r="H280" s="13" t="s">
        <v>2536</v>
      </c>
      <c r="I280" s="13" t="s">
        <v>34</v>
      </c>
      <c r="J280" s="13" t="s">
        <v>98</v>
      </c>
      <c r="K280" s="13" t="s">
        <v>99</v>
      </c>
      <c r="L280" s="13" t="s">
        <v>100</v>
      </c>
      <c r="M280" s="13" t="s">
        <v>38</v>
      </c>
      <c r="N280" s="14">
        <v>59.712</v>
      </c>
      <c r="O280" s="14">
        <v>59.13</v>
      </c>
      <c r="P280" s="13">
        <v>1.0</v>
      </c>
      <c r="Q280" s="14">
        <f t="shared" si="3"/>
        <v>59.712</v>
      </c>
      <c r="R280" s="14">
        <f t="shared" si="4"/>
        <v>0.582</v>
      </c>
      <c r="S280" s="14">
        <f t="shared" si="5"/>
        <v>59.13</v>
      </c>
    </row>
    <row r="281">
      <c r="A281" s="12">
        <v>43386.0</v>
      </c>
      <c r="B281" s="12" t="s">
        <v>2358</v>
      </c>
      <c r="C281" s="2">
        <v>43390.0</v>
      </c>
      <c r="D281" s="15" t="str">
        <f t="shared" si="1"/>
        <v>Oct</v>
      </c>
      <c r="E281" s="2" t="str">
        <f t="shared" si="2"/>
        <v>2018</v>
      </c>
      <c r="F281" s="13" t="s">
        <v>41</v>
      </c>
      <c r="G281" s="13" t="s">
        <v>2333</v>
      </c>
      <c r="H281" s="13" t="s">
        <v>2536</v>
      </c>
      <c r="I281" s="13" t="s">
        <v>34</v>
      </c>
      <c r="J281" s="13" t="s">
        <v>98</v>
      </c>
      <c r="K281" s="13" t="s">
        <v>99</v>
      </c>
      <c r="L281" s="13" t="s">
        <v>100</v>
      </c>
      <c r="M281" s="13" t="s">
        <v>38</v>
      </c>
      <c r="N281" s="14">
        <v>24.84</v>
      </c>
      <c r="O281" s="14">
        <v>24.29</v>
      </c>
      <c r="P281" s="13">
        <v>1.0</v>
      </c>
      <c r="Q281" s="14">
        <f t="shared" si="3"/>
        <v>24.84</v>
      </c>
      <c r="R281" s="14">
        <f t="shared" si="4"/>
        <v>0.55</v>
      </c>
      <c r="S281" s="14">
        <f t="shared" si="5"/>
        <v>24.29</v>
      </c>
    </row>
    <row r="282">
      <c r="A282" s="12">
        <v>42639.0</v>
      </c>
      <c r="B282" s="12" t="s">
        <v>2329</v>
      </c>
      <c r="C282" s="2">
        <v>42641.0</v>
      </c>
      <c r="D282" s="15" t="str">
        <f t="shared" si="1"/>
        <v>Sep</v>
      </c>
      <c r="E282" s="2" t="str">
        <f t="shared" si="2"/>
        <v>2016</v>
      </c>
      <c r="F282" s="13" t="s">
        <v>20</v>
      </c>
      <c r="G282" s="13" t="s">
        <v>2436</v>
      </c>
      <c r="H282" s="13" t="s">
        <v>2437</v>
      </c>
      <c r="I282" s="13" t="s">
        <v>23</v>
      </c>
      <c r="J282" s="13" t="s">
        <v>129</v>
      </c>
      <c r="K282" s="13" t="s">
        <v>70</v>
      </c>
      <c r="L282" s="13" t="s">
        <v>71</v>
      </c>
      <c r="M282" s="13" t="s">
        <v>38</v>
      </c>
      <c r="N282" s="14">
        <v>2.08</v>
      </c>
      <c r="O282" s="14">
        <v>1.98</v>
      </c>
      <c r="P282" s="13">
        <v>7.0</v>
      </c>
      <c r="Q282" s="14">
        <f t="shared" si="3"/>
        <v>14.56</v>
      </c>
      <c r="R282" s="14">
        <f t="shared" si="4"/>
        <v>12.58</v>
      </c>
      <c r="S282" s="14">
        <f t="shared" si="5"/>
        <v>1.98</v>
      </c>
    </row>
    <row r="283">
      <c r="A283" s="12">
        <v>42639.0</v>
      </c>
      <c r="B283" s="12" t="s">
        <v>2329</v>
      </c>
      <c r="C283" s="2">
        <v>42641.0</v>
      </c>
      <c r="D283" s="15" t="str">
        <f t="shared" si="1"/>
        <v>Sep</v>
      </c>
      <c r="E283" s="2" t="str">
        <f t="shared" si="2"/>
        <v>2016</v>
      </c>
      <c r="F283" s="13" t="s">
        <v>20</v>
      </c>
      <c r="G283" s="13" t="s">
        <v>2436</v>
      </c>
      <c r="H283" s="13" t="s">
        <v>2437</v>
      </c>
      <c r="I283" s="13" t="s">
        <v>23</v>
      </c>
      <c r="J283" s="13" t="s">
        <v>129</v>
      </c>
      <c r="K283" s="13" t="s">
        <v>70</v>
      </c>
      <c r="L283" s="13" t="s">
        <v>71</v>
      </c>
      <c r="M283" s="13" t="s">
        <v>51</v>
      </c>
      <c r="N283" s="14">
        <v>1114.4</v>
      </c>
      <c r="O283" s="14">
        <v>1113.53</v>
      </c>
      <c r="P283" s="13">
        <v>7.0</v>
      </c>
      <c r="Q283" s="14">
        <f t="shared" si="3"/>
        <v>7800.8</v>
      </c>
      <c r="R283" s="14">
        <f t="shared" si="4"/>
        <v>6687.27</v>
      </c>
      <c r="S283" s="14">
        <f t="shared" si="5"/>
        <v>1113.53</v>
      </c>
    </row>
    <row r="284">
      <c r="A284" s="12">
        <v>42411.0</v>
      </c>
      <c r="B284" s="12" t="s">
        <v>2431</v>
      </c>
      <c r="C284" s="2">
        <v>42532.0</v>
      </c>
      <c r="D284" s="15" t="str">
        <f t="shared" si="1"/>
        <v>Jun</v>
      </c>
      <c r="E284" s="2" t="str">
        <f t="shared" si="2"/>
        <v>2016</v>
      </c>
      <c r="F284" s="13" t="s">
        <v>41</v>
      </c>
      <c r="G284" s="13" t="s">
        <v>2537</v>
      </c>
      <c r="H284" s="13" t="s">
        <v>2538</v>
      </c>
      <c r="I284" s="13" t="s">
        <v>23</v>
      </c>
      <c r="J284" s="13" t="s">
        <v>35</v>
      </c>
      <c r="K284" s="13" t="s">
        <v>52</v>
      </c>
      <c r="L284" s="13" t="s">
        <v>37</v>
      </c>
      <c r="M284" s="13" t="s">
        <v>27</v>
      </c>
      <c r="N284" s="14">
        <v>1038.84</v>
      </c>
      <c r="O284" s="14">
        <v>1038.1</v>
      </c>
      <c r="P284" s="13">
        <v>9.0</v>
      </c>
      <c r="Q284" s="14">
        <f t="shared" si="3"/>
        <v>9349.56</v>
      </c>
      <c r="R284" s="14">
        <f t="shared" si="4"/>
        <v>8311.46</v>
      </c>
      <c r="S284" s="14">
        <f t="shared" si="5"/>
        <v>1038.1</v>
      </c>
    </row>
    <row r="285">
      <c r="A285" s="12">
        <v>42639.0</v>
      </c>
      <c r="B285" s="12" t="s">
        <v>2329</v>
      </c>
      <c r="C285" s="2">
        <v>42410.0</v>
      </c>
      <c r="D285" s="15" t="str">
        <f t="shared" si="1"/>
        <v>Feb</v>
      </c>
      <c r="E285" s="2" t="str">
        <f t="shared" si="2"/>
        <v>2016</v>
      </c>
      <c r="F285" s="13" t="s">
        <v>41</v>
      </c>
      <c r="G285" s="13" t="s">
        <v>2356</v>
      </c>
      <c r="H285" s="13" t="s">
        <v>2357</v>
      </c>
      <c r="I285" s="13" t="s">
        <v>23</v>
      </c>
      <c r="J285" s="13" t="s">
        <v>255</v>
      </c>
      <c r="K285" s="13" t="s">
        <v>256</v>
      </c>
      <c r="L285" s="13" t="s">
        <v>37</v>
      </c>
      <c r="M285" s="13" t="s">
        <v>38</v>
      </c>
      <c r="N285" s="14">
        <v>141.76</v>
      </c>
      <c r="O285" s="14">
        <v>141.39</v>
      </c>
      <c r="P285" s="13">
        <v>9.0</v>
      </c>
      <c r="Q285" s="14">
        <f t="shared" si="3"/>
        <v>1275.84</v>
      </c>
      <c r="R285" s="14">
        <f t="shared" si="4"/>
        <v>1134.45</v>
      </c>
      <c r="S285" s="14">
        <f t="shared" si="5"/>
        <v>141.39</v>
      </c>
    </row>
    <row r="286">
      <c r="A286" s="12">
        <v>42639.0</v>
      </c>
      <c r="B286" s="12" t="s">
        <v>2329</v>
      </c>
      <c r="C286" s="2">
        <v>42410.0</v>
      </c>
      <c r="D286" s="15" t="str">
        <f t="shared" si="1"/>
        <v>Feb</v>
      </c>
      <c r="E286" s="2" t="str">
        <f t="shared" si="2"/>
        <v>2016</v>
      </c>
      <c r="F286" s="13" t="s">
        <v>41</v>
      </c>
      <c r="G286" s="13" t="s">
        <v>2356</v>
      </c>
      <c r="H286" s="13" t="s">
        <v>2357</v>
      </c>
      <c r="I286" s="13" t="s">
        <v>23</v>
      </c>
      <c r="J286" s="13" t="s">
        <v>255</v>
      </c>
      <c r="K286" s="13" t="s">
        <v>256</v>
      </c>
      <c r="L286" s="13" t="s">
        <v>37</v>
      </c>
      <c r="M286" s="13" t="s">
        <v>51</v>
      </c>
      <c r="N286" s="14">
        <v>239.8</v>
      </c>
      <c r="O286" s="14">
        <v>239.3</v>
      </c>
      <c r="P286" s="13">
        <v>9.0</v>
      </c>
      <c r="Q286" s="14">
        <f t="shared" si="3"/>
        <v>2158.2</v>
      </c>
      <c r="R286" s="14">
        <f t="shared" si="4"/>
        <v>1918.9</v>
      </c>
      <c r="S286" s="14">
        <f t="shared" si="5"/>
        <v>239.3</v>
      </c>
    </row>
    <row r="287">
      <c r="A287" s="12">
        <v>42639.0</v>
      </c>
      <c r="B287" s="12" t="s">
        <v>2329</v>
      </c>
      <c r="C287" s="2">
        <v>42410.0</v>
      </c>
      <c r="D287" s="15" t="str">
        <f t="shared" si="1"/>
        <v>Feb</v>
      </c>
      <c r="E287" s="2" t="str">
        <f t="shared" si="2"/>
        <v>2016</v>
      </c>
      <c r="F287" s="13" t="s">
        <v>41</v>
      </c>
      <c r="G287" s="13" t="s">
        <v>2356</v>
      </c>
      <c r="H287" s="13" t="s">
        <v>2357</v>
      </c>
      <c r="I287" s="13" t="s">
        <v>23</v>
      </c>
      <c r="J287" s="13" t="s">
        <v>255</v>
      </c>
      <c r="K287" s="13" t="s">
        <v>256</v>
      </c>
      <c r="L287" s="13" t="s">
        <v>37</v>
      </c>
      <c r="M287" s="13" t="s">
        <v>38</v>
      </c>
      <c r="N287" s="14">
        <v>31.104</v>
      </c>
      <c r="O287" s="14">
        <v>30.4</v>
      </c>
      <c r="P287" s="13">
        <v>9.0</v>
      </c>
      <c r="Q287" s="14">
        <f t="shared" si="3"/>
        <v>279.936</v>
      </c>
      <c r="R287" s="14">
        <f t="shared" si="4"/>
        <v>249.536</v>
      </c>
      <c r="S287" s="14">
        <f t="shared" si="5"/>
        <v>30.4</v>
      </c>
    </row>
    <row r="288">
      <c r="A288" s="12">
        <v>43087.0</v>
      </c>
      <c r="B288" s="12" t="s">
        <v>2325</v>
      </c>
      <c r="C288" s="2">
        <v>43089.0</v>
      </c>
      <c r="D288" s="15" t="str">
        <f t="shared" si="1"/>
        <v>Dec</v>
      </c>
      <c r="E288" s="2" t="str">
        <f t="shared" si="2"/>
        <v>2017</v>
      </c>
      <c r="F288" s="13" t="s">
        <v>20</v>
      </c>
      <c r="G288" s="13" t="s">
        <v>2438</v>
      </c>
      <c r="H288" s="13" t="s">
        <v>2539</v>
      </c>
      <c r="I288" s="13" t="s">
        <v>34</v>
      </c>
      <c r="J288" s="13" t="s">
        <v>603</v>
      </c>
      <c r="K288" s="13" t="s">
        <v>145</v>
      </c>
      <c r="L288" s="13" t="s">
        <v>26</v>
      </c>
      <c r="M288" s="13" t="s">
        <v>38</v>
      </c>
      <c r="N288" s="14">
        <v>254.058</v>
      </c>
      <c r="O288" s="14">
        <v>253.74</v>
      </c>
      <c r="P288" s="13">
        <v>3.0</v>
      </c>
      <c r="Q288" s="14">
        <f t="shared" si="3"/>
        <v>762.174</v>
      </c>
      <c r="R288" s="14">
        <f t="shared" si="4"/>
        <v>508.434</v>
      </c>
      <c r="S288" s="14">
        <f t="shared" si="5"/>
        <v>253.74</v>
      </c>
    </row>
    <row r="289">
      <c r="A289" s="12">
        <v>43087.0</v>
      </c>
      <c r="B289" s="12" t="s">
        <v>2325</v>
      </c>
      <c r="C289" s="2">
        <v>43089.0</v>
      </c>
      <c r="D289" s="15" t="str">
        <f t="shared" si="1"/>
        <v>Dec</v>
      </c>
      <c r="E289" s="2" t="str">
        <f t="shared" si="2"/>
        <v>2017</v>
      </c>
      <c r="F289" s="13" t="s">
        <v>20</v>
      </c>
      <c r="G289" s="13" t="s">
        <v>2438</v>
      </c>
      <c r="H289" s="13" t="s">
        <v>2539</v>
      </c>
      <c r="I289" s="13" t="s">
        <v>34</v>
      </c>
      <c r="J289" s="13" t="s">
        <v>603</v>
      </c>
      <c r="K289" s="13" t="s">
        <v>145</v>
      </c>
      <c r="L289" s="13" t="s">
        <v>26</v>
      </c>
      <c r="M289" s="13" t="s">
        <v>38</v>
      </c>
      <c r="N289" s="14">
        <v>194.528</v>
      </c>
      <c r="O289" s="14">
        <v>193.93</v>
      </c>
      <c r="P289" s="13">
        <v>3.0</v>
      </c>
      <c r="Q289" s="14">
        <f t="shared" si="3"/>
        <v>583.584</v>
      </c>
      <c r="R289" s="14">
        <f t="shared" si="4"/>
        <v>389.654</v>
      </c>
      <c r="S289" s="14">
        <f t="shared" si="5"/>
        <v>193.93</v>
      </c>
    </row>
    <row r="290">
      <c r="A290" s="12">
        <v>43087.0</v>
      </c>
      <c r="B290" s="12" t="s">
        <v>2325</v>
      </c>
      <c r="C290" s="2">
        <v>43089.0</v>
      </c>
      <c r="D290" s="15" t="str">
        <f t="shared" si="1"/>
        <v>Dec</v>
      </c>
      <c r="E290" s="2" t="str">
        <f t="shared" si="2"/>
        <v>2017</v>
      </c>
      <c r="F290" s="13" t="s">
        <v>20</v>
      </c>
      <c r="G290" s="13" t="s">
        <v>2438</v>
      </c>
      <c r="H290" s="13" t="s">
        <v>2539</v>
      </c>
      <c r="I290" s="13" t="s">
        <v>34</v>
      </c>
      <c r="J290" s="13" t="s">
        <v>603</v>
      </c>
      <c r="K290" s="13" t="s">
        <v>145</v>
      </c>
      <c r="L290" s="13" t="s">
        <v>26</v>
      </c>
      <c r="M290" s="13" t="s">
        <v>38</v>
      </c>
      <c r="N290" s="14">
        <v>961.48</v>
      </c>
      <c r="O290" s="14">
        <v>961.3</v>
      </c>
      <c r="P290" s="13">
        <v>3.0</v>
      </c>
      <c r="Q290" s="14">
        <f t="shared" si="3"/>
        <v>2884.44</v>
      </c>
      <c r="R290" s="14">
        <f t="shared" si="4"/>
        <v>1923.14</v>
      </c>
      <c r="S290" s="14">
        <f t="shared" si="5"/>
        <v>961.3</v>
      </c>
    </row>
    <row r="291">
      <c r="A291" s="12">
        <v>43059.0</v>
      </c>
      <c r="B291" s="12" t="s">
        <v>2326</v>
      </c>
      <c r="C291" s="2">
        <v>43063.0</v>
      </c>
      <c r="D291" s="15" t="str">
        <f t="shared" si="1"/>
        <v>Nov</v>
      </c>
      <c r="E291" s="2" t="str">
        <f t="shared" si="2"/>
        <v>2017</v>
      </c>
      <c r="F291" s="13" t="s">
        <v>20</v>
      </c>
      <c r="G291" s="13" t="s">
        <v>2540</v>
      </c>
      <c r="H291" s="13" t="s">
        <v>2421</v>
      </c>
      <c r="I291" s="13" t="s">
        <v>68</v>
      </c>
      <c r="J291" s="13" t="s">
        <v>303</v>
      </c>
      <c r="K291" s="13" t="s">
        <v>304</v>
      </c>
      <c r="L291" s="13" t="s">
        <v>100</v>
      </c>
      <c r="M291" s="13" t="s">
        <v>38</v>
      </c>
      <c r="N291" s="14">
        <v>19.096</v>
      </c>
      <c r="O291" s="14">
        <v>18.34</v>
      </c>
      <c r="P291" s="13">
        <v>4.0</v>
      </c>
      <c r="Q291" s="14">
        <f t="shared" si="3"/>
        <v>76.384</v>
      </c>
      <c r="R291" s="14">
        <f t="shared" si="4"/>
        <v>58.044</v>
      </c>
      <c r="S291" s="14">
        <f t="shared" si="5"/>
        <v>18.34</v>
      </c>
    </row>
    <row r="292">
      <c r="A292" s="12">
        <v>43059.0</v>
      </c>
      <c r="B292" s="12" t="s">
        <v>2326</v>
      </c>
      <c r="C292" s="2">
        <v>43063.0</v>
      </c>
      <c r="D292" s="15" t="str">
        <f t="shared" si="1"/>
        <v>Nov</v>
      </c>
      <c r="E292" s="2" t="str">
        <f t="shared" si="2"/>
        <v>2017</v>
      </c>
      <c r="F292" s="13" t="s">
        <v>20</v>
      </c>
      <c r="G292" s="13" t="s">
        <v>2540</v>
      </c>
      <c r="H292" s="13" t="s">
        <v>2421</v>
      </c>
      <c r="I292" s="13" t="s">
        <v>68</v>
      </c>
      <c r="J292" s="13" t="s">
        <v>303</v>
      </c>
      <c r="K292" s="13" t="s">
        <v>304</v>
      </c>
      <c r="L292" s="13" t="s">
        <v>100</v>
      </c>
      <c r="M292" s="13" t="s">
        <v>38</v>
      </c>
      <c r="N292" s="14">
        <v>18.496</v>
      </c>
      <c r="O292" s="14">
        <v>18.02</v>
      </c>
      <c r="P292" s="13">
        <v>4.0</v>
      </c>
      <c r="Q292" s="14">
        <f t="shared" si="3"/>
        <v>73.984</v>
      </c>
      <c r="R292" s="14">
        <f t="shared" si="4"/>
        <v>55.964</v>
      </c>
      <c r="S292" s="14">
        <f t="shared" si="5"/>
        <v>18.02</v>
      </c>
    </row>
    <row r="293">
      <c r="A293" s="12">
        <v>43059.0</v>
      </c>
      <c r="B293" s="12" t="s">
        <v>2326</v>
      </c>
      <c r="C293" s="2">
        <v>43063.0</v>
      </c>
      <c r="D293" s="15" t="str">
        <f t="shared" si="1"/>
        <v>Nov</v>
      </c>
      <c r="E293" s="2" t="str">
        <f t="shared" si="2"/>
        <v>2017</v>
      </c>
      <c r="F293" s="13" t="s">
        <v>20</v>
      </c>
      <c r="G293" s="13" t="s">
        <v>2540</v>
      </c>
      <c r="H293" s="13" t="s">
        <v>2421</v>
      </c>
      <c r="I293" s="13" t="s">
        <v>68</v>
      </c>
      <c r="J293" s="13" t="s">
        <v>303</v>
      </c>
      <c r="K293" s="13" t="s">
        <v>304</v>
      </c>
      <c r="L293" s="13" t="s">
        <v>100</v>
      </c>
      <c r="M293" s="13" t="s">
        <v>51</v>
      </c>
      <c r="N293" s="14">
        <v>255.984</v>
      </c>
      <c r="O293" s="14">
        <v>255.27</v>
      </c>
      <c r="P293" s="13">
        <v>4.0</v>
      </c>
      <c r="Q293" s="14">
        <f t="shared" si="3"/>
        <v>1023.936</v>
      </c>
      <c r="R293" s="14">
        <f t="shared" si="4"/>
        <v>768.666</v>
      </c>
      <c r="S293" s="14">
        <f t="shared" si="5"/>
        <v>255.27</v>
      </c>
    </row>
    <row r="294">
      <c r="A294" s="12">
        <v>43059.0</v>
      </c>
      <c r="B294" s="12" t="s">
        <v>2326</v>
      </c>
      <c r="C294" s="2">
        <v>43063.0</v>
      </c>
      <c r="D294" s="15" t="str">
        <f t="shared" si="1"/>
        <v>Nov</v>
      </c>
      <c r="E294" s="2" t="str">
        <f t="shared" si="2"/>
        <v>2017</v>
      </c>
      <c r="F294" s="13" t="s">
        <v>20</v>
      </c>
      <c r="G294" s="13" t="s">
        <v>2540</v>
      </c>
      <c r="H294" s="13" t="s">
        <v>2421</v>
      </c>
      <c r="I294" s="13" t="s">
        <v>68</v>
      </c>
      <c r="J294" s="13" t="s">
        <v>303</v>
      </c>
      <c r="K294" s="13" t="s">
        <v>304</v>
      </c>
      <c r="L294" s="13" t="s">
        <v>100</v>
      </c>
      <c r="M294" s="13" t="s">
        <v>27</v>
      </c>
      <c r="N294" s="14">
        <v>86.97</v>
      </c>
      <c r="O294" s="14">
        <v>86.48</v>
      </c>
      <c r="P294" s="13">
        <v>4.0</v>
      </c>
      <c r="Q294" s="14">
        <f t="shared" si="3"/>
        <v>347.88</v>
      </c>
      <c r="R294" s="14">
        <f t="shared" si="4"/>
        <v>261.4</v>
      </c>
      <c r="S294" s="14">
        <f t="shared" si="5"/>
        <v>86.48</v>
      </c>
    </row>
    <row r="295">
      <c r="A295" s="12">
        <v>42364.0</v>
      </c>
      <c r="B295" s="12" t="s">
        <v>2325</v>
      </c>
      <c r="C295" s="2">
        <v>42366.0</v>
      </c>
      <c r="D295" s="15" t="str">
        <f t="shared" si="1"/>
        <v>Dec</v>
      </c>
      <c r="E295" s="2" t="str">
        <f t="shared" si="2"/>
        <v>2015</v>
      </c>
      <c r="F295" s="13" t="s">
        <v>121</v>
      </c>
      <c r="G295" s="13" t="s">
        <v>2517</v>
      </c>
      <c r="H295" s="13" t="s">
        <v>2541</v>
      </c>
      <c r="I295" s="13" t="s">
        <v>34</v>
      </c>
      <c r="J295" s="13" t="s">
        <v>610</v>
      </c>
      <c r="K295" s="13" t="s">
        <v>279</v>
      </c>
      <c r="L295" s="13" t="s">
        <v>37</v>
      </c>
      <c r="M295" s="13" t="s">
        <v>27</v>
      </c>
      <c r="N295" s="14">
        <v>300.416</v>
      </c>
      <c r="O295" s="14">
        <v>299.42</v>
      </c>
      <c r="P295" s="13">
        <v>8.0</v>
      </c>
      <c r="Q295" s="14">
        <f t="shared" si="3"/>
        <v>2403.328</v>
      </c>
      <c r="R295" s="14">
        <f t="shared" si="4"/>
        <v>2103.908</v>
      </c>
      <c r="S295" s="14">
        <f t="shared" si="5"/>
        <v>299.42</v>
      </c>
    </row>
    <row r="296">
      <c r="A296" s="12">
        <v>42364.0</v>
      </c>
      <c r="B296" s="12" t="s">
        <v>2325</v>
      </c>
      <c r="C296" s="2">
        <v>42366.0</v>
      </c>
      <c r="D296" s="15" t="str">
        <f t="shared" si="1"/>
        <v>Dec</v>
      </c>
      <c r="E296" s="2" t="str">
        <f t="shared" si="2"/>
        <v>2015</v>
      </c>
      <c r="F296" s="13" t="s">
        <v>121</v>
      </c>
      <c r="G296" s="13" t="s">
        <v>2517</v>
      </c>
      <c r="H296" s="13" t="s">
        <v>2541</v>
      </c>
      <c r="I296" s="13" t="s">
        <v>34</v>
      </c>
      <c r="J296" s="13" t="s">
        <v>610</v>
      </c>
      <c r="K296" s="13" t="s">
        <v>279</v>
      </c>
      <c r="L296" s="13" t="s">
        <v>37</v>
      </c>
      <c r="M296" s="13" t="s">
        <v>27</v>
      </c>
      <c r="N296" s="14">
        <v>230.352</v>
      </c>
      <c r="O296" s="14">
        <v>229.78</v>
      </c>
      <c r="P296" s="13">
        <v>8.0</v>
      </c>
      <c r="Q296" s="14">
        <f t="shared" si="3"/>
        <v>1842.816</v>
      </c>
      <c r="R296" s="14">
        <f t="shared" si="4"/>
        <v>1613.036</v>
      </c>
      <c r="S296" s="14">
        <f t="shared" si="5"/>
        <v>229.78</v>
      </c>
    </row>
    <row r="297">
      <c r="A297" s="12">
        <v>42364.0</v>
      </c>
      <c r="B297" s="12" t="s">
        <v>2325</v>
      </c>
      <c r="C297" s="2">
        <v>42366.0</v>
      </c>
      <c r="D297" s="15" t="str">
        <f t="shared" si="1"/>
        <v>Dec</v>
      </c>
      <c r="E297" s="2" t="str">
        <f t="shared" si="2"/>
        <v>2015</v>
      </c>
      <c r="F297" s="13" t="s">
        <v>121</v>
      </c>
      <c r="G297" s="13" t="s">
        <v>2517</v>
      </c>
      <c r="H297" s="13" t="s">
        <v>2541</v>
      </c>
      <c r="I297" s="13" t="s">
        <v>34</v>
      </c>
      <c r="J297" s="13" t="s">
        <v>610</v>
      </c>
      <c r="K297" s="13" t="s">
        <v>279</v>
      </c>
      <c r="L297" s="13" t="s">
        <v>37</v>
      </c>
      <c r="M297" s="13" t="s">
        <v>27</v>
      </c>
      <c r="N297" s="14">
        <v>218.352</v>
      </c>
      <c r="O297" s="14">
        <v>218.02</v>
      </c>
      <c r="P297" s="13">
        <v>8.0</v>
      </c>
      <c r="Q297" s="14">
        <f t="shared" si="3"/>
        <v>1746.816</v>
      </c>
      <c r="R297" s="14">
        <f t="shared" si="4"/>
        <v>1528.796</v>
      </c>
      <c r="S297" s="14">
        <f t="shared" si="5"/>
        <v>218.02</v>
      </c>
    </row>
    <row r="298">
      <c r="A298" s="12">
        <v>42364.0</v>
      </c>
      <c r="B298" s="12" t="s">
        <v>2325</v>
      </c>
      <c r="C298" s="2">
        <v>42366.0</v>
      </c>
      <c r="D298" s="15" t="str">
        <f t="shared" si="1"/>
        <v>Dec</v>
      </c>
      <c r="E298" s="2" t="str">
        <f t="shared" si="2"/>
        <v>2015</v>
      </c>
      <c r="F298" s="13" t="s">
        <v>121</v>
      </c>
      <c r="G298" s="13" t="s">
        <v>2517</v>
      </c>
      <c r="H298" s="13" t="s">
        <v>2541</v>
      </c>
      <c r="I298" s="13" t="s">
        <v>34</v>
      </c>
      <c r="J298" s="13" t="s">
        <v>610</v>
      </c>
      <c r="K298" s="13" t="s">
        <v>279</v>
      </c>
      <c r="L298" s="13" t="s">
        <v>37</v>
      </c>
      <c r="M298" s="13" t="s">
        <v>38</v>
      </c>
      <c r="N298" s="14">
        <v>78.6</v>
      </c>
      <c r="O298" s="14">
        <v>78.29</v>
      </c>
      <c r="P298" s="13">
        <v>8.0</v>
      </c>
      <c r="Q298" s="14">
        <f t="shared" si="3"/>
        <v>628.8</v>
      </c>
      <c r="R298" s="14">
        <f t="shared" si="4"/>
        <v>550.51</v>
      </c>
      <c r="S298" s="14">
        <f t="shared" si="5"/>
        <v>78.29</v>
      </c>
    </row>
    <row r="299">
      <c r="A299" s="12">
        <v>42364.0</v>
      </c>
      <c r="B299" s="12" t="s">
        <v>2325</v>
      </c>
      <c r="C299" s="2">
        <v>42366.0</v>
      </c>
      <c r="D299" s="15" t="str">
        <f t="shared" si="1"/>
        <v>Dec</v>
      </c>
      <c r="E299" s="2" t="str">
        <f t="shared" si="2"/>
        <v>2015</v>
      </c>
      <c r="F299" s="13" t="s">
        <v>121</v>
      </c>
      <c r="G299" s="13" t="s">
        <v>2517</v>
      </c>
      <c r="H299" s="13" t="s">
        <v>2541</v>
      </c>
      <c r="I299" s="13" t="s">
        <v>34</v>
      </c>
      <c r="J299" s="13" t="s">
        <v>610</v>
      </c>
      <c r="K299" s="13" t="s">
        <v>279</v>
      </c>
      <c r="L299" s="13" t="s">
        <v>37</v>
      </c>
      <c r="M299" s="13" t="s">
        <v>38</v>
      </c>
      <c r="N299" s="14">
        <v>27.552</v>
      </c>
      <c r="O299" s="14">
        <v>27.54</v>
      </c>
      <c r="P299" s="13">
        <v>8.0</v>
      </c>
      <c r="Q299" s="14">
        <f t="shared" si="3"/>
        <v>220.416</v>
      </c>
      <c r="R299" s="14">
        <f t="shared" si="4"/>
        <v>192.876</v>
      </c>
      <c r="S299" s="14">
        <f t="shared" si="5"/>
        <v>27.54</v>
      </c>
    </row>
    <row r="300">
      <c r="A300" s="12">
        <v>43036.0</v>
      </c>
      <c r="B300" s="12" t="s">
        <v>2358</v>
      </c>
      <c r="C300" s="2">
        <v>42805.0</v>
      </c>
      <c r="D300" s="15" t="str">
        <f t="shared" si="1"/>
        <v>Mar</v>
      </c>
      <c r="E300" s="2" t="str">
        <f t="shared" si="2"/>
        <v>2017</v>
      </c>
      <c r="F300" s="13" t="s">
        <v>41</v>
      </c>
      <c r="G300" s="13" t="s">
        <v>2447</v>
      </c>
      <c r="H300" s="13" t="s">
        <v>2448</v>
      </c>
      <c r="I300" s="13" t="s">
        <v>34</v>
      </c>
      <c r="J300" s="13" t="s">
        <v>612</v>
      </c>
      <c r="K300" s="13" t="s">
        <v>462</v>
      </c>
      <c r="L300" s="13" t="s">
        <v>100</v>
      </c>
      <c r="M300" s="13" t="s">
        <v>38</v>
      </c>
      <c r="N300" s="14">
        <v>32.4</v>
      </c>
      <c r="O300" s="14">
        <v>32.06</v>
      </c>
      <c r="P300" s="13">
        <v>7.0</v>
      </c>
      <c r="Q300" s="14">
        <f t="shared" si="3"/>
        <v>226.8</v>
      </c>
      <c r="R300" s="14">
        <f t="shared" si="4"/>
        <v>194.74</v>
      </c>
      <c r="S300" s="14">
        <f t="shared" si="5"/>
        <v>32.06</v>
      </c>
    </row>
    <row r="301">
      <c r="A301" s="12">
        <v>43036.0</v>
      </c>
      <c r="B301" s="12" t="s">
        <v>2358</v>
      </c>
      <c r="C301" s="2">
        <v>42805.0</v>
      </c>
      <c r="D301" s="15" t="str">
        <f t="shared" si="1"/>
        <v>Mar</v>
      </c>
      <c r="E301" s="2" t="str">
        <f t="shared" si="2"/>
        <v>2017</v>
      </c>
      <c r="F301" s="13" t="s">
        <v>41</v>
      </c>
      <c r="G301" s="13" t="s">
        <v>2447</v>
      </c>
      <c r="H301" s="13" t="s">
        <v>2448</v>
      </c>
      <c r="I301" s="13" t="s">
        <v>34</v>
      </c>
      <c r="J301" s="13" t="s">
        <v>612</v>
      </c>
      <c r="K301" s="13" t="s">
        <v>462</v>
      </c>
      <c r="L301" s="13" t="s">
        <v>100</v>
      </c>
      <c r="M301" s="13" t="s">
        <v>38</v>
      </c>
      <c r="N301" s="14">
        <v>1082.48</v>
      </c>
      <c r="O301" s="14">
        <v>1081.82</v>
      </c>
      <c r="P301" s="13">
        <v>7.0</v>
      </c>
      <c r="Q301" s="14">
        <f t="shared" si="3"/>
        <v>7577.36</v>
      </c>
      <c r="R301" s="14">
        <f t="shared" si="4"/>
        <v>6495.54</v>
      </c>
      <c r="S301" s="14">
        <f t="shared" si="5"/>
        <v>1081.82</v>
      </c>
    </row>
    <row r="302">
      <c r="A302" s="12">
        <v>43036.0</v>
      </c>
      <c r="B302" s="12" t="s">
        <v>2358</v>
      </c>
      <c r="C302" s="2">
        <v>42805.0</v>
      </c>
      <c r="D302" s="15" t="str">
        <f t="shared" si="1"/>
        <v>Mar</v>
      </c>
      <c r="E302" s="2" t="str">
        <f t="shared" si="2"/>
        <v>2017</v>
      </c>
      <c r="F302" s="13" t="s">
        <v>41</v>
      </c>
      <c r="G302" s="13" t="s">
        <v>2447</v>
      </c>
      <c r="H302" s="13" t="s">
        <v>2448</v>
      </c>
      <c r="I302" s="13" t="s">
        <v>34</v>
      </c>
      <c r="J302" s="13" t="s">
        <v>612</v>
      </c>
      <c r="K302" s="13" t="s">
        <v>462</v>
      </c>
      <c r="L302" s="13" t="s">
        <v>100</v>
      </c>
      <c r="M302" s="13" t="s">
        <v>38</v>
      </c>
      <c r="N302" s="14">
        <v>56.91</v>
      </c>
      <c r="O302" s="14">
        <v>56.78</v>
      </c>
      <c r="P302" s="13">
        <v>7.0</v>
      </c>
      <c r="Q302" s="14">
        <f t="shared" si="3"/>
        <v>398.37</v>
      </c>
      <c r="R302" s="14">
        <f t="shared" si="4"/>
        <v>341.59</v>
      </c>
      <c r="S302" s="14">
        <f t="shared" si="5"/>
        <v>56.78</v>
      </c>
    </row>
    <row r="303">
      <c r="A303" s="12">
        <v>43036.0</v>
      </c>
      <c r="B303" s="12" t="s">
        <v>2358</v>
      </c>
      <c r="C303" s="2">
        <v>42805.0</v>
      </c>
      <c r="D303" s="15" t="str">
        <f t="shared" si="1"/>
        <v>Mar</v>
      </c>
      <c r="E303" s="2" t="str">
        <f t="shared" si="2"/>
        <v>2017</v>
      </c>
      <c r="F303" s="13" t="s">
        <v>41</v>
      </c>
      <c r="G303" s="13" t="s">
        <v>2447</v>
      </c>
      <c r="H303" s="13" t="s">
        <v>2448</v>
      </c>
      <c r="I303" s="13" t="s">
        <v>34</v>
      </c>
      <c r="J303" s="13" t="s">
        <v>612</v>
      </c>
      <c r="K303" s="13" t="s">
        <v>462</v>
      </c>
      <c r="L303" s="13" t="s">
        <v>100</v>
      </c>
      <c r="M303" s="13" t="s">
        <v>27</v>
      </c>
      <c r="N303" s="14">
        <v>77.6</v>
      </c>
      <c r="O303" s="14">
        <v>76.91</v>
      </c>
      <c r="P303" s="13">
        <v>7.0</v>
      </c>
      <c r="Q303" s="14">
        <f t="shared" si="3"/>
        <v>543.2</v>
      </c>
      <c r="R303" s="14">
        <f t="shared" si="4"/>
        <v>466.29</v>
      </c>
      <c r="S303" s="14">
        <f t="shared" si="5"/>
        <v>76.91</v>
      </c>
    </row>
    <row r="304">
      <c r="A304" s="12">
        <v>43036.0</v>
      </c>
      <c r="B304" s="12" t="s">
        <v>2358</v>
      </c>
      <c r="C304" s="2">
        <v>42805.0</v>
      </c>
      <c r="D304" s="15" t="str">
        <f t="shared" si="1"/>
        <v>Mar</v>
      </c>
      <c r="E304" s="2" t="str">
        <f t="shared" si="2"/>
        <v>2017</v>
      </c>
      <c r="F304" s="13" t="s">
        <v>41</v>
      </c>
      <c r="G304" s="13" t="s">
        <v>2447</v>
      </c>
      <c r="H304" s="13" t="s">
        <v>2448</v>
      </c>
      <c r="I304" s="13" t="s">
        <v>34</v>
      </c>
      <c r="J304" s="13" t="s">
        <v>612</v>
      </c>
      <c r="K304" s="13" t="s">
        <v>462</v>
      </c>
      <c r="L304" s="13" t="s">
        <v>100</v>
      </c>
      <c r="M304" s="13" t="s">
        <v>38</v>
      </c>
      <c r="N304" s="14">
        <v>14.28</v>
      </c>
      <c r="O304" s="14">
        <v>14.16</v>
      </c>
      <c r="P304" s="13">
        <v>7.0</v>
      </c>
      <c r="Q304" s="14">
        <f t="shared" si="3"/>
        <v>99.96</v>
      </c>
      <c r="R304" s="14">
        <f t="shared" si="4"/>
        <v>85.8</v>
      </c>
      <c r="S304" s="14">
        <f t="shared" si="5"/>
        <v>14.16</v>
      </c>
    </row>
    <row r="305">
      <c r="A305" s="12">
        <v>43423.0</v>
      </c>
      <c r="B305" s="12" t="s">
        <v>2326</v>
      </c>
      <c r="C305" s="2">
        <v>43427.0</v>
      </c>
      <c r="D305" s="15" t="str">
        <f t="shared" si="1"/>
        <v>Nov</v>
      </c>
      <c r="E305" s="2" t="str">
        <f t="shared" si="2"/>
        <v>2018</v>
      </c>
      <c r="F305" s="13" t="s">
        <v>41</v>
      </c>
      <c r="G305" s="13" t="s">
        <v>2447</v>
      </c>
      <c r="H305" s="13" t="s">
        <v>2510</v>
      </c>
      <c r="I305" s="13" t="s">
        <v>23</v>
      </c>
      <c r="J305" s="13" t="s">
        <v>188</v>
      </c>
      <c r="K305" s="13" t="s">
        <v>135</v>
      </c>
      <c r="L305" s="13" t="s">
        <v>71</v>
      </c>
      <c r="M305" s="13" t="s">
        <v>27</v>
      </c>
      <c r="N305" s="14">
        <v>219.075</v>
      </c>
      <c r="O305" s="14">
        <v>218.6</v>
      </c>
      <c r="P305" s="13">
        <v>6.0</v>
      </c>
      <c r="Q305" s="14">
        <f t="shared" si="3"/>
        <v>1314.45</v>
      </c>
      <c r="R305" s="14">
        <f t="shared" si="4"/>
        <v>1095.85</v>
      </c>
      <c r="S305" s="14">
        <f t="shared" si="5"/>
        <v>218.6</v>
      </c>
    </row>
    <row r="306">
      <c r="A306" s="12">
        <v>42465.0</v>
      </c>
      <c r="B306" s="12" t="s">
        <v>2332</v>
      </c>
      <c r="C306" s="2">
        <v>42618.0</v>
      </c>
      <c r="D306" s="15" t="str">
        <f t="shared" si="1"/>
        <v>Sep</v>
      </c>
      <c r="E306" s="2" t="str">
        <f t="shared" si="2"/>
        <v>2016</v>
      </c>
      <c r="F306" s="13" t="s">
        <v>20</v>
      </c>
      <c r="G306" s="13" t="s">
        <v>2438</v>
      </c>
      <c r="H306" s="13" t="s">
        <v>2542</v>
      </c>
      <c r="I306" s="13" t="s">
        <v>34</v>
      </c>
      <c r="J306" s="13" t="s">
        <v>174</v>
      </c>
      <c r="K306" s="13" t="s">
        <v>175</v>
      </c>
      <c r="L306" s="13" t="s">
        <v>100</v>
      </c>
      <c r="M306" s="13" t="s">
        <v>27</v>
      </c>
      <c r="N306" s="14">
        <v>26.8</v>
      </c>
      <c r="O306" s="14">
        <v>25.99</v>
      </c>
      <c r="P306" s="13">
        <v>1.0</v>
      </c>
      <c r="Q306" s="14">
        <f t="shared" si="3"/>
        <v>26.8</v>
      </c>
      <c r="R306" s="14">
        <f t="shared" si="4"/>
        <v>0.81</v>
      </c>
      <c r="S306" s="14">
        <f t="shared" si="5"/>
        <v>25.99</v>
      </c>
    </row>
    <row r="307">
      <c r="A307" s="12">
        <v>42368.0</v>
      </c>
      <c r="B307" s="12" t="s">
        <v>2325</v>
      </c>
      <c r="C307" s="2">
        <v>42461.0</v>
      </c>
      <c r="D307" s="15" t="str">
        <f t="shared" si="1"/>
        <v>Apr</v>
      </c>
      <c r="E307" s="2" t="str">
        <f t="shared" si="2"/>
        <v>2016</v>
      </c>
      <c r="F307" s="13" t="s">
        <v>41</v>
      </c>
      <c r="G307" s="13" t="s">
        <v>2346</v>
      </c>
      <c r="H307" s="13" t="s">
        <v>2394</v>
      </c>
      <c r="I307" s="13" t="s">
        <v>34</v>
      </c>
      <c r="J307" s="13" t="s">
        <v>619</v>
      </c>
      <c r="K307" s="13" t="s">
        <v>157</v>
      </c>
      <c r="L307" s="13" t="s">
        <v>71</v>
      </c>
      <c r="M307" s="13" t="s">
        <v>38</v>
      </c>
      <c r="N307" s="14">
        <v>9.84</v>
      </c>
      <c r="O307" s="14">
        <v>9.41</v>
      </c>
      <c r="P307" s="13">
        <v>4.0</v>
      </c>
      <c r="Q307" s="14">
        <f t="shared" si="3"/>
        <v>39.36</v>
      </c>
      <c r="R307" s="14">
        <f t="shared" si="4"/>
        <v>29.95</v>
      </c>
      <c r="S307" s="14">
        <f t="shared" si="5"/>
        <v>9.41</v>
      </c>
    </row>
    <row r="308">
      <c r="A308" s="12">
        <v>42010.0</v>
      </c>
      <c r="B308" s="12" t="s">
        <v>2353</v>
      </c>
      <c r="C308" s="2">
        <v>42161.0</v>
      </c>
      <c r="D308" s="15" t="str">
        <f t="shared" si="1"/>
        <v>Jun</v>
      </c>
      <c r="E308" s="2" t="str">
        <f t="shared" si="2"/>
        <v>2015</v>
      </c>
      <c r="F308" s="13" t="s">
        <v>41</v>
      </c>
      <c r="G308" s="13" t="s">
        <v>2543</v>
      </c>
      <c r="H308" s="13" t="s">
        <v>2544</v>
      </c>
      <c r="I308" s="13" t="s">
        <v>68</v>
      </c>
      <c r="J308" s="13" t="s">
        <v>623</v>
      </c>
      <c r="K308" s="13" t="s">
        <v>462</v>
      </c>
      <c r="L308" s="13" t="s">
        <v>100</v>
      </c>
      <c r="M308" s="13" t="s">
        <v>38</v>
      </c>
      <c r="N308" s="14">
        <v>45.48</v>
      </c>
      <c r="O308" s="14">
        <v>45.44</v>
      </c>
      <c r="P308" s="13">
        <v>8.0</v>
      </c>
      <c r="Q308" s="14">
        <f t="shared" si="3"/>
        <v>363.84</v>
      </c>
      <c r="R308" s="14">
        <f t="shared" si="4"/>
        <v>318.4</v>
      </c>
      <c r="S308" s="14">
        <f t="shared" si="5"/>
        <v>45.44</v>
      </c>
    </row>
    <row r="309">
      <c r="A309" s="12">
        <v>42010.0</v>
      </c>
      <c r="B309" s="12" t="s">
        <v>2353</v>
      </c>
      <c r="C309" s="2">
        <v>42161.0</v>
      </c>
      <c r="D309" s="15" t="str">
        <f t="shared" si="1"/>
        <v>Jun</v>
      </c>
      <c r="E309" s="2" t="str">
        <f t="shared" si="2"/>
        <v>2015</v>
      </c>
      <c r="F309" s="13" t="s">
        <v>41</v>
      </c>
      <c r="G309" s="13" t="s">
        <v>2543</v>
      </c>
      <c r="H309" s="13" t="s">
        <v>2544</v>
      </c>
      <c r="I309" s="13" t="s">
        <v>68</v>
      </c>
      <c r="J309" s="13" t="s">
        <v>623</v>
      </c>
      <c r="K309" s="13" t="s">
        <v>462</v>
      </c>
      <c r="L309" s="13" t="s">
        <v>100</v>
      </c>
      <c r="M309" s="13" t="s">
        <v>38</v>
      </c>
      <c r="N309" s="14">
        <v>289.2</v>
      </c>
      <c r="O309" s="14">
        <v>288.87</v>
      </c>
      <c r="P309" s="13">
        <v>8.0</v>
      </c>
      <c r="Q309" s="14">
        <f t="shared" si="3"/>
        <v>2313.6</v>
      </c>
      <c r="R309" s="14">
        <f t="shared" si="4"/>
        <v>2024.73</v>
      </c>
      <c r="S309" s="14">
        <f t="shared" si="5"/>
        <v>288.87</v>
      </c>
    </row>
    <row r="310">
      <c r="A310" s="12">
        <v>43205.0</v>
      </c>
      <c r="B310" s="12" t="s">
        <v>2332</v>
      </c>
      <c r="C310" s="2">
        <v>43207.0</v>
      </c>
      <c r="D310" s="15" t="str">
        <f t="shared" si="1"/>
        <v>Apr</v>
      </c>
      <c r="E310" s="2" t="str">
        <f t="shared" si="2"/>
        <v>2018</v>
      </c>
      <c r="F310" s="13" t="s">
        <v>121</v>
      </c>
      <c r="G310" s="13" t="s">
        <v>2545</v>
      </c>
      <c r="H310" s="13" t="s">
        <v>2495</v>
      </c>
      <c r="I310" s="13" t="s">
        <v>23</v>
      </c>
      <c r="J310" s="13" t="s">
        <v>628</v>
      </c>
      <c r="K310" s="13" t="s">
        <v>198</v>
      </c>
      <c r="L310" s="13" t="s">
        <v>26</v>
      </c>
      <c r="M310" s="13" t="s">
        <v>38</v>
      </c>
      <c r="N310" s="14">
        <v>4.89</v>
      </c>
      <c r="O310" s="14">
        <v>4.36</v>
      </c>
      <c r="P310" s="13">
        <v>2.0</v>
      </c>
      <c r="Q310" s="14">
        <f t="shared" si="3"/>
        <v>9.78</v>
      </c>
      <c r="R310" s="14">
        <f t="shared" si="4"/>
        <v>5.42</v>
      </c>
      <c r="S310" s="14">
        <f t="shared" si="5"/>
        <v>4.36</v>
      </c>
    </row>
    <row r="311">
      <c r="A311" s="12">
        <v>43078.0</v>
      </c>
      <c r="B311" s="12" t="s">
        <v>2325</v>
      </c>
      <c r="C311" s="2">
        <v>42992.0</v>
      </c>
      <c r="D311" s="15" t="str">
        <f t="shared" si="1"/>
        <v>Sep</v>
      </c>
      <c r="E311" s="2" t="str">
        <f t="shared" si="2"/>
        <v>2017</v>
      </c>
      <c r="F311" s="13" t="s">
        <v>20</v>
      </c>
      <c r="G311" s="13" t="s">
        <v>2546</v>
      </c>
      <c r="H311" s="13" t="s">
        <v>2547</v>
      </c>
      <c r="I311" s="13" t="s">
        <v>34</v>
      </c>
      <c r="J311" s="13" t="s">
        <v>633</v>
      </c>
      <c r="K311" s="13" t="s">
        <v>279</v>
      </c>
      <c r="L311" s="13" t="s">
        <v>37</v>
      </c>
      <c r="M311" s="13" t="s">
        <v>27</v>
      </c>
      <c r="N311" s="14">
        <v>15.136</v>
      </c>
      <c r="O311" s="14">
        <v>14.89</v>
      </c>
      <c r="P311" s="13">
        <v>8.0</v>
      </c>
      <c r="Q311" s="14">
        <f t="shared" si="3"/>
        <v>121.088</v>
      </c>
      <c r="R311" s="14">
        <f t="shared" si="4"/>
        <v>106.198</v>
      </c>
      <c r="S311" s="14">
        <f t="shared" si="5"/>
        <v>14.89</v>
      </c>
    </row>
    <row r="312">
      <c r="A312" s="12">
        <v>43078.0</v>
      </c>
      <c r="B312" s="12" t="s">
        <v>2325</v>
      </c>
      <c r="C312" s="2">
        <v>42992.0</v>
      </c>
      <c r="D312" s="15" t="str">
        <f t="shared" si="1"/>
        <v>Sep</v>
      </c>
      <c r="E312" s="2" t="str">
        <f t="shared" si="2"/>
        <v>2017</v>
      </c>
      <c r="F312" s="13" t="s">
        <v>20</v>
      </c>
      <c r="G312" s="13" t="s">
        <v>2546</v>
      </c>
      <c r="H312" s="13" t="s">
        <v>2547</v>
      </c>
      <c r="I312" s="13" t="s">
        <v>34</v>
      </c>
      <c r="J312" s="13" t="s">
        <v>633</v>
      </c>
      <c r="K312" s="13" t="s">
        <v>279</v>
      </c>
      <c r="L312" s="13" t="s">
        <v>37</v>
      </c>
      <c r="M312" s="13" t="s">
        <v>27</v>
      </c>
      <c r="N312" s="14">
        <v>466.768</v>
      </c>
      <c r="O312" s="14">
        <v>465.9</v>
      </c>
      <c r="P312" s="13">
        <v>8.0</v>
      </c>
      <c r="Q312" s="14">
        <f t="shared" si="3"/>
        <v>3734.144</v>
      </c>
      <c r="R312" s="14">
        <f t="shared" si="4"/>
        <v>3268.244</v>
      </c>
      <c r="S312" s="14">
        <f t="shared" si="5"/>
        <v>465.9</v>
      </c>
    </row>
    <row r="313">
      <c r="A313" s="12">
        <v>43078.0</v>
      </c>
      <c r="B313" s="12" t="s">
        <v>2325</v>
      </c>
      <c r="C313" s="2">
        <v>42992.0</v>
      </c>
      <c r="D313" s="15" t="str">
        <f t="shared" si="1"/>
        <v>Sep</v>
      </c>
      <c r="E313" s="2" t="str">
        <f t="shared" si="2"/>
        <v>2017</v>
      </c>
      <c r="F313" s="13" t="s">
        <v>20</v>
      </c>
      <c r="G313" s="13" t="s">
        <v>2546</v>
      </c>
      <c r="H313" s="13" t="s">
        <v>2547</v>
      </c>
      <c r="I313" s="13" t="s">
        <v>34</v>
      </c>
      <c r="J313" s="13" t="s">
        <v>633</v>
      </c>
      <c r="K313" s="13" t="s">
        <v>279</v>
      </c>
      <c r="L313" s="13" t="s">
        <v>37</v>
      </c>
      <c r="M313" s="13" t="s">
        <v>27</v>
      </c>
      <c r="N313" s="14">
        <v>15.232</v>
      </c>
      <c r="O313" s="14">
        <v>14.76</v>
      </c>
      <c r="P313" s="13">
        <v>8.0</v>
      </c>
      <c r="Q313" s="14">
        <f t="shared" si="3"/>
        <v>121.856</v>
      </c>
      <c r="R313" s="14">
        <f t="shared" si="4"/>
        <v>107.096</v>
      </c>
      <c r="S313" s="14">
        <f t="shared" si="5"/>
        <v>14.76</v>
      </c>
    </row>
    <row r="314">
      <c r="A314" s="12">
        <v>43078.0</v>
      </c>
      <c r="B314" s="12" t="s">
        <v>2325</v>
      </c>
      <c r="C314" s="2">
        <v>42992.0</v>
      </c>
      <c r="D314" s="15" t="str">
        <f t="shared" si="1"/>
        <v>Sep</v>
      </c>
      <c r="E314" s="2" t="str">
        <f t="shared" si="2"/>
        <v>2017</v>
      </c>
      <c r="F314" s="13" t="s">
        <v>20</v>
      </c>
      <c r="G314" s="13" t="s">
        <v>2546</v>
      </c>
      <c r="H314" s="13" t="s">
        <v>2547</v>
      </c>
      <c r="I314" s="13" t="s">
        <v>34</v>
      </c>
      <c r="J314" s="13" t="s">
        <v>633</v>
      </c>
      <c r="K314" s="13" t="s">
        <v>279</v>
      </c>
      <c r="L314" s="13" t="s">
        <v>37</v>
      </c>
      <c r="M314" s="13" t="s">
        <v>38</v>
      </c>
      <c r="N314" s="14">
        <v>6.264</v>
      </c>
      <c r="O314" s="14">
        <v>5.52</v>
      </c>
      <c r="P314" s="13">
        <v>8.0</v>
      </c>
      <c r="Q314" s="14">
        <f t="shared" si="3"/>
        <v>50.112</v>
      </c>
      <c r="R314" s="14">
        <f t="shared" si="4"/>
        <v>44.592</v>
      </c>
      <c r="S314" s="14">
        <f t="shared" si="5"/>
        <v>5.52</v>
      </c>
    </row>
    <row r="315">
      <c r="A315" s="12">
        <v>42274.0</v>
      </c>
      <c r="B315" s="12" t="s">
        <v>2329</v>
      </c>
      <c r="C315" s="2">
        <v>42073.0</v>
      </c>
      <c r="D315" s="15" t="str">
        <f t="shared" si="1"/>
        <v>Mar</v>
      </c>
      <c r="E315" s="2" t="str">
        <f t="shared" si="2"/>
        <v>2015</v>
      </c>
      <c r="F315" s="13" t="s">
        <v>41</v>
      </c>
      <c r="G315" s="13" t="s">
        <v>2548</v>
      </c>
      <c r="H315" s="13" t="s">
        <v>2549</v>
      </c>
      <c r="I315" s="13" t="s">
        <v>34</v>
      </c>
      <c r="J315" s="13" t="s">
        <v>637</v>
      </c>
      <c r="K315" s="13" t="s">
        <v>462</v>
      </c>
      <c r="L315" s="13" t="s">
        <v>100</v>
      </c>
      <c r="M315" s="13" t="s">
        <v>27</v>
      </c>
      <c r="N315" s="14">
        <v>87.54</v>
      </c>
      <c r="O315" s="14">
        <v>87.11</v>
      </c>
      <c r="P315" s="13">
        <v>7.0</v>
      </c>
      <c r="Q315" s="14">
        <f t="shared" si="3"/>
        <v>612.78</v>
      </c>
      <c r="R315" s="14">
        <f t="shared" si="4"/>
        <v>525.67</v>
      </c>
      <c r="S315" s="14">
        <f t="shared" si="5"/>
        <v>87.11</v>
      </c>
    </row>
    <row r="316">
      <c r="A316" s="12">
        <v>42255.0</v>
      </c>
      <c r="B316" s="12" t="s">
        <v>2329</v>
      </c>
      <c r="C316" s="2">
        <v>42232.0</v>
      </c>
      <c r="D316" s="15" t="str">
        <f t="shared" si="1"/>
        <v>Aug</v>
      </c>
      <c r="E316" s="2" t="str">
        <f t="shared" si="2"/>
        <v>2015</v>
      </c>
      <c r="F316" s="13" t="s">
        <v>41</v>
      </c>
      <c r="G316" s="13" t="s">
        <v>2550</v>
      </c>
      <c r="H316" s="13" t="s">
        <v>2551</v>
      </c>
      <c r="I316" s="13" t="s">
        <v>34</v>
      </c>
      <c r="J316" s="13" t="s">
        <v>642</v>
      </c>
      <c r="K316" s="13" t="s">
        <v>145</v>
      </c>
      <c r="L316" s="13" t="s">
        <v>26</v>
      </c>
      <c r="M316" s="13" t="s">
        <v>51</v>
      </c>
      <c r="N316" s="14">
        <v>178.384</v>
      </c>
      <c r="O316" s="14">
        <v>178.32</v>
      </c>
      <c r="P316" s="13">
        <v>3.0</v>
      </c>
      <c r="Q316" s="14">
        <f t="shared" si="3"/>
        <v>535.152</v>
      </c>
      <c r="R316" s="14">
        <f t="shared" si="4"/>
        <v>356.832</v>
      </c>
      <c r="S316" s="14">
        <f t="shared" si="5"/>
        <v>178.32</v>
      </c>
    </row>
    <row r="317">
      <c r="A317" s="12">
        <v>42255.0</v>
      </c>
      <c r="B317" s="12" t="s">
        <v>2329</v>
      </c>
      <c r="C317" s="2">
        <v>42232.0</v>
      </c>
      <c r="D317" s="15" t="str">
        <f t="shared" si="1"/>
        <v>Aug</v>
      </c>
      <c r="E317" s="2" t="str">
        <f t="shared" si="2"/>
        <v>2015</v>
      </c>
      <c r="F317" s="13" t="s">
        <v>41</v>
      </c>
      <c r="G317" s="13" t="s">
        <v>2550</v>
      </c>
      <c r="H317" s="13" t="s">
        <v>2551</v>
      </c>
      <c r="I317" s="13" t="s">
        <v>34</v>
      </c>
      <c r="J317" s="13" t="s">
        <v>642</v>
      </c>
      <c r="K317" s="13" t="s">
        <v>145</v>
      </c>
      <c r="L317" s="13" t="s">
        <v>26</v>
      </c>
      <c r="M317" s="13" t="s">
        <v>38</v>
      </c>
      <c r="N317" s="14">
        <v>15.552</v>
      </c>
      <c r="O317" s="14">
        <v>15.28</v>
      </c>
      <c r="P317" s="13">
        <v>3.0</v>
      </c>
      <c r="Q317" s="14">
        <f t="shared" si="3"/>
        <v>46.656</v>
      </c>
      <c r="R317" s="14">
        <f t="shared" si="4"/>
        <v>31.376</v>
      </c>
      <c r="S317" s="14">
        <f t="shared" si="5"/>
        <v>15.28</v>
      </c>
    </row>
    <row r="318">
      <c r="A318" s="12">
        <v>42366.0</v>
      </c>
      <c r="B318" s="12" t="s">
        <v>2325</v>
      </c>
      <c r="C318" s="2">
        <v>42368.0</v>
      </c>
      <c r="D318" s="15" t="str">
        <f t="shared" si="1"/>
        <v>Dec</v>
      </c>
      <c r="E318" s="2" t="str">
        <f t="shared" si="2"/>
        <v>2015</v>
      </c>
      <c r="F318" s="13" t="s">
        <v>121</v>
      </c>
      <c r="G318" s="13" t="s">
        <v>2552</v>
      </c>
      <c r="H318" s="13" t="s">
        <v>2553</v>
      </c>
      <c r="I318" s="13" t="s">
        <v>34</v>
      </c>
      <c r="J318" s="13" t="s">
        <v>98</v>
      </c>
      <c r="K318" s="13" t="s">
        <v>99</v>
      </c>
      <c r="L318" s="13" t="s">
        <v>100</v>
      </c>
      <c r="M318" s="13" t="s">
        <v>38</v>
      </c>
      <c r="N318" s="14">
        <v>99.136</v>
      </c>
      <c r="O318" s="14">
        <v>99.02</v>
      </c>
      <c r="P318" s="13">
        <v>1.0</v>
      </c>
      <c r="Q318" s="14">
        <f t="shared" si="3"/>
        <v>99.136</v>
      </c>
      <c r="R318" s="14">
        <f t="shared" si="4"/>
        <v>0.116</v>
      </c>
      <c r="S318" s="14">
        <f t="shared" si="5"/>
        <v>99.02</v>
      </c>
    </row>
    <row r="319">
      <c r="A319" s="12">
        <v>42105.0</v>
      </c>
      <c r="B319" s="12" t="s">
        <v>2332</v>
      </c>
      <c r="C319" s="2">
        <v>42258.0</v>
      </c>
      <c r="D319" s="15" t="str">
        <f t="shared" si="1"/>
        <v>Sep</v>
      </c>
      <c r="E319" s="2" t="str">
        <f t="shared" si="2"/>
        <v>2015</v>
      </c>
      <c r="F319" s="13" t="s">
        <v>41</v>
      </c>
      <c r="G319" s="13" t="s">
        <v>2554</v>
      </c>
      <c r="H319" s="13" t="s">
        <v>2555</v>
      </c>
      <c r="I319" s="13" t="s">
        <v>68</v>
      </c>
      <c r="J319" s="13" t="s">
        <v>174</v>
      </c>
      <c r="K319" s="13" t="s">
        <v>175</v>
      </c>
      <c r="L319" s="13" t="s">
        <v>100</v>
      </c>
      <c r="M319" s="13" t="s">
        <v>27</v>
      </c>
      <c r="N319" s="14">
        <v>135.882</v>
      </c>
      <c r="O319" s="14">
        <v>135.21</v>
      </c>
      <c r="P319" s="13">
        <v>1.0</v>
      </c>
      <c r="Q319" s="14">
        <f t="shared" si="3"/>
        <v>135.882</v>
      </c>
      <c r="R319" s="14">
        <f t="shared" si="4"/>
        <v>0.672</v>
      </c>
      <c r="S319" s="14">
        <f t="shared" si="5"/>
        <v>135.21</v>
      </c>
    </row>
    <row r="320">
      <c r="A320" s="12">
        <v>42105.0</v>
      </c>
      <c r="B320" s="12" t="s">
        <v>2332</v>
      </c>
      <c r="C320" s="2">
        <v>42258.0</v>
      </c>
      <c r="D320" s="15" t="str">
        <f t="shared" si="1"/>
        <v>Sep</v>
      </c>
      <c r="E320" s="2" t="str">
        <f t="shared" si="2"/>
        <v>2015</v>
      </c>
      <c r="F320" s="13" t="s">
        <v>41</v>
      </c>
      <c r="G320" s="13" t="s">
        <v>2554</v>
      </c>
      <c r="H320" s="13" t="s">
        <v>2555</v>
      </c>
      <c r="I320" s="13" t="s">
        <v>68</v>
      </c>
      <c r="J320" s="13" t="s">
        <v>174</v>
      </c>
      <c r="K320" s="13" t="s">
        <v>175</v>
      </c>
      <c r="L320" s="13" t="s">
        <v>100</v>
      </c>
      <c r="M320" s="13" t="s">
        <v>51</v>
      </c>
      <c r="N320" s="14">
        <v>3991.98</v>
      </c>
      <c r="O320" s="14">
        <v>3991.36</v>
      </c>
      <c r="P320" s="13">
        <v>1.0</v>
      </c>
      <c r="Q320" s="14">
        <f t="shared" si="3"/>
        <v>3991.98</v>
      </c>
      <c r="R320" s="14">
        <f t="shared" si="4"/>
        <v>0.62</v>
      </c>
      <c r="S320" s="14">
        <f t="shared" si="5"/>
        <v>3991.36</v>
      </c>
    </row>
    <row r="321">
      <c r="A321" s="12">
        <v>42105.0</v>
      </c>
      <c r="B321" s="12" t="s">
        <v>2332</v>
      </c>
      <c r="C321" s="2">
        <v>42258.0</v>
      </c>
      <c r="D321" s="15" t="str">
        <f t="shared" si="1"/>
        <v>Sep</v>
      </c>
      <c r="E321" s="2" t="str">
        <f t="shared" si="2"/>
        <v>2015</v>
      </c>
      <c r="F321" s="13" t="s">
        <v>41</v>
      </c>
      <c r="G321" s="13" t="s">
        <v>2554</v>
      </c>
      <c r="H321" s="13" t="s">
        <v>2555</v>
      </c>
      <c r="I321" s="13" t="s">
        <v>68</v>
      </c>
      <c r="J321" s="13" t="s">
        <v>174</v>
      </c>
      <c r="K321" s="13" t="s">
        <v>175</v>
      </c>
      <c r="L321" s="13" t="s">
        <v>100</v>
      </c>
      <c r="M321" s="13" t="s">
        <v>51</v>
      </c>
      <c r="N321" s="14">
        <v>275.94</v>
      </c>
      <c r="O321" s="14">
        <v>275.36</v>
      </c>
      <c r="P321" s="13">
        <v>1.0</v>
      </c>
      <c r="Q321" s="14">
        <f t="shared" si="3"/>
        <v>275.94</v>
      </c>
      <c r="R321" s="14">
        <f t="shared" si="4"/>
        <v>0.58</v>
      </c>
      <c r="S321" s="14">
        <f t="shared" si="5"/>
        <v>275.36</v>
      </c>
    </row>
    <row r="322">
      <c r="A322" s="12">
        <v>42105.0</v>
      </c>
      <c r="B322" s="12" t="s">
        <v>2332</v>
      </c>
      <c r="C322" s="2">
        <v>42258.0</v>
      </c>
      <c r="D322" s="15" t="str">
        <f t="shared" si="1"/>
        <v>Sep</v>
      </c>
      <c r="E322" s="2" t="str">
        <f t="shared" si="2"/>
        <v>2015</v>
      </c>
      <c r="F322" s="13" t="s">
        <v>41</v>
      </c>
      <c r="G322" s="13" t="s">
        <v>2554</v>
      </c>
      <c r="H322" s="13" t="s">
        <v>2555</v>
      </c>
      <c r="I322" s="13" t="s">
        <v>68</v>
      </c>
      <c r="J322" s="13" t="s">
        <v>174</v>
      </c>
      <c r="K322" s="13" t="s">
        <v>175</v>
      </c>
      <c r="L322" s="13" t="s">
        <v>100</v>
      </c>
      <c r="M322" s="13" t="s">
        <v>51</v>
      </c>
      <c r="N322" s="14">
        <v>360.0</v>
      </c>
      <c r="O322" s="14">
        <v>359.42</v>
      </c>
      <c r="P322" s="13">
        <v>1.0</v>
      </c>
      <c r="Q322" s="14">
        <f t="shared" si="3"/>
        <v>360</v>
      </c>
      <c r="R322" s="14">
        <f t="shared" si="4"/>
        <v>0.58</v>
      </c>
      <c r="S322" s="14">
        <f t="shared" si="5"/>
        <v>359.42</v>
      </c>
    </row>
    <row r="323">
      <c r="A323" s="12">
        <v>42105.0</v>
      </c>
      <c r="B323" s="12" t="s">
        <v>2332</v>
      </c>
      <c r="C323" s="2">
        <v>42258.0</v>
      </c>
      <c r="D323" s="15" t="str">
        <f t="shared" si="1"/>
        <v>Sep</v>
      </c>
      <c r="E323" s="2" t="str">
        <f t="shared" si="2"/>
        <v>2015</v>
      </c>
      <c r="F323" s="13" t="s">
        <v>41</v>
      </c>
      <c r="G323" s="13" t="s">
        <v>2554</v>
      </c>
      <c r="H323" s="13" t="s">
        <v>2555</v>
      </c>
      <c r="I323" s="13" t="s">
        <v>68</v>
      </c>
      <c r="J323" s="13" t="s">
        <v>174</v>
      </c>
      <c r="K323" s="13" t="s">
        <v>175</v>
      </c>
      <c r="L323" s="13" t="s">
        <v>100</v>
      </c>
      <c r="M323" s="13" t="s">
        <v>38</v>
      </c>
      <c r="N323" s="14">
        <v>43.57</v>
      </c>
      <c r="O323" s="14">
        <v>43.4</v>
      </c>
      <c r="P323" s="13">
        <v>1.0</v>
      </c>
      <c r="Q323" s="14">
        <f t="shared" si="3"/>
        <v>43.57</v>
      </c>
      <c r="R323" s="14">
        <f t="shared" si="4"/>
        <v>0.17</v>
      </c>
      <c r="S323" s="14">
        <f t="shared" si="5"/>
        <v>43.4</v>
      </c>
    </row>
    <row r="324">
      <c r="A324" s="12">
        <v>42266.0</v>
      </c>
      <c r="B324" s="12" t="s">
        <v>2329</v>
      </c>
      <c r="C324" s="2">
        <v>42271.0</v>
      </c>
      <c r="D324" s="15" t="str">
        <f t="shared" si="1"/>
        <v>Sep</v>
      </c>
      <c r="E324" s="2" t="str">
        <f t="shared" si="2"/>
        <v>2015</v>
      </c>
      <c r="F324" s="13" t="s">
        <v>41</v>
      </c>
      <c r="G324" s="13" t="s">
        <v>2483</v>
      </c>
      <c r="H324" s="13" t="s">
        <v>2556</v>
      </c>
      <c r="I324" s="13" t="s">
        <v>34</v>
      </c>
      <c r="J324" s="13" t="s">
        <v>654</v>
      </c>
      <c r="K324" s="13" t="s">
        <v>52</v>
      </c>
      <c r="L324" s="13" t="s">
        <v>37</v>
      </c>
      <c r="M324" s="13" t="s">
        <v>38</v>
      </c>
      <c r="N324" s="14">
        <v>7.16</v>
      </c>
      <c r="O324" s="14">
        <v>6.57</v>
      </c>
      <c r="P324" s="13">
        <v>9.0</v>
      </c>
      <c r="Q324" s="14">
        <f t="shared" si="3"/>
        <v>64.44</v>
      </c>
      <c r="R324" s="14">
        <f t="shared" si="4"/>
        <v>57.87</v>
      </c>
      <c r="S324" s="14">
        <f t="shared" si="5"/>
        <v>6.57</v>
      </c>
    </row>
    <row r="325">
      <c r="A325" s="12">
        <v>42848.0</v>
      </c>
      <c r="B325" s="12" t="s">
        <v>2332</v>
      </c>
      <c r="C325" s="2">
        <v>42852.0</v>
      </c>
      <c r="D325" s="15" t="str">
        <f t="shared" si="1"/>
        <v>Apr</v>
      </c>
      <c r="E325" s="2" t="str">
        <f t="shared" si="2"/>
        <v>2017</v>
      </c>
      <c r="F325" s="13" t="s">
        <v>41</v>
      </c>
      <c r="G325" s="13" t="s">
        <v>2557</v>
      </c>
      <c r="H325" s="13" t="s">
        <v>2517</v>
      </c>
      <c r="I325" s="13" t="s">
        <v>34</v>
      </c>
      <c r="J325" s="13" t="s">
        <v>659</v>
      </c>
      <c r="K325" s="13" t="s">
        <v>52</v>
      </c>
      <c r="L325" s="13" t="s">
        <v>37</v>
      </c>
      <c r="M325" s="13" t="s">
        <v>38</v>
      </c>
      <c r="N325" s="14">
        <v>251.52</v>
      </c>
      <c r="O325" s="14">
        <v>250.57</v>
      </c>
      <c r="P325" s="13">
        <v>9.0</v>
      </c>
      <c r="Q325" s="14">
        <f t="shared" si="3"/>
        <v>2263.68</v>
      </c>
      <c r="R325" s="14">
        <f t="shared" si="4"/>
        <v>2013.11</v>
      </c>
      <c r="S325" s="14">
        <f t="shared" si="5"/>
        <v>250.57</v>
      </c>
    </row>
    <row r="326">
      <c r="A326" s="12">
        <v>42848.0</v>
      </c>
      <c r="B326" s="12" t="s">
        <v>2332</v>
      </c>
      <c r="C326" s="2">
        <v>42852.0</v>
      </c>
      <c r="D326" s="15" t="str">
        <f t="shared" si="1"/>
        <v>Apr</v>
      </c>
      <c r="E326" s="2" t="str">
        <f t="shared" si="2"/>
        <v>2017</v>
      </c>
      <c r="F326" s="13" t="s">
        <v>41</v>
      </c>
      <c r="G326" s="13" t="s">
        <v>2557</v>
      </c>
      <c r="H326" s="13" t="s">
        <v>2517</v>
      </c>
      <c r="I326" s="13" t="s">
        <v>34</v>
      </c>
      <c r="J326" s="13" t="s">
        <v>659</v>
      </c>
      <c r="K326" s="13" t="s">
        <v>52</v>
      </c>
      <c r="L326" s="13" t="s">
        <v>37</v>
      </c>
      <c r="M326" s="13" t="s">
        <v>51</v>
      </c>
      <c r="N326" s="14">
        <v>99.99</v>
      </c>
      <c r="O326" s="14">
        <v>99.99</v>
      </c>
      <c r="P326" s="13">
        <v>9.0</v>
      </c>
      <c r="Q326" s="14">
        <f t="shared" si="3"/>
        <v>899.91</v>
      </c>
      <c r="R326" s="14">
        <f t="shared" si="4"/>
        <v>799.92</v>
      </c>
      <c r="S326" s="14">
        <f t="shared" si="5"/>
        <v>99.99</v>
      </c>
    </row>
    <row r="327">
      <c r="A327" s="12">
        <v>43170.0</v>
      </c>
      <c r="B327" s="12" t="s">
        <v>2399</v>
      </c>
      <c r="C327" s="2">
        <v>43231.0</v>
      </c>
      <c r="D327" s="15" t="str">
        <f t="shared" si="1"/>
        <v>May</v>
      </c>
      <c r="E327" s="2" t="str">
        <f t="shared" si="2"/>
        <v>2018</v>
      </c>
      <c r="F327" s="13" t="s">
        <v>20</v>
      </c>
      <c r="G327" s="13" t="s">
        <v>2558</v>
      </c>
      <c r="H327" s="13" t="s">
        <v>2471</v>
      </c>
      <c r="I327" s="13" t="s">
        <v>34</v>
      </c>
      <c r="J327" s="13" t="s">
        <v>663</v>
      </c>
      <c r="K327" s="13" t="s">
        <v>210</v>
      </c>
      <c r="L327" s="13" t="s">
        <v>26</v>
      </c>
      <c r="M327" s="13" t="s">
        <v>27</v>
      </c>
      <c r="N327" s="14">
        <v>15.992</v>
      </c>
      <c r="O327" s="14">
        <v>15.43</v>
      </c>
      <c r="P327" s="13">
        <v>3.0</v>
      </c>
      <c r="Q327" s="14">
        <f t="shared" si="3"/>
        <v>47.976</v>
      </c>
      <c r="R327" s="14">
        <f t="shared" si="4"/>
        <v>32.546</v>
      </c>
      <c r="S327" s="14">
        <f t="shared" si="5"/>
        <v>15.43</v>
      </c>
    </row>
    <row r="328">
      <c r="A328" s="12">
        <v>42977.0</v>
      </c>
      <c r="B328" s="12" t="s">
        <v>2322</v>
      </c>
      <c r="C328" s="2">
        <v>42744.0</v>
      </c>
      <c r="D328" s="15" t="str">
        <f t="shared" si="1"/>
        <v>Jan</v>
      </c>
      <c r="E328" s="2" t="str">
        <f t="shared" si="2"/>
        <v>2017</v>
      </c>
      <c r="F328" s="13" t="s">
        <v>121</v>
      </c>
      <c r="G328" s="13" t="s">
        <v>2373</v>
      </c>
      <c r="H328" s="13" t="s">
        <v>2559</v>
      </c>
      <c r="I328" s="13" t="s">
        <v>23</v>
      </c>
      <c r="J328" s="13" t="s">
        <v>98</v>
      </c>
      <c r="K328" s="13" t="s">
        <v>99</v>
      </c>
      <c r="L328" s="13" t="s">
        <v>100</v>
      </c>
      <c r="M328" s="13" t="s">
        <v>51</v>
      </c>
      <c r="N328" s="14">
        <v>290.898</v>
      </c>
      <c r="O328" s="14">
        <v>290.29</v>
      </c>
      <c r="P328" s="13">
        <v>1.0</v>
      </c>
      <c r="Q328" s="14">
        <f t="shared" si="3"/>
        <v>290.898</v>
      </c>
      <c r="R328" s="14">
        <f t="shared" si="4"/>
        <v>0.608</v>
      </c>
      <c r="S328" s="14">
        <f t="shared" si="5"/>
        <v>290.29</v>
      </c>
    </row>
    <row r="329">
      <c r="A329" s="12">
        <v>42977.0</v>
      </c>
      <c r="B329" s="12" t="s">
        <v>2322</v>
      </c>
      <c r="C329" s="2">
        <v>42744.0</v>
      </c>
      <c r="D329" s="15" t="str">
        <f t="shared" si="1"/>
        <v>Jan</v>
      </c>
      <c r="E329" s="2" t="str">
        <f t="shared" si="2"/>
        <v>2017</v>
      </c>
      <c r="F329" s="13" t="s">
        <v>121</v>
      </c>
      <c r="G329" s="13" t="s">
        <v>2373</v>
      </c>
      <c r="H329" s="13" t="s">
        <v>2559</v>
      </c>
      <c r="I329" s="13" t="s">
        <v>23</v>
      </c>
      <c r="J329" s="13" t="s">
        <v>98</v>
      </c>
      <c r="K329" s="13" t="s">
        <v>99</v>
      </c>
      <c r="L329" s="13" t="s">
        <v>100</v>
      </c>
      <c r="M329" s="13" t="s">
        <v>38</v>
      </c>
      <c r="N329" s="14">
        <v>54.224</v>
      </c>
      <c r="O329" s="14">
        <v>53.98</v>
      </c>
      <c r="P329" s="13">
        <v>1.0</v>
      </c>
      <c r="Q329" s="14">
        <f t="shared" si="3"/>
        <v>54.224</v>
      </c>
      <c r="R329" s="14">
        <f t="shared" si="4"/>
        <v>0.244</v>
      </c>
      <c r="S329" s="14">
        <f t="shared" si="5"/>
        <v>53.98</v>
      </c>
    </row>
    <row r="330">
      <c r="A330" s="12">
        <v>42977.0</v>
      </c>
      <c r="B330" s="12" t="s">
        <v>2322</v>
      </c>
      <c r="C330" s="2">
        <v>42744.0</v>
      </c>
      <c r="D330" s="15" t="str">
        <f t="shared" si="1"/>
        <v>Jan</v>
      </c>
      <c r="E330" s="2" t="str">
        <f t="shared" si="2"/>
        <v>2017</v>
      </c>
      <c r="F330" s="13" t="s">
        <v>121</v>
      </c>
      <c r="G330" s="13" t="s">
        <v>2373</v>
      </c>
      <c r="H330" s="13" t="s">
        <v>2559</v>
      </c>
      <c r="I330" s="13" t="s">
        <v>23</v>
      </c>
      <c r="J330" s="13" t="s">
        <v>98</v>
      </c>
      <c r="K330" s="13" t="s">
        <v>99</v>
      </c>
      <c r="L330" s="13" t="s">
        <v>100</v>
      </c>
      <c r="M330" s="13" t="s">
        <v>27</v>
      </c>
      <c r="N330" s="14">
        <v>786.744</v>
      </c>
      <c r="O330" s="14">
        <v>786.38</v>
      </c>
      <c r="P330" s="13">
        <v>1.0</v>
      </c>
      <c r="Q330" s="14">
        <f t="shared" si="3"/>
        <v>786.744</v>
      </c>
      <c r="R330" s="14">
        <f t="shared" si="4"/>
        <v>0.364</v>
      </c>
      <c r="S330" s="14">
        <f t="shared" si="5"/>
        <v>786.38</v>
      </c>
    </row>
    <row r="331">
      <c r="A331" s="12">
        <v>42977.0</v>
      </c>
      <c r="B331" s="12" t="s">
        <v>2322</v>
      </c>
      <c r="C331" s="2">
        <v>42744.0</v>
      </c>
      <c r="D331" s="15" t="str">
        <f t="shared" si="1"/>
        <v>Jan</v>
      </c>
      <c r="E331" s="2" t="str">
        <f t="shared" si="2"/>
        <v>2017</v>
      </c>
      <c r="F331" s="13" t="s">
        <v>121</v>
      </c>
      <c r="G331" s="13" t="s">
        <v>2373</v>
      </c>
      <c r="H331" s="13" t="s">
        <v>2559</v>
      </c>
      <c r="I331" s="13" t="s">
        <v>23</v>
      </c>
      <c r="J331" s="13" t="s">
        <v>98</v>
      </c>
      <c r="K331" s="13" t="s">
        <v>99</v>
      </c>
      <c r="L331" s="13" t="s">
        <v>100</v>
      </c>
      <c r="M331" s="13" t="s">
        <v>38</v>
      </c>
      <c r="N331" s="14">
        <v>100.24</v>
      </c>
      <c r="O331" s="14">
        <v>99.24</v>
      </c>
      <c r="P331" s="13">
        <v>1.0</v>
      </c>
      <c r="Q331" s="14">
        <f t="shared" si="3"/>
        <v>100.24</v>
      </c>
      <c r="R331" s="14">
        <f t="shared" si="4"/>
        <v>1</v>
      </c>
      <c r="S331" s="14">
        <f t="shared" si="5"/>
        <v>99.24</v>
      </c>
    </row>
    <row r="332">
      <c r="A332" s="12">
        <v>42977.0</v>
      </c>
      <c r="B332" s="12" t="s">
        <v>2322</v>
      </c>
      <c r="C332" s="2">
        <v>42744.0</v>
      </c>
      <c r="D332" s="15" t="str">
        <f t="shared" si="1"/>
        <v>Jan</v>
      </c>
      <c r="E332" s="2" t="str">
        <f t="shared" si="2"/>
        <v>2017</v>
      </c>
      <c r="F332" s="13" t="s">
        <v>121</v>
      </c>
      <c r="G332" s="13" t="s">
        <v>2373</v>
      </c>
      <c r="H332" s="13" t="s">
        <v>2559</v>
      </c>
      <c r="I332" s="13" t="s">
        <v>23</v>
      </c>
      <c r="J332" s="13" t="s">
        <v>98</v>
      </c>
      <c r="K332" s="13" t="s">
        <v>99</v>
      </c>
      <c r="L332" s="13" t="s">
        <v>100</v>
      </c>
      <c r="M332" s="13" t="s">
        <v>38</v>
      </c>
      <c r="N332" s="14">
        <v>37.764</v>
      </c>
      <c r="O332" s="14">
        <v>37.7</v>
      </c>
      <c r="P332" s="13">
        <v>1.0</v>
      </c>
      <c r="Q332" s="14">
        <f t="shared" si="3"/>
        <v>37.764</v>
      </c>
      <c r="R332" s="14">
        <f t="shared" si="4"/>
        <v>0.064</v>
      </c>
      <c r="S332" s="14">
        <f t="shared" si="5"/>
        <v>37.7</v>
      </c>
    </row>
    <row r="333">
      <c r="A333" s="12">
        <v>42850.0</v>
      </c>
      <c r="B333" s="12" t="s">
        <v>2332</v>
      </c>
      <c r="C333" s="2">
        <v>42854.0</v>
      </c>
      <c r="D333" s="15" t="str">
        <f t="shared" si="1"/>
        <v>Apr</v>
      </c>
      <c r="E333" s="2" t="str">
        <f t="shared" si="2"/>
        <v>2017</v>
      </c>
      <c r="F333" s="13" t="s">
        <v>20</v>
      </c>
      <c r="G333" s="13" t="s">
        <v>2560</v>
      </c>
      <c r="H333" s="13" t="s">
        <v>2561</v>
      </c>
      <c r="I333" s="13" t="s">
        <v>23</v>
      </c>
      <c r="J333" s="13" t="s">
        <v>98</v>
      </c>
      <c r="K333" s="13" t="s">
        <v>99</v>
      </c>
      <c r="L333" s="13" t="s">
        <v>100</v>
      </c>
      <c r="M333" s="13" t="s">
        <v>51</v>
      </c>
      <c r="N333" s="14">
        <v>82.8</v>
      </c>
      <c r="O333" s="14">
        <v>82.11</v>
      </c>
      <c r="P333" s="13">
        <v>1.0</v>
      </c>
      <c r="Q333" s="14">
        <f t="shared" si="3"/>
        <v>82.8</v>
      </c>
      <c r="R333" s="14">
        <f t="shared" si="4"/>
        <v>0.69</v>
      </c>
      <c r="S333" s="14">
        <f t="shared" si="5"/>
        <v>82.11</v>
      </c>
    </row>
    <row r="334">
      <c r="A334" s="12">
        <v>42850.0</v>
      </c>
      <c r="B334" s="12" t="s">
        <v>2332</v>
      </c>
      <c r="C334" s="2">
        <v>42854.0</v>
      </c>
      <c r="D334" s="15" t="str">
        <f t="shared" si="1"/>
        <v>Apr</v>
      </c>
      <c r="E334" s="2" t="str">
        <f t="shared" si="2"/>
        <v>2017</v>
      </c>
      <c r="F334" s="13" t="s">
        <v>20</v>
      </c>
      <c r="G334" s="13" t="s">
        <v>2560</v>
      </c>
      <c r="H334" s="13" t="s">
        <v>2561</v>
      </c>
      <c r="I334" s="13" t="s">
        <v>23</v>
      </c>
      <c r="J334" s="13" t="s">
        <v>98</v>
      </c>
      <c r="K334" s="13" t="s">
        <v>99</v>
      </c>
      <c r="L334" s="13" t="s">
        <v>100</v>
      </c>
      <c r="M334" s="13" t="s">
        <v>38</v>
      </c>
      <c r="N334" s="14">
        <v>20.724</v>
      </c>
      <c r="O334" s="14">
        <v>20.19</v>
      </c>
      <c r="P334" s="13">
        <v>1.0</v>
      </c>
      <c r="Q334" s="14">
        <f t="shared" si="3"/>
        <v>20.724</v>
      </c>
      <c r="R334" s="14">
        <f t="shared" si="4"/>
        <v>0.534</v>
      </c>
      <c r="S334" s="14">
        <f t="shared" si="5"/>
        <v>20.19</v>
      </c>
    </row>
    <row r="335">
      <c r="A335" s="12">
        <v>42850.0</v>
      </c>
      <c r="B335" s="12" t="s">
        <v>2332</v>
      </c>
      <c r="C335" s="2">
        <v>42854.0</v>
      </c>
      <c r="D335" s="15" t="str">
        <f t="shared" si="1"/>
        <v>Apr</v>
      </c>
      <c r="E335" s="2" t="str">
        <f t="shared" si="2"/>
        <v>2017</v>
      </c>
      <c r="F335" s="13" t="s">
        <v>20</v>
      </c>
      <c r="G335" s="13" t="s">
        <v>2560</v>
      </c>
      <c r="H335" s="13" t="s">
        <v>2561</v>
      </c>
      <c r="I335" s="13" t="s">
        <v>23</v>
      </c>
      <c r="J335" s="13" t="s">
        <v>98</v>
      </c>
      <c r="K335" s="13" t="s">
        <v>99</v>
      </c>
      <c r="L335" s="13" t="s">
        <v>100</v>
      </c>
      <c r="M335" s="13" t="s">
        <v>38</v>
      </c>
      <c r="N335" s="14">
        <v>4.896</v>
      </c>
      <c r="O335" s="14">
        <v>4.8</v>
      </c>
      <c r="P335" s="13">
        <v>1.0</v>
      </c>
      <c r="Q335" s="14">
        <f t="shared" si="3"/>
        <v>4.896</v>
      </c>
      <c r="R335" s="14">
        <f t="shared" si="4"/>
        <v>0.096</v>
      </c>
      <c r="S335" s="14">
        <f t="shared" si="5"/>
        <v>4.8</v>
      </c>
    </row>
    <row r="336">
      <c r="A336" s="12">
        <v>42378.0</v>
      </c>
      <c r="B336" s="12" t="s">
        <v>2353</v>
      </c>
      <c r="C336" s="2">
        <v>42469.0</v>
      </c>
      <c r="D336" s="15" t="str">
        <f t="shared" si="1"/>
        <v>Apr</v>
      </c>
      <c r="E336" s="2" t="str">
        <f t="shared" si="2"/>
        <v>2016</v>
      </c>
      <c r="F336" s="13" t="s">
        <v>20</v>
      </c>
      <c r="G336" s="13" t="s">
        <v>2562</v>
      </c>
      <c r="H336" s="13" t="s">
        <v>2563</v>
      </c>
      <c r="I336" s="13" t="s">
        <v>23</v>
      </c>
      <c r="J336" s="13" t="s">
        <v>35</v>
      </c>
      <c r="K336" s="13" t="s">
        <v>52</v>
      </c>
      <c r="L336" s="13" t="s">
        <v>37</v>
      </c>
      <c r="M336" s="13" t="s">
        <v>38</v>
      </c>
      <c r="N336" s="14">
        <v>4.752</v>
      </c>
      <c r="O336" s="14">
        <v>4.63</v>
      </c>
      <c r="P336" s="13">
        <v>9.0</v>
      </c>
      <c r="Q336" s="14">
        <f t="shared" si="3"/>
        <v>42.768</v>
      </c>
      <c r="R336" s="14">
        <f t="shared" si="4"/>
        <v>38.138</v>
      </c>
      <c r="S336" s="14">
        <f t="shared" si="5"/>
        <v>4.63</v>
      </c>
    </row>
    <row r="337">
      <c r="A337" s="12">
        <v>42378.0</v>
      </c>
      <c r="B337" s="12" t="s">
        <v>2353</v>
      </c>
      <c r="C337" s="2">
        <v>42469.0</v>
      </c>
      <c r="D337" s="15" t="str">
        <f t="shared" si="1"/>
        <v>Apr</v>
      </c>
      <c r="E337" s="2" t="str">
        <f t="shared" si="2"/>
        <v>2016</v>
      </c>
      <c r="F337" s="13" t="s">
        <v>20</v>
      </c>
      <c r="G337" s="13" t="s">
        <v>2562</v>
      </c>
      <c r="H337" s="13" t="s">
        <v>2563</v>
      </c>
      <c r="I337" s="13" t="s">
        <v>23</v>
      </c>
      <c r="J337" s="13" t="s">
        <v>35</v>
      </c>
      <c r="K337" s="13" t="s">
        <v>52</v>
      </c>
      <c r="L337" s="13" t="s">
        <v>37</v>
      </c>
      <c r="M337" s="13" t="s">
        <v>51</v>
      </c>
      <c r="N337" s="14">
        <v>959.984</v>
      </c>
      <c r="O337" s="14">
        <v>959.68</v>
      </c>
      <c r="P337" s="13">
        <v>9.0</v>
      </c>
      <c r="Q337" s="14">
        <f t="shared" si="3"/>
        <v>8639.856</v>
      </c>
      <c r="R337" s="14">
        <f t="shared" si="4"/>
        <v>7680.176</v>
      </c>
      <c r="S337" s="14">
        <f t="shared" si="5"/>
        <v>959.68</v>
      </c>
    </row>
    <row r="338">
      <c r="A338" s="12">
        <v>42378.0</v>
      </c>
      <c r="B338" s="12" t="s">
        <v>2353</v>
      </c>
      <c r="C338" s="2">
        <v>42469.0</v>
      </c>
      <c r="D338" s="15" t="str">
        <f t="shared" si="1"/>
        <v>Apr</v>
      </c>
      <c r="E338" s="2" t="str">
        <f t="shared" si="2"/>
        <v>2016</v>
      </c>
      <c r="F338" s="13" t="s">
        <v>20</v>
      </c>
      <c r="G338" s="13" t="s">
        <v>2562</v>
      </c>
      <c r="H338" s="13" t="s">
        <v>2563</v>
      </c>
      <c r="I338" s="13" t="s">
        <v>23</v>
      </c>
      <c r="J338" s="13" t="s">
        <v>35</v>
      </c>
      <c r="K338" s="13" t="s">
        <v>52</v>
      </c>
      <c r="L338" s="13" t="s">
        <v>37</v>
      </c>
      <c r="M338" s="13" t="s">
        <v>38</v>
      </c>
      <c r="N338" s="14">
        <v>14.368</v>
      </c>
      <c r="O338" s="14">
        <v>13.73</v>
      </c>
      <c r="P338" s="13">
        <v>9.0</v>
      </c>
      <c r="Q338" s="14">
        <f t="shared" si="3"/>
        <v>129.312</v>
      </c>
      <c r="R338" s="14">
        <f t="shared" si="4"/>
        <v>115.582</v>
      </c>
      <c r="S338" s="14">
        <f t="shared" si="5"/>
        <v>13.73</v>
      </c>
    </row>
    <row r="339">
      <c r="A339" s="12">
        <v>42345.0</v>
      </c>
      <c r="B339" s="12" t="s">
        <v>2325</v>
      </c>
      <c r="C339" s="2">
        <v>42202.0</v>
      </c>
      <c r="D339" s="15" t="str">
        <f t="shared" si="1"/>
        <v>Jul</v>
      </c>
      <c r="E339" s="2" t="str">
        <f t="shared" si="2"/>
        <v>2015</v>
      </c>
      <c r="F339" s="13" t="s">
        <v>41</v>
      </c>
      <c r="G339" s="13" t="s">
        <v>2564</v>
      </c>
      <c r="H339" s="13" t="s">
        <v>2565</v>
      </c>
      <c r="I339" s="13" t="s">
        <v>34</v>
      </c>
      <c r="J339" s="13" t="s">
        <v>87</v>
      </c>
      <c r="K339" s="13" t="s">
        <v>52</v>
      </c>
      <c r="L339" s="13" t="s">
        <v>37</v>
      </c>
      <c r="M339" s="13" t="s">
        <v>38</v>
      </c>
      <c r="N339" s="14">
        <v>7.712</v>
      </c>
      <c r="O339" s="14">
        <v>7.19</v>
      </c>
      <c r="P339" s="13">
        <v>9.0</v>
      </c>
      <c r="Q339" s="14">
        <f t="shared" si="3"/>
        <v>69.408</v>
      </c>
      <c r="R339" s="14">
        <f t="shared" si="4"/>
        <v>62.218</v>
      </c>
      <c r="S339" s="14">
        <f t="shared" si="5"/>
        <v>7.19</v>
      </c>
    </row>
    <row r="340">
      <c r="A340" s="12">
        <v>42345.0</v>
      </c>
      <c r="B340" s="12" t="s">
        <v>2325</v>
      </c>
      <c r="C340" s="2">
        <v>42202.0</v>
      </c>
      <c r="D340" s="15" t="str">
        <f t="shared" si="1"/>
        <v>Jul</v>
      </c>
      <c r="E340" s="2" t="str">
        <f t="shared" si="2"/>
        <v>2015</v>
      </c>
      <c r="F340" s="13" t="s">
        <v>41</v>
      </c>
      <c r="G340" s="13" t="s">
        <v>2564</v>
      </c>
      <c r="H340" s="13" t="s">
        <v>2565</v>
      </c>
      <c r="I340" s="13" t="s">
        <v>34</v>
      </c>
      <c r="J340" s="13" t="s">
        <v>87</v>
      </c>
      <c r="K340" s="13" t="s">
        <v>52</v>
      </c>
      <c r="L340" s="13" t="s">
        <v>37</v>
      </c>
      <c r="M340" s="13" t="s">
        <v>27</v>
      </c>
      <c r="N340" s="14">
        <v>698.352</v>
      </c>
      <c r="O340" s="14">
        <v>698.24</v>
      </c>
      <c r="P340" s="13">
        <v>9.0</v>
      </c>
      <c r="Q340" s="14">
        <f t="shared" si="3"/>
        <v>6285.168</v>
      </c>
      <c r="R340" s="14">
        <f t="shared" si="4"/>
        <v>5586.928</v>
      </c>
      <c r="S340" s="14">
        <f t="shared" si="5"/>
        <v>698.24</v>
      </c>
    </row>
    <row r="341">
      <c r="A341" s="12">
        <v>42543.0</v>
      </c>
      <c r="B341" s="12" t="s">
        <v>2374</v>
      </c>
      <c r="C341" s="2">
        <v>42547.0</v>
      </c>
      <c r="D341" s="15" t="str">
        <f t="shared" si="1"/>
        <v>Jun</v>
      </c>
      <c r="E341" s="2" t="str">
        <f t="shared" si="2"/>
        <v>2016</v>
      </c>
      <c r="F341" s="13" t="s">
        <v>20</v>
      </c>
      <c r="G341" s="13" t="s">
        <v>2346</v>
      </c>
      <c r="H341" s="13" t="s">
        <v>2514</v>
      </c>
      <c r="I341" s="13" t="s">
        <v>23</v>
      </c>
      <c r="J341" s="13" t="s">
        <v>680</v>
      </c>
      <c r="K341" s="13" t="s">
        <v>83</v>
      </c>
      <c r="L341" s="13" t="s">
        <v>37</v>
      </c>
      <c r="M341" s="13" t="s">
        <v>38</v>
      </c>
      <c r="N341" s="14">
        <v>4.96</v>
      </c>
      <c r="O341" s="14">
        <v>4.45</v>
      </c>
      <c r="P341" s="13">
        <v>8.0</v>
      </c>
      <c r="Q341" s="14">
        <f t="shared" si="3"/>
        <v>39.68</v>
      </c>
      <c r="R341" s="14">
        <f t="shared" si="4"/>
        <v>35.23</v>
      </c>
      <c r="S341" s="14">
        <f t="shared" si="5"/>
        <v>4.45</v>
      </c>
    </row>
    <row r="342">
      <c r="A342" s="12">
        <v>42107.0</v>
      </c>
      <c r="B342" s="12" t="s">
        <v>2332</v>
      </c>
      <c r="C342" s="2">
        <v>42111.0</v>
      </c>
      <c r="D342" s="15" t="str">
        <f t="shared" si="1"/>
        <v>Apr</v>
      </c>
      <c r="E342" s="2" t="str">
        <f t="shared" si="2"/>
        <v>2015</v>
      </c>
      <c r="F342" s="13" t="s">
        <v>20</v>
      </c>
      <c r="G342" s="13" t="s">
        <v>2447</v>
      </c>
      <c r="H342" s="13" t="s">
        <v>2448</v>
      </c>
      <c r="I342" s="13" t="s">
        <v>34</v>
      </c>
      <c r="J342" s="13" t="s">
        <v>98</v>
      </c>
      <c r="K342" s="13" t="s">
        <v>99</v>
      </c>
      <c r="L342" s="13" t="s">
        <v>100</v>
      </c>
      <c r="M342" s="13" t="s">
        <v>38</v>
      </c>
      <c r="N342" s="14">
        <v>17.856</v>
      </c>
      <c r="O342" s="14">
        <v>17.12</v>
      </c>
      <c r="P342" s="13">
        <v>1.0</v>
      </c>
      <c r="Q342" s="14">
        <f t="shared" si="3"/>
        <v>17.856</v>
      </c>
      <c r="R342" s="14">
        <f t="shared" si="4"/>
        <v>0.736</v>
      </c>
      <c r="S342" s="14">
        <f t="shared" si="5"/>
        <v>17.12</v>
      </c>
    </row>
    <row r="343">
      <c r="A343" s="12">
        <v>42107.0</v>
      </c>
      <c r="B343" s="12" t="s">
        <v>2332</v>
      </c>
      <c r="C343" s="2">
        <v>42111.0</v>
      </c>
      <c r="D343" s="15" t="str">
        <f t="shared" si="1"/>
        <v>Apr</v>
      </c>
      <c r="E343" s="2" t="str">
        <f t="shared" si="2"/>
        <v>2015</v>
      </c>
      <c r="F343" s="13" t="s">
        <v>20</v>
      </c>
      <c r="G343" s="13" t="s">
        <v>2447</v>
      </c>
      <c r="H343" s="13" t="s">
        <v>2448</v>
      </c>
      <c r="I343" s="13" t="s">
        <v>34</v>
      </c>
      <c r="J343" s="13" t="s">
        <v>98</v>
      </c>
      <c r="K343" s="13" t="s">
        <v>99</v>
      </c>
      <c r="L343" s="13" t="s">
        <v>100</v>
      </c>
      <c r="M343" s="13" t="s">
        <v>38</v>
      </c>
      <c r="N343" s="14">
        <v>509.97</v>
      </c>
      <c r="O343" s="14">
        <v>509.93</v>
      </c>
      <c r="P343" s="13">
        <v>1.0</v>
      </c>
      <c r="Q343" s="14">
        <f t="shared" si="3"/>
        <v>509.97</v>
      </c>
      <c r="R343" s="14">
        <f t="shared" si="4"/>
        <v>0.04</v>
      </c>
      <c r="S343" s="14">
        <f t="shared" si="5"/>
        <v>509.93</v>
      </c>
    </row>
    <row r="344">
      <c r="A344" s="12">
        <v>42107.0</v>
      </c>
      <c r="B344" s="12" t="s">
        <v>2332</v>
      </c>
      <c r="C344" s="2">
        <v>42111.0</v>
      </c>
      <c r="D344" s="15" t="str">
        <f t="shared" si="1"/>
        <v>Apr</v>
      </c>
      <c r="E344" s="2" t="str">
        <f t="shared" si="2"/>
        <v>2015</v>
      </c>
      <c r="F344" s="13" t="s">
        <v>20</v>
      </c>
      <c r="G344" s="13" t="s">
        <v>2447</v>
      </c>
      <c r="H344" s="13" t="s">
        <v>2448</v>
      </c>
      <c r="I344" s="13" t="s">
        <v>34</v>
      </c>
      <c r="J344" s="13" t="s">
        <v>98</v>
      </c>
      <c r="K344" s="13" t="s">
        <v>99</v>
      </c>
      <c r="L344" s="13" t="s">
        <v>100</v>
      </c>
      <c r="M344" s="13" t="s">
        <v>38</v>
      </c>
      <c r="N344" s="14">
        <v>30.992</v>
      </c>
      <c r="O344" s="14">
        <v>30.06</v>
      </c>
      <c r="P344" s="13">
        <v>1.0</v>
      </c>
      <c r="Q344" s="14">
        <f t="shared" si="3"/>
        <v>30.992</v>
      </c>
      <c r="R344" s="14">
        <f t="shared" si="4"/>
        <v>0.932</v>
      </c>
      <c r="S344" s="14">
        <f t="shared" si="5"/>
        <v>30.06</v>
      </c>
    </row>
    <row r="345">
      <c r="A345" s="12">
        <v>42107.0</v>
      </c>
      <c r="B345" s="12" t="s">
        <v>2332</v>
      </c>
      <c r="C345" s="2">
        <v>42111.0</v>
      </c>
      <c r="D345" s="15" t="str">
        <f t="shared" si="1"/>
        <v>Apr</v>
      </c>
      <c r="E345" s="2" t="str">
        <f t="shared" si="2"/>
        <v>2015</v>
      </c>
      <c r="F345" s="13" t="s">
        <v>20</v>
      </c>
      <c r="G345" s="13" t="s">
        <v>2447</v>
      </c>
      <c r="H345" s="13" t="s">
        <v>2448</v>
      </c>
      <c r="I345" s="13" t="s">
        <v>34</v>
      </c>
      <c r="J345" s="13" t="s">
        <v>98</v>
      </c>
      <c r="K345" s="13" t="s">
        <v>99</v>
      </c>
      <c r="L345" s="13" t="s">
        <v>100</v>
      </c>
      <c r="M345" s="13" t="s">
        <v>51</v>
      </c>
      <c r="N345" s="14">
        <v>71.928</v>
      </c>
      <c r="O345" s="14">
        <v>71.77</v>
      </c>
      <c r="P345" s="13">
        <v>1.0</v>
      </c>
      <c r="Q345" s="14">
        <f t="shared" si="3"/>
        <v>71.928</v>
      </c>
      <c r="R345" s="14">
        <f t="shared" si="4"/>
        <v>0.158</v>
      </c>
      <c r="S345" s="14">
        <f t="shared" si="5"/>
        <v>71.77</v>
      </c>
    </row>
    <row r="346">
      <c r="A346" s="12">
        <v>42724.0</v>
      </c>
      <c r="B346" s="12" t="s">
        <v>2325</v>
      </c>
      <c r="C346" s="2">
        <v>42728.0</v>
      </c>
      <c r="D346" s="15" t="str">
        <f t="shared" si="1"/>
        <v>Dec</v>
      </c>
      <c r="E346" s="2" t="str">
        <f t="shared" si="2"/>
        <v>2016</v>
      </c>
      <c r="F346" s="13" t="s">
        <v>41</v>
      </c>
      <c r="G346" s="13" t="s">
        <v>2473</v>
      </c>
      <c r="H346" s="13" t="s">
        <v>2474</v>
      </c>
      <c r="I346" s="13" t="s">
        <v>23</v>
      </c>
      <c r="J346" s="13" t="s">
        <v>685</v>
      </c>
      <c r="K346" s="13" t="s">
        <v>70</v>
      </c>
      <c r="L346" s="13" t="s">
        <v>71</v>
      </c>
      <c r="M346" s="13" t="s">
        <v>38</v>
      </c>
      <c r="N346" s="14">
        <v>88.8</v>
      </c>
      <c r="O346" s="14">
        <v>88.41</v>
      </c>
      <c r="P346" s="13">
        <v>7.0</v>
      </c>
      <c r="Q346" s="14">
        <f t="shared" si="3"/>
        <v>621.6</v>
      </c>
      <c r="R346" s="14">
        <f t="shared" si="4"/>
        <v>533.19</v>
      </c>
      <c r="S346" s="14">
        <f t="shared" si="5"/>
        <v>88.41</v>
      </c>
    </row>
    <row r="347">
      <c r="A347" s="12">
        <v>43266.0</v>
      </c>
      <c r="B347" s="12" t="s">
        <v>2374</v>
      </c>
      <c r="C347" s="2">
        <v>43270.0</v>
      </c>
      <c r="D347" s="15" t="str">
        <f t="shared" si="1"/>
        <v>Jun</v>
      </c>
      <c r="E347" s="2" t="str">
        <f t="shared" si="2"/>
        <v>2018</v>
      </c>
      <c r="F347" s="13" t="s">
        <v>41</v>
      </c>
      <c r="G347" s="13" t="s">
        <v>2427</v>
      </c>
      <c r="H347" s="13" t="s">
        <v>2566</v>
      </c>
      <c r="I347" s="13" t="s">
        <v>23</v>
      </c>
      <c r="J347" s="13" t="s">
        <v>87</v>
      </c>
      <c r="K347" s="13" t="s">
        <v>52</v>
      </c>
      <c r="L347" s="13" t="s">
        <v>37</v>
      </c>
      <c r="M347" s="13" t="s">
        <v>51</v>
      </c>
      <c r="N347" s="14">
        <v>47.976</v>
      </c>
      <c r="O347" s="14">
        <v>47.57</v>
      </c>
      <c r="P347" s="13">
        <v>9.0</v>
      </c>
      <c r="Q347" s="14">
        <f t="shared" si="3"/>
        <v>431.784</v>
      </c>
      <c r="R347" s="14">
        <f t="shared" si="4"/>
        <v>384.214</v>
      </c>
      <c r="S347" s="14">
        <f t="shared" si="5"/>
        <v>47.57</v>
      </c>
    </row>
    <row r="348">
      <c r="A348" s="12">
        <v>43319.0</v>
      </c>
      <c r="B348" s="12" t="s">
        <v>2322</v>
      </c>
      <c r="C348" s="2">
        <v>43441.0</v>
      </c>
      <c r="D348" s="15" t="str">
        <f t="shared" si="1"/>
        <v>Dec</v>
      </c>
      <c r="E348" s="2" t="str">
        <f t="shared" si="2"/>
        <v>2018</v>
      </c>
      <c r="F348" s="13" t="s">
        <v>41</v>
      </c>
      <c r="G348" s="13" t="s">
        <v>2458</v>
      </c>
      <c r="H348" s="13" t="s">
        <v>2567</v>
      </c>
      <c r="I348" s="13" t="s">
        <v>23</v>
      </c>
      <c r="J348" s="13" t="s">
        <v>693</v>
      </c>
      <c r="K348" s="13" t="s">
        <v>694</v>
      </c>
      <c r="L348" s="13" t="s">
        <v>100</v>
      </c>
      <c r="M348" s="13" t="s">
        <v>38</v>
      </c>
      <c r="N348" s="14">
        <v>7.56</v>
      </c>
      <c r="O348" s="14">
        <v>6.69</v>
      </c>
      <c r="P348" s="13">
        <v>1.0</v>
      </c>
      <c r="Q348" s="14">
        <f t="shared" si="3"/>
        <v>7.56</v>
      </c>
      <c r="R348" s="14">
        <f t="shared" si="4"/>
        <v>0.87</v>
      </c>
      <c r="S348" s="14">
        <f t="shared" si="5"/>
        <v>6.69</v>
      </c>
    </row>
    <row r="349">
      <c r="A349" s="12">
        <v>43319.0</v>
      </c>
      <c r="B349" s="12" t="s">
        <v>2322</v>
      </c>
      <c r="C349" s="2">
        <v>43441.0</v>
      </c>
      <c r="D349" s="15" t="str">
        <f t="shared" si="1"/>
        <v>Dec</v>
      </c>
      <c r="E349" s="2" t="str">
        <f t="shared" si="2"/>
        <v>2018</v>
      </c>
      <c r="F349" s="13" t="s">
        <v>41</v>
      </c>
      <c r="G349" s="13" t="s">
        <v>2458</v>
      </c>
      <c r="H349" s="13" t="s">
        <v>2567</v>
      </c>
      <c r="I349" s="13" t="s">
        <v>23</v>
      </c>
      <c r="J349" s="13" t="s">
        <v>693</v>
      </c>
      <c r="K349" s="13" t="s">
        <v>694</v>
      </c>
      <c r="L349" s="13" t="s">
        <v>100</v>
      </c>
      <c r="M349" s="13" t="s">
        <v>38</v>
      </c>
      <c r="N349" s="14">
        <v>24.56</v>
      </c>
      <c r="O349" s="14">
        <v>23.77</v>
      </c>
      <c r="P349" s="13">
        <v>1.0</v>
      </c>
      <c r="Q349" s="14">
        <f t="shared" si="3"/>
        <v>24.56</v>
      </c>
      <c r="R349" s="14">
        <f t="shared" si="4"/>
        <v>0.79</v>
      </c>
      <c r="S349" s="14">
        <f t="shared" si="5"/>
        <v>23.77</v>
      </c>
    </row>
    <row r="350">
      <c r="A350" s="12">
        <v>43319.0</v>
      </c>
      <c r="B350" s="12" t="s">
        <v>2322</v>
      </c>
      <c r="C350" s="2">
        <v>43441.0</v>
      </c>
      <c r="D350" s="15" t="str">
        <f t="shared" si="1"/>
        <v>Dec</v>
      </c>
      <c r="E350" s="2" t="str">
        <f t="shared" si="2"/>
        <v>2018</v>
      </c>
      <c r="F350" s="13" t="s">
        <v>41</v>
      </c>
      <c r="G350" s="13" t="s">
        <v>2458</v>
      </c>
      <c r="H350" s="13" t="s">
        <v>2567</v>
      </c>
      <c r="I350" s="13" t="s">
        <v>23</v>
      </c>
      <c r="J350" s="13" t="s">
        <v>693</v>
      </c>
      <c r="K350" s="13" t="s">
        <v>694</v>
      </c>
      <c r="L350" s="13" t="s">
        <v>100</v>
      </c>
      <c r="M350" s="13" t="s">
        <v>38</v>
      </c>
      <c r="N350" s="14">
        <v>12.96</v>
      </c>
      <c r="O350" s="14">
        <v>12.95</v>
      </c>
      <c r="P350" s="13">
        <v>1.0</v>
      </c>
      <c r="Q350" s="14">
        <f t="shared" si="3"/>
        <v>12.96</v>
      </c>
      <c r="R350" s="14">
        <f t="shared" si="4"/>
        <v>0.01</v>
      </c>
      <c r="S350" s="14">
        <f t="shared" si="5"/>
        <v>12.95</v>
      </c>
    </row>
    <row r="351">
      <c r="A351" s="12">
        <v>42744.0</v>
      </c>
      <c r="B351" s="12" t="s">
        <v>2353</v>
      </c>
      <c r="C351" s="2">
        <v>42803.0</v>
      </c>
      <c r="D351" s="15" t="str">
        <f t="shared" si="1"/>
        <v>Mar</v>
      </c>
      <c r="E351" s="2" t="str">
        <f t="shared" si="2"/>
        <v>2017</v>
      </c>
      <c r="F351" s="13" t="s">
        <v>121</v>
      </c>
      <c r="G351" s="13" t="s">
        <v>2568</v>
      </c>
      <c r="H351" s="13" t="s">
        <v>2569</v>
      </c>
      <c r="I351" s="13" t="s">
        <v>68</v>
      </c>
      <c r="J351" s="13" t="s">
        <v>174</v>
      </c>
      <c r="K351" s="13" t="s">
        <v>175</v>
      </c>
      <c r="L351" s="13" t="s">
        <v>100</v>
      </c>
      <c r="M351" s="13" t="s">
        <v>51</v>
      </c>
      <c r="N351" s="14">
        <v>6.79</v>
      </c>
      <c r="O351" s="14">
        <v>6.4</v>
      </c>
      <c r="P351" s="13">
        <v>1.0</v>
      </c>
      <c r="Q351" s="14">
        <f t="shared" si="3"/>
        <v>6.79</v>
      </c>
      <c r="R351" s="14">
        <f t="shared" si="4"/>
        <v>0.39</v>
      </c>
      <c r="S351" s="14">
        <f t="shared" si="5"/>
        <v>6.4</v>
      </c>
    </row>
    <row r="352">
      <c r="A352" s="12">
        <v>42744.0</v>
      </c>
      <c r="B352" s="12" t="s">
        <v>2353</v>
      </c>
      <c r="C352" s="2">
        <v>42803.0</v>
      </c>
      <c r="D352" s="15" t="str">
        <f t="shared" si="1"/>
        <v>Mar</v>
      </c>
      <c r="E352" s="2" t="str">
        <f t="shared" si="2"/>
        <v>2017</v>
      </c>
      <c r="F352" s="13" t="s">
        <v>121</v>
      </c>
      <c r="G352" s="13" t="s">
        <v>2568</v>
      </c>
      <c r="H352" s="13" t="s">
        <v>2569</v>
      </c>
      <c r="I352" s="13" t="s">
        <v>68</v>
      </c>
      <c r="J352" s="13" t="s">
        <v>174</v>
      </c>
      <c r="K352" s="13" t="s">
        <v>175</v>
      </c>
      <c r="L352" s="13" t="s">
        <v>100</v>
      </c>
      <c r="M352" s="13" t="s">
        <v>38</v>
      </c>
      <c r="N352" s="14">
        <v>24.56</v>
      </c>
      <c r="O352" s="14">
        <v>23.66</v>
      </c>
      <c r="P352" s="13">
        <v>1.0</v>
      </c>
      <c r="Q352" s="14">
        <f t="shared" si="3"/>
        <v>24.56</v>
      </c>
      <c r="R352" s="14">
        <f t="shared" si="4"/>
        <v>0.9</v>
      </c>
      <c r="S352" s="14">
        <f t="shared" si="5"/>
        <v>23.66</v>
      </c>
    </row>
    <row r="353">
      <c r="A353" s="12">
        <v>42744.0</v>
      </c>
      <c r="B353" s="12" t="s">
        <v>2353</v>
      </c>
      <c r="C353" s="2">
        <v>42803.0</v>
      </c>
      <c r="D353" s="15" t="str">
        <f t="shared" si="1"/>
        <v>Mar</v>
      </c>
      <c r="E353" s="2" t="str">
        <f t="shared" si="2"/>
        <v>2017</v>
      </c>
      <c r="F353" s="13" t="s">
        <v>121</v>
      </c>
      <c r="G353" s="13" t="s">
        <v>2568</v>
      </c>
      <c r="H353" s="13" t="s">
        <v>2569</v>
      </c>
      <c r="I353" s="13" t="s">
        <v>68</v>
      </c>
      <c r="J353" s="13" t="s">
        <v>174</v>
      </c>
      <c r="K353" s="13" t="s">
        <v>175</v>
      </c>
      <c r="L353" s="13" t="s">
        <v>100</v>
      </c>
      <c r="M353" s="13" t="s">
        <v>38</v>
      </c>
      <c r="N353" s="14">
        <v>3.048</v>
      </c>
      <c r="O353" s="14">
        <v>2.22</v>
      </c>
      <c r="P353" s="13">
        <v>1.0</v>
      </c>
      <c r="Q353" s="14">
        <f t="shared" si="3"/>
        <v>3.048</v>
      </c>
      <c r="R353" s="14">
        <f t="shared" si="4"/>
        <v>0.828</v>
      </c>
      <c r="S353" s="14">
        <f t="shared" si="5"/>
        <v>2.22</v>
      </c>
    </row>
    <row r="354">
      <c r="A354" s="12">
        <v>42744.0</v>
      </c>
      <c r="B354" s="12" t="s">
        <v>2353</v>
      </c>
      <c r="C354" s="2">
        <v>42803.0</v>
      </c>
      <c r="D354" s="15" t="str">
        <f t="shared" si="1"/>
        <v>Mar</v>
      </c>
      <c r="E354" s="2" t="str">
        <f t="shared" si="2"/>
        <v>2017</v>
      </c>
      <c r="F354" s="13" t="s">
        <v>121</v>
      </c>
      <c r="G354" s="13" t="s">
        <v>2568</v>
      </c>
      <c r="H354" s="13" t="s">
        <v>2569</v>
      </c>
      <c r="I354" s="13" t="s">
        <v>68</v>
      </c>
      <c r="J354" s="13" t="s">
        <v>174</v>
      </c>
      <c r="K354" s="13" t="s">
        <v>175</v>
      </c>
      <c r="L354" s="13" t="s">
        <v>100</v>
      </c>
      <c r="M354" s="13" t="s">
        <v>38</v>
      </c>
      <c r="N354" s="14">
        <v>49.12</v>
      </c>
      <c r="O354" s="14">
        <v>48.36</v>
      </c>
      <c r="P354" s="13">
        <v>1.0</v>
      </c>
      <c r="Q354" s="14">
        <f t="shared" si="3"/>
        <v>49.12</v>
      </c>
      <c r="R354" s="14">
        <f t="shared" si="4"/>
        <v>0.76</v>
      </c>
      <c r="S354" s="14">
        <f t="shared" si="5"/>
        <v>48.36</v>
      </c>
    </row>
    <row r="355">
      <c r="A355" s="12">
        <v>42744.0</v>
      </c>
      <c r="B355" s="12" t="s">
        <v>2353</v>
      </c>
      <c r="C355" s="2">
        <v>42803.0</v>
      </c>
      <c r="D355" s="15" t="str">
        <f t="shared" si="1"/>
        <v>Mar</v>
      </c>
      <c r="E355" s="2" t="str">
        <f t="shared" si="2"/>
        <v>2017</v>
      </c>
      <c r="F355" s="13" t="s">
        <v>121</v>
      </c>
      <c r="G355" s="13" t="s">
        <v>2568</v>
      </c>
      <c r="H355" s="13" t="s">
        <v>2569</v>
      </c>
      <c r="I355" s="13" t="s">
        <v>68</v>
      </c>
      <c r="J355" s="13" t="s">
        <v>174</v>
      </c>
      <c r="K355" s="13" t="s">
        <v>175</v>
      </c>
      <c r="L355" s="13" t="s">
        <v>100</v>
      </c>
      <c r="M355" s="13" t="s">
        <v>38</v>
      </c>
      <c r="N355" s="14">
        <v>4355.168</v>
      </c>
      <c r="O355" s="14">
        <v>4355.06</v>
      </c>
      <c r="P355" s="13">
        <v>1.0</v>
      </c>
      <c r="Q355" s="14">
        <f t="shared" si="3"/>
        <v>4355.168</v>
      </c>
      <c r="R355" s="14">
        <f t="shared" si="4"/>
        <v>0.108</v>
      </c>
      <c r="S355" s="14">
        <f t="shared" si="5"/>
        <v>4355.06</v>
      </c>
    </row>
    <row r="356">
      <c r="A356" s="12">
        <v>42951.0</v>
      </c>
      <c r="B356" s="12" t="s">
        <v>2322</v>
      </c>
      <c r="C356" s="2">
        <v>42838.0</v>
      </c>
      <c r="D356" s="15" t="str">
        <f t="shared" si="1"/>
        <v>Apr</v>
      </c>
      <c r="E356" s="2" t="str">
        <f t="shared" si="2"/>
        <v>2017</v>
      </c>
      <c r="F356" s="13" t="s">
        <v>41</v>
      </c>
      <c r="G356" s="13" t="s">
        <v>2570</v>
      </c>
      <c r="H356" s="13" t="s">
        <v>2514</v>
      </c>
      <c r="I356" s="13" t="s">
        <v>23</v>
      </c>
      <c r="J356" s="13" t="s">
        <v>174</v>
      </c>
      <c r="K356" s="13" t="s">
        <v>175</v>
      </c>
      <c r="L356" s="13" t="s">
        <v>100</v>
      </c>
      <c r="M356" s="13" t="s">
        <v>27</v>
      </c>
      <c r="N356" s="14">
        <v>388.704</v>
      </c>
      <c r="O356" s="14">
        <v>388.45</v>
      </c>
      <c r="P356" s="13">
        <v>1.0</v>
      </c>
      <c r="Q356" s="14">
        <f t="shared" si="3"/>
        <v>388.704</v>
      </c>
      <c r="R356" s="14">
        <f t="shared" si="4"/>
        <v>0.254</v>
      </c>
      <c r="S356" s="14">
        <f t="shared" si="5"/>
        <v>388.45</v>
      </c>
    </row>
    <row r="357">
      <c r="A357" s="12">
        <v>42951.0</v>
      </c>
      <c r="B357" s="12" t="s">
        <v>2322</v>
      </c>
      <c r="C357" s="2">
        <v>42838.0</v>
      </c>
      <c r="D357" s="15" t="str">
        <f t="shared" si="1"/>
        <v>Apr</v>
      </c>
      <c r="E357" s="2" t="str">
        <f t="shared" si="2"/>
        <v>2017</v>
      </c>
      <c r="F357" s="13" t="s">
        <v>41</v>
      </c>
      <c r="G357" s="13" t="s">
        <v>2570</v>
      </c>
      <c r="H357" s="13" t="s">
        <v>2514</v>
      </c>
      <c r="I357" s="13" t="s">
        <v>23</v>
      </c>
      <c r="J357" s="13" t="s">
        <v>174</v>
      </c>
      <c r="K357" s="13" t="s">
        <v>175</v>
      </c>
      <c r="L357" s="13" t="s">
        <v>100</v>
      </c>
      <c r="M357" s="13" t="s">
        <v>38</v>
      </c>
      <c r="N357" s="14">
        <v>8.26</v>
      </c>
      <c r="O357" s="14">
        <v>7.81</v>
      </c>
      <c r="P357" s="13">
        <v>1.0</v>
      </c>
      <c r="Q357" s="14">
        <f t="shared" si="3"/>
        <v>8.26</v>
      </c>
      <c r="R357" s="14">
        <f t="shared" si="4"/>
        <v>0.45</v>
      </c>
      <c r="S357" s="14">
        <f t="shared" si="5"/>
        <v>7.81</v>
      </c>
    </row>
    <row r="358">
      <c r="A358" s="12">
        <v>42951.0</v>
      </c>
      <c r="B358" s="12" t="s">
        <v>2322</v>
      </c>
      <c r="C358" s="2">
        <v>42838.0</v>
      </c>
      <c r="D358" s="15" t="str">
        <f t="shared" si="1"/>
        <v>Apr</v>
      </c>
      <c r="E358" s="2" t="str">
        <f t="shared" si="2"/>
        <v>2017</v>
      </c>
      <c r="F358" s="13" t="s">
        <v>41</v>
      </c>
      <c r="G358" s="13" t="s">
        <v>2570</v>
      </c>
      <c r="H358" s="13" t="s">
        <v>2514</v>
      </c>
      <c r="I358" s="13" t="s">
        <v>23</v>
      </c>
      <c r="J358" s="13" t="s">
        <v>174</v>
      </c>
      <c r="K358" s="13" t="s">
        <v>175</v>
      </c>
      <c r="L358" s="13" t="s">
        <v>100</v>
      </c>
      <c r="M358" s="13" t="s">
        <v>38</v>
      </c>
      <c r="N358" s="14">
        <v>17.04</v>
      </c>
      <c r="O358" s="14">
        <v>16.07</v>
      </c>
      <c r="P358" s="13">
        <v>1.0</v>
      </c>
      <c r="Q358" s="14">
        <f t="shared" si="3"/>
        <v>17.04</v>
      </c>
      <c r="R358" s="14">
        <f t="shared" si="4"/>
        <v>0.97</v>
      </c>
      <c r="S358" s="14">
        <f t="shared" si="5"/>
        <v>16.07</v>
      </c>
    </row>
    <row r="359">
      <c r="A359" s="12">
        <v>42951.0</v>
      </c>
      <c r="B359" s="12" t="s">
        <v>2322</v>
      </c>
      <c r="C359" s="2">
        <v>42838.0</v>
      </c>
      <c r="D359" s="15" t="str">
        <f t="shared" si="1"/>
        <v>Apr</v>
      </c>
      <c r="E359" s="2" t="str">
        <f t="shared" si="2"/>
        <v>2017</v>
      </c>
      <c r="F359" s="13" t="s">
        <v>41</v>
      </c>
      <c r="G359" s="13" t="s">
        <v>2570</v>
      </c>
      <c r="H359" s="13" t="s">
        <v>2514</v>
      </c>
      <c r="I359" s="13" t="s">
        <v>23</v>
      </c>
      <c r="J359" s="13" t="s">
        <v>174</v>
      </c>
      <c r="K359" s="13" t="s">
        <v>175</v>
      </c>
      <c r="L359" s="13" t="s">
        <v>100</v>
      </c>
      <c r="M359" s="13" t="s">
        <v>38</v>
      </c>
      <c r="N359" s="14">
        <v>34.4</v>
      </c>
      <c r="O359" s="14">
        <v>34.1</v>
      </c>
      <c r="P359" s="13">
        <v>1.0</v>
      </c>
      <c r="Q359" s="14">
        <f t="shared" si="3"/>
        <v>34.4</v>
      </c>
      <c r="R359" s="14">
        <f t="shared" si="4"/>
        <v>0.3</v>
      </c>
      <c r="S359" s="14">
        <f t="shared" si="5"/>
        <v>34.1</v>
      </c>
    </row>
    <row r="360">
      <c r="A360" s="12">
        <v>42848.0</v>
      </c>
      <c r="B360" s="12" t="s">
        <v>2332</v>
      </c>
      <c r="C360" s="2">
        <v>42853.0</v>
      </c>
      <c r="D360" s="15" t="str">
        <f t="shared" si="1"/>
        <v>Apr</v>
      </c>
      <c r="E360" s="2" t="str">
        <f t="shared" si="2"/>
        <v>2017</v>
      </c>
      <c r="F360" s="13" t="s">
        <v>41</v>
      </c>
      <c r="G360" s="13" t="s">
        <v>2501</v>
      </c>
      <c r="H360" s="13" t="s">
        <v>2502</v>
      </c>
      <c r="I360" s="13" t="s">
        <v>34</v>
      </c>
      <c r="J360" s="13" t="s">
        <v>284</v>
      </c>
      <c r="K360" s="13" t="s">
        <v>58</v>
      </c>
      <c r="L360" s="13" t="s">
        <v>26</v>
      </c>
      <c r="M360" s="13" t="s">
        <v>38</v>
      </c>
      <c r="N360" s="14">
        <v>36.24</v>
      </c>
      <c r="O360" s="14">
        <v>35.9</v>
      </c>
      <c r="P360" s="13">
        <v>2.0</v>
      </c>
      <c r="Q360" s="14">
        <f t="shared" si="3"/>
        <v>72.48</v>
      </c>
      <c r="R360" s="14">
        <f t="shared" si="4"/>
        <v>36.58</v>
      </c>
      <c r="S360" s="14">
        <f t="shared" si="5"/>
        <v>35.9</v>
      </c>
    </row>
    <row r="361">
      <c r="A361" s="12">
        <v>43315.0</v>
      </c>
      <c r="B361" s="12" t="s">
        <v>2322</v>
      </c>
      <c r="C361" s="2">
        <v>43407.0</v>
      </c>
      <c r="D361" s="15" t="str">
        <f t="shared" si="1"/>
        <v>Nov</v>
      </c>
      <c r="E361" s="2" t="str">
        <f t="shared" si="2"/>
        <v>2018</v>
      </c>
      <c r="F361" s="13" t="s">
        <v>121</v>
      </c>
      <c r="G361" s="13" t="s">
        <v>2508</v>
      </c>
      <c r="H361" s="13" t="s">
        <v>2394</v>
      </c>
      <c r="I361" s="13" t="s">
        <v>34</v>
      </c>
      <c r="J361" s="13" t="s">
        <v>303</v>
      </c>
      <c r="K361" s="13" t="s">
        <v>707</v>
      </c>
      <c r="L361" s="13" t="s">
        <v>26</v>
      </c>
      <c r="M361" s="13" t="s">
        <v>38</v>
      </c>
      <c r="N361" s="14">
        <v>647.84</v>
      </c>
      <c r="O361" s="14">
        <v>647.21</v>
      </c>
      <c r="P361" s="13">
        <v>3.0</v>
      </c>
      <c r="Q361" s="14">
        <f t="shared" si="3"/>
        <v>1943.52</v>
      </c>
      <c r="R361" s="14">
        <f t="shared" si="4"/>
        <v>1296.31</v>
      </c>
      <c r="S361" s="14">
        <f t="shared" si="5"/>
        <v>647.21</v>
      </c>
    </row>
    <row r="362">
      <c r="A362" s="12">
        <v>43315.0</v>
      </c>
      <c r="B362" s="12" t="s">
        <v>2322</v>
      </c>
      <c r="C362" s="2">
        <v>43407.0</v>
      </c>
      <c r="D362" s="15" t="str">
        <f t="shared" si="1"/>
        <v>Nov</v>
      </c>
      <c r="E362" s="2" t="str">
        <f t="shared" si="2"/>
        <v>2018</v>
      </c>
      <c r="F362" s="13" t="s">
        <v>121</v>
      </c>
      <c r="G362" s="13" t="s">
        <v>2508</v>
      </c>
      <c r="H362" s="13" t="s">
        <v>2394</v>
      </c>
      <c r="I362" s="13" t="s">
        <v>34</v>
      </c>
      <c r="J362" s="13" t="s">
        <v>303</v>
      </c>
      <c r="K362" s="13" t="s">
        <v>707</v>
      </c>
      <c r="L362" s="13" t="s">
        <v>26</v>
      </c>
      <c r="M362" s="13" t="s">
        <v>38</v>
      </c>
      <c r="N362" s="14">
        <v>20.7</v>
      </c>
      <c r="O362" s="14">
        <v>20.01</v>
      </c>
      <c r="P362" s="13">
        <v>3.0</v>
      </c>
      <c r="Q362" s="14">
        <f t="shared" si="3"/>
        <v>62.1</v>
      </c>
      <c r="R362" s="14">
        <f t="shared" si="4"/>
        <v>42.09</v>
      </c>
      <c r="S362" s="14">
        <f t="shared" si="5"/>
        <v>20.01</v>
      </c>
    </row>
    <row r="363">
      <c r="A363" s="12">
        <v>43368.0</v>
      </c>
      <c r="B363" s="12" t="s">
        <v>2329</v>
      </c>
      <c r="C363" s="2">
        <v>43110.0</v>
      </c>
      <c r="D363" s="15" t="str">
        <f t="shared" si="1"/>
        <v>Jan</v>
      </c>
      <c r="E363" s="2" t="str">
        <f t="shared" si="2"/>
        <v>2018</v>
      </c>
      <c r="F363" s="13" t="s">
        <v>41</v>
      </c>
      <c r="G363" s="13" t="s">
        <v>2571</v>
      </c>
      <c r="H363" s="13" t="s">
        <v>2572</v>
      </c>
      <c r="I363" s="13" t="s">
        <v>23</v>
      </c>
      <c r="J363" s="13" t="s">
        <v>174</v>
      </c>
      <c r="K363" s="13" t="s">
        <v>175</v>
      </c>
      <c r="L363" s="13" t="s">
        <v>100</v>
      </c>
      <c r="M363" s="13" t="s">
        <v>38</v>
      </c>
      <c r="N363" s="14">
        <v>20.7</v>
      </c>
      <c r="O363" s="14">
        <v>20.49</v>
      </c>
      <c r="P363" s="13">
        <v>1.0</v>
      </c>
      <c r="Q363" s="14">
        <f t="shared" si="3"/>
        <v>20.7</v>
      </c>
      <c r="R363" s="14">
        <f t="shared" si="4"/>
        <v>0.21</v>
      </c>
      <c r="S363" s="14">
        <f t="shared" si="5"/>
        <v>20.49</v>
      </c>
    </row>
    <row r="364">
      <c r="A364" s="12">
        <v>43368.0</v>
      </c>
      <c r="B364" s="12" t="s">
        <v>2329</v>
      </c>
      <c r="C364" s="2">
        <v>43110.0</v>
      </c>
      <c r="D364" s="15" t="str">
        <f t="shared" si="1"/>
        <v>Jan</v>
      </c>
      <c r="E364" s="2" t="str">
        <f t="shared" si="2"/>
        <v>2018</v>
      </c>
      <c r="F364" s="13" t="s">
        <v>41</v>
      </c>
      <c r="G364" s="13" t="s">
        <v>2571</v>
      </c>
      <c r="H364" s="13" t="s">
        <v>2572</v>
      </c>
      <c r="I364" s="13" t="s">
        <v>23</v>
      </c>
      <c r="J364" s="13" t="s">
        <v>174</v>
      </c>
      <c r="K364" s="13" t="s">
        <v>175</v>
      </c>
      <c r="L364" s="13" t="s">
        <v>100</v>
      </c>
      <c r="M364" s="13" t="s">
        <v>27</v>
      </c>
      <c r="N364" s="14">
        <v>488.646</v>
      </c>
      <c r="O364" s="14">
        <v>488.09</v>
      </c>
      <c r="P364" s="13">
        <v>1.0</v>
      </c>
      <c r="Q364" s="14">
        <f t="shared" si="3"/>
        <v>488.646</v>
      </c>
      <c r="R364" s="14">
        <f t="shared" si="4"/>
        <v>0.556</v>
      </c>
      <c r="S364" s="14">
        <f t="shared" si="5"/>
        <v>488.09</v>
      </c>
    </row>
    <row r="365">
      <c r="A365" s="12">
        <v>43368.0</v>
      </c>
      <c r="B365" s="12" t="s">
        <v>2329</v>
      </c>
      <c r="C365" s="2">
        <v>43110.0</v>
      </c>
      <c r="D365" s="15" t="str">
        <f t="shared" si="1"/>
        <v>Jan</v>
      </c>
      <c r="E365" s="2" t="str">
        <f t="shared" si="2"/>
        <v>2018</v>
      </c>
      <c r="F365" s="13" t="s">
        <v>41</v>
      </c>
      <c r="G365" s="13" t="s">
        <v>2571</v>
      </c>
      <c r="H365" s="13" t="s">
        <v>2572</v>
      </c>
      <c r="I365" s="13" t="s">
        <v>23</v>
      </c>
      <c r="J365" s="13" t="s">
        <v>174</v>
      </c>
      <c r="K365" s="13" t="s">
        <v>175</v>
      </c>
      <c r="L365" s="13" t="s">
        <v>100</v>
      </c>
      <c r="M365" s="13" t="s">
        <v>38</v>
      </c>
      <c r="N365" s="14">
        <v>5.56</v>
      </c>
      <c r="O365" s="14">
        <v>5.19</v>
      </c>
      <c r="P365" s="13">
        <v>1.0</v>
      </c>
      <c r="Q365" s="14">
        <f t="shared" si="3"/>
        <v>5.56</v>
      </c>
      <c r="R365" s="14">
        <f t="shared" si="4"/>
        <v>0.37</v>
      </c>
      <c r="S365" s="14">
        <f t="shared" si="5"/>
        <v>5.19</v>
      </c>
    </row>
    <row r="366">
      <c r="A366" s="12">
        <v>43368.0</v>
      </c>
      <c r="B366" s="12" t="s">
        <v>2329</v>
      </c>
      <c r="C366" s="2">
        <v>43110.0</v>
      </c>
      <c r="D366" s="15" t="str">
        <f t="shared" si="1"/>
        <v>Jan</v>
      </c>
      <c r="E366" s="2" t="str">
        <f t="shared" si="2"/>
        <v>2018</v>
      </c>
      <c r="F366" s="13" t="s">
        <v>41</v>
      </c>
      <c r="G366" s="13" t="s">
        <v>2571</v>
      </c>
      <c r="H366" s="13" t="s">
        <v>2572</v>
      </c>
      <c r="I366" s="13" t="s">
        <v>23</v>
      </c>
      <c r="J366" s="13" t="s">
        <v>174</v>
      </c>
      <c r="K366" s="13" t="s">
        <v>175</v>
      </c>
      <c r="L366" s="13" t="s">
        <v>100</v>
      </c>
      <c r="M366" s="13" t="s">
        <v>27</v>
      </c>
      <c r="N366" s="14">
        <v>47.12</v>
      </c>
      <c r="O366" s="14">
        <v>46.53</v>
      </c>
      <c r="P366" s="13">
        <v>1.0</v>
      </c>
      <c r="Q366" s="14">
        <f t="shared" si="3"/>
        <v>47.12</v>
      </c>
      <c r="R366" s="14">
        <f t="shared" si="4"/>
        <v>0.59</v>
      </c>
      <c r="S366" s="14">
        <f t="shared" si="5"/>
        <v>46.53</v>
      </c>
    </row>
    <row r="367">
      <c r="A367" s="12">
        <v>42271.0</v>
      </c>
      <c r="B367" s="12" t="s">
        <v>2329</v>
      </c>
      <c r="C367" s="2">
        <v>42276.0</v>
      </c>
      <c r="D367" s="15" t="str">
        <f t="shared" si="1"/>
        <v>Sep</v>
      </c>
      <c r="E367" s="2" t="str">
        <f t="shared" si="2"/>
        <v>2015</v>
      </c>
      <c r="F367" s="13" t="s">
        <v>41</v>
      </c>
      <c r="G367" s="13" t="s">
        <v>2573</v>
      </c>
      <c r="H367" s="13" t="s">
        <v>2574</v>
      </c>
      <c r="I367" s="13" t="s">
        <v>23</v>
      </c>
      <c r="J367" s="13" t="s">
        <v>87</v>
      </c>
      <c r="K367" s="13" t="s">
        <v>52</v>
      </c>
      <c r="L367" s="13" t="s">
        <v>37</v>
      </c>
      <c r="M367" s="13" t="s">
        <v>38</v>
      </c>
      <c r="N367" s="14">
        <v>211.96</v>
      </c>
      <c r="O367" s="14">
        <v>211.15</v>
      </c>
      <c r="P367" s="13">
        <v>9.0</v>
      </c>
      <c r="Q367" s="14">
        <f t="shared" si="3"/>
        <v>1907.64</v>
      </c>
      <c r="R367" s="14">
        <f t="shared" si="4"/>
        <v>1696.49</v>
      </c>
      <c r="S367" s="14">
        <f t="shared" si="5"/>
        <v>211.15</v>
      </c>
    </row>
    <row r="368">
      <c r="A368" s="12">
        <v>43029.0</v>
      </c>
      <c r="B368" s="12" t="s">
        <v>2358</v>
      </c>
      <c r="C368" s="2">
        <v>43029.0</v>
      </c>
      <c r="D368" s="15" t="str">
        <f t="shared" si="1"/>
        <v>Oct</v>
      </c>
      <c r="E368" s="2" t="str">
        <f t="shared" si="2"/>
        <v>2017</v>
      </c>
      <c r="F368" s="13" t="s">
        <v>717</v>
      </c>
      <c r="G368" s="13" t="s">
        <v>2507</v>
      </c>
      <c r="H368" s="13" t="s">
        <v>2575</v>
      </c>
      <c r="I368" s="13" t="s">
        <v>34</v>
      </c>
      <c r="J368" s="13" t="s">
        <v>720</v>
      </c>
      <c r="K368" s="13" t="s">
        <v>435</v>
      </c>
      <c r="L368" s="13" t="s">
        <v>100</v>
      </c>
      <c r="M368" s="13" t="s">
        <v>38</v>
      </c>
      <c r="N368" s="14">
        <v>23.2</v>
      </c>
      <c r="O368" s="14">
        <v>22.28</v>
      </c>
      <c r="P368" s="13">
        <v>6.0</v>
      </c>
      <c r="Q368" s="14">
        <f t="shared" si="3"/>
        <v>139.2</v>
      </c>
      <c r="R368" s="14">
        <f t="shared" si="4"/>
        <v>116.92</v>
      </c>
      <c r="S368" s="14">
        <f t="shared" si="5"/>
        <v>22.28</v>
      </c>
    </row>
    <row r="369">
      <c r="A369" s="12">
        <v>43029.0</v>
      </c>
      <c r="B369" s="12" t="s">
        <v>2358</v>
      </c>
      <c r="C369" s="2">
        <v>43029.0</v>
      </c>
      <c r="D369" s="15" t="str">
        <f t="shared" si="1"/>
        <v>Oct</v>
      </c>
      <c r="E369" s="2" t="str">
        <f t="shared" si="2"/>
        <v>2017</v>
      </c>
      <c r="F369" s="13" t="s">
        <v>717</v>
      </c>
      <c r="G369" s="13" t="s">
        <v>2507</v>
      </c>
      <c r="H369" s="13" t="s">
        <v>2575</v>
      </c>
      <c r="I369" s="13" t="s">
        <v>34</v>
      </c>
      <c r="J369" s="13" t="s">
        <v>720</v>
      </c>
      <c r="K369" s="13" t="s">
        <v>435</v>
      </c>
      <c r="L369" s="13" t="s">
        <v>100</v>
      </c>
      <c r="M369" s="13" t="s">
        <v>38</v>
      </c>
      <c r="N369" s="14">
        <v>7.36</v>
      </c>
      <c r="O369" s="14">
        <v>6.65</v>
      </c>
      <c r="P369" s="13">
        <v>6.0</v>
      </c>
      <c r="Q369" s="14">
        <f t="shared" si="3"/>
        <v>44.16</v>
      </c>
      <c r="R369" s="14">
        <f t="shared" si="4"/>
        <v>37.51</v>
      </c>
      <c r="S369" s="14">
        <f t="shared" si="5"/>
        <v>6.65</v>
      </c>
    </row>
    <row r="370">
      <c r="A370" s="12">
        <v>43029.0</v>
      </c>
      <c r="B370" s="12" t="s">
        <v>2358</v>
      </c>
      <c r="C370" s="2">
        <v>43029.0</v>
      </c>
      <c r="D370" s="15" t="str">
        <f t="shared" si="1"/>
        <v>Oct</v>
      </c>
      <c r="E370" s="2" t="str">
        <f t="shared" si="2"/>
        <v>2017</v>
      </c>
      <c r="F370" s="13" t="s">
        <v>717</v>
      </c>
      <c r="G370" s="13" t="s">
        <v>2507</v>
      </c>
      <c r="H370" s="13" t="s">
        <v>2575</v>
      </c>
      <c r="I370" s="13" t="s">
        <v>34</v>
      </c>
      <c r="J370" s="13" t="s">
        <v>720</v>
      </c>
      <c r="K370" s="13" t="s">
        <v>435</v>
      </c>
      <c r="L370" s="13" t="s">
        <v>100</v>
      </c>
      <c r="M370" s="13" t="s">
        <v>38</v>
      </c>
      <c r="N370" s="14">
        <v>104.79</v>
      </c>
      <c r="O370" s="14">
        <v>104.42</v>
      </c>
      <c r="P370" s="13">
        <v>6.0</v>
      </c>
      <c r="Q370" s="14">
        <f t="shared" si="3"/>
        <v>628.74</v>
      </c>
      <c r="R370" s="14">
        <f t="shared" si="4"/>
        <v>524.32</v>
      </c>
      <c r="S370" s="14">
        <f t="shared" si="5"/>
        <v>104.42</v>
      </c>
    </row>
    <row r="371">
      <c r="A371" s="12">
        <v>43029.0</v>
      </c>
      <c r="B371" s="12" t="s">
        <v>2358</v>
      </c>
      <c r="C371" s="2">
        <v>43029.0</v>
      </c>
      <c r="D371" s="15" t="str">
        <f t="shared" si="1"/>
        <v>Oct</v>
      </c>
      <c r="E371" s="2" t="str">
        <f t="shared" si="2"/>
        <v>2017</v>
      </c>
      <c r="F371" s="13" t="s">
        <v>717</v>
      </c>
      <c r="G371" s="13" t="s">
        <v>2507</v>
      </c>
      <c r="H371" s="13" t="s">
        <v>2575</v>
      </c>
      <c r="I371" s="13" t="s">
        <v>34</v>
      </c>
      <c r="J371" s="13" t="s">
        <v>720</v>
      </c>
      <c r="K371" s="13" t="s">
        <v>435</v>
      </c>
      <c r="L371" s="13" t="s">
        <v>100</v>
      </c>
      <c r="M371" s="13" t="s">
        <v>27</v>
      </c>
      <c r="N371" s="14">
        <v>1043.92</v>
      </c>
      <c r="O371" s="14">
        <v>1042.99</v>
      </c>
      <c r="P371" s="13">
        <v>6.0</v>
      </c>
      <c r="Q371" s="14">
        <f t="shared" si="3"/>
        <v>6263.52</v>
      </c>
      <c r="R371" s="14">
        <f t="shared" si="4"/>
        <v>5220.53</v>
      </c>
      <c r="S371" s="14">
        <f t="shared" si="5"/>
        <v>1042.99</v>
      </c>
    </row>
    <row r="372">
      <c r="A372" s="12">
        <v>43249.0</v>
      </c>
      <c r="B372" s="12" t="s">
        <v>2335</v>
      </c>
      <c r="C372" s="2">
        <v>43196.0</v>
      </c>
      <c r="D372" s="15" t="str">
        <f t="shared" si="1"/>
        <v>Apr</v>
      </c>
      <c r="E372" s="2" t="str">
        <f t="shared" si="2"/>
        <v>2018</v>
      </c>
      <c r="F372" s="13" t="s">
        <v>41</v>
      </c>
      <c r="G372" s="13" t="s">
        <v>2576</v>
      </c>
      <c r="H372" s="13" t="s">
        <v>2577</v>
      </c>
      <c r="I372" s="13" t="s">
        <v>23</v>
      </c>
      <c r="J372" s="13" t="s">
        <v>724</v>
      </c>
      <c r="K372" s="13" t="s">
        <v>70</v>
      </c>
      <c r="L372" s="13" t="s">
        <v>71</v>
      </c>
      <c r="M372" s="13" t="s">
        <v>38</v>
      </c>
      <c r="N372" s="14">
        <v>25.92</v>
      </c>
      <c r="O372" s="14">
        <v>25.3</v>
      </c>
      <c r="P372" s="13">
        <v>7.0</v>
      </c>
      <c r="Q372" s="14">
        <f t="shared" si="3"/>
        <v>181.44</v>
      </c>
      <c r="R372" s="14">
        <f t="shared" si="4"/>
        <v>156.14</v>
      </c>
      <c r="S372" s="14">
        <f t="shared" si="5"/>
        <v>25.3</v>
      </c>
    </row>
    <row r="373">
      <c r="A373" s="12">
        <v>43249.0</v>
      </c>
      <c r="B373" s="12" t="s">
        <v>2335</v>
      </c>
      <c r="C373" s="2">
        <v>43196.0</v>
      </c>
      <c r="D373" s="15" t="str">
        <f t="shared" si="1"/>
        <v>Apr</v>
      </c>
      <c r="E373" s="2" t="str">
        <f t="shared" si="2"/>
        <v>2018</v>
      </c>
      <c r="F373" s="13" t="s">
        <v>41</v>
      </c>
      <c r="G373" s="13" t="s">
        <v>2576</v>
      </c>
      <c r="H373" s="13" t="s">
        <v>2577</v>
      </c>
      <c r="I373" s="13" t="s">
        <v>23</v>
      </c>
      <c r="J373" s="13" t="s">
        <v>724</v>
      </c>
      <c r="K373" s="13" t="s">
        <v>70</v>
      </c>
      <c r="L373" s="13" t="s">
        <v>71</v>
      </c>
      <c r="M373" s="13" t="s">
        <v>38</v>
      </c>
      <c r="N373" s="14">
        <v>53.424</v>
      </c>
      <c r="O373" s="14">
        <v>52.95</v>
      </c>
      <c r="P373" s="13">
        <v>7.0</v>
      </c>
      <c r="Q373" s="14">
        <f t="shared" si="3"/>
        <v>373.968</v>
      </c>
      <c r="R373" s="14">
        <f t="shared" si="4"/>
        <v>321.018</v>
      </c>
      <c r="S373" s="14">
        <f t="shared" si="5"/>
        <v>52.95</v>
      </c>
    </row>
    <row r="374">
      <c r="A374" s="12">
        <v>42208.0</v>
      </c>
      <c r="B374" s="12" t="s">
        <v>2348</v>
      </c>
      <c r="C374" s="2">
        <v>42212.0</v>
      </c>
      <c r="D374" s="15" t="str">
        <f t="shared" si="1"/>
        <v>Jul</v>
      </c>
      <c r="E374" s="2" t="str">
        <f t="shared" si="2"/>
        <v>2015</v>
      </c>
      <c r="F374" s="13" t="s">
        <v>41</v>
      </c>
      <c r="G374" s="13" t="s">
        <v>2578</v>
      </c>
      <c r="H374" s="13" t="s">
        <v>2579</v>
      </c>
      <c r="I374" s="13" t="s">
        <v>23</v>
      </c>
      <c r="J374" s="13" t="s">
        <v>729</v>
      </c>
      <c r="K374" s="13" t="s">
        <v>193</v>
      </c>
      <c r="L374" s="13" t="s">
        <v>37</v>
      </c>
      <c r="M374" s="13" t="s">
        <v>38</v>
      </c>
      <c r="N374" s="14">
        <v>8.16</v>
      </c>
      <c r="O374" s="14">
        <v>7.87</v>
      </c>
      <c r="P374" s="13">
        <v>8.0</v>
      </c>
      <c r="Q374" s="14">
        <f t="shared" si="3"/>
        <v>65.28</v>
      </c>
      <c r="R374" s="14">
        <f t="shared" si="4"/>
        <v>57.41</v>
      </c>
      <c r="S374" s="14">
        <f t="shared" si="5"/>
        <v>7.87</v>
      </c>
    </row>
    <row r="375">
      <c r="A375" s="12">
        <v>42208.0</v>
      </c>
      <c r="B375" s="12" t="s">
        <v>2348</v>
      </c>
      <c r="C375" s="2">
        <v>42212.0</v>
      </c>
      <c r="D375" s="15" t="str">
        <f t="shared" si="1"/>
        <v>Jul</v>
      </c>
      <c r="E375" s="2" t="str">
        <f t="shared" si="2"/>
        <v>2015</v>
      </c>
      <c r="F375" s="13" t="s">
        <v>41</v>
      </c>
      <c r="G375" s="13" t="s">
        <v>2578</v>
      </c>
      <c r="H375" s="13" t="s">
        <v>2579</v>
      </c>
      <c r="I375" s="13" t="s">
        <v>23</v>
      </c>
      <c r="J375" s="13" t="s">
        <v>729</v>
      </c>
      <c r="K375" s="13" t="s">
        <v>193</v>
      </c>
      <c r="L375" s="13" t="s">
        <v>37</v>
      </c>
      <c r="M375" s="13" t="s">
        <v>51</v>
      </c>
      <c r="N375" s="14">
        <v>1023.936</v>
      </c>
      <c r="O375" s="14">
        <v>1023.84</v>
      </c>
      <c r="P375" s="13">
        <v>8.0</v>
      </c>
      <c r="Q375" s="14">
        <f t="shared" si="3"/>
        <v>8191.488</v>
      </c>
      <c r="R375" s="14">
        <f t="shared" si="4"/>
        <v>7167.648</v>
      </c>
      <c r="S375" s="14">
        <f t="shared" si="5"/>
        <v>1023.84</v>
      </c>
    </row>
    <row r="376">
      <c r="A376" s="12">
        <v>42208.0</v>
      </c>
      <c r="B376" s="12" t="s">
        <v>2348</v>
      </c>
      <c r="C376" s="2">
        <v>42212.0</v>
      </c>
      <c r="D376" s="15" t="str">
        <f t="shared" si="1"/>
        <v>Jul</v>
      </c>
      <c r="E376" s="2" t="str">
        <f t="shared" si="2"/>
        <v>2015</v>
      </c>
      <c r="F376" s="13" t="s">
        <v>41</v>
      </c>
      <c r="G376" s="13" t="s">
        <v>2578</v>
      </c>
      <c r="H376" s="13" t="s">
        <v>2579</v>
      </c>
      <c r="I376" s="13" t="s">
        <v>23</v>
      </c>
      <c r="J376" s="13" t="s">
        <v>729</v>
      </c>
      <c r="K376" s="13" t="s">
        <v>193</v>
      </c>
      <c r="L376" s="13" t="s">
        <v>37</v>
      </c>
      <c r="M376" s="13" t="s">
        <v>38</v>
      </c>
      <c r="N376" s="14">
        <v>9.24</v>
      </c>
      <c r="O376" s="14">
        <v>8.58</v>
      </c>
      <c r="P376" s="13">
        <v>8.0</v>
      </c>
      <c r="Q376" s="14">
        <f t="shared" si="3"/>
        <v>73.92</v>
      </c>
      <c r="R376" s="14">
        <f t="shared" si="4"/>
        <v>65.34</v>
      </c>
      <c r="S376" s="14">
        <f t="shared" si="5"/>
        <v>8.58</v>
      </c>
    </row>
    <row r="377">
      <c r="A377" s="12">
        <v>42208.0</v>
      </c>
      <c r="B377" s="12" t="s">
        <v>2348</v>
      </c>
      <c r="C377" s="2">
        <v>42212.0</v>
      </c>
      <c r="D377" s="15" t="str">
        <f t="shared" si="1"/>
        <v>Jul</v>
      </c>
      <c r="E377" s="2" t="str">
        <f t="shared" si="2"/>
        <v>2015</v>
      </c>
      <c r="F377" s="13" t="s">
        <v>41</v>
      </c>
      <c r="G377" s="13" t="s">
        <v>2578</v>
      </c>
      <c r="H377" s="13" t="s">
        <v>2579</v>
      </c>
      <c r="I377" s="13" t="s">
        <v>23</v>
      </c>
      <c r="J377" s="13" t="s">
        <v>729</v>
      </c>
      <c r="K377" s="13" t="s">
        <v>193</v>
      </c>
      <c r="L377" s="13" t="s">
        <v>37</v>
      </c>
      <c r="M377" s="13" t="s">
        <v>51</v>
      </c>
      <c r="N377" s="14">
        <v>479.04</v>
      </c>
      <c r="O377" s="14">
        <v>478.19</v>
      </c>
      <c r="P377" s="13">
        <v>8.0</v>
      </c>
      <c r="Q377" s="14">
        <f t="shared" si="3"/>
        <v>3832.32</v>
      </c>
      <c r="R377" s="14">
        <f t="shared" si="4"/>
        <v>3354.13</v>
      </c>
      <c r="S377" s="14">
        <f t="shared" si="5"/>
        <v>478.19</v>
      </c>
    </row>
    <row r="378">
      <c r="A378" s="12">
        <v>43006.0</v>
      </c>
      <c r="B378" s="12" t="s">
        <v>2329</v>
      </c>
      <c r="C378" s="2">
        <v>42745.0</v>
      </c>
      <c r="D378" s="15" t="str">
        <f t="shared" si="1"/>
        <v>Jan</v>
      </c>
      <c r="E378" s="2" t="str">
        <f t="shared" si="2"/>
        <v>2017</v>
      </c>
      <c r="F378" s="13" t="s">
        <v>121</v>
      </c>
      <c r="G378" s="13" t="s">
        <v>2580</v>
      </c>
      <c r="H378" s="13" t="s">
        <v>2581</v>
      </c>
      <c r="I378" s="13" t="s">
        <v>34</v>
      </c>
      <c r="J378" s="13" t="s">
        <v>733</v>
      </c>
      <c r="K378" s="13" t="s">
        <v>135</v>
      </c>
      <c r="L378" s="13" t="s">
        <v>71</v>
      </c>
      <c r="M378" s="13" t="s">
        <v>38</v>
      </c>
      <c r="N378" s="14">
        <v>99.136</v>
      </c>
      <c r="O378" s="14">
        <v>98.18</v>
      </c>
      <c r="P378" s="13">
        <v>6.0</v>
      </c>
      <c r="Q378" s="14">
        <f t="shared" si="3"/>
        <v>594.816</v>
      </c>
      <c r="R378" s="14">
        <f t="shared" si="4"/>
        <v>496.636</v>
      </c>
      <c r="S378" s="14">
        <f t="shared" si="5"/>
        <v>98.18</v>
      </c>
    </row>
    <row r="379">
      <c r="A379" s="12">
        <v>43339.0</v>
      </c>
      <c r="B379" s="12" t="s">
        <v>2322</v>
      </c>
      <c r="C379" s="2">
        <v>43109.0</v>
      </c>
      <c r="D379" s="15" t="str">
        <f t="shared" si="1"/>
        <v>Jan</v>
      </c>
      <c r="E379" s="2" t="str">
        <f t="shared" si="2"/>
        <v>2018</v>
      </c>
      <c r="F379" s="13" t="s">
        <v>41</v>
      </c>
      <c r="G379" s="13" t="s">
        <v>2334</v>
      </c>
      <c r="H379" s="13" t="s">
        <v>2582</v>
      </c>
      <c r="I379" s="13" t="s">
        <v>34</v>
      </c>
      <c r="J379" s="13" t="s">
        <v>364</v>
      </c>
      <c r="K379" s="13" t="s">
        <v>694</v>
      </c>
      <c r="L379" s="13" t="s">
        <v>100</v>
      </c>
      <c r="M379" s="13" t="s">
        <v>27</v>
      </c>
      <c r="N379" s="14">
        <v>1488.424</v>
      </c>
      <c r="O379" s="14">
        <v>1488.22</v>
      </c>
      <c r="P379" s="13">
        <v>2.0</v>
      </c>
      <c r="Q379" s="14">
        <f t="shared" si="3"/>
        <v>2976.848</v>
      </c>
      <c r="R379" s="14">
        <f t="shared" si="4"/>
        <v>1488.628</v>
      </c>
      <c r="S379" s="14">
        <f t="shared" si="5"/>
        <v>1488.22</v>
      </c>
    </row>
    <row r="380">
      <c r="A380" s="12">
        <v>42488.0</v>
      </c>
      <c r="B380" s="12" t="s">
        <v>2332</v>
      </c>
      <c r="C380" s="2">
        <v>42495.0</v>
      </c>
      <c r="D380" s="15" t="str">
        <f t="shared" si="1"/>
        <v>May</v>
      </c>
      <c r="E380" s="2" t="str">
        <f t="shared" si="2"/>
        <v>2016</v>
      </c>
      <c r="F380" s="13" t="s">
        <v>41</v>
      </c>
      <c r="G380" s="13" t="s">
        <v>2583</v>
      </c>
      <c r="H380" s="13" t="s">
        <v>2584</v>
      </c>
      <c r="I380" s="13" t="s">
        <v>23</v>
      </c>
      <c r="J380" s="13" t="s">
        <v>129</v>
      </c>
      <c r="K380" s="13" t="s">
        <v>70</v>
      </c>
      <c r="L380" s="13" t="s">
        <v>71</v>
      </c>
      <c r="M380" s="13" t="s">
        <v>38</v>
      </c>
      <c r="N380" s="14">
        <v>8.652</v>
      </c>
      <c r="O380" s="14">
        <v>7.8</v>
      </c>
      <c r="P380" s="13">
        <v>7.0</v>
      </c>
      <c r="Q380" s="14">
        <f t="shared" si="3"/>
        <v>60.564</v>
      </c>
      <c r="R380" s="14">
        <f t="shared" si="4"/>
        <v>52.764</v>
      </c>
      <c r="S380" s="14">
        <f t="shared" si="5"/>
        <v>7.8</v>
      </c>
    </row>
    <row r="381">
      <c r="A381" s="12">
        <v>42488.0</v>
      </c>
      <c r="B381" s="12" t="s">
        <v>2332</v>
      </c>
      <c r="C381" s="2">
        <v>42495.0</v>
      </c>
      <c r="D381" s="15" t="str">
        <f t="shared" si="1"/>
        <v>May</v>
      </c>
      <c r="E381" s="2" t="str">
        <f t="shared" si="2"/>
        <v>2016</v>
      </c>
      <c r="F381" s="13" t="s">
        <v>41</v>
      </c>
      <c r="G381" s="13" t="s">
        <v>2583</v>
      </c>
      <c r="H381" s="13" t="s">
        <v>2584</v>
      </c>
      <c r="I381" s="13" t="s">
        <v>23</v>
      </c>
      <c r="J381" s="13" t="s">
        <v>129</v>
      </c>
      <c r="K381" s="13" t="s">
        <v>70</v>
      </c>
      <c r="L381" s="13" t="s">
        <v>71</v>
      </c>
      <c r="M381" s="13" t="s">
        <v>38</v>
      </c>
      <c r="N381" s="14">
        <v>23.832</v>
      </c>
      <c r="O381" s="14">
        <v>23.31</v>
      </c>
      <c r="P381" s="13">
        <v>7.0</v>
      </c>
      <c r="Q381" s="14">
        <f t="shared" si="3"/>
        <v>166.824</v>
      </c>
      <c r="R381" s="14">
        <f t="shared" si="4"/>
        <v>143.514</v>
      </c>
      <c r="S381" s="14">
        <f t="shared" si="5"/>
        <v>23.31</v>
      </c>
    </row>
    <row r="382">
      <c r="A382" s="12">
        <v>42488.0</v>
      </c>
      <c r="B382" s="12" t="s">
        <v>2332</v>
      </c>
      <c r="C382" s="2">
        <v>42495.0</v>
      </c>
      <c r="D382" s="15" t="str">
        <f t="shared" si="1"/>
        <v>May</v>
      </c>
      <c r="E382" s="2" t="str">
        <f t="shared" si="2"/>
        <v>2016</v>
      </c>
      <c r="F382" s="13" t="s">
        <v>41</v>
      </c>
      <c r="G382" s="13" t="s">
        <v>2583</v>
      </c>
      <c r="H382" s="13" t="s">
        <v>2584</v>
      </c>
      <c r="I382" s="13" t="s">
        <v>23</v>
      </c>
      <c r="J382" s="13" t="s">
        <v>129</v>
      </c>
      <c r="K382" s="13" t="s">
        <v>70</v>
      </c>
      <c r="L382" s="13" t="s">
        <v>71</v>
      </c>
      <c r="M382" s="13" t="s">
        <v>38</v>
      </c>
      <c r="N382" s="14">
        <v>12.176</v>
      </c>
      <c r="O382" s="14">
        <v>12.05</v>
      </c>
      <c r="P382" s="13">
        <v>7.0</v>
      </c>
      <c r="Q382" s="14">
        <f t="shared" si="3"/>
        <v>85.232</v>
      </c>
      <c r="R382" s="14">
        <f t="shared" si="4"/>
        <v>73.182</v>
      </c>
      <c r="S382" s="14">
        <f t="shared" si="5"/>
        <v>12.05</v>
      </c>
    </row>
    <row r="383">
      <c r="A383" s="12">
        <v>43036.0</v>
      </c>
      <c r="B383" s="12" t="s">
        <v>2358</v>
      </c>
      <c r="C383" s="2">
        <v>43037.0</v>
      </c>
      <c r="D383" s="15" t="str">
        <f t="shared" si="1"/>
        <v>Oct</v>
      </c>
      <c r="E383" s="2" t="str">
        <f t="shared" si="2"/>
        <v>2017</v>
      </c>
      <c r="F383" s="13" t="s">
        <v>121</v>
      </c>
      <c r="G383" s="13" t="s">
        <v>2342</v>
      </c>
      <c r="H383" s="13" t="s">
        <v>2585</v>
      </c>
      <c r="I383" s="13" t="s">
        <v>34</v>
      </c>
      <c r="J383" s="13" t="s">
        <v>87</v>
      </c>
      <c r="K383" s="13" t="s">
        <v>52</v>
      </c>
      <c r="L383" s="13" t="s">
        <v>37</v>
      </c>
      <c r="M383" s="13" t="s">
        <v>38</v>
      </c>
      <c r="N383" s="14">
        <v>50.96</v>
      </c>
      <c r="O383" s="14">
        <v>50.41</v>
      </c>
      <c r="P383" s="13">
        <v>9.0</v>
      </c>
      <c r="Q383" s="14">
        <f t="shared" si="3"/>
        <v>458.64</v>
      </c>
      <c r="R383" s="14">
        <f t="shared" si="4"/>
        <v>408.23</v>
      </c>
      <c r="S383" s="14">
        <f t="shared" si="5"/>
        <v>50.41</v>
      </c>
    </row>
    <row r="384">
      <c r="A384" s="12">
        <v>43036.0</v>
      </c>
      <c r="B384" s="12" t="s">
        <v>2358</v>
      </c>
      <c r="C384" s="2">
        <v>43037.0</v>
      </c>
      <c r="D384" s="15" t="str">
        <f t="shared" si="1"/>
        <v>Oct</v>
      </c>
      <c r="E384" s="2" t="str">
        <f t="shared" si="2"/>
        <v>2017</v>
      </c>
      <c r="F384" s="13" t="s">
        <v>121</v>
      </c>
      <c r="G384" s="13" t="s">
        <v>2342</v>
      </c>
      <c r="H384" s="13" t="s">
        <v>2585</v>
      </c>
      <c r="I384" s="13" t="s">
        <v>34</v>
      </c>
      <c r="J384" s="13" t="s">
        <v>87</v>
      </c>
      <c r="K384" s="13" t="s">
        <v>52</v>
      </c>
      <c r="L384" s="13" t="s">
        <v>37</v>
      </c>
      <c r="M384" s="13" t="s">
        <v>38</v>
      </c>
      <c r="N384" s="14">
        <v>49.536</v>
      </c>
      <c r="O384" s="14">
        <v>49.01</v>
      </c>
      <c r="P384" s="13">
        <v>9.0</v>
      </c>
      <c r="Q384" s="14">
        <f t="shared" si="3"/>
        <v>445.824</v>
      </c>
      <c r="R384" s="14">
        <f t="shared" si="4"/>
        <v>396.814</v>
      </c>
      <c r="S384" s="14">
        <f t="shared" si="5"/>
        <v>49.01</v>
      </c>
    </row>
    <row r="385">
      <c r="A385" s="12">
        <v>42547.0</v>
      </c>
      <c r="B385" s="12" t="s">
        <v>2374</v>
      </c>
      <c r="C385" s="2">
        <v>42550.0</v>
      </c>
      <c r="D385" s="15" t="str">
        <f t="shared" si="1"/>
        <v>Jun</v>
      </c>
      <c r="E385" s="2" t="str">
        <f t="shared" si="2"/>
        <v>2016</v>
      </c>
      <c r="F385" s="13" t="s">
        <v>20</v>
      </c>
      <c r="G385" s="13" t="s">
        <v>2586</v>
      </c>
      <c r="H385" s="13" t="s">
        <v>2424</v>
      </c>
      <c r="I385" s="13" t="s">
        <v>34</v>
      </c>
      <c r="J385" s="13" t="s">
        <v>619</v>
      </c>
      <c r="K385" s="13" t="s">
        <v>157</v>
      </c>
      <c r="L385" s="13" t="s">
        <v>71</v>
      </c>
      <c r="M385" s="13" t="s">
        <v>51</v>
      </c>
      <c r="N385" s="14">
        <v>41.9</v>
      </c>
      <c r="O385" s="14">
        <v>41.31</v>
      </c>
      <c r="P385" s="13">
        <v>4.0</v>
      </c>
      <c r="Q385" s="14">
        <f t="shared" si="3"/>
        <v>167.6</v>
      </c>
      <c r="R385" s="14">
        <f t="shared" si="4"/>
        <v>126.29</v>
      </c>
      <c r="S385" s="14">
        <f t="shared" si="5"/>
        <v>41.31</v>
      </c>
    </row>
    <row r="386">
      <c r="A386" s="12">
        <v>42701.0</v>
      </c>
      <c r="B386" s="12" t="s">
        <v>2326</v>
      </c>
      <c r="C386" s="2">
        <v>42412.0</v>
      </c>
      <c r="D386" s="15" t="str">
        <f t="shared" si="1"/>
        <v>Feb</v>
      </c>
      <c r="E386" s="2" t="str">
        <f t="shared" si="2"/>
        <v>2016</v>
      </c>
      <c r="F386" s="13" t="s">
        <v>41</v>
      </c>
      <c r="G386" s="13" t="s">
        <v>2587</v>
      </c>
      <c r="H386" s="13" t="s">
        <v>2588</v>
      </c>
      <c r="I386" s="13" t="s">
        <v>23</v>
      </c>
      <c r="J386" s="13" t="s">
        <v>751</v>
      </c>
      <c r="K386" s="13" t="s">
        <v>145</v>
      </c>
      <c r="L386" s="13" t="s">
        <v>26</v>
      </c>
      <c r="M386" s="13" t="s">
        <v>27</v>
      </c>
      <c r="N386" s="14">
        <v>375.4575</v>
      </c>
      <c r="O386" s="14">
        <v>374.84</v>
      </c>
      <c r="P386" s="13">
        <v>3.0</v>
      </c>
      <c r="Q386" s="14">
        <f t="shared" si="3"/>
        <v>1126.3725</v>
      </c>
      <c r="R386" s="14">
        <f t="shared" si="4"/>
        <v>751.5325</v>
      </c>
      <c r="S386" s="14">
        <f t="shared" si="5"/>
        <v>374.84</v>
      </c>
    </row>
    <row r="387">
      <c r="A387" s="12">
        <v>42701.0</v>
      </c>
      <c r="B387" s="12" t="s">
        <v>2326</v>
      </c>
      <c r="C387" s="2">
        <v>42412.0</v>
      </c>
      <c r="D387" s="15" t="str">
        <f t="shared" si="1"/>
        <v>Feb</v>
      </c>
      <c r="E387" s="2" t="str">
        <f t="shared" si="2"/>
        <v>2016</v>
      </c>
      <c r="F387" s="13" t="s">
        <v>41</v>
      </c>
      <c r="G387" s="13" t="s">
        <v>2587</v>
      </c>
      <c r="H387" s="13" t="s">
        <v>2588</v>
      </c>
      <c r="I387" s="13" t="s">
        <v>23</v>
      </c>
      <c r="J387" s="13" t="s">
        <v>751</v>
      </c>
      <c r="K387" s="13" t="s">
        <v>145</v>
      </c>
      <c r="L387" s="13" t="s">
        <v>26</v>
      </c>
      <c r="M387" s="13" t="s">
        <v>51</v>
      </c>
      <c r="N387" s="14">
        <v>83.976</v>
      </c>
      <c r="O387" s="14">
        <v>83.07</v>
      </c>
      <c r="P387" s="13">
        <v>3.0</v>
      </c>
      <c r="Q387" s="14">
        <f t="shared" si="3"/>
        <v>251.928</v>
      </c>
      <c r="R387" s="14">
        <f t="shared" si="4"/>
        <v>168.858</v>
      </c>
      <c r="S387" s="14">
        <f t="shared" si="5"/>
        <v>83.07</v>
      </c>
    </row>
    <row r="388">
      <c r="A388" s="12">
        <v>42441.0</v>
      </c>
      <c r="B388" s="12" t="s">
        <v>2399</v>
      </c>
      <c r="C388" s="2">
        <v>42563.0</v>
      </c>
      <c r="D388" s="15" t="str">
        <f t="shared" si="1"/>
        <v>Jul</v>
      </c>
      <c r="E388" s="2" t="str">
        <f t="shared" si="2"/>
        <v>2016</v>
      </c>
      <c r="F388" s="13" t="s">
        <v>41</v>
      </c>
      <c r="G388" s="13" t="s">
        <v>2589</v>
      </c>
      <c r="H388" s="13" t="s">
        <v>2590</v>
      </c>
      <c r="I388" s="13" t="s">
        <v>34</v>
      </c>
      <c r="J388" s="13" t="s">
        <v>98</v>
      </c>
      <c r="K388" s="13" t="s">
        <v>99</v>
      </c>
      <c r="L388" s="13" t="s">
        <v>100</v>
      </c>
      <c r="M388" s="13" t="s">
        <v>51</v>
      </c>
      <c r="N388" s="14">
        <v>482.34</v>
      </c>
      <c r="O388" s="14">
        <v>481.81</v>
      </c>
      <c r="P388" s="13">
        <v>1.0</v>
      </c>
      <c r="Q388" s="14">
        <f t="shared" si="3"/>
        <v>482.34</v>
      </c>
      <c r="R388" s="14">
        <f t="shared" si="4"/>
        <v>0.53</v>
      </c>
      <c r="S388" s="14">
        <f t="shared" si="5"/>
        <v>481.81</v>
      </c>
    </row>
    <row r="389">
      <c r="A389" s="12">
        <v>42441.0</v>
      </c>
      <c r="B389" s="12" t="s">
        <v>2399</v>
      </c>
      <c r="C389" s="2">
        <v>42563.0</v>
      </c>
      <c r="D389" s="15" t="str">
        <f t="shared" si="1"/>
        <v>Jul</v>
      </c>
      <c r="E389" s="2" t="str">
        <f t="shared" si="2"/>
        <v>2016</v>
      </c>
      <c r="F389" s="13" t="s">
        <v>41</v>
      </c>
      <c r="G389" s="13" t="s">
        <v>2589</v>
      </c>
      <c r="H389" s="13" t="s">
        <v>2590</v>
      </c>
      <c r="I389" s="13" t="s">
        <v>34</v>
      </c>
      <c r="J389" s="13" t="s">
        <v>98</v>
      </c>
      <c r="K389" s="13" t="s">
        <v>99</v>
      </c>
      <c r="L389" s="13" t="s">
        <v>100</v>
      </c>
      <c r="M389" s="13" t="s">
        <v>27</v>
      </c>
      <c r="N389" s="14">
        <v>2.96</v>
      </c>
      <c r="O389" s="14">
        <v>2.24</v>
      </c>
      <c r="P389" s="13">
        <v>1.0</v>
      </c>
      <c r="Q389" s="14">
        <f t="shared" si="3"/>
        <v>2.96</v>
      </c>
      <c r="R389" s="14">
        <f t="shared" si="4"/>
        <v>0.72</v>
      </c>
      <c r="S389" s="14">
        <f t="shared" si="5"/>
        <v>2.24</v>
      </c>
    </row>
    <row r="390">
      <c r="A390" s="12">
        <v>42332.0</v>
      </c>
      <c r="B390" s="12" t="s">
        <v>2326</v>
      </c>
      <c r="C390" s="2">
        <v>42334.0</v>
      </c>
      <c r="D390" s="15" t="str">
        <f t="shared" si="1"/>
        <v>Nov</v>
      </c>
      <c r="E390" s="2" t="str">
        <f t="shared" si="2"/>
        <v>2015</v>
      </c>
      <c r="F390" s="13" t="s">
        <v>121</v>
      </c>
      <c r="G390" s="13" t="s">
        <v>2554</v>
      </c>
      <c r="H390" s="13" t="s">
        <v>2591</v>
      </c>
      <c r="I390" s="13" t="s">
        <v>23</v>
      </c>
      <c r="J390" s="13" t="s">
        <v>579</v>
      </c>
      <c r="K390" s="13" t="s">
        <v>304</v>
      </c>
      <c r="L390" s="13" t="s">
        <v>100</v>
      </c>
      <c r="M390" s="13" t="s">
        <v>38</v>
      </c>
      <c r="N390" s="14">
        <v>2.624</v>
      </c>
      <c r="O390" s="14">
        <v>2.11</v>
      </c>
      <c r="P390" s="13">
        <v>4.0</v>
      </c>
      <c r="Q390" s="14">
        <f t="shared" si="3"/>
        <v>10.496</v>
      </c>
      <c r="R390" s="14">
        <f t="shared" si="4"/>
        <v>8.386</v>
      </c>
      <c r="S390" s="14">
        <f t="shared" si="5"/>
        <v>2.11</v>
      </c>
    </row>
    <row r="391">
      <c r="A391" s="12">
        <v>43416.0</v>
      </c>
      <c r="B391" s="12" t="s">
        <v>2326</v>
      </c>
      <c r="C391" s="2">
        <v>43449.0</v>
      </c>
      <c r="D391" s="15" t="str">
        <f t="shared" si="1"/>
        <v>Dec</v>
      </c>
      <c r="E391" s="2" t="str">
        <f t="shared" si="2"/>
        <v>2018</v>
      </c>
      <c r="F391" s="13" t="s">
        <v>41</v>
      </c>
      <c r="G391" s="13" t="s">
        <v>2592</v>
      </c>
      <c r="H391" s="13" t="s">
        <v>2593</v>
      </c>
      <c r="I391" s="13" t="s">
        <v>23</v>
      </c>
      <c r="J391" s="13" t="s">
        <v>174</v>
      </c>
      <c r="K391" s="13" t="s">
        <v>175</v>
      </c>
      <c r="L391" s="13" t="s">
        <v>100</v>
      </c>
      <c r="M391" s="13" t="s">
        <v>38</v>
      </c>
      <c r="N391" s="14">
        <v>23.36</v>
      </c>
      <c r="O391" s="14">
        <v>22.76</v>
      </c>
      <c r="P391" s="13">
        <v>1.0</v>
      </c>
      <c r="Q391" s="14">
        <f t="shared" si="3"/>
        <v>23.36</v>
      </c>
      <c r="R391" s="14">
        <f t="shared" si="4"/>
        <v>0.6</v>
      </c>
      <c r="S391" s="14">
        <f t="shared" si="5"/>
        <v>22.76</v>
      </c>
    </row>
    <row r="392">
      <c r="A392" s="12">
        <v>43416.0</v>
      </c>
      <c r="B392" s="12" t="s">
        <v>2326</v>
      </c>
      <c r="C392" s="2">
        <v>43449.0</v>
      </c>
      <c r="D392" s="15" t="str">
        <f t="shared" si="1"/>
        <v>Dec</v>
      </c>
      <c r="E392" s="2" t="str">
        <f t="shared" si="2"/>
        <v>2018</v>
      </c>
      <c r="F392" s="13" t="s">
        <v>41</v>
      </c>
      <c r="G392" s="13" t="s">
        <v>2592</v>
      </c>
      <c r="H392" s="13" t="s">
        <v>2593</v>
      </c>
      <c r="I392" s="13" t="s">
        <v>23</v>
      </c>
      <c r="J392" s="13" t="s">
        <v>174</v>
      </c>
      <c r="K392" s="13" t="s">
        <v>175</v>
      </c>
      <c r="L392" s="13" t="s">
        <v>100</v>
      </c>
      <c r="M392" s="13" t="s">
        <v>51</v>
      </c>
      <c r="N392" s="14">
        <v>39.98</v>
      </c>
      <c r="O392" s="14">
        <v>39.12</v>
      </c>
      <c r="P392" s="13">
        <v>1.0</v>
      </c>
      <c r="Q392" s="14">
        <f t="shared" si="3"/>
        <v>39.98</v>
      </c>
      <c r="R392" s="14">
        <f t="shared" si="4"/>
        <v>0.86</v>
      </c>
      <c r="S392" s="14">
        <f t="shared" si="5"/>
        <v>39.12</v>
      </c>
    </row>
    <row r="393">
      <c r="A393" s="12">
        <v>42268.0</v>
      </c>
      <c r="B393" s="12" t="s">
        <v>2329</v>
      </c>
      <c r="C393" s="2">
        <v>42270.0</v>
      </c>
      <c r="D393" s="15" t="str">
        <f t="shared" si="1"/>
        <v>Sep</v>
      </c>
      <c r="E393" s="2" t="str">
        <f t="shared" si="2"/>
        <v>2015</v>
      </c>
      <c r="F393" s="13" t="s">
        <v>20</v>
      </c>
      <c r="G393" s="13" t="s">
        <v>2594</v>
      </c>
      <c r="H393" s="13" t="s">
        <v>2595</v>
      </c>
      <c r="I393" s="13" t="s">
        <v>23</v>
      </c>
      <c r="J393" s="13" t="s">
        <v>767</v>
      </c>
      <c r="K393" s="13" t="s">
        <v>63</v>
      </c>
      <c r="L393" s="13" t="s">
        <v>37</v>
      </c>
      <c r="M393" s="13" t="s">
        <v>51</v>
      </c>
      <c r="N393" s="14">
        <v>246.384</v>
      </c>
      <c r="O393" s="14">
        <v>245.6</v>
      </c>
      <c r="P393" s="13">
        <v>9.0</v>
      </c>
      <c r="Q393" s="14">
        <f t="shared" si="3"/>
        <v>2217.456</v>
      </c>
      <c r="R393" s="14">
        <f t="shared" si="4"/>
        <v>1971.856</v>
      </c>
      <c r="S393" s="14">
        <f t="shared" si="5"/>
        <v>245.6</v>
      </c>
    </row>
    <row r="394">
      <c r="A394" s="12">
        <v>42268.0</v>
      </c>
      <c r="B394" s="12" t="s">
        <v>2329</v>
      </c>
      <c r="C394" s="2">
        <v>42270.0</v>
      </c>
      <c r="D394" s="15" t="str">
        <f t="shared" si="1"/>
        <v>Sep</v>
      </c>
      <c r="E394" s="2" t="str">
        <f t="shared" si="2"/>
        <v>2015</v>
      </c>
      <c r="F394" s="13" t="s">
        <v>20</v>
      </c>
      <c r="G394" s="13" t="s">
        <v>2594</v>
      </c>
      <c r="H394" s="13" t="s">
        <v>2595</v>
      </c>
      <c r="I394" s="13" t="s">
        <v>23</v>
      </c>
      <c r="J394" s="13" t="s">
        <v>767</v>
      </c>
      <c r="K394" s="13" t="s">
        <v>63</v>
      </c>
      <c r="L394" s="13" t="s">
        <v>37</v>
      </c>
      <c r="M394" s="13" t="s">
        <v>51</v>
      </c>
      <c r="N394" s="14">
        <v>1799.97</v>
      </c>
      <c r="O394" s="14">
        <v>1799.44</v>
      </c>
      <c r="P394" s="13">
        <v>9.0</v>
      </c>
      <c r="Q394" s="14">
        <f t="shared" si="3"/>
        <v>16199.73</v>
      </c>
      <c r="R394" s="14">
        <f t="shared" si="4"/>
        <v>14400.29</v>
      </c>
      <c r="S394" s="14">
        <f t="shared" si="5"/>
        <v>1799.44</v>
      </c>
    </row>
    <row r="395">
      <c r="A395" s="12">
        <v>42191.0</v>
      </c>
      <c r="B395" s="12" t="s">
        <v>2348</v>
      </c>
      <c r="C395" s="2">
        <v>42283.0</v>
      </c>
      <c r="D395" s="15" t="str">
        <f t="shared" si="1"/>
        <v>Oct</v>
      </c>
      <c r="E395" s="2" t="str">
        <f t="shared" si="2"/>
        <v>2015</v>
      </c>
      <c r="F395" s="13" t="s">
        <v>20</v>
      </c>
      <c r="G395" s="13" t="s">
        <v>2596</v>
      </c>
      <c r="H395" s="13" t="s">
        <v>2597</v>
      </c>
      <c r="I395" s="13" t="s">
        <v>34</v>
      </c>
      <c r="J395" s="13" t="s">
        <v>771</v>
      </c>
      <c r="K395" s="13" t="s">
        <v>135</v>
      </c>
      <c r="L395" s="13" t="s">
        <v>71</v>
      </c>
      <c r="M395" s="13" t="s">
        <v>38</v>
      </c>
      <c r="N395" s="14">
        <v>12.462</v>
      </c>
      <c r="O395" s="14">
        <v>11.68</v>
      </c>
      <c r="P395" s="13">
        <v>6.0</v>
      </c>
      <c r="Q395" s="14">
        <f t="shared" si="3"/>
        <v>74.772</v>
      </c>
      <c r="R395" s="14">
        <f t="shared" si="4"/>
        <v>63.092</v>
      </c>
      <c r="S395" s="14">
        <f t="shared" si="5"/>
        <v>11.68</v>
      </c>
    </row>
    <row r="396">
      <c r="A396" s="12">
        <v>43281.0</v>
      </c>
      <c r="B396" s="12" t="s">
        <v>2374</v>
      </c>
      <c r="C396" s="2">
        <v>43227.0</v>
      </c>
      <c r="D396" s="15" t="str">
        <f t="shared" si="1"/>
        <v>May</v>
      </c>
      <c r="E396" s="2" t="str">
        <f t="shared" si="2"/>
        <v>2018</v>
      </c>
      <c r="F396" s="13" t="s">
        <v>41</v>
      </c>
      <c r="G396" s="13" t="s">
        <v>2598</v>
      </c>
      <c r="H396" s="13" t="s">
        <v>2599</v>
      </c>
      <c r="I396" s="13" t="s">
        <v>68</v>
      </c>
      <c r="J396" s="13" t="s">
        <v>775</v>
      </c>
      <c r="K396" s="13" t="s">
        <v>776</v>
      </c>
      <c r="L396" s="13" t="s">
        <v>37</v>
      </c>
      <c r="M396" s="13" t="s">
        <v>38</v>
      </c>
      <c r="N396" s="14">
        <v>75.792</v>
      </c>
      <c r="O396" s="14">
        <v>75.2</v>
      </c>
      <c r="P396" s="13">
        <v>8.0</v>
      </c>
      <c r="Q396" s="14">
        <f t="shared" si="3"/>
        <v>606.336</v>
      </c>
      <c r="R396" s="14">
        <f t="shared" si="4"/>
        <v>531.136</v>
      </c>
      <c r="S396" s="14">
        <f t="shared" si="5"/>
        <v>75.2</v>
      </c>
    </row>
    <row r="397">
      <c r="A397" s="12">
        <v>43390.0</v>
      </c>
      <c r="B397" s="12" t="s">
        <v>2358</v>
      </c>
      <c r="C397" s="2">
        <v>43392.0</v>
      </c>
      <c r="D397" s="15" t="str">
        <f t="shared" si="1"/>
        <v>Oct</v>
      </c>
      <c r="E397" s="2" t="str">
        <f t="shared" si="2"/>
        <v>2018</v>
      </c>
      <c r="F397" s="13" t="s">
        <v>20</v>
      </c>
      <c r="G397" s="13" t="s">
        <v>2600</v>
      </c>
      <c r="H397" s="13" t="s">
        <v>2601</v>
      </c>
      <c r="I397" s="13" t="s">
        <v>34</v>
      </c>
      <c r="J397" s="13" t="s">
        <v>781</v>
      </c>
      <c r="K397" s="13" t="s">
        <v>782</v>
      </c>
      <c r="L397" s="13" t="s">
        <v>100</v>
      </c>
      <c r="M397" s="13" t="s">
        <v>38</v>
      </c>
      <c r="N397" s="14">
        <v>49.96</v>
      </c>
      <c r="O397" s="14">
        <v>49.81</v>
      </c>
      <c r="P397" s="13">
        <v>2.0</v>
      </c>
      <c r="Q397" s="14">
        <f t="shared" si="3"/>
        <v>99.92</v>
      </c>
      <c r="R397" s="14">
        <f t="shared" si="4"/>
        <v>50.11</v>
      </c>
      <c r="S397" s="14">
        <f t="shared" si="5"/>
        <v>49.81</v>
      </c>
    </row>
    <row r="398">
      <c r="A398" s="12">
        <v>43390.0</v>
      </c>
      <c r="B398" s="12" t="s">
        <v>2358</v>
      </c>
      <c r="C398" s="2">
        <v>43392.0</v>
      </c>
      <c r="D398" s="15" t="str">
        <f t="shared" si="1"/>
        <v>Oct</v>
      </c>
      <c r="E398" s="2" t="str">
        <f t="shared" si="2"/>
        <v>2018</v>
      </c>
      <c r="F398" s="13" t="s">
        <v>20</v>
      </c>
      <c r="G398" s="13" t="s">
        <v>2600</v>
      </c>
      <c r="H398" s="13" t="s">
        <v>2601</v>
      </c>
      <c r="I398" s="13" t="s">
        <v>34</v>
      </c>
      <c r="J398" s="13" t="s">
        <v>781</v>
      </c>
      <c r="K398" s="13" t="s">
        <v>782</v>
      </c>
      <c r="L398" s="13" t="s">
        <v>100</v>
      </c>
      <c r="M398" s="13" t="s">
        <v>38</v>
      </c>
      <c r="N398" s="14">
        <v>12.96</v>
      </c>
      <c r="O398" s="14">
        <v>12.37</v>
      </c>
      <c r="P398" s="13">
        <v>2.0</v>
      </c>
      <c r="Q398" s="14">
        <f t="shared" si="3"/>
        <v>25.92</v>
      </c>
      <c r="R398" s="14">
        <f t="shared" si="4"/>
        <v>13.55</v>
      </c>
      <c r="S398" s="14">
        <f t="shared" si="5"/>
        <v>12.37</v>
      </c>
    </row>
    <row r="399">
      <c r="A399" s="12">
        <v>42674.0</v>
      </c>
      <c r="B399" s="12" t="s">
        <v>2358</v>
      </c>
      <c r="C399" s="2">
        <v>42471.0</v>
      </c>
      <c r="D399" s="15" t="str">
        <f t="shared" si="1"/>
        <v>Apr</v>
      </c>
      <c r="E399" s="2" t="str">
        <f t="shared" si="2"/>
        <v>2016</v>
      </c>
      <c r="F399" s="13" t="s">
        <v>41</v>
      </c>
      <c r="G399" s="13" t="s">
        <v>2338</v>
      </c>
      <c r="H399" s="13" t="s">
        <v>2339</v>
      </c>
      <c r="I399" s="13" t="s">
        <v>68</v>
      </c>
      <c r="J399" s="13" t="s">
        <v>205</v>
      </c>
      <c r="K399" s="13" t="s">
        <v>157</v>
      </c>
      <c r="L399" s="13" t="s">
        <v>71</v>
      </c>
      <c r="M399" s="13" t="s">
        <v>38</v>
      </c>
      <c r="N399" s="14">
        <v>70.12</v>
      </c>
      <c r="O399" s="14">
        <v>69.33</v>
      </c>
      <c r="P399" s="13">
        <v>4.0</v>
      </c>
      <c r="Q399" s="14">
        <f t="shared" si="3"/>
        <v>280.48</v>
      </c>
      <c r="R399" s="14">
        <f t="shared" si="4"/>
        <v>211.15</v>
      </c>
      <c r="S399" s="14">
        <f t="shared" si="5"/>
        <v>69.33</v>
      </c>
    </row>
    <row r="400">
      <c r="A400" s="12">
        <v>42956.0</v>
      </c>
      <c r="B400" s="12" t="s">
        <v>2322</v>
      </c>
      <c r="C400" s="2">
        <v>43017.0</v>
      </c>
      <c r="D400" s="15" t="str">
        <f t="shared" si="1"/>
        <v>Oct</v>
      </c>
      <c r="E400" s="2" t="str">
        <f t="shared" si="2"/>
        <v>2017</v>
      </c>
      <c r="F400" s="13" t="s">
        <v>20</v>
      </c>
      <c r="G400" s="13" t="s">
        <v>2602</v>
      </c>
      <c r="H400" s="13" t="s">
        <v>2603</v>
      </c>
      <c r="I400" s="13" t="s">
        <v>23</v>
      </c>
      <c r="J400" s="13" t="s">
        <v>129</v>
      </c>
      <c r="K400" s="13" t="s">
        <v>70</v>
      </c>
      <c r="L400" s="13" t="s">
        <v>71</v>
      </c>
      <c r="M400" s="13" t="s">
        <v>38</v>
      </c>
      <c r="N400" s="14">
        <v>35.952</v>
      </c>
      <c r="O400" s="14">
        <v>35.91</v>
      </c>
      <c r="P400" s="13">
        <v>7.0</v>
      </c>
      <c r="Q400" s="14">
        <f t="shared" si="3"/>
        <v>251.664</v>
      </c>
      <c r="R400" s="14">
        <f t="shared" si="4"/>
        <v>215.754</v>
      </c>
      <c r="S400" s="14">
        <f t="shared" si="5"/>
        <v>35.91</v>
      </c>
    </row>
    <row r="401">
      <c r="A401" s="12">
        <v>42956.0</v>
      </c>
      <c r="B401" s="12" t="s">
        <v>2322</v>
      </c>
      <c r="C401" s="2">
        <v>43017.0</v>
      </c>
      <c r="D401" s="15" t="str">
        <f t="shared" si="1"/>
        <v>Oct</v>
      </c>
      <c r="E401" s="2" t="str">
        <f t="shared" si="2"/>
        <v>2017</v>
      </c>
      <c r="F401" s="13" t="s">
        <v>20</v>
      </c>
      <c r="G401" s="13" t="s">
        <v>2602</v>
      </c>
      <c r="H401" s="13" t="s">
        <v>2603</v>
      </c>
      <c r="I401" s="13" t="s">
        <v>23</v>
      </c>
      <c r="J401" s="13" t="s">
        <v>129</v>
      </c>
      <c r="K401" s="13" t="s">
        <v>70</v>
      </c>
      <c r="L401" s="13" t="s">
        <v>71</v>
      </c>
      <c r="M401" s="13" t="s">
        <v>27</v>
      </c>
      <c r="N401" s="14">
        <v>2396.2656</v>
      </c>
      <c r="O401" s="14">
        <v>2395.78</v>
      </c>
      <c r="P401" s="13">
        <v>7.0</v>
      </c>
      <c r="Q401" s="14">
        <f t="shared" si="3"/>
        <v>16773.8592</v>
      </c>
      <c r="R401" s="14">
        <f t="shared" si="4"/>
        <v>14378.0792</v>
      </c>
      <c r="S401" s="14">
        <f t="shared" si="5"/>
        <v>2395.78</v>
      </c>
    </row>
    <row r="402">
      <c r="A402" s="12">
        <v>42956.0</v>
      </c>
      <c r="B402" s="12" t="s">
        <v>2322</v>
      </c>
      <c r="C402" s="2">
        <v>43017.0</v>
      </c>
      <c r="D402" s="15" t="str">
        <f t="shared" si="1"/>
        <v>Oct</v>
      </c>
      <c r="E402" s="2" t="str">
        <f t="shared" si="2"/>
        <v>2017</v>
      </c>
      <c r="F402" s="13" t="s">
        <v>20</v>
      </c>
      <c r="G402" s="13" t="s">
        <v>2602</v>
      </c>
      <c r="H402" s="13" t="s">
        <v>2603</v>
      </c>
      <c r="I402" s="13" t="s">
        <v>23</v>
      </c>
      <c r="J402" s="13" t="s">
        <v>129</v>
      </c>
      <c r="K402" s="13" t="s">
        <v>70</v>
      </c>
      <c r="L402" s="13" t="s">
        <v>71</v>
      </c>
      <c r="M402" s="13" t="s">
        <v>38</v>
      </c>
      <c r="N402" s="14">
        <v>131.136</v>
      </c>
      <c r="O402" s="14">
        <v>130.97</v>
      </c>
      <c r="P402" s="13">
        <v>7.0</v>
      </c>
      <c r="Q402" s="14">
        <f t="shared" si="3"/>
        <v>917.952</v>
      </c>
      <c r="R402" s="14">
        <f t="shared" si="4"/>
        <v>786.982</v>
      </c>
      <c r="S402" s="14">
        <f t="shared" si="5"/>
        <v>130.97</v>
      </c>
    </row>
    <row r="403">
      <c r="A403" s="12">
        <v>42956.0</v>
      </c>
      <c r="B403" s="12" t="s">
        <v>2322</v>
      </c>
      <c r="C403" s="2">
        <v>43017.0</v>
      </c>
      <c r="D403" s="15" t="str">
        <f t="shared" si="1"/>
        <v>Oct</v>
      </c>
      <c r="E403" s="2" t="str">
        <f t="shared" si="2"/>
        <v>2017</v>
      </c>
      <c r="F403" s="13" t="s">
        <v>20</v>
      </c>
      <c r="G403" s="13" t="s">
        <v>2602</v>
      </c>
      <c r="H403" s="13" t="s">
        <v>2603</v>
      </c>
      <c r="I403" s="13" t="s">
        <v>23</v>
      </c>
      <c r="J403" s="13" t="s">
        <v>129</v>
      </c>
      <c r="K403" s="13" t="s">
        <v>70</v>
      </c>
      <c r="L403" s="13" t="s">
        <v>71</v>
      </c>
      <c r="M403" s="13" t="s">
        <v>51</v>
      </c>
      <c r="N403" s="14">
        <v>57.584</v>
      </c>
      <c r="O403" s="14">
        <v>57.1</v>
      </c>
      <c r="P403" s="13">
        <v>7.0</v>
      </c>
      <c r="Q403" s="14">
        <f t="shared" si="3"/>
        <v>403.088</v>
      </c>
      <c r="R403" s="14">
        <f t="shared" si="4"/>
        <v>345.988</v>
      </c>
      <c r="S403" s="14">
        <f t="shared" si="5"/>
        <v>57.1</v>
      </c>
    </row>
    <row r="404">
      <c r="A404" s="12">
        <v>42362.0</v>
      </c>
      <c r="B404" s="12" t="s">
        <v>2325</v>
      </c>
      <c r="C404" s="2">
        <v>42364.0</v>
      </c>
      <c r="D404" s="15" t="str">
        <f t="shared" si="1"/>
        <v>Dec</v>
      </c>
      <c r="E404" s="2" t="str">
        <f t="shared" si="2"/>
        <v>2015</v>
      </c>
      <c r="F404" s="13" t="s">
        <v>121</v>
      </c>
      <c r="G404" s="13" t="s">
        <v>2604</v>
      </c>
      <c r="H404" s="13" t="s">
        <v>2605</v>
      </c>
      <c r="I404" s="13" t="s">
        <v>23</v>
      </c>
      <c r="J404" s="13" t="s">
        <v>791</v>
      </c>
      <c r="K404" s="13" t="s">
        <v>145</v>
      </c>
      <c r="L404" s="13" t="s">
        <v>26</v>
      </c>
      <c r="M404" s="13" t="s">
        <v>38</v>
      </c>
      <c r="N404" s="14">
        <v>9.568</v>
      </c>
      <c r="O404" s="14">
        <v>8.71</v>
      </c>
      <c r="P404" s="13">
        <v>3.0</v>
      </c>
      <c r="Q404" s="14">
        <f t="shared" si="3"/>
        <v>28.704</v>
      </c>
      <c r="R404" s="14">
        <f t="shared" si="4"/>
        <v>19.994</v>
      </c>
      <c r="S404" s="14">
        <f t="shared" si="5"/>
        <v>8.71</v>
      </c>
    </row>
    <row r="405">
      <c r="A405" s="12">
        <v>42110.0</v>
      </c>
      <c r="B405" s="12" t="s">
        <v>2332</v>
      </c>
      <c r="C405" s="2">
        <v>42114.0</v>
      </c>
      <c r="D405" s="15" t="str">
        <f t="shared" si="1"/>
        <v>Apr</v>
      </c>
      <c r="E405" s="2" t="str">
        <f t="shared" si="2"/>
        <v>2015</v>
      </c>
      <c r="F405" s="13" t="s">
        <v>41</v>
      </c>
      <c r="G405" s="13" t="s">
        <v>2460</v>
      </c>
      <c r="H405" s="13" t="s">
        <v>2461</v>
      </c>
      <c r="I405" s="13" t="s">
        <v>34</v>
      </c>
      <c r="J405" s="13" t="s">
        <v>315</v>
      </c>
      <c r="K405" s="13" t="s">
        <v>58</v>
      </c>
      <c r="L405" s="13" t="s">
        <v>26</v>
      </c>
      <c r="M405" s="13" t="s">
        <v>38</v>
      </c>
      <c r="N405" s="14">
        <v>39.072</v>
      </c>
      <c r="O405" s="14">
        <v>38.51</v>
      </c>
      <c r="P405" s="13">
        <v>2.0</v>
      </c>
      <c r="Q405" s="14">
        <f t="shared" si="3"/>
        <v>78.144</v>
      </c>
      <c r="R405" s="14">
        <f t="shared" si="4"/>
        <v>39.634</v>
      </c>
      <c r="S405" s="14">
        <f t="shared" si="5"/>
        <v>38.51</v>
      </c>
    </row>
    <row r="406">
      <c r="A406" s="12">
        <v>43458.0</v>
      </c>
      <c r="B406" s="12" t="s">
        <v>2325</v>
      </c>
      <c r="C406" s="2">
        <v>43463.0</v>
      </c>
      <c r="D406" s="15" t="str">
        <f t="shared" si="1"/>
        <v>Dec</v>
      </c>
      <c r="E406" s="2" t="str">
        <f t="shared" si="2"/>
        <v>2018</v>
      </c>
      <c r="F406" s="13" t="s">
        <v>41</v>
      </c>
      <c r="G406" s="13" t="s">
        <v>2527</v>
      </c>
      <c r="H406" s="13" t="s">
        <v>2606</v>
      </c>
      <c r="I406" s="13" t="s">
        <v>23</v>
      </c>
      <c r="J406" s="13" t="s">
        <v>174</v>
      </c>
      <c r="K406" s="13" t="s">
        <v>175</v>
      </c>
      <c r="L406" s="13" t="s">
        <v>100</v>
      </c>
      <c r="M406" s="13" t="s">
        <v>38</v>
      </c>
      <c r="N406" s="14">
        <v>35.91</v>
      </c>
      <c r="O406" s="14">
        <v>35.67</v>
      </c>
      <c r="P406" s="13">
        <v>1.0</v>
      </c>
      <c r="Q406" s="14">
        <f t="shared" si="3"/>
        <v>35.91</v>
      </c>
      <c r="R406" s="14">
        <f t="shared" si="4"/>
        <v>0.24</v>
      </c>
      <c r="S406" s="14">
        <f t="shared" si="5"/>
        <v>35.67</v>
      </c>
    </row>
    <row r="407">
      <c r="A407" s="12">
        <v>43324.0</v>
      </c>
      <c r="B407" s="12" t="s">
        <v>2322</v>
      </c>
      <c r="C407" s="2">
        <v>43446.0</v>
      </c>
      <c r="D407" s="15" t="str">
        <f t="shared" si="1"/>
        <v>Dec</v>
      </c>
      <c r="E407" s="2" t="str">
        <f t="shared" si="2"/>
        <v>2018</v>
      </c>
      <c r="F407" s="13" t="s">
        <v>41</v>
      </c>
      <c r="G407" s="13" t="s">
        <v>2607</v>
      </c>
      <c r="H407" s="13" t="s">
        <v>2608</v>
      </c>
      <c r="I407" s="13" t="s">
        <v>23</v>
      </c>
      <c r="J407" s="13" t="s">
        <v>87</v>
      </c>
      <c r="K407" s="13" t="s">
        <v>52</v>
      </c>
      <c r="L407" s="13" t="s">
        <v>37</v>
      </c>
      <c r="M407" s="13" t="s">
        <v>51</v>
      </c>
      <c r="N407" s="14">
        <v>179.95</v>
      </c>
      <c r="O407" s="14">
        <v>179.62</v>
      </c>
      <c r="P407" s="13">
        <v>9.0</v>
      </c>
      <c r="Q407" s="14">
        <f t="shared" si="3"/>
        <v>1619.55</v>
      </c>
      <c r="R407" s="14">
        <f t="shared" si="4"/>
        <v>1439.93</v>
      </c>
      <c r="S407" s="14">
        <f t="shared" si="5"/>
        <v>179.62</v>
      </c>
    </row>
    <row r="408">
      <c r="A408" s="12">
        <v>43324.0</v>
      </c>
      <c r="B408" s="12" t="s">
        <v>2322</v>
      </c>
      <c r="C408" s="2">
        <v>43446.0</v>
      </c>
      <c r="D408" s="15" t="str">
        <f t="shared" si="1"/>
        <v>Dec</v>
      </c>
      <c r="E408" s="2" t="str">
        <f t="shared" si="2"/>
        <v>2018</v>
      </c>
      <c r="F408" s="13" t="s">
        <v>41</v>
      </c>
      <c r="G408" s="13" t="s">
        <v>2607</v>
      </c>
      <c r="H408" s="13" t="s">
        <v>2608</v>
      </c>
      <c r="I408" s="13" t="s">
        <v>23</v>
      </c>
      <c r="J408" s="13" t="s">
        <v>87</v>
      </c>
      <c r="K408" s="13" t="s">
        <v>52</v>
      </c>
      <c r="L408" s="13" t="s">
        <v>37</v>
      </c>
      <c r="M408" s="13" t="s">
        <v>51</v>
      </c>
      <c r="N408" s="14">
        <v>1199.976</v>
      </c>
      <c r="O408" s="14">
        <v>1199.86</v>
      </c>
      <c r="P408" s="13">
        <v>9.0</v>
      </c>
      <c r="Q408" s="14">
        <f t="shared" si="3"/>
        <v>10799.784</v>
      </c>
      <c r="R408" s="14">
        <f t="shared" si="4"/>
        <v>9599.924</v>
      </c>
      <c r="S408" s="14">
        <f t="shared" si="5"/>
        <v>1199.86</v>
      </c>
    </row>
    <row r="409">
      <c r="A409" s="12">
        <v>43324.0</v>
      </c>
      <c r="B409" s="12" t="s">
        <v>2322</v>
      </c>
      <c r="C409" s="2">
        <v>43446.0</v>
      </c>
      <c r="D409" s="15" t="str">
        <f t="shared" si="1"/>
        <v>Dec</v>
      </c>
      <c r="E409" s="2" t="str">
        <f t="shared" si="2"/>
        <v>2018</v>
      </c>
      <c r="F409" s="13" t="s">
        <v>41</v>
      </c>
      <c r="G409" s="13" t="s">
        <v>2607</v>
      </c>
      <c r="H409" s="13" t="s">
        <v>2608</v>
      </c>
      <c r="I409" s="13" t="s">
        <v>23</v>
      </c>
      <c r="J409" s="13" t="s">
        <v>87</v>
      </c>
      <c r="K409" s="13" t="s">
        <v>52</v>
      </c>
      <c r="L409" s="13" t="s">
        <v>37</v>
      </c>
      <c r="M409" s="13" t="s">
        <v>38</v>
      </c>
      <c r="N409" s="14">
        <v>27.15</v>
      </c>
      <c r="O409" s="14">
        <v>27.07</v>
      </c>
      <c r="P409" s="13">
        <v>9.0</v>
      </c>
      <c r="Q409" s="14">
        <f t="shared" si="3"/>
        <v>244.35</v>
      </c>
      <c r="R409" s="14">
        <f t="shared" si="4"/>
        <v>217.28</v>
      </c>
      <c r="S409" s="14">
        <f t="shared" si="5"/>
        <v>27.07</v>
      </c>
    </row>
    <row r="410">
      <c r="A410" s="12">
        <v>43324.0</v>
      </c>
      <c r="B410" s="12" t="s">
        <v>2322</v>
      </c>
      <c r="C410" s="2">
        <v>43446.0</v>
      </c>
      <c r="D410" s="15" t="str">
        <f t="shared" si="1"/>
        <v>Dec</v>
      </c>
      <c r="E410" s="2" t="str">
        <f t="shared" si="2"/>
        <v>2018</v>
      </c>
      <c r="F410" s="13" t="s">
        <v>41</v>
      </c>
      <c r="G410" s="13" t="s">
        <v>2607</v>
      </c>
      <c r="H410" s="13" t="s">
        <v>2608</v>
      </c>
      <c r="I410" s="13" t="s">
        <v>23</v>
      </c>
      <c r="J410" s="13" t="s">
        <v>87</v>
      </c>
      <c r="K410" s="13" t="s">
        <v>52</v>
      </c>
      <c r="L410" s="13" t="s">
        <v>37</v>
      </c>
      <c r="M410" s="13" t="s">
        <v>27</v>
      </c>
      <c r="N410" s="14">
        <v>1004.024</v>
      </c>
      <c r="O410" s="14">
        <v>1003.74</v>
      </c>
      <c r="P410" s="13">
        <v>9.0</v>
      </c>
      <c r="Q410" s="14">
        <f t="shared" si="3"/>
        <v>9036.216</v>
      </c>
      <c r="R410" s="14">
        <f t="shared" si="4"/>
        <v>8032.476</v>
      </c>
      <c r="S410" s="14">
        <f t="shared" si="5"/>
        <v>1003.74</v>
      </c>
    </row>
    <row r="411">
      <c r="A411" s="12">
        <v>43324.0</v>
      </c>
      <c r="B411" s="12" t="s">
        <v>2322</v>
      </c>
      <c r="C411" s="2">
        <v>43446.0</v>
      </c>
      <c r="D411" s="15" t="str">
        <f t="shared" si="1"/>
        <v>Dec</v>
      </c>
      <c r="E411" s="2" t="str">
        <f t="shared" si="2"/>
        <v>2018</v>
      </c>
      <c r="F411" s="13" t="s">
        <v>41</v>
      </c>
      <c r="G411" s="13" t="s">
        <v>2607</v>
      </c>
      <c r="H411" s="13" t="s">
        <v>2608</v>
      </c>
      <c r="I411" s="13" t="s">
        <v>23</v>
      </c>
      <c r="J411" s="13" t="s">
        <v>87</v>
      </c>
      <c r="K411" s="13" t="s">
        <v>52</v>
      </c>
      <c r="L411" s="13" t="s">
        <v>37</v>
      </c>
      <c r="M411" s="13" t="s">
        <v>38</v>
      </c>
      <c r="N411" s="14">
        <v>9.68</v>
      </c>
      <c r="O411" s="14">
        <v>8.77</v>
      </c>
      <c r="P411" s="13">
        <v>9.0</v>
      </c>
      <c r="Q411" s="14">
        <f t="shared" si="3"/>
        <v>87.12</v>
      </c>
      <c r="R411" s="14">
        <f t="shared" si="4"/>
        <v>78.35</v>
      </c>
      <c r="S411" s="14">
        <f t="shared" si="5"/>
        <v>8.77</v>
      </c>
    </row>
    <row r="412">
      <c r="A412" s="12">
        <v>43324.0</v>
      </c>
      <c r="B412" s="12" t="s">
        <v>2322</v>
      </c>
      <c r="C412" s="2">
        <v>43446.0</v>
      </c>
      <c r="D412" s="15" t="str">
        <f t="shared" si="1"/>
        <v>Dec</v>
      </c>
      <c r="E412" s="2" t="str">
        <f t="shared" si="2"/>
        <v>2018</v>
      </c>
      <c r="F412" s="13" t="s">
        <v>41</v>
      </c>
      <c r="G412" s="13" t="s">
        <v>2607</v>
      </c>
      <c r="H412" s="13" t="s">
        <v>2608</v>
      </c>
      <c r="I412" s="13" t="s">
        <v>23</v>
      </c>
      <c r="J412" s="13" t="s">
        <v>87</v>
      </c>
      <c r="K412" s="13" t="s">
        <v>52</v>
      </c>
      <c r="L412" s="13" t="s">
        <v>37</v>
      </c>
      <c r="M412" s="13" t="s">
        <v>38</v>
      </c>
      <c r="N412" s="14">
        <v>28.35</v>
      </c>
      <c r="O412" s="14">
        <v>27.45</v>
      </c>
      <c r="P412" s="13">
        <v>9.0</v>
      </c>
      <c r="Q412" s="14">
        <f t="shared" si="3"/>
        <v>255.15</v>
      </c>
      <c r="R412" s="14">
        <f t="shared" si="4"/>
        <v>227.7</v>
      </c>
      <c r="S412" s="14">
        <f t="shared" si="5"/>
        <v>27.45</v>
      </c>
    </row>
    <row r="413">
      <c r="A413" s="12">
        <v>43324.0</v>
      </c>
      <c r="B413" s="12" t="s">
        <v>2322</v>
      </c>
      <c r="C413" s="2">
        <v>43446.0</v>
      </c>
      <c r="D413" s="15" t="str">
        <f t="shared" si="1"/>
        <v>Dec</v>
      </c>
      <c r="E413" s="2" t="str">
        <f t="shared" si="2"/>
        <v>2018</v>
      </c>
      <c r="F413" s="13" t="s">
        <v>41</v>
      </c>
      <c r="G413" s="13" t="s">
        <v>2607</v>
      </c>
      <c r="H413" s="13" t="s">
        <v>2608</v>
      </c>
      <c r="I413" s="13" t="s">
        <v>23</v>
      </c>
      <c r="J413" s="13" t="s">
        <v>87</v>
      </c>
      <c r="K413" s="13" t="s">
        <v>52</v>
      </c>
      <c r="L413" s="13" t="s">
        <v>37</v>
      </c>
      <c r="M413" s="13" t="s">
        <v>38</v>
      </c>
      <c r="N413" s="14">
        <v>55.98</v>
      </c>
      <c r="O413" s="14">
        <v>55.71</v>
      </c>
      <c r="P413" s="13">
        <v>9.0</v>
      </c>
      <c r="Q413" s="14">
        <f t="shared" si="3"/>
        <v>503.82</v>
      </c>
      <c r="R413" s="14">
        <f t="shared" si="4"/>
        <v>448.11</v>
      </c>
      <c r="S413" s="14">
        <f t="shared" si="5"/>
        <v>55.71</v>
      </c>
    </row>
    <row r="414">
      <c r="A414" s="12">
        <v>43324.0</v>
      </c>
      <c r="B414" s="12" t="s">
        <v>2322</v>
      </c>
      <c r="C414" s="2">
        <v>43446.0</v>
      </c>
      <c r="D414" s="15" t="str">
        <f t="shared" si="1"/>
        <v>Dec</v>
      </c>
      <c r="E414" s="2" t="str">
        <f t="shared" si="2"/>
        <v>2018</v>
      </c>
      <c r="F414" s="13" t="s">
        <v>41</v>
      </c>
      <c r="G414" s="13" t="s">
        <v>2607</v>
      </c>
      <c r="H414" s="13" t="s">
        <v>2608</v>
      </c>
      <c r="I414" s="13" t="s">
        <v>23</v>
      </c>
      <c r="J414" s="13" t="s">
        <v>87</v>
      </c>
      <c r="K414" s="13" t="s">
        <v>52</v>
      </c>
      <c r="L414" s="13" t="s">
        <v>37</v>
      </c>
      <c r="M414" s="13" t="s">
        <v>27</v>
      </c>
      <c r="N414" s="14">
        <v>1336.829</v>
      </c>
      <c r="O414" s="14">
        <v>1336.39</v>
      </c>
      <c r="P414" s="13">
        <v>9.0</v>
      </c>
      <c r="Q414" s="14">
        <f t="shared" si="3"/>
        <v>12031.461</v>
      </c>
      <c r="R414" s="14">
        <f t="shared" si="4"/>
        <v>10695.071</v>
      </c>
      <c r="S414" s="14">
        <f t="shared" si="5"/>
        <v>1336.39</v>
      </c>
    </row>
    <row r="415">
      <c r="A415" s="12">
        <v>43324.0</v>
      </c>
      <c r="B415" s="12" t="s">
        <v>2322</v>
      </c>
      <c r="C415" s="2">
        <v>43446.0</v>
      </c>
      <c r="D415" s="15" t="str">
        <f t="shared" si="1"/>
        <v>Dec</v>
      </c>
      <c r="E415" s="2" t="str">
        <f t="shared" si="2"/>
        <v>2018</v>
      </c>
      <c r="F415" s="13" t="s">
        <v>41</v>
      </c>
      <c r="G415" s="13" t="s">
        <v>2607</v>
      </c>
      <c r="H415" s="13" t="s">
        <v>2608</v>
      </c>
      <c r="I415" s="13" t="s">
        <v>23</v>
      </c>
      <c r="J415" s="13" t="s">
        <v>87</v>
      </c>
      <c r="K415" s="13" t="s">
        <v>52</v>
      </c>
      <c r="L415" s="13" t="s">
        <v>37</v>
      </c>
      <c r="M415" s="13" t="s">
        <v>27</v>
      </c>
      <c r="N415" s="14">
        <v>113.568</v>
      </c>
      <c r="O415" s="14">
        <v>113.48</v>
      </c>
      <c r="P415" s="13">
        <v>9.0</v>
      </c>
      <c r="Q415" s="14">
        <f t="shared" si="3"/>
        <v>1022.112</v>
      </c>
      <c r="R415" s="14">
        <f t="shared" si="4"/>
        <v>908.632</v>
      </c>
      <c r="S415" s="14">
        <f t="shared" si="5"/>
        <v>113.48</v>
      </c>
    </row>
    <row r="416">
      <c r="A416" s="12">
        <v>43170.0</v>
      </c>
      <c r="B416" s="12" t="s">
        <v>2399</v>
      </c>
      <c r="C416" s="2">
        <v>43292.0</v>
      </c>
      <c r="D416" s="15" t="str">
        <f t="shared" si="1"/>
        <v>Jul</v>
      </c>
      <c r="E416" s="2" t="str">
        <f t="shared" si="2"/>
        <v>2018</v>
      </c>
      <c r="F416" s="13" t="s">
        <v>41</v>
      </c>
      <c r="G416" s="13" t="s">
        <v>2609</v>
      </c>
      <c r="H416" s="13" t="s">
        <v>2610</v>
      </c>
      <c r="I416" s="13" t="s">
        <v>34</v>
      </c>
      <c r="J416" s="13" t="s">
        <v>62</v>
      </c>
      <c r="K416" s="13" t="s">
        <v>63</v>
      </c>
      <c r="L416" s="13" t="s">
        <v>37</v>
      </c>
      <c r="M416" s="13" t="s">
        <v>38</v>
      </c>
      <c r="N416" s="14">
        <v>139.86</v>
      </c>
      <c r="O416" s="14">
        <v>138.94</v>
      </c>
      <c r="P416" s="13">
        <v>9.0</v>
      </c>
      <c r="Q416" s="14">
        <f t="shared" si="3"/>
        <v>1258.74</v>
      </c>
      <c r="R416" s="14">
        <f t="shared" si="4"/>
        <v>1119.8</v>
      </c>
      <c r="S416" s="14">
        <f t="shared" si="5"/>
        <v>138.94</v>
      </c>
    </row>
    <row r="417">
      <c r="A417" s="12">
        <v>43170.0</v>
      </c>
      <c r="B417" s="12" t="s">
        <v>2399</v>
      </c>
      <c r="C417" s="2">
        <v>43292.0</v>
      </c>
      <c r="D417" s="15" t="str">
        <f t="shared" si="1"/>
        <v>Jul</v>
      </c>
      <c r="E417" s="2" t="str">
        <f t="shared" si="2"/>
        <v>2018</v>
      </c>
      <c r="F417" s="13" t="s">
        <v>41</v>
      </c>
      <c r="G417" s="13" t="s">
        <v>2609</v>
      </c>
      <c r="H417" s="13" t="s">
        <v>2610</v>
      </c>
      <c r="I417" s="13" t="s">
        <v>34</v>
      </c>
      <c r="J417" s="13" t="s">
        <v>62</v>
      </c>
      <c r="K417" s="13" t="s">
        <v>63</v>
      </c>
      <c r="L417" s="13" t="s">
        <v>37</v>
      </c>
      <c r="M417" s="13" t="s">
        <v>27</v>
      </c>
      <c r="N417" s="14">
        <v>307.136</v>
      </c>
      <c r="O417" s="14">
        <v>306.85</v>
      </c>
      <c r="P417" s="13">
        <v>9.0</v>
      </c>
      <c r="Q417" s="14">
        <f t="shared" si="3"/>
        <v>2764.224</v>
      </c>
      <c r="R417" s="14">
        <f t="shared" si="4"/>
        <v>2457.374</v>
      </c>
      <c r="S417" s="14">
        <f t="shared" si="5"/>
        <v>306.85</v>
      </c>
    </row>
    <row r="418">
      <c r="A418" s="12">
        <v>43275.0</v>
      </c>
      <c r="B418" s="12" t="s">
        <v>2374</v>
      </c>
      <c r="C418" s="2">
        <v>43279.0</v>
      </c>
      <c r="D418" s="15" t="str">
        <f t="shared" si="1"/>
        <v>Jun</v>
      </c>
      <c r="E418" s="2" t="str">
        <f t="shared" si="2"/>
        <v>2018</v>
      </c>
      <c r="F418" s="13" t="s">
        <v>41</v>
      </c>
      <c r="G418" s="13" t="s">
        <v>2611</v>
      </c>
      <c r="H418" s="13" t="s">
        <v>2612</v>
      </c>
      <c r="I418" s="13" t="s">
        <v>23</v>
      </c>
      <c r="J418" s="13" t="s">
        <v>808</v>
      </c>
      <c r="K418" s="13" t="s">
        <v>52</v>
      </c>
      <c r="L418" s="13" t="s">
        <v>37</v>
      </c>
      <c r="M418" s="13" t="s">
        <v>38</v>
      </c>
      <c r="N418" s="14">
        <v>95.92</v>
      </c>
      <c r="O418" s="14">
        <v>95.2</v>
      </c>
      <c r="P418" s="13">
        <v>9.0</v>
      </c>
      <c r="Q418" s="14">
        <f t="shared" si="3"/>
        <v>863.28</v>
      </c>
      <c r="R418" s="14">
        <f t="shared" si="4"/>
        <v>768.08</v>
      </c>
      <c r="S418" s="14">
        <f t="shared" si="5"/>
        <v>95.2</v>
      </c>
    </row>
    <row r="419">
      <c r="A419" s="12">
        <v>42839.0</v>
      </c>
      <c r="B419" s="12" t="s">
        <v>2332</v>
      </c>
      <c r="C419" s="2">
        <v>42843.0</v>
      </c>
      <c r="D419" s="15" t="str">
        <f t="shared" si="1"/>
        <v>Apr</v>
      </c>
      <c r="E419" s="2" t="str">
        <f t="shared" si="2"/>
        <v>2017</v>
      </c>
      <c r="F419" s="13" t="s">
        <v>41</v>
      </c>
      <c r="G419" s="13" t="s">
        <v>2440</v>
      </c>
      <c r="H419" s="13" t="s">
        <v>2613</v>
      </c>
      <c r="I419" s="13" t="s">
        <v>23</v>
      </c>
      <c r="J419" s="13" t="s">
        <v>35</v>
      </c>
      <c r="K419" s="13" t="s">
        <v>52</v>
      </c>
      <c r="L419" s="13" t="s">
        <v>37</v>
      </c>
      <c r="M419" s="13" t="s">
        <v>27</v>
      </c>
      <c r="N419" s="14">
        <v>383.8</v>
      </c>
      <c r="O419" s="14">
        <v>383.39</v>
      </c>
      <c r="P419" s="13">
        <v>9.0</v>
      </c>
      <c r="Q419" s="14">
        <f t="shared" si="3"/>
        <v>3454.2</v>
      </c>
      <c r="R419" s="14">
        <f t="shared" si="4"/>
        <v>3070.81</v>
      </c>
      <c r="S419" s="14">
        <f t="shared" si="5"/>
        <v>383.39</v>
      </c>
    </row>
    <row r="420">
      <c r="A420" s="12">
        <v>43262.0</v>
      </c>
      <c r="B420" s="12" t="s">
        <v>2374</v>
      </c>
      <c r="C420" s="2">
        <v>43384.0</v>
      </c>
      <c r="D420" s="15" t="str">
        <f t="shared" si="1"/>
        <v>Oct</v>
      </c>
      <c r="E420" s="2" t="str">
        <f t="shared" si="2"/>
        <v>2018</v>
      </c>
      <c r="F420" s="13" t="s">
        <v>41</v>
      </c>
      <c r="G420" s="13" t="s">
        <v>2508</v>
      </c>
      <c r="H420" s="13" t="s">
        <v>2394</v>
      </c>
      <c r="I420" s="13" t="s">
        <v>34</v>
      </c>
      <c r="J420" s="13" t="s">
        <v>814</v>
      </c>
      <c r="K420" s="13" t="s">
        <v>25</v>
      </c>
      <c r="L420" s="13" t="s">
        <v>26</v>
      </c>
      <c r="M420" s="13" t="s">
        <v>38</v>
      </c>
      <c r="N420" s="14">
        <v>5.78</v>
      </c>
      <c r="O420" s="14">
        <v>5.46</v>
      </c>
      <c r="P420" s="13">
        <v>4.0</v>
      </c>
      <c r="Q420" s="14">
        <f t="shared" si="3"/>
        <v>23.12</v>
      </c>
      <c r="R420" s="14">
        <f t="shared" si="4"/>
        <v>17.66</v>
      </c>
      <c r="S420" s="14">
        <f t="shared" si="5"/>
        <v>5.46</v>
      </c>
    </row>
    <row r="421">
      <c r="A421" s="12">
        <v>43193.0</v>
      </c>
      <c r="B421" s="12" t="s">
        <v>2332</v>
      </c>
      <c r="C421" s="2">
        <v>43346.0</v>
      </c>
      <c r="D421" s="15" t="str">
        <f t="shared" si="1"/>
        <v>Sep</v>
      </c>
      <c r="E421" s="2" t="str">
        <f t="shared" si="2"/>
        <v>2018</v>
      </c>
      <c r="F421" s="13" t="s">
        <v>41</v>
      </c>
      <c r="G421" s="13" t="s">
        <v>2552</v>
      </c>
      <c r="H421" s="13" t="s">
        <v>2553</v>
      </c>
      <c r="I421" s="13" t="s">
        <v>34</v>
      </c>
      <c r="J421" s="13" t="s">
        <v>35</v>
      </c>
      <c r="K421" s="13" t="s">
        <v>52</v>
      </c>
      <c r="L421" s="13" t="s">
        <v>37</v>
      </c>
      <c r="M421" s="13" t="s">
        <v>38</v>
      </c>
      <c r="N421" s="14">
        <v>9.32</v>
      </c>
      <c r="O421" s="14">
        <v>8.95</v>
      </c>
      <c r="P421" s="13">
        <v>9.0</v>
      </c>
      <c r="Q421" s="14">
        <f t="shared" si="3"/>
        <v>83.88</v>
      </c>
      <c r="R421" s="14">
        <f t="shared" si="4"/>
        <v>74.93</v>
      </c>
      <c r="S421" s="14">
        <f t="shared" si="5"/>
        <v>8.95</v>
      </c>
    </row>
    <row r="422">
      <c r="A422" s="12">
        <v>43193.0</v>
      </c>
      <c r="B422" s="12" t="s">
        <v>2332</v>
      </c>
      <c r="C422" s="2">
        <v>43346.0</v>
      </c>
      <c r="D422" s="15" t="str">
        <f t="shared" si="1"/>
        <v>Sep</v>
      </c>
      <c r="E422" s="2" t="str">
        <f t="shared" si="2"/>
        <v>2018</v>
      </c>
      <c r="F422" s="13" t="s">
        <v>41</v>
      </c>
      <c r="G422" s="13" t="s">
        <v>2552</v>
      </c>
      <c r="H422" s="13" t="s">
        <v>2553</v>
      </c>
      <c r="I422" s="13" t="s">
        <v>34</v>
      </c>
      <c r="J422" s="13" t="s">
        <v>35</v>
      </c>
      <c r="K422" s="13" t="s">
        <v>52</v>
      </c>
      <c r="L422" s="13" t="s">
        <v>37</v>
      </c>
      <c r="M422" s="13" t="s">
        <v>38</v>
      </c>
      <c r="N422" s="14">
        <v>15.25</v>
      </c>
      <c r="O422" s="14">
        <v>15.23</v>
      </c>
      <c r="P422" s="13">
        <v>9.0</v>
      </c>
      <c r="Q422" s="14">
        <f t="shared" si="3"/>
        <v>137.25</v>
      </c>
      <c r="R422" s="14">
        <f t="shared" si="4"/>
        <v>122.02</v>
      </c>
      <c r="S422" s="14">
        <f t="shared" si="5"/>
        <v>15.23</v>
      </c>
    </row>
    <row r="423">
      <c r="A423" s="12">
        <v>42177.0</v>
      </c>
      <c r="B423" s="12" t="s">
        <v>2374</v>
      </c>
      <c r="C423" s="2">
        <v>42180.0</v>
      </c>
      <c r="D423" s="15" t="str">
        <f t="shared" si="1"/>
        <v>Jun</v>
      </c>
      <c r="E423" s="2" t="str">
        <f t="shared" si="2"/>
        <v>2015</v>
      </c>
      <c r="F423" s="13" t="s">
        <v>121</v>
      </c>
      <c r="G423" s="13" t="s">
        <v>2392</v>
      </c>
      <c r="H423" s="13" t="s">
        <v>2393</v>
      </c>
      <c r="I423" s="13" t="s">
        <v>23</v>
      </c>
      <c r="J423" s="13" t="s">
        <v>818</v>
      </c>
      <c r="K423" s="13" t="s">
        <v>279</v>
      </c>
      <c r="L423" s="13" t="s">
        <v>37</v>
      </c>
      <c r="M423" s="13" t="s">
        <v>51</v>
      </c>
      <c r="N423" s="14">
        <v>196.752</v>
      </c>
      <c r="O423" s="14">
        <v>196.71</v>
      </c>
      <c r="P423" s="13">
        <v>8.0</v>
      </c>
      <c r="Q423" s="14">
        <f t="shared" si="3"/>
        <v>1574.016</v>
      </c>
      <c r="R423" s="14">
        <f t="shared" si="4"/>
        <v>1377.306</v>
      </c>
      <c r="S423" s="14">
        <f t="shared" si="5"/>
        <v>196.71</v>
      </c>
    </row>
    <row r="424">
      <c r="A424" s="12">
        <v>43392.0</v>
      </c>
      <c r="B424" s="12" t="s">
        <v>2358</v>
      </c>
      <c r="C424" s="2">
        <v>43396.0</v>
      </c>
      <c r="D424" s="15" t="str">
        <f t="shared" si="1"/>
        <v>Oct</v>
      </c>
      <c r="E424" s="2" t="str">
        <f t="shared" si="2"/>
        <v>2018</v>
      </c>
      <c r="F424" s="13" t="s">
        <v>41</v>
      </c>
      <c r="G424" s="13" t="s">
        <v>2507</v>
      </c>
      <c r="H424" s="13" t="s">
        <v>2466</v>
      </c>
      <c r="I424" s="13" t="s">
        <v>34</v>
      </c>
      <c r="J424" s="13" t="s">
        <v>822</v>
      </c>
      <c r="K424" s="13" t="s">
        <v>694</v>
      </c>
      <c r="L424" s="13" t="s">
        <v>100</v>
      </c>
      <c r="M424" s="13" t="s">
        <v>27</v>
      </c>
      <c r="N424" s="14">
        <v>56.56</v>
      </c>
      <c r="O424" s="14">
        <v>56.43</v>
      </c>
      <c r="P424" s="13">
        <v>1.0</v>
      </c>
      <c r="Q424" s="14">
        <f t="shared" si="3"/>
        <v>56.56</v>
      </c>
      <c r="R424" s="14">
        <f t="shared" si="4"/>
        <v>0.13</v>
      </c>
      <c r="S424" s="14">
        <f t="shared" si="5"/>
        <v>56.43</v>
      </c>
    </row>
    <row r="425">
      <c r="A425" s="12">
        <v>43392.0</v>
      </c>
      <c r="B425" s="12" t="s">
        <v>2358</v>
      </c>
      <c r="C425" s="2">
        <v>43396.0</v>
      </c>
      <c r="D425" s="15" t="str">
        <f t="shared" si="1"/>
        <v>Oct</v>
      </c>
      <c r="E425" s="2" t="str">
        <f t="shared" si="2"/>
        <v>2018</v>
      </c>
      <c r="F425" s="13" t="s">
        <v>41</v>
      </c>
      <c r="G425" s="13" t="s">
        <v>2507</v>
      </c>
      <c r="H425" s="13" t="s">
        <v>2466</v>
      </c>
      <c r="I425" s="13" t="s">
        <v>34</v>
      </c>
      <c r="J425" s="13" t="s">
        <v>822</v>
      </c>
      <c r="K425" s="13" t="s">
        <v>694</v>
      </c>
      <c r="L425" s="13" t="s">
        <v>100</v>
      </c>
      <c r="M425" s="13" t="s">
        <v>38</v>
      </c>
      <c r="N425" s="14">
        <v>32.7</v>
      </c>
      <c r="O425" s="14">
        <v>31.8</v>
      </c>
      <c r="P425" s="13">
        <v>1.0</v>
      </c>
      <c r="Q425" s="14">
        <f t="shared" si="3"/>
        <v>32.7</v>
      </c>
      <c r="R425" s="14">
        <f t="shared" si="4"/>
        <v>0.9</v>
      </c>
      <c r="S425" s="14">
        <f t="shared" si="5"/>
        <v>31.8</v>
      </c>
    </row>
    <row r="426">
      <c r="A426" s="12">
        <v>43333.0</v>
      </c>
      <c r="B426" s="12" t="s">
        <v>2322</v>
      </c>
      <c r="C426" s="2">
        <v>43335.0</v>
      </c>
      <c r="D426" s="15" t="str">
        <f t="shared" si="1"/>
        <v>Aug</v>
      </c>
      <c r="E426" s="2" t="str">
        <f t="shared" si="2"/>
        <v>2018</v>
      </c>
      <c r="F426" s="13" t="s">
        <v>20</v>
      </c>
      <c r="G426" s="13" t="s">
        <v>2614</v>
      </c>
      <c r="H426" s="13" t="s">
        <v>2615</v>
      </c>
      <c r="I426" s="13" t="s">
        <v>23</v>
      </c>
      <c r="J426" s="13" t="s">
        <v>205</v>
      </c>
      <c r="K426" s="13" t="s">
        <v>827</v>
      </c>
      <c r="L426" s="13" t="s">
        <v>26</v>
      </c>
      <c r="M426" s="13" t="s">
        <v>27</v>
      </c>
      <c r="N426" s="14">
        <v>866.4</v>
      </c>
      <c r="O426" s="14">
        <v>865.96</v>
      </c>
      <c r="P426" s="13">
        <v>3.0</v>
      </c>
      <c r="Q426" s="14">
        <f t="shared" si="3"/>
        <v>2599.2</v>
      </c>
      <c r="R426" s="14">
        <f t="shared" si="4"/>
        <v>1733.24</v>
      </c>
      <c r="S426" s="14">
        <f t="shared" si="5"/>
        <v>865.96</v>
      </c>
    </row>
    <row r="427">
      <c r="A427" s="12">
        <v>43427.0</v>
      </c>
      <c r="B427" s="12" t="s">
        <v>2326</v>
      </c>
      <c r="C427" s="2">
        <v>43430.0</v>
      </c>
      <c r="D427" s="15" t="str">
        <f t="shared" si="1"/>
        <v>Nov</v>
      </c>
      <c r="E427" s="2" t="str">
        <f t="shared" si="2"/>
        <v>2018</v>
      </c>
      <c r="F427" s="13" t="s">
        <v>20</v>
      </c>
      <c r="G427" s="13" t="s">
        <v>2379</v>
      </c>
      <c r="H427" s="13" t="s">
        <v>2380</v>
      </c>
      <c r="I427" s="13" t="s">
        <v>34</v>
      </c>
      <c r="J427" s="13" t="s">
        <v>830</v>
      </c>
      <c r="K427" s="13" t="s">
        <v>157</v>
      </c>
      <c r="L427" s="13" t="s">
        <v>71</v>
      </c>
      <c r="M427" s="13" t="s">
        <v>27</v>
      </c>
      <c r="N427" s="14">
        <v>28.4</v>
      </c>
      <c r="O427" s="14">
        <v>27.46</v>
      </c>
      <c r="P427" s="13">
        <v>4.0</v>
      </c>
      <c r="Q427" s="14">
        <f t="shared" si="3"/>
        <v>113.6</v>
      </c>
      <c r="R427" s="14">
        <f t="shared" si="4"/>
        <v>86.14</v>
      </c>
      <c r="S427" s="14">
        <f t="shared" si="5"/>
        <v>27.46</v>
      </c>
    </row>
    <row r="428">
      <c r="A428" s="12">
        <v>43427.0</v>
      </c>
      <c r="B428" s="12" t="s">
        <v>2326</v>
      </c>
      <c r="C428" s="2">
        <v>43430.0</v>
      </c>
      <c r="D428" s="15" t="str">
        <f t="shared" si="1"/>
        <v>Nov</v>
      </c>
      <c r="E428" s="2" t="str">
        <f t="shared" si="2"/>
        <v>2018</v>
      </c>
      <c r="F428" s="13" t="s">
        <v>20</v>
      </c>
      <c r="G428" s="13" t="s">
        <v>2379</v>
      </c>
      <c r="H428" s="13" t="s">
        <v>2380</v>
      </c>
      <c r="I428" s="13" t="s">
        <v>34</v>
      </c>
      <c r="J428" s="13" t="s">
        <v>830</v>
      </c>
      <c r="K428" s="13" t="s">
        <v>157</v>
      </c>
      <c r="L428" s="13" t="s">
        <v>71</v>
      </c>
      <c r="M428" s="13" t="s">
        <v>38</v>
      </c>
      <c r="N428" s="14">
        <v>287.92</v>
      </c>
      <c r="O428" s="14">
        <v>287.29</v>
      </c>
      <c r="P428" s="13">
        <v>4.0</v>
      </c>
      <c r="Q428" s="14">
        <f t="shared" si="3"/>
        <v>1151.68</v>
      </c>
      <c r="R428" s="14">
        <f t="shared" si="4"/>
        <v>864.39</v>
      </c>
      <c r="S428" s="14">
        <f t="shared" si="5"/>
        <v>287.29</v>
      </c>
    </row>
    <row r="429">
      <c r="A429" s="12">
        <v>42347.0</v>
      </c>
      <c r="B429" s="12" t="s">
        <v>2325</v>
      </c>
      <c r="C429" s="2">
        <v>42260.0</v>
      </c>
      <c r="D429" s="15" t="str">
        <f t="shared" si="1"/>
        <v>Sep</v>
      </c>
      <c r="E429" s="2" t="str">
        <f t="shared" si="2"/>
        <v>2015</v>
      </c>
      <c r="F429" s="13" t="s">
        <v>121</v>
      </c>
      <c r="G429" s="13" t="s">
        <v>2477</v>
      </c>
      <c r="H429" s="13" t="s">
        <v>2389</v>
      </c>
      <c r="I429" s="13" t="s">
        <v>68</v>
      </c>
      <c r="J429" s="13" t="s">
        <v>835</v>
      </c>
      <c r="K429" s="13" t="s">
        <v>175</v>
      </c>
      <c r="L429" s="13" t="s">
        <v>100</v>
      </c>
      <c r="M429" s="13" t="s">
        <v>51</v>
      </c>
      <c r="N429" s="14">
        <v>69.99</v>
      </c>
      <c r="O429" s="14">
        <v>69.33</v>
      </c>
      <c r="P429" s="13">
        <v>1.0</v>
      </c>
      <c r="Q429" s="14">
        <f t="shared" si="3"/>
        <v>69.99</v>
      </c>
      <c r="R429" s="14">
        <f t="shared" si="4"/>
        <v>0.66</v>
      </c>
      <c r="S429" s="14">
        <f t="shared" si="5"/>
        <v>69.33</v>
      </c>
    </row>
    <row r="430">
      <c r="A430" s="12">
        <v>43110.0</v>
      </c>
      <c r="B430" s="12" t="s">
        <v>2353</v>
      </c>
      <c r="C430" s="2">
        <v>43322.0</v>
      </c>
      <c r="D430" s="15" t="str">
        <f t="shared" si="1"/>
        <v>Aug</v>
      </c>
      <c r="E430" s="2" t="str">
        <f t="shared" si="2"/>
        <v>2018</v>
      </c>
      <c r="F430" s="13" t="s">
        <v>41</v>
      </c>
      <c r="G430" s="13" t="s">
        <v>2346</v>
      </c>
      <c r="H430" s="13" t="s">
        <v>2616</v>
      </c>
      <c r="I430" s="13" t="s">
        <v>34</v>
      </c>
      <c r="J430" s="13" t="s">
        <v>404</v>
      </c>
      <c r="K430" s="13" t="s">
        <v>70</v>
      </c>
      <c r="L430" s="13" t="s">
        <v>71</v>
      </c>
      <c r="M430" s="13" t="s">
        <v>38</v>
      </c>
      <c r="N430" s="14">
        <v>6.672</v>
      </c>
      <c r="O430" s="14">
        <v>5.83</v>
      </c>
      <c r="P430" s="13">
        <v>7.0</v>
      </c>
      <c r="Q430" s="14">
        <f t="shared" si="3"/>
        <v>46.704</v>
      </c>
      <c r="R430" s="14">
        <f t="shared" si="4"/>
        <v>40.874</v>
      </c>
      <c r="S430" s="14">
        <f t="shared" si="5"/>
        <v>5.83</v>
      </c>
    </row>
    <row r="431">
      <c r="A431" s="12">
        <v>42840.0</v>
      </c>
      <c r="B431" s="12" t="s">
        <v>2332</v>
      </c>
      <c r="C431" s="2">
        <v>42846.0</v>
      </c>
      <c r="D431" s="15" t="str">
        <f t="shared" si="1"/>
        <v>Apr</v>
      </c>
      <c r="E431" s="2" t="str">
        <f t="shared" si="2"/>
        <v>2017</v>
      </c>
      <c r="F431" s="13" t="s">
        <v>41</v>
      </c>
      <c r="G431" s="13" t="s">
        <v>2617</v>
      </c>
      <c r="H431" s="13" t="s">
        <v>2618</v>
      </c>
      <c r="I431" s="13" t="s">
        <v>68</v>
      </c>
      <c r="J431" s="13" t="s">
        <v>843</v>
      </c>
      <c r="K431" s="13" t="s">
        <v>58</v>
      </c>
      <c r="L431" s="13" t="s">
        <v>26</v>
      </c>
      <c r="M431" s="13" t="s">
        <v>38</v>
      </c>
      <c r="N431" s="14">
        <v>189.588</v>
      </c>
      <c r="O431" s="14">
        <v>189.27</v>
      </c>
      <c r="P431" s="13">
        <v>2.0</v>
      </c>
      <c r="Q431" s="14">
        <f t="shared" si="3"/>
        <v>379.176</v>
      </c>
      <c r="R431" s="14">
        <f t="shared" si="4"/>
        <v>189.906</v>
      </c>
      <c r="S431" s="14">
        <f t="shared" si="5"/>
        <v>189.27</v>
      </c>
    </row>
    <row r="432">
      <c r="A432" s="12">
        <v>42840.0</v>
      </c>
      <c r="B432" s="12" t="s">
        <v>2332</v>
      </c>
      <c r="C432" s="2">
        <v>42846.0</v>
      </c>
      <c r="D432" s="15" t="str">
        <f t="shared" si="1"/>
        <v>Apr</v>
      </c>
      <c r="E432" s="2" t="str">
        <f t="shared" si="2"/>
        <v>2017</v>
      </c>
      <c r="F432" s="13" t="s">
        <v>41</v>
      </c>
      <c r="G432" s="13" t="s">
        <v>2617</v>
      </c>
      <c r="H432" s="13" t="s">
        <v>2618</v>
      </c>
      <c r="I432" s="13" t="s">
        <v>68</v>
      </c>
      <c r="J432" s="13" t="s">
        <v>843</v>
      </c>
      <c r="K432" s="13" t="s">
        <v>58</v>
      </c>
      <c r="L432" s="13" t="s">
        <v>26</v>
      </c>
      <c r="M432" s="13" t="s">
        <v>51</v>
      </c>
      <c r="N432" s="14">
        <v>408.744</v>
      </c>
      <c r="O432" s="14">
        <v>408.29</v>
      </c>
      <c r="P432" s="13">
        <v>2.0</v>
      </c>
      <c r="Q432" s="14">
        <f t="shared" si="3"/>
        <v>817.488</v>
      </c>
      <c r="R432" s="14">
        <f t="shared" si="4"/>
        <v>409.198</v>
      </c>
      <c r="S432" s="14">
        <f t="shared" si="5"/>
        <v>408.29</v>
      </c>
    </row>
    <row r="433">
      <c r="A433" s="12">
        <v>42840.0</v>
      </c>
      <c r="B433" s="12" t="s">
        <v>2332</v>
      </c>
      <c r="C433" s="2">
        <v>42846.0</v>
      </c>
      <c r="D433" s="15" t="str">
        <f t="shared" si="1"/>
        <v>Apr</v>
      </c>
      <c r="E433" s="2" t="str">
        <f t="shared" si="2"/>
        <v>2017</v>
      </c>
      <c r="F433" s="13" t="s">
        <v>41</v>
      </c>
      <c r="G433" s="13" t="s">
        <v>2617</v>
      </c>
      <c r="H433" s="13" t="s">
        <v>2618</v>
      </c>
      <c r="I433" s="13" t="s">
        <v>68</v>
      </c>
      <c r="J433" s="13" t="s">
        <v>843</v>
      </c>
      <c r="K433" s="13" t="s">
        <v>58</v>
      </c>
      <c r="L433" s="13" t="s">
        <v>26</v>
      </c>
      <c r="M433" s="13" t="s">
        <v>51</v>
      </c>
      <c r="N433" s="14">
        <v>291.96</v>
      </c>
      <c r="O433" s="14">
        <v>291.27</v>
      </c>
      <c r="P433" s="13">
        <v>2.0</v>
      </c>
      <c r="Q433" s="14">
        <f t="shared" si="3"/>
        <v>583.92</v>
      </c>
      <c r="R433" s="14">
        <f t="shared" si="4"/>
        <v>292.65</v>
      </c>
      <c r="S433" s="14">
        <f t="shared" si="5"/>
        <v>291.27</v>
      </c>
    </row>
    <row r="434">
      <c r="A434" s="12">
        <v>42840.0</v>
      </c>
      <c r="B434" s="12" t="s">
        <v>2332</v>
      </c>
      <c r="C434" s="2">
        <v>42846.0</v>
      </c>
      <c r="D434" s="15" t="str">
        <f t="shared" si="1"/>
        <v>Apr</v>
      </c>
      <c r="E434" s="2" t="str">
        <f t="shared" si="2"/>
        <v>2017</v>
      </c>
      <c r="F434" s="13" t="s">
        <v>41</v>
      </c>
      <c r="G434" s="13" t="s">
        <v>2617</v>
      </c>
      <c r="H434" s="13" t="s">
        <v>2618</v>
      </c>
      <c r="I434" s="13" t="s">
        <v>68</v>
      </c>
      <c r="J434" s="13" t="s">
        <v>843</v>
      </c>
      <c r="K434" s="13" t="s">
        <v>58</v>
      </c>
      <c r="L434" s="13" t="s">
        <v>26</v>
      </c>
      <c r="M434" s="13" t="s">
        <v>38</v>
      </c>
      <c r="N434" s="14">
        <v>4.768</v>
      </c>
      <c r="O434" s="14">
        <v>4.48</v>
      </c>
      <c r="P434" s="13">
        <v>2.0</v>
      </c>
      <c r="Q434" s="14">
        <f t="shared" si="3"/>
        <v>9.536</v>
      </c>
      <c r="R434" s="14">
        <f t="shared" si="4"/>
        <v>5.056</v>
      </c>
      <c r="S434" s="14">
        <f t="shared" si="5"/>
        <v>4.48</v>
      </c>
    </row>
    <row r="435">
      <c r="A435" s="12">
        <v>42892.0</v>
      </c>
      <c r="B435" s="12" t="s">
        <v>2374</v>
      </c>
      <c r="C435" s="2">
        <v>42922.0</v>
      </c>
      <c r="D435" s="15" t="str">
        <f t="shared" si="1"/>
        <v>Jul</v>
      </c>
      <c r="E435" s="2" t="str">
        <f t="shared" si="2"/>
        <v>2017</v>
      </c>
      <c r="F435" s="13" t="s">
        <v>121</v>
      </c>
      <c r="G435" s="13" t="s">
        <v>2432</v>
      </c>
      <c r="H435" s="13" t="s">
        <v>2464</v>
      </c>
      <c r="I435" s="13" t="s">
        <v>23</v>
      </c>
      <c r="J435" s="13" t="s">
        <v>693</v>
      </c>
      <c r="K435" s="13" t="s">
        <v>694</v>
      </c>
      <c r="L435" s="13" t="s">
        <v>100</v>
      </c>
      <c r="M435" s="13" t="s">
        <v>38</v>
      </c>
      <c r="N435" s="14">
        <v>714.3</v>
      </c>
      <c r="O435" s="14">
        <v>713.4</v>
      </c>
      <c r="P435" s="13">
        <v>1.0</v>
      </c>
      <c r="Q435" s="14">
        <f t="shared" si="3"/>
        <v>714.3</v>
      </c>
      <c r="R435" s="14">
        <f t="shared" si="4"/>
        <v>0.9</v>
      </c>
      <c r="S435" s="14">
        <f t="shared" si="5"/>
        <v>713.4</v>
      </c>
    </row>
    <row r="436">
      <c r="A436" s="12">
        <v>42357.0</v>
      </c>
      <c r="B436" s="12" t="s">
        <v>2325</v>
      </c>
      <c r="C436" s="2">
        <v>42363.0</v>
      </c>
      <c r="D436" s="15" t="str">
        <f t="shared" si="1"/>
        <v>Dec</v>
      </c>
      <c r="E436" s="2" t="str">
        <f t="shared" si="2"/>
        <v>2015</v>
      </c>
      <c r="F436" s="13" t="s">
        <v>41</v>
      </c>
      <c r="G436" s="13" t="s">
        <v>2592</v>
      </c>
      <c r="H436" s="13" t="s">
        <v>2575</v>
      </c>
      <c r="I436" s="13" t="s">
        <v>23</v>
      </c>
      <c r="J436" s="13" t="s">
        <v>849</v>
      </c>
      <c r="K436" s="13" t="s">
        <v>145</v>
      </c>
      <c r="L436" s="13" t="s">
        <v>26</v>
      </c>
      <c r="M436" s="13" t="s">
        <v>38</v>
      </c>
      <c r="N436" s="14">
        <v>4.812</v>
      </c>
      <c r="O436" s="14">
        <v>3.97</v>
      </c>
      <c r="P436" s="13">
        <v>3.0</v>
      </c>
      <c r="Q436" s="14">
        <f t="shared" si="3"/>
        <v>14.436</v>
      </c>
      <c r="R436" s="14">
        <f t="shared" si="4"/>
        <v>10.466</v>
      </c>
      <c r="S436" s="14">
        <f t="shared" si="5"/>
        <v>3.97</v>
      </c>
    </row>
    <row r="437">
      <c r="A437" s="12">
        <v>42357.0</v>
      </c>
      <c r="B437" s="12" t="s">
        <v>2325</v>
      </c>
      <c r="C437" s="2">
        <v>42363.0</v>
      </c>
      <c r="D437" s="15" t="str">
        <f t="shared" si="1"/>
        <v>Dec</v>
      </c>
      <c r="E437" s="2" t="str">
        <f t="shared" si="2"/>
        <v>2015</v>
      </c>
      <c r="F437" s="13" t="s">
        <v>41</v>
      </c>
      <c r="G437" s="13" t="s">
        <v>2592</v>
      </c>
      <c r="H437" s="13" t="s">
        <v>2575</v>
      </c>
      <c r="I437" s="13" t="s">
        <v>23</v>
      </c>
      <c r="J437" s="13" t="s">
        <v>849</v>
      </c>
      <c r="K437" s="13" t="s">
        <v>145</v>
      </c>
      <c r="L437" s="13" t="s">
        <v>26</v>
      </c>
      <c r="M437" s="13" t="s">
        <v>51</v>
      </c>
      <c r="N437" s="14">
        <v>247.8</v>
      </c>
      <c r="O437" s="14">
        <v>247.72</v>
      </c>
      <c r="P437" s="13">
        <v>3.0</v>
      </c>
      <c r="Q437" s="14">
        <f t="shared" si="3"/>
        <v>743.4</v>
      </c>
      <c r="R437" s="14">
        <f t="shared" si="4"/>
        <v>495.68</v>
      </c>
      <c r="S437" s="14">
        <f t="shared" si="5"/>
        <v>247.72</v>
      </c>
    </row>
    <row r="438">
      <c r="A438" s="12">
        <v>43075.0</v>
      </c>
      <c r="B438" s="12" t="s">
        <v>2325</v>
      </c>
      <c r="C438" s="2">
        <v>42900.0</v>
      </c>
      <c r="D438" s="15" t="str">
        <f t="shared" si="1"/>
        <v>Jun</v>
      </c>
      <c r="E438" s="2" t="str">
        <f t="shared" si="2"/>
        <v>2017</v>
      </c>
      <c r="F438" s="13" t="s">
        <v>20</v>
      </c>
      <c r="G438" s="13" t="s">
        <v>2619</v>
      </c>
      <c r="H438" s="13" t="s">
        <v>2620</v>
      </c>
      <c r="I438" s="13" t="s">
        <v>68</v>
      </c>
      <c r="J438" s="13" t="s">
        <v>188</v>
      </c>
      <c r="K438" s="13" t="s">
        <v>135</v>
      </c>
      <c r="L438" s="13" t="s">
        <v>71</v>
      </c>
      <c r="M438" s="13" t="s">
        <v>51</v>
      </c>
      <c r="N438" s="14">
        <v>1007.979</v>
      </c>
      <c r="O438" s="14">
        <v>1007.35</v>
      </c>
      <c r="P438" s="13">
        <v>6.0</v>
      </c>
      <c r="Q438" s="14">
        <f t="shared" si="3"/>
        <v>6047.874</v>
      </c>
      <c r="R438" s="14">
        <f t="shared" si="4"/>
        <v>5040.524</v>
      </c>
      <c r="S438" s="14">
        <f t="shared" si="5"/>
        <v>1007.35</v>
      </c>
    </row>
    <row r="439">
      <c r="A439" s="12">
        <v>43075.0</v>
      </c>
      <c r="B439" s="12" t="s">
        <v>2325</v>
      </c>
      <c r="C439" s="2">
        <v>42900.0</v>
      </c>
      <c r="D439" s="15" t="str">
        <f t="shared" si="1"/>
        <v>Jun</v>
      </c>
      <c r="E439" s="2" t="str">
        <f t="shared" si="2"/>
        <v>2017</v>
      </c>
      <c r="F439" s="13" t="s">
        <v>20</v>
      </c>
      <c r="G439" s="13" t="s">
        <v>2619</v>
      </c>
      <c r="H439" s="13" t="s">
        <v>2620</v>
      </c>
      <c r="I439" s="13" t="s">
        <v>68</v>
      </c>
      <c r="J439" s="13" t="s">
        <v>188</v>
      </c>
      <c r="K439" s="13" t="s">
        <v>135</v>
      </c>
      <c r="L439" s="13" t="s">
        <v>71</v>
      </c>
      <c r="M439" s="13" t="s">
        <v>38</v>
      </c>
      <c r="N439" s="14">
        <v>313.488</v>
      </c>
      <c r="O439" s="14">
        <v>313.04</v>
      </c>
      <c r="P439" s="13">
        <v>6.0</v>
      </c>
      <c r="Q439" s="14">
        <f t="shared" si="3"/>
        <v>1880.928</v>
      </c>
      <c r="R439" s="14">
        <f t="shared" si="4"/>
        <v>1567.888</v>
      </c>
      <c r="S439" s="14">
        <f t="shared" si="5"/>
        <v>313.04</v>
      </c>
    </row>
    <row r="440">
      <c r="A440" s="12">
        <v>43358.0</v>
      </c>
      <c r="B440" s="12" t="s">
        <v>2329</v>
      </c>
      <c r="C440" s="2">
        <v>43362.0</v>
      </c>
      <c r="D440" s="15" t="str">
        <f t="shared" si="1"/>
        <v>Sep</v>
      </c>
      <c r="E440" s="2" t="str">
        <f t="shared" si="2"/>
        <v>2018</v>
      </c>
      <c r="F440" s="13" t="s">
        <v>41</v>
      </c>
      <c r="G440" s="13" t="s">
        <v>2621</v>
      </c>
      <c r="H440" s="13" t="s">
        <v>2622</v>
      </c>
      <c r="I440" s="13" t="s">
        <v>34</v>
      </c>
      <c r="J440" s="13" t="s">
        <v>129</v>
      </c>
      <c r="K440" s="13" t="s">
        <v>70</v>
      </c>
      <c r="L440" s="13" t="s">
        <v>71</v>
      </c>
      <c r="M440" s="13" t="s">
        <v>38</v>
      </c>
      <c r="N440" s="14">
        <v>31.872</v>
      </c>
      <c r="O440" s="14">
        <v>31.68</v>
      </c>
      <c r="P440" s="13">
        <v>7.0</v>
      </c>
      <c r="Q440" s="14">
        <f t="shared" si="3"/>
        <v>223.104</v>
      </c>
      <c r="R440" s="14">
        <f t="shared" si="4"/>
        <v>191.424</v>
      </c>
      <c r="S440" s="14">
        <f t="shared" si="5"/>
        <v>31.68</v>
      </c>
    </row>
    <row r="441">
      <c r="A441" s="12">
        <v>43120.0</v>
      </c>
      <c r="B441" s="12" t="s">
        <v>2353</v>
      </c>
      <c r="C441" s="2">
        <v>43123.0</v>
      </c>
      <c r="D441" s="15" t="str">
        <f t="shared" si="1"/>
        <v>Jan</v>
      </c>
      <c r="E441" s="2" t="str">
        <f t="shared" si="2"/>
        <v>2018</v>
      </c>
      <c r="F441" s="13" t="s">
        <v>20</v>
      </c>
      <c r="G441" s="13" t="s">
        <v>2425</v>
      </c>
      <c r="H441" s="13" t="s">
        <v>2426</v>
      </c>
      <c r="I441" s="13" t="s">
        <v>34</v>
      </c>
      <c r="J441" s="13" t="s">
        <v>174</v>
      </c>
      <c r="K441" s="13" t="s">
        <v>175</v>
      </c>
      <c r="L441" s="13" t="s">
        <v>100</v>
      </c>
      <c r="M441" s="13" t="s">
        <v>27</v>
      </c>
      <c r="N441" s="14">
        <v>207.846</v>
      </c>
      <c r="O441" s="14">
        <v>207.58</v>
      </c>
      <c r="P441" s="13">
        <v>1.0</v>
      </c>
      <c r="Q441" s="14">
        <f t="shared" si="3"/>
        <v>207.846</v>
      </c>
      <c r="R441" s="14">
        <f t="shared" si="4"/>
        <v>0.266</v>
      </c>
      <c r="S441" s="14">
        <f t="shared" si="5"/>
        <v>207.58</v>
      </c>
    </row>
    <row r="442">
      <c r="A442" s="12">
        <v>42864.0</v>
      </c>
      <c r="B442" s="12" t="s">
        <v>2335</v>
      </c>
      <c r="C442" s="2">
        <v>42925.0</v>
      </c>
      <c r="D442" s="15" t="str">
        <f t="shared" si="1"/>
        <v>Jul</v>
      </c>
      <c r="E442" s="2" t="str">
        <f t="shared" si="2"/>
        <v>2017</v>
      </c>
      <c r="F442" s="13" t="s">
        <v>20</v>
      </c>
      <c r="G442" s="13" t="s">
        <v>2340</v>
      </c>
      <c r="H442" s="13" t="s">
        <v>2341</v>
      </c>
      <c r="I442" s="13" t="s">
        <v>23</v>
      </c>
      <c r="J442" s="13" t="s">
        <v>513</v>
      </c>
      <c r="K442" s="13" t="s">
        <v>157</v>
      </c>
      <c r="L442" s="13" t="s">
        <v>71</v>
      </c>
      <c r="M442" s="13" t="s">
        <v>27</v>
      </c>
      <c r="N442" s="14">
        <v>12.22</v>
      </c>
      <c r="O442" s="14">
        <v>11.56</v>
      </c>
      <c r="P442" s="13">
        <v>4.0</v>
      </c>
      <c r="Q442" s="14">
        <f t="shared" si="3"/>
        <v>48.88</v>
      </c>
      <c r="R442" s="14">
        <f t="shared" si="4"/>
        <v>37.32</v>
      </c>
      <c r="S442" s="14">
        <f t="shared" si="5"/>
        <v>11.56</v>
      </c>
    </row>
    <row r="443">
      <c r="A443" s="12">
        <v>42864.0</v>
      </c>
      <c r="B443" s="12" t="s">
        <v>2335</v>
      </c>
      <c r="C443" s="2">
        <v>42925.0</v>
      </c>
      <c r="D443" s="15" t="str">
        <f t="shared" si="1"/>
        <v>Jul</v>
      </c>
      <c r="E443" s="2" t="str">
        <f t="shared" si="2"/>
        <v>2017</v>
      </c>
      <c r="F443" s="13" t="s">
        <v>20</v>
      </c>
      <c r="G443" s="13" t="s">
        <v>2340</v>
      </c>
      <c r="H443" s="13" t="s">
        <v>2341</v>
      </c>
      <c r="I443" s="13" t="s">
        <v>23</v>
      </c>
      <c r="J443" s="13" t="s">
        <v>513</v>
      </c>
      <c r="K443" s="13" t="s">
        <v>157</v>
      </c>
      <c r="L443" s="13" t="s">
        <v>71</v>
      </c>
      <c r="M443" s="13" t="s">
        <v>38</v>
      </c>
      <c r="N443" s="14">
        <v>194.94</v>
      </c>
      <c r="O443" s="14">
        <v>194.44</v>
      </c>
      <c r="P443" s="13">
        <v>4.0</v>
      </c>
      <c r="Q443" s="14">
        <f t="shared" si="3"/>
        <v>779.76</v>
      </c>
      <c r="R443" s="14">
        <f t="shared" si="4"/>
        <v>585.32</v>
      </c>
      <c r="S443" s="14">
        <f t="shared" si="5"/>
        <v>194.44</v>
      </c>
    </row>
    <row r="444">
      <c r="A444" s="12">
        <v>42864.0</v>
      </c>
      <c r="B444" s="12" t="s">
        <v>2335</v>
      </c>
      <c r="C444" s="2">
        <v>42925.0</v>
      </c>
      <c r="D444" s="15" t="str">
        <f t="shared" si="1"/>
        <v>Jul</v>
      </c>
      <c r="E444" s="2" t="str">
        <f t="shared" si="2"/>
        <v>2017</v>
      </c>
      <c r="F444" s="13" t="s">
        <v>20</v>
      </c>
      <c r="G444" s="13" t="s">
        <v>2340</v>
      </c>
      <c r="H444" s="13" t="s">
        <v>2341</v>
      </c>
      <c r="I444" s="13" t="s">
        <v>23</v>
      </c>
      <c r="J444" s="13" t="s">
        <v>513</v>
      </c>
      <c r="K444" s="13" t="s">
        <v>157</v>
      </c>
      <c r="L444" s="13" t="s">
        <v>71</v>
      </c>
      <c r="M444" s="13" t="s">
        <v>38</v>
      </c>
      <c r="N444" s="14">
        <v>70.95</v>
      </c>
      <c r="O444" s="14">
        <v>70.42</v>
      </c>
      <c r="P444" s="13">
        <v>4.0</v>
      </c>
      <c r="Q444" s="14">
        <f t="shared" si="3"/>
        <v>283.8</v>
      </c>
      <c r="R444" s="14">
        <f t="shared" si="4"/>
        <v>213.38</v>
      </c>
      <c r="S444" s="14">
        <f t="shared" si="5"/>
        <v>70.42</v>
      </c>
    </row>
    <row r="445">
      <c r="A445" s="12">
        <v>42864.0</v>
      </c>
      <c r="B445" s="12" t="s">
        <v>2335</v>
      </c>
      <c r="C445" s="2">
        <v>42925.0</v>
      </c>
      <c r="D445" s="15" t="str">
        <f t="shared" si="1"/>
        <v>Jul</v>
      </c>
      <c r="E445" s="2" t="str">
        <f t="shared" si="2"/>
        <v>2017</v>
      </c>
      <c r="F445" s="13" t="s">
        <v>20</v>
      </c>
      <c r="G445" s="13" t="s">
        <v>2340</v>
      </c>
      <c r="H445" s="13" t="s">
        <v>2341</v>
      </c>
      <c r="I445" s="13" t="s">
        <v>23</v>
      </c>
      <c r="J445" s="13" t="s">
        <v>513</v>
      </c>
      <c r="K445" s="13" t="s">
        <v>157</v>
      </c>
      <c r="L445" s="13" t="s">
        <v>71</v>
      </c>
      <c r="M445" s="13" t="s">
        <v>38</v>
      </c>
      <c r="N445" s="14">
        <v>91.36</v>
      </c>
      <c r="O445" s="14">
        <v>90.47</v>
      </c>
      <c r="P445" s="13">
        <v>4.0</v>
      </c>
      <c r="Q445" s="14">
        <f t="shared" si="3"/>
        <v>365.44</v>
      </c>
      <c r="R445" s="14">
        <f t="shared" si="4"/>
        <v>274.97</v>
      </c>
      <c r="S445" s="14">
        <f t="shared" si="5"/>
        <v>90.47</v>
      </c>
    </row>
    <row r="446">
      <c r="A446" s="12">
        <v>42864.0</v>
      </c>
      <c r="B446" s="12" t="s">
        <v>2335</v>
      </c>
      <c r="C446" s="2">
        <v>42925.0</v>
      </c>
      <c r="D446" s="15" t="str">
        <f t="shared" si="1"/>
        <v>Jul</v>
      </c>
      <c r="E446" s="2" t="str">
        <f t="shared" si="2"/>
        <v>2017</v>
      </c>
      <c r="F446" s="13" t="s">
        <v>20</v>
      </c>
      <c r="G446" s="13" t="s">
        <v>2340</v>
      </c>
      <c r="H446" s="13" t="s">
        <v>2341</v>
      </c>
      <c r="I446" s="13" t="s">
        <v>23</v>
      </c>
      <c r="J446" s="13" t="s">
        <v>513</v>
      </c>
      <c r="K446" s="13" t="s">
        <v>157</v>
      </c>
      <c r="L446" s="13" t="s">
        <v>71</v>
      </c>
      <c r="M446" s="13" t="s">
        <v>27</v>
      </c>
      <c r="N446" s="14">
        <v>242.94</v>
      </c>
      <c r="O446" s="14">
        <v>242.17</v>
      </c>
      <c r="P446" s="13">
        <v>4.0</v>
      </c>
      <c r="Q446" s="14">
        <f t="shared" si="3"/>
        <v>971.76</v>
      </c>
      <c r="R446" s="14">
        <f t="shared" si="4"/>
        <v>729.59</v>
      </c>
      <c r="S446" s="14">
        <f t="shared" si="5"/>
        <v>242.17</v>
      </c>
    </row>
    <row r="447">
      <c r="A447" s="12">
        <v>42864.0</v>
      </c>
      <c r="B447" s="12" t="s">
        <v>2335</v>
      </c>
      <c r="C447" s="2">
        <v>42925.0</v>
      </c>
      <c r="D447" s="15" t="str">
        <f t="shared" si="1"/>
        <v>Jul</v>
      </c>
      <c r="E447" s="2" t="str">
        <f t="shared" si="2"/>
        <v>2017</v>
      </c>
      <c r="F447" s="13" t="s">
        <v>20</v>
      </c>
      <c r="G447" s="13" t="s">
        <v>2340</v>
      </c>
      <c r="H447" s="13" t="s">
        <v>2341</v>
      </c>
      <c r="I447" s="13" t="s">
        <v>23</v>
      </c>
      <c r="J447" s="13" t="s">
        <v>513</v>
      </c>
      <c r="K447" s="13" t="s">
        <v>157</v>
      </c>
      <c r="L447" s="13" t="s">
        <v>71</v>
      </c>
      <c r="M447" s="13" t="s">
        <v>38</v>
      </c>
      <c r="N447" s="14">
        <v>22.05</v>
      </c>
      <c r="O447" s="14">
        <v>21.14</v>
      </c>
      <c r="P447" s="13">
        <v>4.0</v>
      </c>
      <c r="Q447" s="14">
        <f t="shared" si="3"/>
        <v>88.2</v>
      </c>
      <c r="R447" s="14">
        <f t="shared" si="4"/>
        <v>67.06</v>
      </c>
      <c r="S447" s="14">
        <f t="shared" si="5"/>
        <v>21.14</v>
      </c>
    </row>
    <row r="448">
      <c r="A448" s="12">
        <v>43179.0</v>
      </c>
      <c r="B448" s="12" t="s">
        <v>2399</v>
      </c>
      <c r="C448" s="2">
        <v>43184.0</v>
      </c>
      <c r="D448" s="15" t="str">
        <f t="shared" si="1"/>
        <v>Mar</v>
      </c>
      <c r="E448" s="2" t="str">
        <f t="shared" si="2"/>
        <v>2018</v>
      </c>
      <c r="F448" s="13" t="s">
        <v>20</v>
      </c>
      <c r="G448" s="13" t="s">
        <v>180</v>
      </c>
      <c r="H448" s="13" t="s">
        <v>2623</v>
      </c>
      <c r="I448" s="13" t="s">
        <v>23</v>
      </c>
      <c r="J448" s="13" t="s">
        <v>303</v>
      </c>
      <c r="K448" s="13" t="s">
        <v>169</v>
      </c>
      <c r="L448" s="13" t="s">
        <v>71</v>
      </c>
      <c r="M448" s="13" t="s">
        <v>27</v>
      </c>
      <c r="N448" s="14">
        <v>2.91</v>
      </c>
      <c r="O448" s="14">
        <v>2.17</v>
      </c>
      <c r="P448" s="13">
        <v>4.0</v>
      </c>
      <c r="Q448" s="14">
        <f t="shared" si="3"/>
        <v>11.64</v>
      </c>
      <c r="R448" s="14">
        <f t="shared" si="4"/>
        <v>9.47</v>
      </c>
      <c r="S448" s="14">
        <f t="shared" si="5"/>
        <v>2.17</v>
      </c>
    </row>
    <row r="449">
      <c r="A449" s="12">
        <v>42739.0</v>
      </c>
      <c r="B449" s="12" t="s">
        <v>2353</v>
      </c>
      <c r="C449" s="2">
        <v>42798.0</v>
      </c>
      <c r="D449" s="15" t="str">
        <f t="shared" si="1"/>
        <v>Mar</v>
      </c>
      <c r="E449" s="2" t="str">
        <f t="shared" si="2"/>
        <v>2017</v>
      </c>
      <c r="F449" s="13" t="s">
        <v>20</v>
      </c>
      <c r="G449" s="13" t="s">
        <v>2624</v>
      </c>
      <c r="H449" s="13" t="s">
        <v>2625</v>
      </c>
      <c r="I449" s="13" t="s">
        <v>23</v>
      </c>
      <c r="J449" s="13" t="s">
        <v>868</v>
      </c>
      <c r="K449" s="13" t="s">
        <v>175</v>
      </c>
      <c r="L449" s="13" t="s">
        <v>100</v>
      </c>
      <c r="M449" s="13" t="s">
        <v>38</v>
      </c>
      <c r="N449" s="14">
        <v>59.52</v>
      </c>
      <c r="O449" s="14">
        <v>58.78</v>
      </c>
      <c r="P449" s="13">
        <v>1.0</v>
      </c>
      <c r="Q449" s="14">
        <f t="shared" si="3"/>
        <v>59.52</v>
      </c>
      <c r="R449" s="14">
        <f t="shared" si="4"/>
        <v>0.74</v>
      </c>
      <c r="S449" s="14">
        <f t="shared" si="5"/>
        <v>58.78</v>
      </c>
    </row>
    <row r="450">
      <c r="A450" s="12">
        <v>42739.0</v>
      </c>
      <c r="B450" s="12" t="s">
        <v>2353</v>
      </c>
      <c r="C450" s="2">
        <v>42798.0</v>
      </c>
      <c r="D450" s="15" t="str">
        <f t="shared" si="1"/>
        <v>Mar</v>
      </c>
      <c r="E450" s="2" t="str">
        <f t="shared" si="2"/>
        <v>2017</v>
      </c>
      <c r="F450" s="13" t="s">
        <v>20</v>
      </c>
      <c r="G450" s="13" t="s">
        <v>2624</v>
      </c>
      <c r="H450" s="13" t="s">
        <v>2625</v>
      </c>
      <c r="I450" s="13" t="s">
        <v>23</v>
      </c>
      <c r="J450" s="13" t="s">
        <v>868</v>
      </c>
      <c r="K450" s="13" t="s">
        <v>175</v>
      </c>
      <c r="L450" s="13" t="s">
        <v>100</v>
      </c>
      <c r="M450" s="13" t="s">
        <v>38</v>
      </c>
      <c r="N450" s="14">
        <v>161.94</v>
      </c>
      <c r="O450" s="14">
        <v>161.59</v>
      </c>
      <c r="P450" s="13">
        <v>1.0</v>
      </c>
      <c r="Q450" s="14">
        <f t="shared" si="3"/>
        <v>161.94</v>
      </c>
      <c r="R450" s="14">
        <f t="shared" si="4"/>
        <v>0.35</v>
      </c>
      <c r="S450" s="14">
        <f t="shared" si="5"/>
        <v>161.59</v>
      </c>
    </row>
    <row r="451">
      <c r="A451" s="12">
        <v>42739.0</v>
      </c>
      <c r="B451" s="12" t="s">
        <v>2353</v>
      </c>
      <c r="C451" s="2">
        <v>42798.0</v>
      </c>
      <c r="D451" s="15" t="str">
        <f t="shared" si="1"/>
        <v>Mar</v>
      </c>
      <c r="E451" s="2" t="str">
        <f t="shared" si="2"/>
        <v>2017</v>
      </c>
      <c r="F451" s="13" t="s">
        <v>20</v>
      </c>
      <c r="G451" s="13" t="s">
        <v>2624</v>
      </c>
      <c r="H451" s="13" t="s">
        <v>2625</v>
      </c>
      <c r="I451" s="13" t="s">
        <v>23</v>
      </c>
      <c r="J451" s="13" t="s">
        <v>868</v>
      </c>
      <c r="K451" s="13" t="s">
        <v>175</v>
      </c>
      <c r="L451" s="13" t="s">
        <v>100</v>
      </c>
      <c r="M451" s="13" t="s">
        <v>38</v>
      </c>
      <c r="N451" s="14">
        <v>263.88</v>
      </c>
      <c r="O451" s="14">
        <v>263.38</v>
      </c>
      <c r="P451" s="13">
        <v>1.0</v>
      </c>
      <c r="Q451" s="14">
        <f t="shared" si="3"/>
        <v>263.88</v>
      </c>
      <c r="R451" s="14">
        <f t="shared" si="4"/>
        <v>0.5</v>
      </c>
      <c r="S451" s="14">
        <f t="shared" si="5"/>
        <v>263.38</v>
      </c>
    </row>
    <row r="452">
      <c r="A452" s="12">
        <v>42739.0</v>
      </c>
      <c r="B452" s="12" t="s">
        <v>2353</v>
      </c>
      <c r="C452" s="2">
        <v>42798.0</v>
      </c>
      <c r="D452" s="15" t="str">
        <f t="shared" si="1"/>
        <v>Mar</v>
      </c>
      <c r="E452" s="2" t="str">
        <f t="shared" si="2"/>
        <v>2017</v>
      </c>
      <c r="F452" s="13" t="s">
        <v>20</v>
      </c>
      <c r="G452" s="13" t="s">
        <v>2624</v>
      </c>
      <c r="H452" s="13" t="s">
        <v>2625</v>
      </c>
      <c r="I452" s="13" t="s">
        <v>23</v>
      </c>
      <c r="J452" s="13" t="s">
        <v>868</v>
      </c>
      <c r="K452" s="13" t="s">
        <v>175</v>
      </c>
      <c r="L452" s="13" t="s">
        <v>100</v>
      </c>
      <c r="M452" s="13" t="s">
        <v>38</v>
      </c>
      <c r="N452" s="14">
        <v>30.48</v>
      </c>
      <c r="O452" s="14">
        <v>30.24</v>
      </c>
      <c r="P452" s="13">
        <v>1.0</v>
      </c>
      <c r="Q452" s="14">
        <f t="shared" si="3"/>
        <v>30.48</v>
      </c>
      <c r="R452" s="14">
        <f t="shared" si="4"/>
        <v>0.24</v>
      </c>
      <c r="S452" s="14">
        <f t="shared" si="5"/>
        <v>30.24</v>
      </c>
    </row>
    <row r="453">
      <c r="A453" s="12">
        <v>42739.0</v>
      </c>
      <c r="B453" s="12" t="s">
        <v>2353</v>
      </c>
      <c r="C453" s="2">
        <v>42798.0</v>
      </c>
      <c r="D453" s="15" t="str">
        <f t="shared" si="1"/>
        <v>Mar</v>
      </c>
      <c r="E453" s="2" t="str">
        <f t="shared" si="2"/>
        <v>2017</v>
      </c>
      <c r="F453" s="13" t="s">
        <v>20</v>
      </c>
      <c r="G453" s="13" t="s">
        <v>2624</v>
      </c>
      <c r="H453" s="13" t="s">
        <v>2625</v>
      </c>
      <c r="I453" s="13" t="s">
        <v>23</v>
      </c>
      <c r="J453" s="13" t="s">
        <v>868</v>
      </c>
      <c r="K453" s="13" t="s">
        <v>175</v>
      </c>
      <c r="L453" s="13" t="s">
        <v>100</v>
      </c>
      <c r="M453" s="13" t="s">
        <v>38</v>
      </c>
      <c r="N453" s="14">
        <v>9.84</v>
      </c>
      <c r="O453" s="14">
        <v>9.02</v>
      </c>
      <c r="P453" s="13">
        <v>1.0</v>
      </c>
      <c r="Q453" s="14">
        <f t="shared" si="3"/>
        <v>9.84</v>
      </c>
      <c r="R453" s="14">
        <f t="shared" si="4"/>
        <v>0.82</v>
      </c>
      <c r="S453" s="14">
        <f t="shared" si="5"/>
        <v>9.02</v>
      </c>
    </row>
    <row r="454">
      <c r="A454" s="12">
        <v>42739.0</v>
      </c>
      <c r="B454" s="12" t="s">
        <v>2353</v>
      </c>
      <c r="C454" s="2">
        <v>42798.0</v>
      </c>
      <c r="D454" s="15" t="str">
        <f t="shared" si="1"/>
        <v>Mar</v>
      </c>
      <c r="E454" s="2" t="str">
        <f t="shared" si="2"/>
        <v>2017</v>
      </c>
      <c r="F454" s="13" t="s">
        <v>20</v>
      </c>
      <c r="G454" s="13" t="s">
        <v>2624</v>
      </c>
      <c r="H454" s="13" t="s">
        <v>2625</v>
      </c>
      <c r="I454" s="13" t="s">
        <v>23</v>
      </c>
      <c r="J454" s="13" t="s">
        <v>868</v>
      </c>
      <c r="K454" s="13" t="s">
        <v>175</v>
      </c>
      <c r="L454" s="13" t="s">
        <v>100</v>
      </c>
      <c r="M454" s="13" t="s">
        <v>51</v>
      </c>
      <c r="N454" s="14">
        <v>35.12</v>
      </c>
      <c r="O454" s="14">
        <v>34.27</v>
      </c>
      <c r="P454" s="13">
        <v>1.0</v>
      </c>
      <c r="Q454" s="14">
        <f t="shared" si="3"/>
        <v>35.12</v>
      </c>
      <c r="R454" s="14">
        <f t="shared" si="4"/>
        <v>0.85</v>
      </c>
      <c r="S454" s="14">
        <f t="shared" si="5"/>
        <v>34.27</v>
      </c>
    </row>
    <row r="455">
      <c r="A455" s="12">
        <v>43393.0</v>
      </c>
      <c r="B455" s="12" t="s">
        <v>2358</v>
      </c>
      <c r="C455" s="2">
        <v>43397.0</v>
      </c>
      <c r="D455" s="15" t="str">
        <f t="shared" si="1"/>
        <v>Oct</v>
      </c>
      <c r="E455" s="2" t="str">
        <f t="shared" si="2"/>
        <v>2018</v>
      </c>
      <c r="F455" s="13" t="s">
        <v>41</v>
      </c>
      <c r="G455" s="13" t="s">
        <v>2626</v>
      </c>
      <c r="H455" s="13" t="s">
        <v>2476</v>
      </c>
      <c r="I455" s="13" t="s">
        <v>34</v>
      </c>
      <c r="J455" s="13" t="s">
        <v>471</v>
      </c>
      <c r="K455" s="13" t="s">
        <v>304</v>
      </c>
      <c r="L455" s="13" t="s">
        <v>100</v>
      </c>
      <c r="M455" s="13" t="s">
        <v>27</v>
      </c>
      <c r="N455" s="14">
        <v>284.364</v>
      </c>
      <c r="O455" s="14">
        <v>283.97</v>
      </c>
      <c r="P455" s="13">
        <v>4.0</v>
      </c>
      <c r="Q455" s="14">
        <f t="shared" si="3"/>
        <v>1137.456</v>
      </c>
      <c r="R455" s="14">
        <f t="shared" si="4"/>
        <v>853.486</v>
      </c>
      <c r="S455" s="14">
        <f t="shared" si="5"/>
        <v>283.97</v>
      </c>
    </row>
    <row r="456">
      <c r="A456" s="12">
        <v>43393.0</v>
      </c>
      <c r="B456" s="12" t="s">
        <v>2358</v>
      </c>
      <c r="C456" s="2">
        <v>43397.0</v>
      </c>
      <c r="D456" s="15" t="str">
        <f t="shared" si="1"/>
        <v>Oct</v>
      </c>
      <c r="E456" s="2" t="str">
        <f t="shared" si="2"/>
        <v>2018</v>
      </c>
      <c r="F456" s="13" t="s">
        <v>41</v>
      </c>
      <c r="G456" s="13" t="s">
        <v>2626</v>
      </c>
      <c r="H456" s="13" t="s">
        <v>2476</v>
      </c>
      <c r="I456" s="13" t="s">
        <v>34</v>
      </c>
      <c r="J456" s="13" t="s">
        <v>471</v>
      </c>
      <c r="K456" s="13" t="s">
        <v>304</v>
      </c>
      <c r="L456" s="13" t="s">
        <v>100</v>
      </c>
      <c r="M456" s="13" t="s">
        <v>38</v>
      </c>
      <c r="N456" s="14">
        <v>665.408</v>
      </c>
      <c r="O456" s="14">
        <v>664.6</v>
      </c>
      <c r="P456" s="13">
        <v>4.0</v>
      </c>
      <c r="Q456" s="14">
        <f t="shared" si="3"/>
        <v>2661.632</v>
      </c>
      <c r="R456" s="14">
        <f t="shared" si="4"/>
        <v>1997.032</v>
      </c>
      <c r="S456" s="14">
        <f t="shared" si="5"/>
        <v>664.6</v>
      </c>
    </row>
    <row r="457">
      <c r="A457" s="12">
        <v>43082.0</v>
      </c>
      <c r="B457" s="12" t="s">
        <v>2325</v>
      </c>
      <c r="C457" s="2">
        <v>43086.0</v>
      </c>
      <c r="D457" s="15" t="str">
        <f t="shared" si="1"/>
        <v>Dec</v>
      </c>
      <c r="E457" s="2" t="str">
        <f t="shared" si="2"/>
        <v>2017</v>
      </c>
      <c r="F457" s="13" t="s">
        <v>41</v>
      </c>
      <c r="G457" s="13" t="s">
        <v>2346</v>
      </c>
      <c r="H457" s="13" t="s">
        <v>2616</v>
      </c>
      <c r="I457" s="13" t="s">
        <v>34</v>
      </c>
      <c r="J457" s="13" t="s">
        <v>874</v>
      </c>
      <c r="K457" s="13" t="s">
        <v>385</v>
      </c>
      <c r="L457" s="13" t="s">
        <v>71</v>
      </c>
      <c r="M457" s="13" t="s">
        <v>51</v>
      </c>
      <c r="N457" s="14">
        <v>63.88</v>
      </c>
      <c r="O457" s="14">
        <v>63.05</v>
      </c>
      <c r="P457" s="13">
        <v>7.0</v>
      </c>
      <c r="Q457" s="14">
        <f t="shared" si="3"/>
        <v>447.16</v>
      </c>
      <c r="R457" s="14">
        <f t="shared" si="4"/>
        <v>384.11</v>
      </c>
      <c r="S457" s="14">
        <f t="shared" si="5"/>
        <v>63.05</v>
      </c>
    </row>
    <row r="458">
      <c r="A458" s="12">
        <v>42340.0</v>
      </c>
      <c r="B458" s="12" t="s">
        <v>2325</v>
      </c>
      <c r="C458" s="2">
        <v>42053.0</v>
      </c>
      <c r="D458" s="15" t="str">
        <f t="shared" si="1"/>
        <v>Feb</v>
      </c>
      <c r="E458" s="2" t="str">
        <f t="shared" si="2"/>
        <v>2015</v>
      </c>
      <c r="F458" s="13" t="s">
        <v>41</v>
      </c>
      <c r="G458" s="13" t="s">
        <v>2627</v>
      </c>
      <c r="H458" s="13" t="s">
        <v>2628</v>
      </c>
      <c r="I458" s="13" t="s">
        <v>23</v>
      </c>
      <c r="J458" s="13" t="s">
        <v>57</v>
      </c>
      <c r="K458" s="13" t="s">
        <v>52</v>
      </c>
      <c r="L458" s="13" t="s">
        <v>37</v>
      </c>
      <c r="M458" s="13" t="s">
        <v>27</v>
      </c>
      <c r="N458" s="14">
        <v>129.568</v>
      </c>
      <c r="O458" s="14">
        <v>129.15</v>
      </c>
      <c r="P458" s="13">
        <v>9.0</v>
      </c>
      <c r="Q458" s="14">
        <f t="shared" si="3"/>
        <v>1166.112</v>
      </c>
      <c r="R458" s="14">
        <f t="shared" si="4"/>
        <v>1036.962</v>
      </c>
      <c r="S458" s="14">
        <f t="shared" si="5"/>
        <v>129.15</v>
      </c>
    </row>
    <row r="459">
      <c r="A459" s="12">
        <v>43004.0</v>
      </c>
      <c r="B459" s="12" t="s">
        <v>2329</v>
      </c>
      <c r="C459" s="2">
        <v>42745.0</v>
      </c>
      <c r="D459" s="15" t="str">
        <f t="shared" si="1"/>
        <v>Jan</v>
      </c>
      <c r="E459" s="2" t="str">
        <f t="shared" si="2"/>
        <v>2017</v>
      </c>
      <c r="F459" s="13" t="s">
        <v>41</v>
      </c>
      <c r="G459" s="13" t="s">
        <v>2614</v>
      </c>
      <c r="H459" s="13" t="s">
        <v>2615</v>
      </c>
      <c r="I459" s="13" t="s">
        <v>23</v>
      </c>
      <c r="J459" s="13" t="s">
        <v>219</v>
      </c>
      <c r="K459" s="13" t="s">
        <v>135</v>
      </c>
      <c r="L459" s="13" t="s">
        <v>71</v>
      </c>
      <c r="M459" s="13" t="s">
        <v>27</v>
      </c>
      <c r="N459" s="14">
        <v>747.558</v>
      </c>
      <c r="O459" s="14">
        <v>746.84</v>
      </c>
      <c r="P459" s="13">
        <v>6.0</v>
      </c>
      <c r="Q459" s="14">
        <f t="shared" si="3"/>
        <v>4485.348</v>
      </c>
      <c r="R459" s="14">
        <f t="shared" si="4"/>
        <v>3738.508</v>
      </c>
      <c r="S459" s="14">
        <f t="shared" si="5"/>
        <v>746.84</v>
      </c>
    </row>
    <row r="460">
      <c r="A460" s="12">
        <v>43004.0</v>
      </c>
      <c r="B460" s="12" t="s">
        <v>2329</v>
      </c>
      <c r="C460" s="2">
        <v>42745.0</v>
      </c>
      <c r="D460" s="15" t="str">
        <f t="shared" si="1"/>
        <v>Jan</v>
      </c>
      <c r="E460" s="2" t="str">
        <f t="shared" si="2"/>
        <v>2017</v>
      </c>
      <c r="F460" s="13" t="s">
        <v>41</v>
      </c>
      <c r="G460" s="13" t="s">
        <v>2614</v>
      </c>
      <c r="H460" s="13" t="s">
        <v>2615</v>
      </c>
      <c r="I460" s="13" t="s">
        <v>23</v>
      </c>
      <c r="J460" s="13" t="s">
        <v>219</v>
      </c>
      <c r="K460" s="13" t="s">
        <v>135</v>
      </c>
      <c r="L460" s="13" t="s">
        <v>71</v>
      </c>
      <c r="M460" s="13" t="s">
        <v>38</v>
      </c>
      <c r="N460" s="14">
        <v>8.928</v>
      </c>
      <c r="O460" s="14">
        <v>8.28</v>
      </c>
      <c r="P460" s="13">
        <v>6.0</v>
      </c>
      <c r="Q460" s="14">
        <f t="shared" si="3"/>
        <v>53.568</v>
      </c>
      <c r="R460" s="14">
        <f t="shared" si="4"/>
        <v>45.288</v>
      </c>
      <c r="S460" s="14">
        <f t="shared" si="5"/>
        <v>8.28</v>
      </c>
    </row>
    <row r="461">
      <c r="A461" s="12">
        <v>42719.0</v>
      </c>
      <c r="B461" s="12" t="s">
        <v>2325</v>
      </c>
      <c r="C461" s="2">
        <v>42726.0</v>
      </c>
      <c r="D461" s="15" t="str">
        <f t="shared" si="1"/>
        <v>Dec</v>
      </c>
      <c r="E461" s="2" t="str">
        <f t="shared" si="2"/>
        <v>2016</v>
      </c>
      <c r="F461" s="13" t="s">
        <v>41</v>
      </c>
      <c r="G461" s="13" t="s">
        <v>2505</v>
      </c>
      <c r="H461" s="13" t="s">
        <v>2506</v>
      </c>
      <c r="I461" s="13" t="s">
        <v>23</v>
      </c>
      <c r="J461" s="13" t="s">
        <v>62</v>
      </c>
      <c r="K461" s="13" t="s">
        <v>63</v>
      </c>
      <c r="L461" s="13" t="s">
        <v>37</v>
      </c>
      <c r="M461" s="13" t="s">
        <v>38</v>
      </c>
      <c r="N461" s="14">
        <v>103.92</v>
      </c>
      <c r="O461" s="14">
        <v>103.73</v>
      </c>
      <c r="P461" s="13">
        <v>9.0</v>
      </c>
      <c r="Q461" s="14">
        <f t="shared" si="3"/>
        <v>935.28</v>
      </c>
      <c r="R461" s="14">
        <f t="shared" si="4"/>
        <v>831.55</v>
      </c>
      <c r="S461" s="14">
        <f t="shared" si="5"/>
        <v>103.73</v>
      </c>
    </row>
    <row r="462">
      <c r="A462" s="12">
        <v>42719.0</v>
      </c>
      <c r="B462" s="12" t="s">
        <v>2325</v>
      </c>
      <c r="C462" s="2">
        <v>42726.0</v>
      </c>
      <c r="D462" s="15" t="str">
        <f t="shared" si="1"/>
        <v>Dec</v>
      </c>
      <c r="E462" s="2" t="str">
        <f t="shared" si="2"/>
        <v>2016</v>
      </c>
      <c r="F462" s="13" t="s">
        <v>41</v>
      </c>
      <c r="G462" s="13" t="s">
        <v>2505</v>
      </c>
      <c r="H462" s="13" t="s">
        <v>2506</v>
      </c>
      <c r="I462" s="13" t="s">
        <v>23</v>
      </c>
      <c r="J462" s="13" t="s">
        <v>62</v>
      </c>
      <c r="K462" s="13" t="s">
        <v>63</v>
      </c>
      <c r="L462" s="13" t="s">
        <v>37</v>
      </c>
      <c r="M462" s="13" t="s">
        <v>51</v>
      </c>
      <c r="N462" s="14">
        <v>899.91</v>
      </c>
      <c r="O462" s="14">
        <v>899.67</v>
      </c>
      <c r="P462" s="13">
        <v>9.0</v>
      </c>
      <c r="Q462" s="14">
        <f t="shared" si="3"/>
        <v>8099.19</v>
      </c>
      <c r="R462" s="14">
        <f t="shared" si="4"/>
        <v>7199.52</v>
      </c>
      <c r="S462" s="14">
        <f t="shared" si="5"/>
        <v>899.67</v>
      </c>
    </row>
    <row r="463">
      <c r="A463" s="12">
        <v>42719.0</v>
      </c>
      <c r="B463" s="12" t="s">
        <v>2325</v>
      </c>
      <c r="C463" s="2">
        <v>42726.0</v>
      </c>
      <c r="D463" s="15" t="str">
        <f t="shared" si="1"/>
        <v>Dec</v>
      </c>
      <c r="E463" s="2" t="str">
        <f t="shared" si="2"/>
        <v>2016</v>
      </c>
      <c r="F463" s="13" t="s">
        <v>41</v>
      </c>
      <c r="G463" s="13" t="s">
        <v>2505</v>
      </c>
      <c r="H463" s="13" t="s">
        <v>2506</v>
      </c>
      <c r="I463" s="13" t="s">
        <v>23</v>
      </c>
      <c r="J463" s="13" t="s">
        <v>62</v>
      </c>
      <c r="K463" s="13" t="s">
        <v>63</v>
      </c>
      <c r="L463" s="13" t="s">
        <v>37</v>
      </c>
      <c r="M463" s="13" t="s">
        <v>38</v>
      </c>
      <c r="N463" s="14">
        <v>51.312</v>
      </c>
      <c r="O463" s="14">
        <v>50.41</v>
      </c>
      <c r="P463" s="13">
        <v>9.0</v>
      </c>
      <c r="Q463" s="14">
        <f t="shared" si="3"/>
        <v>461.808</v>
      </c>
      <c r="R463" s="14">
        <f t="shared" si="4"/>
        <v>411.398</v>
      </c>
      <c r="S463" s="14">
        <f t="shared" si="5"/>
        <v>50.41</v>
      </c>
    </row>
    <row r="464">
      <c r="A464" s="12">
        <v>42847.0</v>
      </c>
      <c r="B464" s="12" t="s">
        <v>2332</v>
      </c>
      <c r="C464" s="2">
        <v>42854.0</v>
      </c>
      <c r="D464" s="15" t="str">
        <f t="shared" si="1"/>
        <v>Apr</v>
      </c>
      <c r="E464" s="2" t="str">
        <f t="shared" si="2"/>
        <v>2017</v>
      </c>
      <c r="F464" s="13" t="s">
        <v>41</v>
      </c>
      <c r="G464" s="13" t="s">
        <v>2629</v>
      </c>
      <c r="H464" s="13" t="s">
        <v>2630</v>
      </c>
      <c r="I464" s="13" t="s">
        <v>68</v>
      </c>
      <c r="J464" s="13" t="s">
        <v>328</v>
      </c>
      <c r="K464" s="13" t="s">
        <v>193</v>
      </c>
      <c r="L464" s="13" t="s">
        <v>37</v>
      </c>
      <c r="M464" s="13" t="s">
        <v>27</v>
      </c>
      <c r="N464" s="14">
        <v>23.56</v>
      </c>
      <c r="O464" s="14">
        <v>23.16</v>
      </c>
      <c r="P464" s="13">
        <v>8.0</v>
      </c>
      <c r="Q464" s="14">
        <f t="shared" si="3"/>
        <v>188.48</v>
      </c>
      <c r="R464" s="14">
        <f t="shared" si="4"/>
        <v>165.32</v>
      </c>
      <c r="S464" s="14">
        <f t="shared" si="5"/>
        <v>23.16</v>
      </c>
    </row>
    <row r="465">
      <c r="A465" s="12">
        <v>42847.0</v>
      </c>
      <c r="B465" s="12" t="s">
        <v>2332</v>
      </c>
      <c r="C465" s="2">
        <v>42854.0</v>
      </c>
      <c r="D465" s="15" t="str">
        <f t="shared" si="1"/>
        <v>Apr</v>
      </c>
      <c r="E465" s="2" t="str">
        <f t="shared" si="2"/>
        <v>2017</v>
      </c>
      <c r="F465" s="13" t="s">
        <v>41</v>
      </c>
      <c r="G465" s="13" t="s">
        <v>2629</v>
      </c>
      <c r="H465" s="13" t="s">
        <v>2630</v>
      </c>
      <c r="I465" s="13" t="s">
        <v>68</v>
      </c>
      <c r="J465" s="13" t="s">
        <v>328</v>
      </c>
      <c r="K465" s="13" t="s">
        <v>193</v>
      </c>
      <c r="L465" s="13" t="s">
        <v>37</v>
      </c>
      <c r="M465" s="13" t="s">
        <v>27</v>
      </c>
      <c r="N465" s="14">
        <v>1272.63</v>
      </c>
      <c r="O465" s="14">
        <v>1272.51</v>
      </c>
      <c r="P465" s="13">
        <v>8.0</v>
      </c>
      <c r="Q465" s="14">
        <f t="shared" si="3"/>
        <v>10181.04</v>
      </c>
      <c r="R465" s="14">
        <f t="shared" si="4"/>
        <v>8908.53</v>
      </c>
      <c r="S465" s="14">
        <f t="shared" si="5"/>
        <v>1272.51</v>
      </c>
    </row>
    <row r="466">
      <c r="A466" s="12">
        <v>42847.0</v>
      </c>
      <c r="B466" s="12" t="s">
        <v>2332</v>
      </c>
      <c r="C466" s="2">
        <v>42854.0</v>
      </c>
      <c r="D466" s="15" t="str">
        <f t="shared" si="1"/>
        <v>Apr</v>
      </c>
      <c r="E466" s="2" t="str">
        <f t="shared" si="2"/>
        <v>2017</v>
      </c>
      <c r="F466" s="13" t="s">
        <v>41</v>
      </c>
      <c r="G466" s="13" t="s">
        <v>2629</v>
      </c>
      <c r="H466" s="13" t="s">
        <v>2630</v>
      </c>
      <c r="I466" s="13" t="s">
        <v>68</v>
      </c>
      <c r="J466" s="13" t="s">
        <v>328</v>
      </c>
      <c r="K466" s="13" t="s">
        <v>193</v>
      </c>
      <c r="L466" s="13" t="s">
        <v>37</v>
      </c>
      <c r="M466" s="13" t="s">
        <v>38</v>
      </c>
      <c r="N466" s="14">
        <v>28.485</v>
      </c>
      <c r="O466" s="14">
        <v>28.44</v>
      </c>
      <c r="P466" s="13">
        <v>8.0</v>
      </c>
      <c r="Q466" s="14">
        <f t="shared" si="3"/>
        <v>227.88</v>
      </c>
      <c r="R466" s="14">
        <f t="shared" si="4"/>
        <v>199.44</v>
      </c>
      <c r="S466" s="14">
        <f t="shared" si="5"/>
        <v>28.44</v>
      </c>
    </row>
    <row r="467">
      <c r="A467" s="12">
        <v>42847.0</v>
      </c>
      <c r="B467" s="12" t="s">
        <v>2332</v>
      </c>
      <c r="C467" s="2">
        <v>42854.0</v>
      </c>
      <c r="D467" s="15" t="str">
        <f t="shared" si="1"/>
        <v>Apr</v>
      </c>
      <c r="E467" s="2" t="str">
        <f t="shared" si="2"/>
        <v>2017</v>
      </c>
      <c r="F467" s="13" t="s">
        <v>41</v>
      </c>
      <c r="G467" s="13" t="s">
        <v>2629</v>
      </c>
      <c r="H467" s="13" t="s">
        <v>2630</v>
      </c>
      <c r="I467" s="13" t="s">
        <v>68</v>
      </c>
      <c r="J467" s="13" t="s">
        <v>328</v>
      </c>
      <c r="K467" s="13" t="s">
        <v>193</v>
      </c>
      <c r="L467" s="13" t="s">
        <v>37</v>
      </c>
      <c r="M467" s="13" t="s">
        <v>38</v>
      </c>
      <c r="N467" s="14">
        <v>185.376</v>
      </c>
      <c r="O467" s="14">
        <v>184.43</v>
      </c>
      <c r="P467" s="13">
        <v>8.0</v>
      </c>
      <c r="Q467" s="14">
        <f t="shared" si="3"/>
        <v>1483.008</v>
      </c>
      <c r="R467" s="14">
        <f t="shared" si="4"/>
        <v>1298.578</v>
      </c>
      <c r="S467" s="14">
        <f t="shared" si="5"/>
        <v>184.43</v>
      </c>
    </row>
    <row r="468">
      <c r="A468" s="12">
        <v>42847.0</v>
      </c>
      <c r="B468" s="12" t="s">
        <v>2332</v>
      </c>
      <c r="C468" s="2">
        <v>42854.0</v>
      </c>
      <c r="D468" s="15" t="str">
        <f t="shared" si="1"/>
        <v>Apr</v>
      </c>
      <c r="E468" s="2" t="str">
        <f t="shared" si="2"/>
        <v>2017</v>
      </c>
      <c r="F468" s="13" t="s">
        <v>41</v>
      </c>
      <c r="G468" s="13" t="s">
        <v>2629</v>
      </c>
      <c r="H468" s="13" t="s">
        <v>2630</v>
      </c>
      <c r="I468" s="13" t="s">
        <v>68</v>
      </c>
      <c r="J468" s="13" t="s">
        <v>328</v>
      </c>
      <c r="K468" s="13" t="s">
        <v>193</v>
      </c>
      <c r="L468" s="13" t="s">
        <v>37</v>
      </c>
      <c r="M468" s="13" t="s">
        <v>38</v>
      </c>
      <c r="N468" s="14">
        <v>78.272</v>
      </c>
      <c r="O468" s="14">
        <v>77.64</v>
      </c>
      <c r="P468" s="13">
        <v>8.0</v>
      </c>
      <c r="Q468" s="14">
        <f t="shared" si="3"/>
        <v>626.176</v>
      </c>
      <c r="R468" s="14">
        <f t="shared" si="4"/>
        <v>548.536</v>
      </c>
      <c r="S468" s="14">
        <f t="shared" si="5"/>
        <v>77.64</v>
      </c>
    </row>
    <row r="469">
      <c r="A469" s="12">
        <v>42386.0</v>
      </c>
      <c r="B469" s="12" t="s">
        <v>2353</v>
      </c>
      <c r="C469" s="2">
        <v>42393.0</v>
      </c>
      <c r="D469" s="15" t="str">
        <f t="shared" si="1"/>
        <v>Jan</v>
      </c>
      <c r="E469" s="2" t="str">
        <f t="shared" si="2"/>
        <v>2016</v>
      </c>
      <c r="F469" s="13" t="s">
        <v>41</v>
      </c>
      <c r="G469" s="13" t="s">
        <v>2511</v>
      </c>
      <c r="H469" s="13" t="s">
        <v>2631</v>
      </c>
      <c r="I469" s="13" t="s">
        <v>68</v>
      </c>
      <c r="J469" s="13" t="s">
        <v>889</v>
      </c>
      <c r="K469" s="13" t="s">
        <v>135</v>
      </c>
      <c r="L469" s="13" t="s">
        <v>71</v>
      </c>
      <c r="M469" s="13" t="s">
        <v>27</v>
      </c>
      <c r="N469" s="14">
        <v>254.744</v>
      </c>
      <c r="O469" s="14">
        <v>254.06</v>
      </c>
      <c r="P469" s="13">
        <v>6.0</v>
      </c>
      <c r="Q469" s="14">
        <f t="shared" si="3"/>
        <v>1528.464</v>
      </c>
      <c r="R469" s="14">
        <f t="shared" si="4"/>
        <v>1274.404</v>
      </c>
      <c r="S469" s="14">
        <f t="shared" si="5"/>
        <v>254.06</v>
      </c>
    </row>
    <row r="470">
      <c r="A470" s="12">
        <v>43190.0</v>
      </c>
      <c r="B470" s="12" t="s">
        <v>2399</v>
      </c>
      <c r="C470" s="2">
        <v>43194.0</v>
      </c>
      <c r="D470" s="15" t="str">
        <f t="shared" si="1"/>
        <v>Apr</v>
      </c>
      <c r="E470" s="2" t="str">
        <f t="shared" si="2"/>
        <v>2018</v>
      </c>
      <c r="F470" s="13" t="s">
        <v>41</v>
      </c>
      <c r="G470" s="13" t="s">
        <v>2478</v>
      </c>
      <c r="H470" s="13" t="s">
        <v>2370</v>
      </c>
      <c r="I470" s="13" t="s">
        <v>34</v>
      </c>
      <c r="J470" s="13" t="s">
        <v>891</v>
      </c>
      <c r="K470" s="13" t="s">
        <v>70</v>
      </c>
      <c r="L470" s="13" t="s">
        <v>71</v>
      </c>
      <c r="M470" s="13" t="s">
        <v>27</v>
      </c>
      <c r="N470" s="14">
        <v>205.3328</v>
      </c>
      <c r="O470" s="14">
        <v>205.18</v>
      </c>
      <c r="P470" s="13">
        <v>7.0</v>
      </c>
      <c r="Q470" s="14">
        <f t="shared" si="3"/>
        <v>1437.3296</v>
      </c>
      <c r="R470" s="14">
        <f t="shared" si="4"/>
        <v>1232.1496</v>
      </c>
      <c r="S470" s="14">
        <f t="shared" si="5"/>
        <v>205.18</v>
      </c>
    </row>
    <row r="471">
      <c r="A471" s="12">
        <v>43085.0</v>
      </c>
      <c r="B471" s="12" t="s">
        <v>2325</v>
      </c>
      <c r="C471" s="2">
        <v>43089.0</v>
      </c>
      <c r="D471" s="15" t="str">
        <f t="shared" si="1"/>
        <v>Dec</v>
      </c>
      <c r="E471" s="2" t="str">
        <f t="shared" si="2"/>
        <v>2017</v>
      </c>
      <c r="F471" s="13" t="s">
        <v>20</v>
      </c>
      <c r="G471" s="13" t="s">
        <v>2523</v>
      </c>
      <c r="H471" s="13" t="s">
        <v>2524</v>
      </c>
      <c r="I471" s="13" t="s">
        <v>23</v>
      </c>
      <c r="J471" s="13" t="s">
        <v>188</v>
      </c>
      <c r="K471" s="13" t="s">
        <v>135</v>
      </c>
      <c r="L471" s="13" t="s">
        <v>71</v>
      </c>
      <c r="M471" s="13" t="s">
        <v>38</v>
      </c>
      <c r="N471" s="14">
        <v>4.788</v>
      </c>
      <c r="O471" s="14">
        <v>4.67</v>
      </c>
      <c r="P471" s="13">
        <v>6.0</v>
      </c>
      <c r="Q471" s="14">
        <f t="shared" si="3"/>
        <v>28.728</v>
      </c>
      <c r="R471" s="14">
        <f t="shared" si="4"/>
        <v>24.058</v>
      </c>
      <c r="S471" s="14">
        <f t="shared" si="5"/>
        <v>4.67</v>
      </c>
    </row>
    <row r="472">
      <c r="A472" s="12">
        <v>42724.0</v>
      </c>
      <c r="B472" s="12" t="s">
        <v>2325</v>
      </c>
      <c r="C472" s="2">
        <v>42728.0</v>
      </c>
      <c r="D472" s="15" t="str">
        <f t="shared" si="1"/>
        <v>Dec</v>
      </c>
      <c r="E472" s="2" t="str">
        <f t="shared" si="2"/>
        <v>2016</v>
      </c>
      <c r="F472" s="13" t="s">
        <v>41</v>
      </c>
      <c r="G472" s="13" t="s">
        <v>2632</v>
      </c>
      <c r="H472" s="13" t="s">
        <v>2633</v>
      </c>
      <c r="I472" s="13" t="s">
        <v>34</v>
      </c>
      <c r="J472" s="13" t="s">
        <v>896</v>
      </c>
      <c r="K472" s="13" t="s">
        <v>175</v>
      </c>
      <c r="L472" s="13" t="s">
        <v>100</v>
      </c>
      <c r="M472" s="13" t="s">
        <v>38</v>
      </c>
      <c r="N472" s="14">
        <v>55.48</v>
      </c>
      <c r="O472" s="14">
        <v>55.37</v>
      </c>
      <c r="P472" s="13">
        <v>1.0</v>
      </c>
      <c r="Q472" s="14">
        <f t="shared" si="3"/>
        <v>55.48</v>
      </c>
      <c r="R472" s="14">
        <f t="shared" si="4"/>
        <v>0.11</v>
      </c>
      <c r="S472" s="14">
        <f t="shared" si="5"/>
        <v>55.37</v>
      </c>
    </row>
    <row r="473">
      <c r="A473" s="12">
        <v>42258.0</v>
      </c>
      <c r="B473" s="12" t="s">
        <v>2329</v>
      </c>
      <c r="C473" s="2">
        <v>42319.0</v>
      </c>
      <c r="D473" s="15" t="str">
        <f t="shared" si="1"/>
        <v>Nov</v>
      </c>
      <c r="E473" s="2" t="str">
        <f t="shared" si="2"/>
        <v>2015</v>
      </c>
      <c r="F473" s="13" t="s">
        <v>20</v>
      </c>
      <c r="G473" s="13" t="s">
        <v>2570</v>
      </c>
      <c r="H473" s="13" t="s">
        <v>2634</v>
      </c>
      <c r="I473" s="13" t="s">
        <v>23</v>
      </c>
      <c r="J473" s="13" t="s">
        <v>87</v>
      </c>
      <c r="K473" s="13" t="s">
        <v>52</v>
      </c>
      <c r="L473" s="13" t="s">
        <v>37</v>
      </c>
      <c r="M473" s="13" t="s">
        <v>38</v>
      </c>
      <c r="N473" s="14">
        <v>340.92</v>
      </c>
      <c r="O473" s="14">
        <v>340.43</v>
      </c>
      <c r="P473" s="13">
        <v>9.0</v>
      </c>
      <c r="Q473" s="14">
        <f t="shared" si="3"/>
        <v>3068.28</v>
      </c>
      <c r="R473" s="14">
        <f t="shared" si="4"/>
        <v>2727.85</v>
      </c>
      <c r="S473" s="14">
        <f t="shared" si="5"/>
        <v>340.43</v>
      </c>
    </row>
    <row r="474">
      <c r="A474" s="12">
        <v>42258.0</v>
      </c>
      <c r="B474" s="12" t="s">
        <v>2329</v>
      </c>
      <c r="C474" s="2">
        <v>42319.0</v>
      </c>
      <c r="D474" s="15" t="str">
        <f t="shared" si="1"/>
        <v>Nov</v>
      </c>
      <c r="E474" s="2" t="str">
        <f t="shared" si="2"/>
        <v>2015</v>
      </c>
      <c r="F474" s="13" t="s">
        <v>20</v>
      </c>
      <c r="G474" s="13" t="s">
        <v>2570</v>
      </c>
      <c r="H474" s="13" t="s">
        <v>2634</v>
      </c>
      <c r="I474" s="13" t="s">
        <v>23</v>
      </c>
      <c r="J474" s="13" t="s">
        <v>87</v>
      </c>
      <c r="K474" s="13" t="s">
        <v>52</v>
      </c>
      <c r="L474" s="13" t="s">
        <v>37</v>
      </c>
      <c r="M474" s="13" t="s">
        <v>27</v>
      </c>
      <c r="N474" s="14">
        <v>222.666</v>
      </c>
      <c r="O474" s="14">
        <v>221.73</v>
      </c>
      <c r="P474" s="13">
        <v>9.0</v>
      </c>
      <c r="Q474" s="14">
        <f t="shared" si="3"/>
        <v>2003.994</v>
      </c>
      <c r="R474" s="14">
        <f t="shared" si="4"/>
        <v>1782.264</v>
      </c>
      <c r="S474" s="14">
        <f t="shared" si="5"/>
        <v>221.73</v>
      </c>
    </row>
    <row r="475">
      <c r="A475" s="12">
        <v>42258.0</v>
      </c>
      <c r="B475" s="12" t="s">
        <v>2329</v>
      </c>
      <c r="C475" s="2">
        <v>42319.0</v>
      </c>
      <c r="D475" s="15" t="str">
        <f t="shared" si="1"/>
        <v>Nov</v>
      </c>
      <c r="E475" s="2" t="str">
        <f t="shared" si="2"/>
        <v>2015</v>
      </c>
      <c r="F475" s="13" t="s">
        <v>20</v>
      </c>
      <c r="G475" s="13" t="s">
        <v>2570</v>
      </c>
      <c r="H475" s="13" t="s">
        <v>2634</v>
      </c>
      <c r="I475" s="13" t="s">
        <v>23</v>
      </c>
      <c r="J475" s="13" t="s">
        <v>87</v>
      </c>
      <c r="K475" s="13" t="s">
        <v>52</v>
      </c>
      <c r="L475" s="13" t="s">
        <v>37</v>
      </c>
      <c r="M475" s="13" t="s">
        <v>51</v>
      </c>
      <c r="N475" s="14">
        <v>703.968</v>
      </c>
      <c r="O475" s="14">
        <v>703.77</v>
      </c>
      <c r="P475" s="13">
        <v>9.0</v>
      </c>
      <c r="Q475" s="14">
        <f t="shared" si="3"/>
        <v>6335.712</v>
      </c>
      <c r="R475" s="14">
        <f t="shared" si="4"/>
        <v>5631.942</v>
      </c>
      <c r="S475" s="14">
        <f t="shared" si="5"/>
        <v>703.77</v>
      </c>
    </row>
    <row r="476">
      <c r="A476" s="12">
        <v>42258.0</v>
      </c>
      <c r="B476" s="12" t="s">
        <v>2329</v>
      </c>
      <c r="C476" s="2">
        <v>42319.0</v>
      </c>
      <c r="D476" s="15" t="str">
        <f t="shared" si="1"/>
        <v>Nov</v>
      </c>
      <c r="E476" s="2" t="str">
        <f t="shared" si="2"/>
        <v>2015</v>
      </c>
      <c r="F476" s="13" t="s">
        <v>20</v>
      </c>
      <c r="G476" s="13" t="s">
        <v>2570</v>
      </c>
      <c r="H476" s="13" t="s">
        <v>2634</v>
      </c>
      <c r="I476" s="13" t="s">
        <v>23</v>
      </c>
      <c r="J476" s="13" t="s">
        <v>87</v>
      </c>
      <c r="K476" s="13" t="s">
        <v>52</v>
      </c>
      <c r="L476" s="13" t="s">
        <v>37</v>
      </c>
      <c r="M476" s="13" t="s">
        <v>38</v>
      </c>
      <c r="N476" s="14">
        <v>92.52</v>
      </c>
      <c r="O476" s="14">
        <v>91.76</v>
      </c>
      <c r="P476" s="13">
        <v>9.0</v>
      </c>
      <c r="Q476" s="14">
        <f t="shared" si="3"/>
        <v>832.68</v>
      </c>
      <c r="R476" s="14">
        <f t="shared" si="4"/>
        <v>740.92</v>
      </c>
      <c r="S476" s="14">
        <f t="shared" si="5"/>
        <v>91.76</v>
      </c>
    </row>
    <row r="477">
      <c r="A477" s="12">
        <v>42258.0</v>
      </c>
      <c r="B477" s="12" t="s">
        <v>2329</v>
      </c>
      <c r="C477" s="2">
        <v>42319.0</v>
      </c>
      <c r="D477" s="15" t="str">
        <f t="shared" si="1"/>
        <v>Nov</v>
      </c>
      <c r="E477" s="2" t="str">
        <f t="shared" si="2"/>
        <v>2015</v>
      </c>
      <c r="F477" s="13" t="s">
        <v>20</v>
      </c>
      <c r="G477" s="13" t="s">
        <v>2570</v>
      </c>
      <c r="H477" s="13" t="s">
        <v>2634</v>
      </c>
      <c r="I477" s="13" t="s">
        <v>23</v>
      </c>
      <c r="J477" s="13" t="s">
        <v>87</v>
      </c>
      <c r="K477" s="13" t="s">
        <v>52</v>
      </c>
      <c r="L477" s="13" t="s">
        <v>37</v>
      </c>
      <c r="M477" s="13" t="s">
        <v>38</v>
      </c>
      <c r="N477" s="14">
        <v>62.65</v>
      </c>
      <c r="O477" s="14">
        <v>61.71</v>
      </c>
      <c r="P477" s="13">
        <v>9.0</v>
      </c>
      <c r="Q477" s="14">
        <f t="shared" si="3"/>
        <v>563.85</v>
      </c>
      <c r="R477" s="14">
        <f t="shared" si="4"/>
        <v>502.14</v>
      </c>
      <c r="S477" s="14">
        <f t="shared" si="5"/>
        <v>61.71</v>
      </c>
    </row>
    <row r="478">
      <c r="A478" s="12">
        <v>42258.0</v>
      </c>
      <c r="B478" s="12" t="s">
        <v>2329</v>
      </c>
      <c r="C478" s="2">
        <v>42319.0</v>
      </c>
      <c r="D478" s="15" t="str">
        <f t="shared" si="1"/>
        <v>Nov</v>
      </c>
      <c r="E478" s="2" t="str">
        <f t="shared" si="2"/>
        <v>2015</v>
      </c>
      <c r="F478" s="13" t="s">
        <v>20</v>
      </c>
      <c r="G478" s="13" t="s">
        <v>2570</v>
      </c>
      <c r="H478" s="13" t="s">
        <v>2634</v>
      </c>
      <c r="I478" s="13" t="s">
        <v>23</v>
      </c>
      <c r="J478" s="13" t="s">
        <v>87</v>
      </c>
      <c r="K478" s="13" t="s">
        <v>52</v>
      </c>
      <c r="L478" s="13" t="s">
        <v>37</v>
      </c>
      <c r="M478" s="13" t="s">
        <v>38</v>
      </c>
      <c r="N478" s="14">
        <v>94.85</v>
      </c>
      <c r="O478" s="14">
        <v>94.19</v>
      </c>
      <c r="P478" s="13">
        <v>9.0</v>
      </c>
      <c r="Q478" s="14">
        <f t="shared" si="3"/>
        <v>853.65</v>
      </c>
      <c r="R478" s="14">
        <f t="shared" si="4"/>
        <v>759.46</v>
      </c>
      <c r="S478" s="14">
        <f t="shared" si="5"/>
        <v>94.19</v>
      </c>
    </row>
    <row r="479">
      <c r="A479" s="12">
        <v>43076.0</v>
      </c>
      <c r="B479" s="12" t="s">
        <v>2325</v>
      </c>
      <c r="C479" s="2">
        <v>42935.0</v>
      </c>
      <c r="D479" s="15" t="str">
        <f t="shared" si="1"/>
        <v>Jul</v>
      </c>
      <c r="E479" s="2" t="str">
        <f t="shared" si="2"/>
        <v>2017</v>
      </c>
      <c r="F479" s="13" t="s">
        <v>41</v>
      </c>
      <c r="G479" s="13" t="s">
        <v>2533</v>
      </c>
      <c r="H479" s="13" t="s">
        <v>2534</v>
      </c>
      <c r="I479" s="13" t="s">
        <v>34</v>
      </c>
      <c r="J479" s="13" t="s">
        <v>35</v>
      </c>
      <c r="K479" s="13" t="s">
        <v>52</v>
      </c>
      <c r="L479" s="13" t="s">
        <v>37</v>
      </c>
      <c r="M479" s="13" t="s">
        <v>51</v>
      </c>
      <c r="N479" s="14">
        <v>95.76</v>
      </c>
      <c r="O479" s="14">
        <v>95.18</v>
      </c>
      <c r="P479" s="13">
        <v>9.0</v>
      </c>
      <c r="Q479" s="14">
        <f t="shared" si="3"/>
        <v>861.84</v>
      </c>
      <c r="R479" s="14">
        <f t="shared" si="4"/>
        <v>766.66</v>
      </c>
      <c r="S479" s="14">
        <f t="shared" si="5"/>
        <v>95.18</v>
      </c>
    </row>
    <row r="480">
      <c r="A480" s="12">
        <v>43035.0</v>
      </c>
      <c r="B480" s="12" t="s">
        <v>2358</v>
      </c>
      <c r="C480" s="2">
        <v>42777.0</v>
      </c>
      <c r="D480" s="15" t="str">
        <f t="shared" si="1"/>
        <v>Feb</v>
      </c>
      <c r="E480" s="2" t="str">
        <f t="shared" si="2"/>
        <v>2017</v>
      </c>
      <c r="F480" s="13" t="s">
        <v>41</v>
      </c>
      <c r="G480" s="13" t="s">
        <v>2570</v>
      </c>
      <c r="H480" s="13" t="s">
        <v>2457</v>
      </c>
      <c r="I480" s="13" t="s">
        <v>23</v>
      </c>
      <c r="J480" s="13" t="s">
        <v>180</v>
      </c>
      <c r="K480" s="13" t="s">
        <v>175</v>
      </c>
      <c r="L480" s="13" t="s">
        <v>100</v>
      </c>
      <c r="M480" s="13" t="s">
        <v>27</v>
      </c>
      <c r="N480" s="14">
        <v>40.2</v>
      </c>
      <c r="O480" s="14">
        <v>39.61</v>
      </c>
      <c r="P480" s="13">
        <v>1.0</v>
      </c>
      <c r="Q480" s="14">
        <f t="shared" si="3"/>
        <v>40.2</v>
      </c>
      <c r="R480" s="14">
        <f t="shared" si="4"/>
        <v>0.59</v>
      </c>
      <c r="S480" s="14">
        <f t="shared" si="5"/>
        <v>39.61</v>
      </c>
    </row>
    <row r="481">
      <c r="A481" s="12">
        <v>42912.0</v>
      </c>
      <c r="B481" s="12" t="s">
        <v>2374</v>
      </c>
      <c r="C481" s="2">
        <v>42773.0</v>
      </c>
      <c r="D481" s="15" t="str">
        <f t="shared" si="1"/>
        <v>Feb</v>
      </c>
      <c r="E481" s="2" t="str">
        <f t="shared" si="2"/>
        <v>2017</v>
      </c>
      <c r="F481" s="13" t="s">
        <v>41</v>
      </c>
      <c r="G481" s="13" t="s">
        <v>2560</v>
      </c>
      <c r="H481" s="13" t="s">
        <v>2635</v>
      </c>
      <c r="I481" s="13" t="s">
        <v>34</v>
      </c>
      <c r="J481" s="13" t="s">
        <v>174</v>
      </c>
      <c r="K481" s="13" t="s">
        <v>175</v>
      </c>
      <c r="L481" s="13" t="s">
        <v>100</v>
      </c>
      <c r="M481" s="13" t="s">
        <v>38</v>
      </c>
      <c r="N481" s="14">
        <v>14.7</v>
      </c>
      <c r="O481" s="14">
        <v>13.71</v>
      </c>
      <c r="P481" s="13">
        <v>1.0</v>
      </c>
      <c r="Q481" s="14">
        <f t="shared" si="3"/>
        <v>14.7</v>
      </c>
      <c r="R481" s="14">
        <f t="shared" si="4"/>
        <v>0.99</v>
      </c>
      <c r="S481" s="14">
        <f t="shared" si="5"/>
        <v>13.71</v>
      </c>
    </row>
    <row r="482">
      <c r="A482" s="12">
        <v>42912.0</v>
      </c>
      <c r="B482" s="12" t="s">
        <v>2374</v>
      </c>
      <c r="C482" s="2">
        <v>42773.0</v>
      </c>
      <c r="D482" s="15" t="str">
        <f t="shared" si="1"/>
        <v>Feb</v>
      </c>
      <c r="E482" s="2" t="str">
        <f t="shared" si="2"/>
        <v>2017</v>
      </c>
      <c r="F482" s="13" t="s">
        <v>41</v>
      </c>
      <c r="G482" s="13" t="s">
        <v>2560</v>
      </c>
      <c r="H482" s="13" t="s">
        <v>2635</v>
      </c>
      <c r="I482" s="13" t="s">
        <v>34</v>
      </c>
      <c r="J482" s="13" t="s">
        <v>174</v>
      </c>
      <c r="K482" s="13" t="s">
        <v>175</v>
      </c>
      <c r="L482" s="13" t="s">
        <v>100</v>
      </c>
      <c r="M482" s="13" t="s">
        <v>38</v>
      </c>
      <c r="N482" s="14">
        <v>704.25</v>
      </c>
      <c r="O482" s="14">
        <v>703.79</v>
      </c>
      <c r="P482" s="13">
        <v>1.0</v>
      </c>
      <c r="Q482" s="14">
        <f t="shared" si="3"/>
        <v>704.25</v>
      </c>
      <c r="R482" s="14">
        <f t="shared" si="4"/>
        <v>0.46</v>
      </c>
      <c r="S482" s="14">
        <f t="shared" si="5"/>
        <v>703.79</v>
      </c>
    </row>
    <row r="483">
      <c r="A483" s="12">
        <v>42165.0</v>
      </c>
      <c r="B483" s="12" t="s">
        <v>2374</v>
      </c>
      <c r="C483" s="2">
        <v>42287.0</v>
      </c>
      <c r="D483" s="15" t="str">
        <f t="shared" si="1"/>
        <v>Oct</v>
      </c>
      <c r="E483" s="2" t="str">
        <f t="shared" si="2"/>
        <v>2015</v>
      </c>
      <c r="F483" s="13" t="s">
        <v>41</v>
      </c>
      <c r="G483" s="13" t="s">
        <v>2636</v>
      </c>
      <c r="H483" s="13" t="s">
        <v>2599</v>
      </c>
      <c r="I483" s="13" t="s">
        <v>23</v>
      </c>
      <c r="J483" s="13" t="s">
        <v>542</v>
      </c>
      <c r="K483" s="13" t="s">
        <v>52</v>
      </c>
      <c r="L483" s="13" t="s">
        <v>37</v>
      </c>
      <c r="M483" s="13" t="s">
        <v>51</v>
      </c>
      <c r="N483" s="14">
        <v>9.09</v>
      </c>
      <c r="O483" s="14">
        <v>8.9</v>
      </c>
      <c r="P483" s="13">
        <v>9.0</v>
      </c>
      <c r="Q483" s="14">
        <f t="shared" si="3"/>
        <v>81.81</v>
      </c>
      <c r="R483" s="14">
        <f t="shared" si="4"/>
        <v>72.91</v>
      </c>
      <c r="S483" s="14">
        <f t="shared" si="5"/>
        <v>8.9</v>
      </c>
    </row>
    <row r="484">
      <c r="A484" s="12">
        <v>42207.0</v>
      </c>
      <c r="B484" s="12" t="s">
        <v>2348</v>
      </c>
      <c r="C484" s="2">
        <v>42212.0</v>
      </c>
      <c r="D484" s="15" t="str">
        <f t="shared" si="1"/>
        <v>Jul</v>
      </c>
      <c r="E484" s="2" t="str">
        <f t="shared" si="2"/>
        <v>2015</v>
      </c>
      <c r="F484" s="13" t="s">
        <v>41</v>
      </c>
      <c r="G484" s="13" t="s">
        <v>2369</v>
      </c>
      <c r="H484" s="13" t="s">
        <v>2637</v>
      </c>
      <c r="I484" s="13" t="s">
        <v>23</v>
      </c>
      <c r="J484" s="13" t="s">
        <v>174</v>
      </c>
      <c r="K484" s="13" t="s">
        <v>175</v>
      </c>
      <c r="L484" s="13" t="s">
        <v>100</v>
      </c>
      <c r="M484" s="13" t="s">
        <v>38</v>
      </c>
      <c r="N484" s="14">
        <v>5.96</v>
      </c>
      <c r="O484" s="14">
        <v>4.97</v>
      </c>
      <c r="P484" s="13">
        <v>1.0</v>
      </c>
      <c r="Q484" s="14">
        <f t="shared" si="3"/>
        <v>5.96</v>
      </c>
      <c r="R484" s="14">
        <f t="shared" si="4"/>
        <v>0.99</v>
      </c>
      <c r="S484" s="14">
        <f t="shared" si="5"/>
        <v>4.97</v>
      </c>
    </row>
    <row r="485">
      <c r="A485" s="12">
        <v>42207.0</v>
      </c>
      <c r="B485" s="12" t="s">
        <v>2348</v>
      </c>
      <c r="C485" s="2">
        <v>42212.0</v>
      </c>
      <c r="D485" s="15" t="str">
        <f t="shared" si="1"/>
        <v>Jul</v>
      </c>
      <c r="E485" s="2" t="str">
        <f t="shared" si="2"/>
        <v>2015</v>
      </c>
      <c r="F485" s="13" t="s">
        <v>41</v>
      </c>
      <c r="G485" s="13" t="s">
        <v>2369</v>
      </c>
      <c r="H485" s="13" t="s">
        <v>2637</v>
      </c>
      <c r="I485" s="13" t="s">
        <v>23</v>
      </c>
      <c r="J485" s="13" t="s">
        <v>174</v>
      </c>
      <c r="K485" s="13" t="s">
        <v>175</v>
      </c>
      <c r="L485" s="13" t="s">
        <v>100</v>
      </c>
      <c r="M485" s="13" t="s">
        <v>51</v>
      </c>
      <c r="N485" s="14">
        <v>159.98</v>
      </c>
      <c r="O485" s="14">
        <v>159.24</v>
      </c>
      <c r="P485" s="13">
        <v>1.0</v>
      </c>
      <c r="Q485" s="14">
        <f t="shared" si="3"/>
        <v>159.98</v>
      </c>
      <c r="R485" s="14">
        <f t="shared" si="4"/>
        <v>0.74</v>
      </c>
      <c r="S485" s="14">
        <f t="shared" si="5"/>
        <v>159.24</v>
      </c>
    </row>
    <row r="486">
      <c r="A486" s="12">
        <v>43379.0</v>
      </c>
      <c r="B486" s="12" t="s">
        <v>2358</v>
      </c>
      <c r="C486" s="2">
        <v>43264.0</v>
      </c>
      <c r="D486" s="15" t="str">
        <f t="shared" si="1"/>
        <v>Jun</v>
      </c>
      <c r="E486" s="2" t="str">
        <f t="shared" si="2"/>
        <v>2018</v>
      </c>
      <c r="F486" s="13" t="s">
        <v>121</v>
      </c>
      <c r="G486" s="13" t="s">
        <v>2638</v>
      </c>
      <c r="H486" s="13" t="s">
        <v>2639</v>
      </c>
      <c r="I486" s="13" t="s">
        <v>68</v>
      </c>
      <c r="J486" s="13" t="s">
        <v>35</v>
      </c>
      <c r="K486" s="13" t="s">
        <v>52</v>
      </c>
      <c r="L486" s="13" t="s">
        <v>37</v>
      </c>
      <c r="M486" s="13" t="s">
        <v>38</v>
      </c>
      <c r="N486" s="14">
        <v>29.6</v>
      </c>
      <c r="O486" s="14">
        <v>29.14</v>
      </c>
      <c r="P486" s="13">
        <v>9.0</v>
      </c>
      <c r="Q486" s="14">
        <f t="shared" si="3"/>
        <v>266.4</v>
      </c>
      <c r="R486" s="14">
        <f t="shared" si="4"/>
        <v>237.26</v>
      </c>
      <c r="S486" s="14">
        <f t="shared" si="5"/>
        <v>29.14</v>
      </c>
    </row>
    <row r="487">
      <c r="A487" s="12">
        <v>43379.0</v>
      </c>
      <c r="B487" s="12" t="s">
        <v>2358</v>
      </c>
      <c r="C487" s="2">
        <v>43264.0</v>
      </c>
      <c r="D487" s="15" t="str">
        <f t="shared" si="1"/>
        <v>Jun</v>
      </c>
      <c r="E487" s="2" t="str">
        <f t="shared" si="2"/>
        <v>2018</v>
      </c>
      <c r="F487" s="13" t="s">
        <v>121</v>
      </c>
      <c r="G487" s="13" t="s">
        <v>2638</v>
      </c>
      <c r="H487" s="13" t="s">
        <v>2639</v>
      </c>
      <c r="I487" s="13" t="s">
        <v>68</v>
      </c>
      <c r="J487" s="13" t="s">
        <v>35</v>
      </c>
      <c r="K487" s="13" t="s">
        <v>52</v>
      </c>
      <c r="L487" s="13" t="s">
        <v>37</v>
      </c>
      <c r="M487" s="13" t="s">
        <v>27</v>
      </c>
      <c r="N487" s="14">
        <v>514.165</v>
      </c>
      <c r="O487" s="14">
        <v>513.37</v>
      </c>
      <c r="P487" s="13">
        <v>9.0</v>
      </c>
      <c r="Q487" s="14">
        <f t="shared" si="3"/>
        <v>4627.485</v>
      </c>
      <c r="R487" s="14">
        <f t="shared" si="4"/>
        <v>4114.115</v>
      </c>
      <c r="S487" s="14">
        <f t="shared" si="5"/>
        <v>513.37</v>
      </c>
    </row>
    <row r="488">
      <c r="A488" s="12">
        <v>43379.0</v>
      </c>
      <c r="B488" s="12" t="s">
        <v>2358</v>
      </c>
      <c r="C488" s="2">
        <v>43264.0</v>
      </c>
      <c r="D488" s="15" t="str">
        <f t="shared" si="1"/>
        <v>Jun</v>
      </c>
      <c r="E488" s="2" t="str">
        <f t="shared" si="2"/>
        <v>2018</v>
      </c>
      <c r="F488" s="13" t="s">
        <v>121</v>
      </c>
      <c r="G488" s="13" t="s">
        <v>2638</v>
      </c>
      <c r="H488" s="13" t="s">
        <v>2639</v>
      </c>
      <c r="I488" s="13" t="s">
        <v>68</v>
      </c>
      <c r="J488" s="13" t="s">
        <v>35</v>
      </c>
      <c r="K488" s="13" t="s">
        <v>52</v>
      </c>
      <c r="L488" s="13" t="s">
        <v>37</v>
      </c>
      <c r="M488" s="13" t="s">
        <v>51</v>
      </c>
      <c r="N488" s="14">
        <v>279.96</v>
      </c>
      <c r="O488" s="14">
        <v>279.24</v>
      </c>
      <c r="P488" s="13">
        <v>9.0</v>
      </c>
      <c r="Q488" s="14">
        <f t="shared" si="3"/>
        <v>2519.64</v>
      </c>
      <c r="R488" s="14">
        <f t="shared" si="4"/>
        <v>2240.4</v>
      </c>
      <c r="S488" s="14">
        <f t="shared" si="5"/>
        <v>279.24</v>
      </c>
    </row>
    <row r="489">
      <c r="A489" s="12">
        <v>42306.0</v>
      </c>
      <c r="B489" s="12" t="s">
        <v>2358</v>
      </c>
      <c r="C489" s="2">
        <v>42308.0</v>
      </c>
      <c r="D489" s="15" t="str">
        <f t="shared" si="1"/>
        <v>Oct</v>
      </c>
      <c r="E489" s="2" t="str">
        <f t="shared" si="2"/>
        <v>2015</v>
      </c>
      <c r="F489" s="13" t="s">
        <v>121</v>
      </c>
      <c r="G489" s="13" t="s">
        <v>922</v>
      </c>
      <c r="H489" s="13" t="s">
        <v>923</v>
      </c>
      <c r="I489" s="13" t="s">
        <v>23</v>
      </c>
      <c r="J489" s="13" t="s">
        <v>188</v>
      </c>
      <c r="K489" s="13" t="s">
        <v>135</v>
      </c>
      <c r="L489" s="13" t="s">
        <v>71</v>
      </c>
      <c r="M489" s="13" t="s">
        <v>51</v>
      </c>
      <c r="N489" s="14">
        <v>2735.952</v>
      </c>
      <c r="O489" s="14">
        <v>2735.58</v>
      </c>
      <c r="P489" s="13">
        <v>6.0</v>
      </c>
      <c r="Q489" s="14">
        <f t="shared" si="3"/>
        <v>16415.712</v>
      </c>
      <c r="R489" s="14">
        <f t="shared" si="4"/>
        <v>13680.132</v>
      </c>
      <c r="S489" s="14">
        <f t="shared" si="5"/>
        <v>2735.58</v>
      </c>
    </row>
    <row r="490">
      <c r="A490" s="12">
        <v>42253.0</v>
      </c>
      <c r="B490" s="12" t="s">
        <v>2329</v>
      </c>
      <c r="C490" s="2">
        <v>42168.0</v>
      </c>
      <c r="D490" s="15" t="str">
        <f t="shared" si="1"/>
        <v>Jun</v>
      </c>
      <c r="E490" s="2" t="str">
        <f t="shared" si="2"/>
        <v>2015</v>
      </c>
      <c r="F490" s="13" t="s">
        <v>20</v>
      </c>
      <c r="G490" s="13" t="s">
        <v>2640</v>
      </c>
      <c r="H490" s="13" t="s">
        <v>2641</v>
      </c>
      <c r="I490" s="13" t="s">
        <v>68</v>
      </c>
      <c r="J490" s="13" t="s">
        <v>928</v>
      </c>
      <c r="K490" s="13" t="s">
        <v>70</v>
      </c>
      <c r="L490" s="13" t="s">
        <v>71</v>
      </c>
      <c r="M490" s="13" t="s">
        <v>51</v>
      </c>
      <c r="N490" s="14">
        <v>7.992</v>
      </c>
      <c r="O490" s="14">
        <v>7.29</v>
      </c>
      <c r="P490" s="13">
        <v>7.0</v>
      </c>
      <c r="Q490" s="14">
        <f t="shared" si="3"/>
        <v>55.944</v>
      </c>
      <c r="R490" s="14">
        <f t="shared" si="4"/>
        <v>48.654</v>
      </c>
      <c r="S490" s="14">
        <f t="shared" si="5"/>
        <v>7.29</v>
      </c>
    </row>
    <row r="491">
      <c r="A491" s="12">
        <v>42253.0</v>
      </c>
      <c r="B491" s="12" t="s">
        <v>2329</v>
      </c>
      <c r="C491" s="2">
        <v>42168.0</v>
      </c>
      <c r="D491" s="15" t="str">
        <f t="shared" si="1"/>
        <v>Jun</v>
      </c>
      <c r="E491" s="2" t="str">
        <f t="shared" si="2"/>
        <v>2015</v>
      </c>
      <c r="F491" s="13" t="s">
        <v>20</v>
      </c>
      <c r="G491" s="13" t="s">
        <v>2640</v>
      </c>
      <c r="H491" s="13" t="s">
        <v>2641</v>
      </c>
      <c r="I491" s="13" t="s">
        <v>68</v>
      </c>
      <c r="J491" s="13" t="s">
        <v>928</v>
      </c>
      <c r="K491" s="13" t="s">
        <v>70</v>
      </c>
      <c r="L491" s="13" t="s">
        <v>71</v>
      </c>
      <c r="M491" s="13" t="s">
        <v>51</v>
      </c>
      <c r="N491" s="14">
        <v>63.984</v>
      </c>
      <c r="O491" s="14">
        <v>63.56</v>
      </c>
      <c r="P491" s="13">
        <v>7.0</v>
      </c>
      <c r="Q491" s="14">
        <f t="shared" si="3"/>
        <v>447.888</v>
      </c>
      <c r="R491" s="14">
        <f t="shared" si="4"/>
        <v>384.328</v>
      </c>
      <c r="S491" s="14">
        <f t="shared" si="5"/>
        <v>63.56</v>
      </c>
    </row>
    <row r="492">
      <c r="A492" s="12">
        <v>42253.0</v>
      </c>
      <c r="B492" s="12" t="s">
        <v>2329</v>
      </c>
      <c r="C492" s="2">
        <v>42168.0</v>
      </c>
      <c r="D492" s="15" t="str">
        <f t="shared" si="1"/>
        <v>Jun</v>
      </c>
      <c r="E492" s="2" t="str">
        <f t="shared" si="2"/>
        <v>2015</v>
      </c>
      <c r="F492" s="13" t="s">
        <v>20</v>
      </c>
      <c r="G492" s="13" t="s">
        <v>2640</v>
      </c>
      <c r="H492" s="13" t="s">
        <v>2641</v>
      </c>
      <c r="I492" s="13" t="s">
        <v>68</v>
      </c>
      <c r="J492" s="13" t="s">
        <v>928</v>
      </c>
      <c r="K492" s="13" t="s">
        <v>70</v>
      </c>
      <c r="L492" s="13" t="s">
        <v>71</v>
      </c>
      <c r="M492" s="13" t="s">
        <v>38</v>
      </c>
      <c r="N492" s="14">
        <v>70.368</v>
      </c>
      <c r="O492" s="14">
        <v>69.68</v>
      </c>
      <c r="P492" s="13">
        <v>7.0</v>
      </c>
      <c r="Q492" s="14">
        <f t="shared" si="3"/>
        <v>492.576</v>
      </c>
      <c r="R492" s="14">
        <f t="shared" si="4"/>
        <v>422.896</v>
      </c>
      <c r="S492" s="14">
        <f t="shared" si="5"/>
        <v>69.68</v>
      </c>
    </row>
    <row r="493">
      <c r="A493" s="12">
        <v>42261.0</v>
      </c>
      <c r="B493" s="12" t="s">
        <v>2329</v>
      </c>
      <c r="C493" s="2">
        <v>42266.0</v>
      </c>
      <c r="D493" s="15" t="str">
        <f t="shared" si="1"/>
        <v>Sep</v>
      </c>
      <c r="E493" s="2" t="str">
        <f t="shared" si="2"/>
        <v>2015</v>
      </c>
      <c r="F493" s="13" t="s">
        <v>41</v>
      </c>
      <c r="G493" s="13" t="s">
        <v>2642</v>
      </c>
      <c r="H493" s="13" t="s">
        <v>2471</v>
      </c>
      <c r="I493" s="13" t="s">
        <v>23</v>
      </c>
      <c r="J493" s="13" t="s">
        <v>240</v>
      </c>
      <c r="K493" s="13" t="s">
        <v>175</v>
      </c>
      <c r="L493" s="13" t="s">
        <v>100</v>
      </c>
      <c r="M493" s="13" t="s">
        <v>38</v>
      </c>
      <c r="N493" s="14">
        <v>449.15</v>
      </c>
      <c r="O493" s="14">
        <v>448.88</v>
      </c>
      <c r="P493" s="13">
        <v>1.0</v>
      </c>
      <c r="Q493" s="14">
        <f t="shared" si="3"/>
        <v>449.15</v>
      </c>
      <c r="R493" s="14">
        <f t="shared" si="4"/>
        <v>0.27</v>
      </c>
      <c r="S493" s="14">
        <f t="shared" si="5"/>
        <v>448.88</v>
      </c>
    </row>
    <row r="494">
      <c r="A494" s="12">
        <v>42261.0</v>
      </c>
      <c r="B494" s="12" t="s">
        <v>2329</v>
      </c>
      <c r="C494" s="2">
        <v>42266.0</v>
      </c>
      <c r="D494" s="15" t="str">
        <f t="shared" si="1"/>
        <v>Sep</v>
      </c>
      <c r="E494" s="2" t="str">
        <f t="shared" si="2"/>
        <v>2015</v>
      </c>
      <c r="F494" s="13" t="s">
        <v>41</v>
      </c>
      <c r="G494" s="13" t="s">
        <v>2642</v>
      </c>
      <c r="H494" s="13" t="s">
        <v>2471</v>
      </c>
      <c r="I494" s="13" t="s">
        <v>23</v>
      </c>
      <c r="J494" s="13" t="s">
        <v>240</v>
      </c>
      <c r="K494" s="13" t="s">
        <v>175</v>
      </c>
      <c r="L494" s="13" t="s">
        <v>100</v>
      </c>
      <c r="M494" s="13" t="s">
        <v>38</v>
      </c>
      <c r="N494" s="14">
        <v>11.07</v>
      </c>
      <c r="O494" s="14">
        <v>10.58</v>
      </c>
      <c r="P494" s="13">
        <v>1.0</v>
      </c>
      <c r="Q494" s="14">
        <f t="shared" si="3"/>
        <v>11.07</v>
      </c>
      <c r="R494" s="14">
        <f t="shared" si="4"/>
        <v>0.49</v>
      </c>
      <c r="S494" s="14">
        <f t="shared" si="5"/>
        <v>10.58</v>
      </c>
    </row>
    <row r="495">
      <c r="A495" s="12">
        <v>42983.0</v>
      </c>
      <c r="B495" s="12" t="s">
        <v>2329</v>
      </c>
      <c r="C495" s="2">
        <v>42869.0</v>
      </c>
      <c r="D495" s="15" t="str">
        <f t="shared" si="1"/>
        <v>May</v>
      </c>
      <c r="E495" s="2" t="str">
        <f t="shared" si="2"/>
        <v>2017</v>
      </c>
      <c r="F495" s="13" t="s">
        <v>41</v>
      </c>
      <c r="G495" s="13" t="s">
        <v>2643</v>
      </c>
      <c r="H495" s="13" t="s">
        <v>2644</v>
      </c>
      <c r="I495" s="13" t="s">
        <v>23</v>
      </c>
      <c r="J495" s="13" t="s">
        <v>62</v>
      </c>
      <c r="K495" s="13" t="s">
        <v>63</v>
      </c>
      <c r="L495" s="13" t="s">
        <v>37</v>
      </c>
      <c r="M495" s="13" t="s">
        <v>51</v>
      </c>
      <c r="N495" s="14">
        <v>93.98</v>
      </c>
      <c r="O495" s="14">
        <v>93.2</v>
      </c>
      <c r="P495" s="13">
        <v>9.0</v>
      </c>
      <c r="Q495" s="14">
        <f t="shared" si="3"/>
        <v>845.82</v>
      </c>
      <c r="R495" s="14">
        <f t="shared" si="4"/>
        <v>752.62</v>
      </c>
      <c r="S495" s="14">
        <f t="shared" si="5"/>
        <v>93.2</v>
      </c>
    </row>
    <row r="496">
      <c r="A496" s="12">
        <v>42812.0</v>
      </c>
      <c r="B496" s="12" t="s">
        <v>2399</v>
      </c>
      <c r="C496" s="2">
        <v>42815.0</v>
      </c>
      <c r="D496" s="15" t="str">
        <f t="shared" si="1"/>
        <v>Mar</v>
      </c>
      <c r="E496" s="2" t="str">
        <f t="shared" si="2"/>
        <v>2017</v>
      </c>
      <c r="F496" s="13" t="s">
        <v>20</v>
      </c>
      <c r="G496" s="13" t="s">
        <v>2645</v>
      </c>
      <c r="H496" s="13" t="s">
        <v>2646</v>
      </c>
      <c r="I496" s="13" t="s">
        <v>23</v>
      </c>
      <c r="J496" s="13" t="s">
        <v>209</v>
      </c>
      <c r="K496" s="13" t="s">
        <v>210</v>
      </c>
      <c r="L496" s="13" t="s">
        <v>26</v>
      </c>
      <c r="M496" s="13" t="s">
        <v>27</v>
      </c>
      <c r="N496" s="14">
        <v>189.882</v>
      </c>
      <c r="O496" s="14">
        <v>189.64</v>
      </c>
      <c r="P496" s="13">
        <v>3.0</v>
      </c>
      <c r="Q496" s="14">
        <f t="shared" si="3"/>
        <v>569.646</v>
      </c>
      <c r="R496" s="14">
        <f t="shared" si="4"/>
        <v>380.006</v>
      </c>
      <c r="S496" s="14">
        <f t="shared" si="5"/>
        <v>189.64</v>
      </c>
    </row>
    <row r="497">
      <c r="A497" s="12">
        <v>42731.0</v>
      </c>
      <c r="B497" s="12" t="s">
        <v>2325</v>
      </c>
      <c r="C497" s="2">
        <v>42735.0</v>
      </c>
      <c r="D497" s="15" t="str">
        <f t="shared" si="1"/>
        <v>Dec</v>
      </c>
      <c r="E497" s="2" t="str">
        <f t="shared" si="2"/>
        <v>2016</v>
      </c>
      <c r="F497" s="13" t="s">
        <v>41</v>
      </c>
      <c r="G497" s="13" t="s">
        <v>2647</v>
      </c>
      <c r="H497" s="13" t="s">
        <v>2648</v>
      </c>
      <c r="I497" s="13" t="s">
        <v>23</v>
      </c>
      <c r="J497" s="13" t="s">
        <v>943</v>
      </c>
      <c r="K497" s="13" t="s">
        <v>944</v>
      </c>
      <c r="L497" s="13" t="s">
        <v>26</v>
      </c>
      <c r="M497" s="13" t="s">
        <v>38</v>
      </c>
      <c r="N497" s="14">
        <v>105.42</v>
      </c>
      <c r="O497" s="14">
        <v>105.38</v>
      </c>
      <c r="P497" s="13">
        <v>7.0</v>
      </c>
      <c r="Q497" s="14">
        <f t="shared" si="3"/>
        <v>737.94</v>
      </c>
      <c r="R497" s="14">
        <f t="shared" si="4"/>
        <v>632.56</v>
      </c>
      <c r="S497" s="14">
        <f t="shared" si="5"/>
        <v>105.38</v>
      </c>
    </row>
    <row r="498">
      <c r="A498" s="12">
        <v>42941.0</v>
      </c>
      <c r="B498" s="12" t="s">
        <v>2348</v>
      </c>
      <c r="C498" s="2">
        <v>42947.0</v>
      </c>
      <c r="D498" s="15" t="str">
        <f t="shared" si="1"/>
        <v>Jul</v>
      </c>
      <c r="E498" s="2" t="str">
        <f t="shared" si="2"/>
        <v>2017</v>
      </c>
      <c r="F498" s="13" t="s">
        <v>41</v>
      </c>
      <c r="G498" s="13" t="s">
        <v>2627</v>
      </c>
      <c r="H498" s="13" t="s">
        <v>2628</v>
      </c>
      <c r="I498" s="13" t="s">
        <v>23</v>
      </c>
      <c r="J498" s="13" t="s">
        <v>947</v>
      </c>
      <c r="K498" s="13" t="s">
        <v>52</v>
      </c>
      <c r="L498" s="13" t="s">
        <v>37</v>
      </c>
      <c r="M498" s="13" t="s">
        <v>38</v>
      </c>
      <c r="N498" s="14">
        <v>119.616</v>
      </c>
      <c r="O498" s="14">
        <v>119.1</v>
      </c>
      <c r="P498" s="13">
        <v>9.0</v>
      </c>
      <c r="Q498" s="14">
        <f t="shared" si="3"/>
        <v>1076.544</v>
      </c>
      <c r="R498" s="14">
        <f t="shared" si="4"/>
        <v>957.444</v>
      </c>
      <c r="S498" s="14">
        <f t="shared" si="5"/>
        <v>119.1</v>
      </c>
    </row>
    <row r="499">
      <c r="A499" s="12">
        <v>42941.0</v>
      </c>
      <c r="B499" s="12" t="s">
        <v>2348</v>
      </c>
      <c r="C499" s="2">
        <v>42947.0</v>
      </c>
      <c r="D499" s="15" t="str">
        <f t="shared" si="1"/>
        <v>Jul</v>
      </c>
      <c r="E499" s="2" t="str">
        <f t="shared" si="2"/>
        <v>2017</v>
      </c>
      <c r="F499" s="13" t="s">
        <v>41</v>
      </c>
      <c r="G499" s="13" t="s">
        <v>2627</v>
      </c>
      <c r="H499" s="13" t="s">
        <v>2628</v>
      </c>
      <c r="I499" s="13" t="s">
        <v>23</v>
      </c>
      <c r="J499" s="13" t="s">
        <v>947</v>
      </c>
      <c r="K499" s="13" t="s">
        <v>52</v>
      </c>
      <c r="L499" s="13" t="s">
        <v>37</v>
      </c>
      <c r="M499" s="13" t="s">
        <v>27</v>
      </c>
      <c r="N499" s="14">
        <v>255.76</v>
      </c>
      <c r="O499" s="14">
        <v>254.81</v>
      </c>
      <c r="P499" s="13">
        <v>9.0</v>
      </c>
      <c r="Q499" s="14">
        <f t="shared" si="3"/>
        <v>2301.84</v>
      </c>
      <c r="R499" s="14">
        <f t="shared" si="4"/>
        <v>2047.03</v>
      </c>
      <c r="S499" s="14">
        <f t="shared" si="5"/>
        <v>254.81</v>
      </c>
    </row>
    <row r="500">
      <c r="A500" s="12">
        <v>42941.0</v>
      </c>
      <c r="B500" s="12" t="s">
        <v>2348</v>
      </c>
      <c r="C500" s="2">
        <v>42947.0</v>
      </c>
      <c r="D500" s="15" t="str">
        <f t="shared" si="1"/>
        <v>Jul</v>
      </c>
      <c r="E500" s="2" t="str">
        <f t="shared" si="2"/>
        <v>2017</v>
      </c>
      <c r="F500" s="13" t="s">
        <v>41</v>
      </c>
      <c r="G500" s="13" t="s">
        <v>2627</v>
      </c>
      <c r="H500" s="13" t="s">
        <v>2628</v>
      </c>
      <c r="I500" s="13" t="s">
        <v>23</v>
      </c>
      <c r="J500" s="13" t="s">
        <v>947</v>
      </c>
      <c r="K500" s="13" t="s">
        <v>52</v>
      </c>
      <c r="L500" s="13" t="s">
        <v>37</v>
      </c>
      <c r="M500" s="13" t="s">
        <v>27</v>
      </c>
      <c r="N500" s="14">
        <v>241.568</v>
      </c>
      <c r="O500" s="14">
        <v>240.79</v>
      </c>
      <c r="P500" s="13">
        <v>9.0</v>
      </c>
      <c r="Q500" s="14">
        <f t="shared" si="3"/>
        <v>2174.112</v>
      </c>
      <c r="R500" s="14">
        <f t="shared" si="4"/>
        <v>1933.322</v>
      </c>
      <c r="S500" s="14">
        <f t="shared" si="5"/>
        <v>240.79</v>
      </c>
    </row>
    <row r="501">
      <c r="A501" s="12">
        <v>42941.0</v>
      </c>
      <c r="B501" s="12" t="s">
        <v>2348</v>
      </c>
      <c r="C501" s="2">
        <v>42947.0</v>
      </c>
      <c r="D501" s="15" t="str">
        <f t="shared" si="1"/>
        <v>Jul</v>
      </c>
      <c r="E501" s="2" t="str">
        <f t="shared" si="2"/>
        <v>2017</v>
      </c>
      <c r="F501" s="13" t="s">
        <v>41</v>
      </c>
      <c r="G501" s="13" t="s">
        <v>2627</v>
      </c>
      <c r="H501" s="13" t="s">
        <v>2628</v>
      </c>
      <c r="I501" s="13" t="s">
        <v>23</v>
      </c>
      <c r="J501" s="13" t="s">
        <v>947</v>
      </c>
      <c r="K501" s="13" t="s">
        <v>52</v>
      </c>
      <c r="L501" s="13" t="s">
        <v>37</v>
      </c>
      <c r="M501" s="13" t="s">
        <v>27</v>
      </c>
      <c r="N501" s="14">
        <v>69.3</v>
      </c>
      <c r="O501" s="14">
        <v>68.37</v>
      </c>
      <c r="P501" s="13">
        <v>9.0</v>
      </c>
      <c r="Q501" s="14">
        <f t="shared" si="3"/>
        <v>623.7</v>
      </c>
      <c r="R501" s="14">
        <f t="shared" si="4"/>
        <v>555.33</v>
      </c>
      <c r="S501" s="14">
        <f t="shared" si="5"/>
        <v>68.37</v>
      </c>
    </row>
    <row r="502">
      <c r="A502" s="12">
        <v>42885.0</v>
      </c>
      <c r="B502" s="12" t="s">
        <v>2335</v>
      </c>
      <c r="C502" s="2">
        <v>42831.0</v>
      </c>
      <c r="D502" s="15" t="str">
        <f t="shared" si="1"/>
        <v>Apr</v>
      </c>
      <c r="E502" s="2" t="str">
        <f t="shared" si="2"/>
        <v>2017</v>
      </c>
      <c r="F502" s="13" t="s">
        <v>41</v>
      </c>
      <c r="G502" s="13" t="s">
        <v>2647</v>
      </c>
      <c r="H502" s="13" t="s">
        <v>2649</v>
      </c>
      <c r="I502" s="13" t="s">
        <v>34</v>
      </c>
      <c r="J502" s="13" t="s">
        <v>951</v>
      </c>
      <c r="K502" s="13" t="s">
        <v>279</v>
      </c>
      <c r="L502" s="13" t="s">
        <v>37</v>
      </c>
      <c r="M502" s="13" t="s">
        <v>38</v>
      </c>
      <c r="N502" s="14">
        <v>22.62</v>
      </c>
      <c r="O502" s="14">
        <v>22.21</v>
      </c>
      <c r="P502" s="13">
        <v>8.0</v>
      </c>
      <c r="Q502" s="14">
        <f t="shared" si="3"/>
        <v>180.96</v>
      </c>
      <c r="R502" s="14">
        <f t="shared" si="4"/>
        <v>158.75</v>
      </c>
      <c r="S502" s="14">
        <f t="shared" si="5"/>
        <v>22.21</v>
      </c>
    </row>
    <row r="503">
      <c r="A503" s="12">
        <v>42885.0</v>
      </c>
      <c r="B503" s="12" t="s">
        <v>2335</v>
      </c>
      <c r="C503" s="2">
        <v>42831.0</v>
      </c>
      <c r="D503" s="15" t="str">
        <f t="shared" si="1"/>
        <v>Apr</v>
      </c>
      <c r="E503" s="2" t="str">
        <f t="shared" si="2"/>
        <v>2017</v>
      </c>
      <c r="F503" s="13" t="s">
        <v>41</v>
      </c>
      <c r="G503" s="13" t="s">
        <v>2647</v>
      </c>
      <c r="H503" s="13" t="s">
        <v>2649</v>
      </c>
      <c r="I503" s="13" t="s">
        <v>34</v>
      </c>
      <c r="J503" s="13" t="s">
        <v>951</v>
      </c>
      <c r="K503" s="13" t="s">
        <v>279</v>
      </c>
      <c r="L503" s="13" t="s">
        <v>37</v>
      </c>
      <c r="M503" s="13" t="s">
        <v>38</v>
      </c>
      <c r="N503" s="14">
        <v>14.952</v>
      </c>
      <c r="O503" s="14">
        <v>14.93</v>
      </c>
      <c r="P503" s="13">
        <v>8.0</v>
      </c>
      <c r="Q503" s="14">
        <f t="shared" si="3"/>
        <v>119.616</v>
      </c>
      <c r="R503" s="14">
        <f t="shared" si="4"/>
        <v>104.686</v>
      </c>
      <c r="S503" s="14">
        <f t="shared" si="5"/>
        <v>14.93</v>
      </c>
    </row>
    <row r="504">
      <c r="A504" s="12">
        <v>42885.0</v>
      </c>
      <c r="B504" s="12" t="s">
        <v>2335</v>
      </c>
      <c r="C504" s="2">
        <v>42831.0</v>
      </c>
      <c r="D504" s="15" t="str">
        <f t="shared" si="1"/>
        <v>Apr</v>
      </c>
      <c r="E504" s="2" t="str">
        <f t="shared" si="2"/>
        <v>2017</v>
      </c>
      <c r="F504" s="13" t="s">
        <v>41</v>
      </c>
      <c r="G504" s="13" t="s">
        <v>2647</v>
      </c>
      <c r="H504" s="13" t="s">
        <v>2649</v>
      </c>
      <c r="I504" s="13" t="s">
        <v>34</v>
      </c>
      <c r="J504" s="13" t="s">
        <v>951</v>
      </c>
      <c r="K504" s="13" t="s">
        <v>279</v>
      </c>
      <c r="L504" s="13" t="s">
        <v>37</v>
      </c>
      <c r="M504" s="13" t="s">
        <v>27</v>
      </c>
      <c r="N504" s="14">
        <v>801.568</v>
      </c>
      <c r="O504" s="14">
        <v>801.23</v>
      </c>
      <c r="P504" s="13">
        <v>8.0</v>
      </c>
      <c r="Q504" s="14">
        <f t="shared" si="3"/>
        <v>6412.544</v>
      </c>
      <c r="R504" s="14">
        <f t="shared" si="4"/>
        <v>5611.314</v>
      </c>
      <c r="S504" s="14">
        <f t="shared" si="5"/>
        <v>801.23</v>
      </c>
    </row>
    <row r="505">
      <c r="A505" s="12">
        <v>42885.0</v>
      </c>
      <c r="B505" s="12" t="s">
        <v>2335</v>
      </c>
      <c r="C505" s="2">
        <v>42831.0</v>
      </c>
      <c r="D505" s="15" t="str">
        <f t="shared" si="1"/>
        <v>Apr</v>
      </c>
      <c r="E505" s="2" t="str">
        <f t="shared" si="2"/>
        <v>2017</v>
      </c>
      <c r="F505" s="13" t="s">
        <v>41</v>
      </c>
      <c r="G505" s="13" t="s">
        <v>2647</v>
      </c>
      <c r="H505" s="13" t="s">
        <v>2649</v>
      </c>
      <c r="I505" s="13" t="s">
        <v>34</v>
      </c>
      <c r="J505" s="13" t="s">
        <v>951</v>
      </c>
      <c r="K505" s="13" t="s">
        <v>279</v>
      </c>
      <c r="L505" s="13" t="s">
        <v>37</v>
      </c>
      <c r="M505" s="13" t="s">
        <v>38</v>
      </c>
      <c r="N505" s="14">
        <v>2.376</v>
      </c>
      <c r="O505" s="14">
        <v>1.55</v>
      </c>
      <c r="P505" s="13">
        <v>8.0</v>
      </c>
      <c r="Q505" s="14">
        <f t="shared" si="3"/>
        <v>19.008</v>
      </c>
      <c r="R505" s="14">
        <f t="shared" si="4"/>
        <v>17.458</v>
      </c>
      <c r="S505" s="14">
        <f t="shared" si="5"/>
        <v>1.55</v>
      </c>
    </row>
    <row r="506">
      <c r="A506" s="12">
        <v>42885.0</v>
      </c>
      <c r="B506" s="12" t="s">
        <v>2335</v>
      </c>
      <c r="C506" s="2">
        <v>42831.0</v>
      </c>
      <c r="D506" s="15" t="str">
        <f t="shared" si="1"/>
        <v>Apr</v>
      </c>
      <c r="E506" s="2" t="str">
        <f t="shared" si="2"/>
        <v>2017</v>
      </c>
      <c r="F506" s="13" t="s">
        <v>41</v>
      </c>
      <c r="G506" s="13" t="s">
        <v>2647</v>
      </c>
      <c r="H506" s="13" t="s">
        <v>2649</v>
      </c>
      <c r="I506" s="13" t="s">
        <v>34</v>
      </c>
      <c r="J506" s="13" t="s">
        <v>951</v>
      </c>
      <c r="K506" s="13" t="s">
        <v>279</v>
      </c>
      <c r="L506" s="13" t="s">
        <v>37</v>
      </c>
      <c r="M506" s="13" t="s">
        <v>38</v>
      </c>
      <c r="N506" s="14">
        <v>32.792</v>
      </c>
      <c r="O506" s="14">
        <v>32.25</v>
      </c>
      <c r="P506" s="13">
        <v>8.0</v>
      </c>
      <c r="Q506" s="14">
        <f t="shared" si="3"/>
        <v>262.336</v>
      </c>
      <c r="R506" s="14">
        <f t="shared" si="4"/>
        <v>230.086</v>
      </c>
      <c r="S506" s="14">
        <f t="shared" si="5"/>
        <v>32.25</v>
      </c>
    </row>
    <row r="507">
      <c r="A507" s="12">
        <v>43445.0</v>
      </c>
      <c r="B507" s="12" t="s">
        <v>2325</v>
      </c>
      <c r="C507" s="2">
        <v>43419.0</v>
      </c>
      <c r="D507" s="15" t="str">
        <f t="shared" si="1"/>
        <v>Nov</v>
      </c>
      <c r="E507" s="2" t="str">
        <f t="shared" si="2"/>
        <v>2018</v>
      </c>
      <c r="F507" s="13" t="s">
        <v>20</v>
      </c>
      <c r="G507" s="13" t="s">
        <v>2626</v>
      </c>
      <c r="H507" s="13" t="s">
        <v>2476</v>
      </c>
      <c r="I507" s="13" t="s">
        <v>34</v>
      </c>
      <c r="J507" s="13" t="s">
        <v>174</v>
      </c>
      <c r="K507" s="13" t="s">
        <v>175</v>
      </c>
      <c r="L507" s="13" t="s">
        <v>100</v>
      </c>
      <c r="M507" s="13" t="s">
        <v>38</v>
      </c>
      <c r="N507" s="14">
        <v>15.92</v>
      </c>
      <c r="O507" s="14">
        <v>15.15</v>
      </c>
      <c r="P507" s="13">
        <v>1.0</v>
      </c>
      <c r="Q507" s="14">
        <f t="shared" si="3"/>
        <v>15.92</v>
      </c>
      <c r="R507" s="14">
        <f t="shared" si="4"/>
        <v>0.77</v>
      </c>
      <c r="S507" s="14">
        <f t="shared" si="5"/>
        <v>15.15</v>
      </c>
    </row>
    <row r="508">
      <c r="A508" s="12">
        <v>42445.0</v>
      </c>
      <c r="B508" s="12" t="s">
        <v>2399</v>
      </c>
      <c r="C508" s="2">
        <v>42451.0</v>
      </c>
      <c r="D508" s="15" t="str">
        <f t="shared" si="1"/>
        <v>Mar</v>
      </c>
      <c r="E508" s="2" t="str">
        <f t="shared" si="2"/>
        <v>2016</v>
      </c>
      <c r="F508" s="13" t="s">
        <v>41</v>
      </c>
      <c r="G508" s="13" t="s">
        <v>2402</v>
      </c>
      <c r="H508" s="13" t="s">
        <v>2650</v>
      </c>
      <c r="I508" s="13" t="s">
        <v>23</v>
      </c>
      <c r="J508" s="13" t="s">
        <v>958</v>
      </c>
      <c r="K508" s="13" t="s">
        <v>707</v>
      </c>
      <c r="L508" s="13" t="s">
        <v>26</v>
      </c>
      <c r="M508" s="13" t="s">
        <v>38</v>
      </c>
      <c r="N508" s="14">
        <v>2.74</v>
      </c>
      <c r="O508" s="14">
        <v>1.79</v>
      </c>
      <c r="P508" s="13">
        <v>3.0</v>
      </c>
      <c r="Q508" s="14">
        <f t="shared" si="3"/>
        <v>8.22</v>
      </c>
      <c r="R508" s="14">
        <f t="shared" si="4"/>
        <v>6.43</v>
      </c>
      <c r="S508" s="14">
        <f t="shared" si="5"/>
        <v>1.79</v>
      </c>
    </row>
    <row r="509">
      <c r="A509" s="12">
        <v>42445.0</v>
      </c>
      <c r="B509" s="12" t="s">
        <v>2399</v>
      </c>
      <c r="C509" s="2">
        <v>42451.0</v>
      </c>
      <c r="D509" s="15" t="str">
        <f t="shared" si="1"/>
        <v>Mar</v>
      </c>
      <c r="E509" s="2" t="str">
        <f t="shared" si="2"/>
        <v>2016</v>
      </c>
      <c r="F509" s="13" t="s">
        <v>41</v>
      </c>
      <c r="G509" s="13" t="s">
        <v>2402</v>
      </c>
      <c r="H509" s="13" t="s">
        <v>2650</v>
      </c>
      <c r="I509" s="13" t="s">
        <v>23</v>
      </c>
      <c r="J509" s="13" t="s">
        <v>958</v>
      </c>
      <c r="K509" s="13" t="s">
        <v>707</v>
      </c>
      <c r="L509" s="13" t="s">
        <v>26</v>
      </c>
      <c r="M509" s="13" t="s">
        <v>38</v>
      </c>
      <c r="N509" s="14">
        <v>8.34</v>
      </c>
      <c r="O509" s="14">
        <v>8.07</v>
      </c>
      <c r="P509" s="13">
        <v>3.0</v>
      </c>
      <c r="Q509" s="14">
        <f t="shared" si="3"/>
        <v>25.02</v>
      </c>
      <c r="R509" s="14">
        <f t="shared" si="4"/>
        <v>16.95</v>
      </c>
      <c r="S509" s="14">
        <f t="shared" si="5"/>
        <v>8.07</v>
      </c>
    </row>
    <row r="510">
      <c r="A510" s="12">
        <v>42445.0</v>
      </c>
      <c r="B510" s="12" t="s">
        <v>2399</v>
      </c>
      <c r="C510" s="2">
        <v>42451.0</v>
      </c>
      <c r="D510" s="15" t="str">
        <f t="shared" si="1"/>
        <v>Mar</v>
      </c>
      <c r="E510" s="2" t="str">
        <f t="shared" si="2"/>
        <v>2016</v>
      </c>
      <c r="F510" s="13" t="s">
        <v>41</v>
      </c>
      <c r="G510" s="13" t="s">
        <v>2402</v>
      </c>
      <c r="H510" s="13" t="s">
        <v>2650</v>
      </c>
      <c r="I510" s="13" t="s">
        <v>23</v>
      </c>
      <c r="J510" s="13" t="s">
        <v>958</v>
      </c>
      <c r="K510" s="13" t="s">
        <v>707</v>
      </c>
      <c r="L510" s="13" t="s">
        <v>26</v>
      </c>
      <c r="M510" s="13" t="s">
        <v>38</v>
      </c>
      <c r="N510" s="14">
        <v>46.74</v>
      </c>
      <c r="O510" s="14">
        <v>45.81</v>
      </c>
      <c r="P510" s="13">
        <v>3.0</v>
      </c>
      <c r="Q510" s="14">
        <f t="shared" si="3"/>
        <v>140.22</v>
      </c>
      <c r="R510" s="14">
        <f t="shared" si="4"/>
        <v>94.41</v>
      </c>
      <c r="S510" s="14">
        <f t="shared" si="5"/>
        <v>45.81</v>
      </c>
    </row>
    <row r="511">
      <c r="A511" s="12">
        <v>42445.0</v>
      </c>
      <c r="B511" s="12" t="s">
        <v>2399</v>
      </c>
      <c r="C511" s="2">
        <v>42451.0</v>
      </c>
      <c r="D511" s="15" t="str">
        <f t="shared" si="1"/>
        <v>Mar</v>
      </c>
      <c r="E511" s="2" t="str">
        <f t="shared" si="2"/>
        <v>2016</v>
      </c>
      <c r="F511" s="13" t="s">
        <v>41</v>
      </c>
      <c r="G511" s="13" t="s">
        <v>2402</v>
      </c>
      <c r="H511" s="13" t="s">
        <v>2650</v>
      </c>
      <c r="I511" s="13" t="s">
        <v>23</v>
      </c>
      <c r="J511" s="13" t="s">
        <v>958</v>
      </c>
      <c r="K511" s="13" t="s">
        <v>707</v>
      </c>
      <c r="L511" s="13" t="s">
        <v>26</v>
      </c>
      <c r="M511" s="13" t="s">
        <v>38</v>
      </c>
      <c r="N511" s="14">
        <v>6354.95</v>
      </c>
      <c r="O511" s="14">
        <v>6353.97</v>
      </c>
      <c r="P511" s="13">
        <v>3.0</v>
      </c>
      <c r="Q511" s="14">
        <f t="shared" si="3"/>
        <v>19064.85</v>
      </c>
      <c r="R511" s="14">
        <f t="shared" si="4"/>
        <v>12710.88</v>
      </c>
      <c r="S511" s="14">
        <f t="shared" si="5"/>
        <v>6353.97</v>
      </c>
    </row>
    <row r="512">
      <c r="A512" s="12">
        <v>43430.0</v>
      </c>
      <c r="B512" s="12" t="s">
        <v>2326</v>
      </c>
      <c r="C512" s="2">
        <v>43431.0</v>
      </c>
      <c r="D512" s="15" t="str">
        <f t="shared" si="1"/>
        <v>Nov</v>
      </c>
      <c r="E512" s="2" t="str">
        <f t="shared" si="2"/>
        <v>2018</v>
      </c>
      <c r="F512" s="13" t="s">
        <v>121</v>
      </c>
      <c r="G512" s="13" t="s">
        <v>2651</v>
      </c>
      <c r="H512" s="13" t="s">
        <v>2370</v>
      </c>
      <c r="I512" s="13" t="s">
        <v>23</v>
      </c>
      <c r="J512" s="13" t="s">
        <v>963</v>
      </c>
      <c r="K512" s="13" t="s">
        <v>351</v>
      </c>
      <c r="L512" s="13" t="s">
        <v>71</v>
      </c>
      <c r="M512" s="13" t="s">
        <v>27</v>
      </c>
      <c r="N512" s="14">
        <v>126.3</v>
      </c>
      <c r="O512" s="14">
        <v>125.39</v>
      </c>
      <c r="P512" s="13">
        <v>6.0</v>
      </c>
      <c r="Q512" s="14">
        <f t="shared" si="3"/>
        <v>757.8</v>
      </c>
      <c r="R512" s="14">
        <f t="shared" si="4"/>
        <v>632.41</v>
      </c>
      <c r="S512" s="14">
        <f t="shared" si="5"/>
        <v>125.39</v>
      </c>
    </row>
    <row r="513">
      <c r="A513" s="12">
        <v>43430.0</v>
      </c>
      <c r="B513" s="12" t="s">
        <v>2326</v>
      </c>
      <c r="C513" s="2">
        <v>43431.0</v>
      </c>
      <c r="D513" s="15" t="str">
        <f t="shared" si="1"/>
        <v>Nov</v>
      </c>
      <c r="E513" s="2" t="str">
        <f t="shared" si="2"/>
        <v>2018</v>
      </c>
      <c r="F513" s="13" t="s">
        <v>121</v>
      </c>
      <c r="G513" s="13" t="s">
        <v>2651</v>
      </c>
      <c r="H513" s="13" t="s">
        <v>2370</v>
      </c>
      <c r="I513" s="13" t="s">
        <v>23</v>
      </c>
      <c r="J513" s="13" t="s">
        <v>963</v>
      </c>
      <c r="K513" s="13" t="s">
        <v>351</v>
      </c>
      <c r="L513" s="13" t="s">
        <v>71</v>
      </c>
      <c r="M513" s="13" t="s">
        <v>51</v>
      </c>
      <c r="N513" s="14">
        <v>38.04</v>
      </c>
      <c r="O513" s="14">
        <v>37.09</v>
      </c>
      <c r="P513" s="13">
        <v>6.0</v>
      </c>
      <c r="Q513" s="14">
        <f t="shared" si="3"/>
        <v>228.24</v>
      </c>
      <c r="R513" s="14">
        <f t="shared" si="4"/>
        <v>191.15</v>
      </c>
      <c r="S513" s="14">
        <f t="shared" si="5"/>
        <v>37.09</v>
      </c>
    </row>
    <row r="514">
      <c r="A514" s="12">
        <v>43028.0</v>
      </c>
      <c r="B514" s="12" t="s">
        <v>2358</v>
      </c>
      <c r="C514" s="2">
        <v>43031.0</v>
      </c>
      <c r="D514" s="15" t="str">
        <f t="shared" si="1"/>
        <v>Oct</v>
      </c>
      <c r="E514" s="2" t="str">
        <f t="shared" si="2"/>
        <v>2017</v>
      </c>
      <c r="F514" s="13" t="s">
        <v>121</v>
      </c>
      <c r="G514" s="13" t="s">
        <v>2604</v>
      </c>
      <c r="H514" s="13" t="s">
        <v>2605</v>
      </c>
      <c r="I514" s="13" t="s">
        <v>23</v>
      </c>
      <c r="J514" s="13" t="s">
        <v>360</v>
      </c>
      <c r="K514" s="13" t="s">
        <v>304</v>
      </c>
      <c r="L514" s="13" t="s">
        <v>100</v>
      </c>
      <c r="M514" s="13" t="s">
        <v>38</v>
      </c>
      <c r="N514" s="14">
        <v>7.152</v>
      </c>
      <c r="O514" s="14">
        <v>7.15</v>
      </c>
      <c r="P514" s="13">
        <v>4.0</v>
      </c>
      <c r="Q514" s="14">
        <f t="shared" si="3"/>
        <v>28.608</v>
      </c>
      <c r="R514" s="14">
        <f t="shared" si="4"/>
        <v>21.458</v>
      </c>
      <c r="S514" s="14">
        <f t="shared" si="5"/>
        <v>7.15</v>
      </c>
    </row>
    <row r="515">
      <c r="A515" s="12">
        <v>43455.0</v>
      </c>
      <c r="B515" s="12" t="s">
        <v>2325</v>
      </c>
      <c r="C515" s="2">
        <v>43459.0</v>
      </c>
      <c r="D515" s="15" t="str">
        <f t="shared" si="1"/>
        <v>Dec</v>
      </c>
      <c r="E515" s="2" t="str">
        <f t="shared" si="2"/>
        <v>2018</v>
      </c>
      <c r="F515" s="13" t="s">
        <v>41</v>
      </c>
      <c r="G515" s="13" t="s">
        <v>2652</v>
      </c>
      <c r="H515" s="13" t="s">
        <v>2364</v>
      </c>
      <c r="I515" s="13" t="s">
        <v>23</v>
      </c>
      <c r="J515" s="13" t="s">
        <v>35</v>
      </c>
      <c r="K515" s="13" t="s">
        <v>52</v>
      </c>
      <c r="L515" s="13" t="s">
        <v>37</v>
      </c>
      <c r="M515" s="13" t="s">
        <v>38</v>
      </c>
      <c r="N515" s="14">
        <v>6.63</v>
      </c>
      <c r="O515" s="14">
        <v>6.52</v>
      </c>
      <c r="P515" s="13">
        <v>9.0</v>
      </c>
      <c r="Q515" s="14">
        <f t="shared" si="3"/>
        <v>59.67</v>
      </c>
      <c r="R515" s="14">
        <f t="shared" si="4"/>
        <v>53.15</v>
      </c>
      <c r="S515" s="14">
        <f t="shared" si="5"/>
        <v>6.52</v>
      </c>
    </row>
    <row r="516">
      <c r="A516" s="12">
        <v>43455.0</v>
      </c>
      <c r="B516" s="12" t="s">
        <v>2325</v>
      </c>
      <c r="C516" s="2">
        <v>43459.0</v>
      </c>
      <c r="D516" s="15" t="str">
        <f t="shared" si="1"/>
        <v>Dec</v>
      </c>
      <c r="E516" s="2" t="str">
        <f t="shared" si="2"/>
        <v>2018</v>
      </c>
      <c r="F516" s="13" t="s">
        <v>41</v>
      </c>
      <c r="G516" s="13" t="s">
        <v>2652</v>
      </c>
      <c r="H516" s="13" t="s">
        <v>2364</v>
      </c>
      <c r="I516" s="13" t="s">
        <v>23</v>
      </c>
      <c r="J516" s="13" t="s">
        <v>35</v>
      </c>
      <c r="K516" s="13" t="s">
        <v>52</v>
      </c>
      <c r="L516" s="13" t="s">
        <v>37</v>
      </c>
      <c r="M516" s="13" t="s">
        <v>38</v>
      </c>
      <c r="N516" s="14">
        <v>5.88</v>
      </c>
      <c r="O516" s="14">
        <v>5.42</v>
      </c>
      <c r="P516" s="13">
        <v>9.0</v>
      </c>
      <c r="Q516" s="14">
        <f t="shared" si="3"/>
        <v>52.92</v>
      </c>
      <c r="R516" s="14">
        <f t="shared" si="4"/>
        <v>47.5</v>
      </c>
      <c r="S516" s="14">
        <f t="shared" si="5"/>
        <v>5.42</v>
      </c>
    </row>
    <row r="517">
      <c r="A517" s="12">
        <v>43122.0</v>
      </c>
      <c r="B517" s="12" t="s">
        <v>2353</v>
      </c>
      <c r="C517" s="2">
        <v>43127.0</v>
      </c>
      <c r="D517" s="15" t="str">
        <f t="shared" si="1"/>
        <v>Jan</v>
      </c>
      <c r="E517" s="2" t="str">
        <f t="shared" si="2"/>
        <v>2018</v>
      </c>
      <c r="F517" s="13" t="s">
        <v>41</v>
      </c>
      <c r="G517" s="13" t="s">
        <v>2438</v>
      </c>
      <c r="H517" s="13" t="s">
        <v>2439</v>
      </c>
      <c r="I517" s="13" t="s">
        <v>68</v>
      </c>
      <c r="J517" s="13" t="s">
        <v>972</v>
      </c>
      <c r="K517" s="13" t="s">
        <v>973</v>
      </c>
      <c r="L517" s="13" t="s">
        <v>37</v>
      </c>
      <c r="M517" s="13" t="s">
        <v>51</v>
      </c>
      <c r="N517" s="14">
        <v>2999.95</v>
      </c>
      <c r="O517" s="14">
        <v>2998.96</v>
      </c>
      <c r="P517" s="13">
        <v>5.0</v>
      </c>
      <c r="Q517" s="14">
        <f t="shared" si="3"/>
        <v>14999.75</v>
      </c>
      <c r="R517" s="14">
        <f t="shared" si="4"/>
        <v>12000.79</v>
      </c>
      <c r="S517" s="14">
        <f t="shared" si="5"/>
        <v>2998.96</v>
      </c>
    </row>
    <row r="518">
      <c r="A518" s="12">
        <v>43122.0</v>
      </c>
      <c r="B518" s="12" t="s">
        <v>2353</v>
      </c>
      <c r="C518" s="2">
        <v>43127.0</v>
      </c>
      <c r="D518" s="15" t="str">
        <f t="shared" si="1"/>
        <v>Jan</v>
      </c>
      <c r="E518" s="2" t="str">
        <f t="shared" si="2"/>
        <v>2018</v>
      </c>
      <c r="F518" s="13" t="s">
        <v>41</v>
      </c>
      <c r="G518" s="13" t="s">
        <v>2438</v>
      </c>
      <c r="H518" s="13" t="s">
        <v>2439</v>
      </c>
      <c r="I518" s="13" t="s">
        <v>68</v>
      </c>
      <c r="J518" s="13" t="s">
        <v>972</v>
      </c>
      <c r="K518" s="13" t="s">
        <v>973</v>
      </c>
      <c r="L518" s="13" t="s">
        <v>37</v>
      </c>
      <c r="M518" s="13" t="s">
        <v>38</v>
      </c>
      <c r="N518" s="14">
        <v>51.45</v>
      </c>
      <c r="O518" s="14">
        <v>50.93</v>
      </c>
      <c r="P518" s="13">
        <v>5.0</v>
      </c>
      <c r="Q518" s="14">
        <f t="shared" si="3"/>
        <v>257.25</v>
      </c>
      <c r="R518" s="14">
        <f t="shared" si="4"/>
        <v>206.32</v>
      </c>
      <c r="S518" s="14">
        <f t="shared" si="5"/>
        <v>50.93</v>
      </c>
    </row>
    <row r="519">
      <c r="A519" s="12">
        <v>43122.0</v>
      </c>
      <c r="B519" s="12" t="s">
        <v>2353</v>
      </c>
      <c r="C519" s="2">
        <v>43127.0</v>
      </c>
      <c r="D519" s="15" t="str">
        <f t="shared" si="1"/>
        <v>Jan</v>
      </c>
      <c r="E519" s="2" t="str">
        <f t="shared" si="2"/>
        <v>2018</v>
      </c>
      <c r="F519" s="13" t="s">
        <v>41</v>
      </c>
      <c r="G519" s="13" t="s">
        <v>2438</v>
      </c>
      <c r="H519" s="13" t="s">
        <v>2439</v>
      </c>
      <c r="I519" s="13" t="s">
        <v>68</v>
      </c>
      <c r="J519" s="13" t="s">
        <v>972</v>
      </c>
      <c r="K519" s="13" t="s">
        <v>973</v>
      </c>
      <c r="L519" s="13" t="s">
        <v>37</v>
      </c>
      <c r="M519" s="13" t="s">
        <v>38</v>
      </c>
      <c r="N519" s="14">
        <v>11.96</v>
      </c>
      <c r="O519" s="14">
        <v>11.16</v>
      </c>
      <c r="P519" s="13">
        <v>5.0</v>
      </c>
      <c r="Q519" s="14">
        <f t="shared" si="3"/>
        <v>59.8</v>
      </c>
      <c r="R519" s="14">
        <f t="shared" si="4"/>
        <v>48.64</v>
      </c>
      <c r="S519" s="14">
        <f t="shared" si="5"/>
        <v>11.16</v>
      </c>
    </row>
    <row r="520">
      <c r="A520" s="12">
        <v>43122.0</v>
      </c>
      <c r="B520" s="12" t="s">
        <v>2353</v>
      </c>
      <c r="C520" s="2">
        <v>43127.0</v>
      </c>
      <c r="D520" s="15" t="str">
        <f t="shared" si="1"/>
        <v>Jan</v>
      </c>
      <c r="E520" s="2" t="str">
        <f t="shared" si="2"/>
        <v>2018</v>
      </c>
      <c r="F520" s="13" t="s">
        <v>41</v>
      </c>
      <c r="G520" s="13" t="s">
        <v>2438</v>
      </c>
      <c r="H520" s="13" t="s">
        <v>2439</v>
      </c>
      <c r="I520" s="13" t="s">
        <v>68</v>
      </c>
      <c r="J520" s="13" t="s">
        <v>972</v>
      </c>
      <c r="K520" s="13" t="s">
        <v>973</v>
      </c>
      <c r="L520" s="13" t="s">
        <v>37</v>
      </c>
      <c r="M520" s="13" t="s">
        <v>38</v>
      </c>
      <c r="N520" s="14">
        <v>1126.02</v>
      </c>
      <c r="O520" s="14">
        <v>1125.59</v>
      </c>
      <c r="P520" s="13">
        <v>5.0</v>
      </c>
      <c r="Q520" s="14">
        <f t="shared" si="3"/>
        <v>5630.1</v>
      </c>
      <c r="R520" s="14">
        <f t="shared" si="4"/>
        <v>4504.51</v>
      </c>
      <c r="S520" s="14">
        <f t="shared" si="5"/>
        <v>1125.59</v>
      </c>
    </row>
    <row r="521">
      <c r="A521" s="12">
        <v>42451.0</v>
      </c>
      <c r="B521" s="12" t="s">
        <v>2399</v>
      </c>
      <c r="C521" s="2">
        <v>42455.0</v>
      </c>
      <c r="D521" s="15" t="str">
        <f t="shared" si="1"/>
        <v>Mar</v>
      </c>
      <c r="E521" s="2" t="str">
        <f t="shared" si="2"/>
        <v>2016</v>
      </c>
      <c r="F521" s="13" t="s">
        <v>41</v>
      </c>
      <c r="G521" s="13" t="s">
        <v>2589</v>
      </c>
      <c r="H521" s="13" t="s">
        <v>2653</v>
      </c>
      <c r="I521" s="13" t="s">
        <v>23</v>
      </c>
      <c r="J521" s="13" t="s">
        <v>129</v>
      </c>
      <c r="K521" s="13" t="s">
        <v>70</v>
      </c>
      <c r="L521" s="13" t="s">
        <v>71</v>
      </c>
      <c r="M521" s="13" t="s">
        <v>51</v>
      </c>
      <c r="N521" s="14">
        <v>18.392</v>
      </c>
      <c r="O521" s="14">
        <v>18.12</v>
      </c>
      <c r="P521" s="13">
        <v>7.0</v>
      </c>
      <c r="Q521" s="14">
        <f t="shared" si="3"/>
        <v>128.744</v>
      </c>
      <c r="R521" s="14">
        <f t="shared" si="4"/>
        <v>110.624</v>
      </c>
      <c r="S521" s="14">
        <f t="shared" si="5"/>
        <v>18.12</v>
      </c>
    </row>
    <row r="522">
      <c r="A522" s="12">
        <v>42451.0</v>
      </c>
      <c r="B522" s="12" t="s">
        <v>2399</v>
      </c>
      <c r="C522" s="2">
        <v>42455.0</v>
      </c>
      <c r="D522" s="15" t="str">
        <f t="shared" si="1"/>
        <v>Mar</v>
      </c>
      <c r="E522" s="2" t="str">
        <f t="shared" si="2"/>
        <v>2016</v>
      </c>
      <c r="F522" s="13" t="s">
        <v>41</v>
      </c>
      <c r="G522" s="13" t="s">
        <v>2589</v>
      </c>
      <c r="H522" s="13" t="s">
        <v>2653</v>
      </c>
      <c r="I522" s="13" t="s">
        <v>23</v>
      </c>
      <c r="J522" s="13" t="s">
        <v>129</v>
      </c>
      <c r="K522" s="13" t="s">
        <v>70</v>
      </c>
      <c r="L522" s="13" t="s">
        <v>71</v>
      </c>
      <c r="M522" s="13" t="s">
        <v>38</v>
      </c>
      <c r="N522" s="14">
        <v>129.568</v>
      </c>
      <c r="O522" s="14">
        <v>129.1</v>
      </c>
      <c r="P522" s="13">
        <v>7.0</v>
      </c>
      <c r="Q522" s="14">
        <f t="shared" si="3"/>
        <v>906.976</v>
      </c>
      <c r="R522" s="14">
        <f t="shared" si="4"/>
        <v>777.876</v>
      </c>
      <c r="S522" s="14">
        <f t="shared" si="5"/>
        <v>129.1</v>
      </c>
    </row>
    <row r="523">
      <c r="A523" s="12">
        <v>42451.0</v>
      </c>
      <c r="B523" s="12" t="s">
        <v>2399</v>
      </c>
      <c r="C523" s="2">
        <v>42455.0</v>
      </c>
      <c r="D523" s="15" t="str">
        <f t="shared" si="1"/>
        <v>Mar</v>
      </c>
      <c r="E523" s="2" t="str">
        <f t="shared" si="2"/>
        <v>2016</v>
      </c>
      <c r="F523" s="13" t="s">
        <v>41</v>
      </c>
      <c r="G523" s="13" t="s">
        <v>2589</v>
      </c>
      <c r="H523" s="13" t="s">
        <v>2653</v>
      </c>
      <c r="I523" s="13" t="s">
        <v>23</v>
      </c>
      <c r="J523" s="13" t="s">
        <v>129</v>
      </c>
      <c r="K523" s="13" t="s">
        <v>70</v>
      </c>
      <c r="L523" s="13" t="s">
        <v>71</v>
      </c>
      <c r="M523" s="13" t="s">
        <v>38</v>
      </c>
      <c r="N523" s="14">
        <v>14.112</v>
      </c>
      <c r="O523" s="14">
        <v>13.35</v>
      </c>
      <c r="P523" s="13">
        <v>7.0</v>
      </c>
      <c r="Q523" s="14">
        <f t="shared" si="3"/>
        <v>98.784</v>
      </c>
      <c r="R523" s="14">
        <f t="shared" si="4"/>
        <v>85.434</v>
      </c>
      <c r="S523" s="14">
        <f t="shared" si="5"/>
        <v>13.35</v>
      </c>
    </row>
    <row r="524">
      <c r="A524" s="12">
        <v>43123.0</v>
      </c>
      <c r="B524" s="12" t="s">
        <v>2353</v>
      </c>
      <c r="C524" s="2">
        <v>43125.0</v>
      </c>
      <c r="D524" s="15" t="str">
        <f t="shared" si="1"/>
        <v>Jan</v>
      </c>
      <c r="E524" s="2" t="str">
        <f t="shared" si="2"/>
        <v>2018</v>
      </c>
      <c r="F524" s="13" t="s">
        <v>121</v>
      </c>
      <c r="G524" s="13" t="s">
        <v>2359</v>
      </c>
      <c r="H524" s="13" t="s">
        <v>2654</v>
      </c>
      <c r="I524" s="13" t="s">
        <v>34</v>
      </c>
      <c r="J524" s="13" t="s">
        <v>513</v>
      </c>
      <c r="K524" s="13" t="s">
        <v>157</v>
      </c>
      <c r="L524" s="13" t="s">
        <v>71</v>
      </c>
      <c r="M524" s="13" t="s">
        <v>27</v>
      </c>
      <c r="N524" s="14">
        <v>210.98</v>
      </c>
      <c r="O524" s="14">
        <v>210.23</v>
      </c>
      <c r="P524" s="13">
        <v>4.0</v>
      </c>
      <c r="Q524" s="14">
        <f t="shared" si="3"/>
        <v>843.92</v>
      </c>
      <c r="R524" s="14">
        <f t="shared" si="4"/>
        <v>633.69</v>
      </c>
      <c r="S524" s="14">
        <f t="shared" si="5"/>
        <v>210.23</v>
      </c>
    </row>
    <row r="525">
      <c r="A525" s="12">
        <v>42876.0</v>
      </c>
      <c r="B525" s="12" t="s">
        <v>2335</v>
      </c>
      <c r="C525" s="2">
        <v>42878.0</v>
      </c>
      <c r="D525" s="15" t="str">
        <f t="shared" si="1"/>
        <v>May</v>
      </c>
      <c r="E525" s="2" t="str">
        <f t="shared" si="2"/>
        <v>2017</v>
      </c>
      <c r="F525" s="13" t="s">
        <v>121</v>
      </c>
      <c r="G525" s="13" t="s">
        <v>2499</v>
      </c>
      <c r="H525" s="13" t="s">
        <v>2516</v>
      </c>
      <c r="I525" s="13" t="s">
        <v>23</v>
      </c>
      <c r="J525" s="13" t="s">
        <v>35</v>
      </c>
      <c r="K525" s="13" t="s">
        <v>52</v>
      </c>
      <c r="L525" s="13" t="s">
        <v>37</v>
      </c>
      <c r="M525" s="13" t="s">
        <v>51</v>
      </c>
      <c r="N525" s="14">
        <v>55.176</v>
      </c>
      <c r="O525" s="14">
        <v>54.96</v>
      </c>
      <c r="P525" s="13">
        <v>9.0</v>
      </c>
      <c r="Q525" s="14">
        <f t="shared" si="3"/>
        <v>496.584</v>
      </c>
      <c r="R525" s="14">
        <f t="shared" si="4"/>
        <v>441.624</v>
      </c>
      <c r="S525" s="14">
        <f t="shared" si="5"/>
        <v>54.96</v>
      </c>
    </row>
    <row r="526">
      <c r="A526" s="12">
        <v>42876.0</v>
      </c>
      <c r="B526" s="12" t="s">
        <v>2335</v>
      </c>
      <c r="C526" s="2">
        <v>42878.0</v>
      </c>
      <c r="D526" s="15" t="str">
        <f t="shared" si="1"/>
        <v>May</v>
      </c>
      <c r="E526" s="2" t="str">
        <f t="shared" si="2"/>
        <v>2017</v>
      </c>
      <c r="F526" s="13" t="s">
        <v>121</v>
      </c>
      <c r="G526" s="13" t="s">
        <v>2499</v>
      </c>
      <c r="H526" s="13" t="s">
        <v>2516</v>
      </c>
      <c r="I526" s="13" t="s">
        <v>23</v>
      </c>
      <c r="J526" s="13" t="s">
        <v>35</v>
      </c>
      <c r="K526" s="13" t="s">
        <v>52</v>
      </c>
      <c r="L526" s="13" t="s">
        <v>37</v>
      </c>
      <c r="M526" s="13" t="s">
        <v>51</v>
      </c>
      <c r="N526" s="14">
        <v>66.26</v>
      </c>
      <c r="O526" s="14">
        <v>66.07</v>
      </c>
      <c r="P526" s="13">
        <v>9.0</v>
      </c>
      <c r="Q526" s="14">
        <f t="shared" si="3"/>
        <v>596.34</v>
      </c>
      <c r="R526" s="14">
        <f t="shared" si="4"/>
        <v>530.27</v>
      </c>
      <c r="S526" s="14">
        <f t="shared" si="5"/>
        <v>66.07</v>
      </c>
    </row>
    <row r="527">
      <c r="A527" s="12">
        <v>42730.0</v>
      </c>
      <c r="B527" s="12" t="s">
        <v>2325</v>
      </c>
      <c r="C527" s="2">
        <v>42767.0</v>
      </c>
      <c r="D527" s="15" t="str">
        <f t="shared" si="1"/>
        <v>Feb</v>
      </c>
      <c r="E527" s="2" t="str">
        <f t="shared" si="2"/>
        <v>2017</v>
      </c>
      <c r="F527" s="13" t="s">
        <v>41</v>
      </c>
      <c r="G527" s="13" t="s">
        <v>2655</v>
      </c>
      <c r="H527" s="13" t="s">
        <v>2567</v>
      </c>
      <c r="I527" s="13" t="s">
        <v>23</v>
      </c>
      <c r="J527" s="13" t="s">
        <v>822</v>
      </c>
      <c r="K527" s="13" t="s">
        <v>694</v>
      </c>
      <c r="L527" s="13" t="s">
        <v>100</v>
      </c>
      <c r="M527" s="13" t="s">
        <v>38</v>
      </c>
      <c r="N527" s="14">
        <v>22.2</v>
      </c>
      <c r="O527" s="14">
        <v>22.09</v>
      </c>
      <c r="P527" s="13">
        <v>1.0</v>
      </c>
      <c r="Q527" s="14">
        <f t="shared" si="3"/>
        <v>22.2</v>
      </c>
      <c r="R527" s="14">
        <f t="shared" si="4"/>
        <v>0.11</v>
      </c>
      <c r="S527" s="14">
        <f t="shared" si="5"/>
        <v>22.09</v>
      </c>
    </row>
    <row r="528">
      <c r="A528" s="12">
        <v>43394.0</v>
      </c>
      <c r="B528" s="12" t="s">
        <v>2358</v>
      </c>
      <c r="C528" s="2">
        <v>43399.0</v>
      </c>
      <c r="D528" s="15" t="str">
        <f t="shared" si="1"/>
        <v>Oct</v>
      </c>
      <c r="E528" s="2" t="str">
        <f t="shared" si="2"/>
        <v>2018</v>
      </c>
      <c r="F528" s="13" t="s">
        <v>41</v>
      </c>
      <c r="G528" s="13" t="s">
        <v>2656</v>
      </c>
      <c r="H528" s="13" t="s">
        <v>2657</v>
      </c>
      <c r="I528" s="13" t="s">
        <v>68</v>
      </c>
      <c r="J528" s="13" t="s">
        <v>991</v>
      </c>
      <c r="K528" s="13" t="s">
        <v>145</v>
      </c>
      <c r="L528" s="13" t="s">
        <v>26</v>
      </c>
      <c r="M528" s="13" t="s">
        <v>27</v>
      </c>
      <c r="N528" s="14">
        <v>683.952</v>
      </c>
      <c r="O528" s="14">
        <v>683.38</v>
      </c>
      <c r="P528" s="13">
        <v>3.0</v>
      </c>
      <c r="Q528" s="14">
        <f t="shared" si="3"/>
        <v>2051.856</v>
      </c>
      <c r="R528" s="14">
        <f t="shared" si="4"/>
        <v>1368.476</v>
      </c>
      <c r="S528" s="14">
        <f t="shared" si="5"/>
        <v>683.38</v>
      </c>
    </row>
    <row r="529">
      <c r="A529" s="12">
        <v>43394.0</v>
      </c>
      <c r="B529" s="12" t="s">
        <v>2358</v>
      </c>
      <c r="C529" s="2">
        <v>43399.0</v>
      </c>
      <c r="D529" s="15" t="str">
        <f t="shared" si="1"/>
        <v>Oct</v>
      </c>
      <c r="E529" s="2" t="str">
        <f t="shared" si="2"/>
        <v>2018</v>
      </c>
      <c r="F529" s="13" t="s">
        <v>41</v>
      </c>
      <c r="G529" s="13" t="s">
        <v>2656</v>
      </c>
      <c r="H529" s="13" t="s">
        <v>2657</v>
      </c>
      <c r="I529" s="13" t="s">
        <v>68</v>
      </c>
      <c r="J529" s="13" t="s">
        <v>991</v>
      </c>
      <c r="K529" s="13" t="s">
        <v>145</v>
      </c>
      <c r="L529" s="13" t="s">
        <v>26</v>
      </c>
      <c r="M529" s="13" t="s">
        <v>27</v>
      </c>
      <c r="N529" s="14">
        <v>45.696</v>
      </c>
      <c r="O529" s="14">
        <v>44.75</v>
      </c>
      <c r="P529" s="13">
        <v>3.0</v>
      </c>
      <c r="Q529" s="14">
        <f t="shared" si="3"/>
        <v>137.088</v>
      </c>
      <c r="R529" s="14">
        <f t="shared" si="4"/>
        <v>92.338</v>
      </c>
      <c r="S529" s="14">
        <f t="shared" si="5"/>
        <v>44.75</v>
      </c>
    </row>
    <row r="530">
      <c r="A530" s="12">
        <v>42438.0</v>
      </c>
      <c r="B530" s="12" t="s">
        <v>2399</v>
      </c>
      <c r="C530" s="2">
        <v>42560.0</v>
      </c>
      <c r="D530" s="15" t="str">
        <f t="shared" si="1"/>
        <v>Jul</v>
      </c>
      <c r="E530" s="2" t="str">
        <f t="shared" si="2"/>
        <v>2016</v>
      </c>
      <c r="F530" s="13" t="s">
        <v>41</v>
      </c>
      <c r="G530" s="13" t="s">
        <v>2592</v>
      </c>
      <c r="H530" s="13" t="s">
        <v>2658</v>
      </c>
      <c r="I530" s="13" t="s">
        <v>23</v>
      </c>
      <c r="J530" s="13" t="s">
        <v>98</v>
      </c>
      <c r="K530" s="13" t="s">
        <v>99</v>
      </c>
      <c r="L530" s="13" t="s">
        <v>100</v>
      </c>
      <c r="M530" s="13" t="s">
        <v>38</v>
      </c>
      <c r="N530" s="14">
        <v>36.336</v>
      </c>
      <c r="O530" s="14">
        <v>35.79</v>
      </c>
      <c r="P530" s="13">
        <v>1.0</v>
      </c>
      <c r="Q530" s="14">
        <f t="shared" si="3"/>
        <v>36.336</v>
      </c>
      <c r="R530" s="14">
        <f t="shared" si="4"/>
        <v>0.546</v>
      </c>
      <c r="S530" s="14">
        <f t="shared" si="5"/>
        <v>35.79</v>
      </c>
    </row>
    <row r="531">
      <c r="A531" s="12">
        <v>42438.0</v>
      </c>
      <c r="B531" s="12" t="s">
        <v>2399</v>
      </c>
      <c r="C531" s="2">
        <v>42560.0</v>
      </c>
      <c r="D531" s="15" t="str">
        <f t="shared" si="1"/>
        <v>Jul</v>
      </c>
      <c r="E531" s="2" t="str">
        <f t="shared" si="2"/>
        <v>2016</v>
      </c>
      <c r="F531" s="13" t="s">
        <v>41</v>
      </c>
      <c r="G531" s="13" t="s">
        <v>2592</v>
      </c>
      <c r="H531" s="13" t="s">
        <v>2658</v>
      </c>
      <c r="I531" s="13" t="s">
        <v>23</v>
      </c>
      <c r="J531" s="13" t="s">
        <v>98</v>
      </c>
      <c r="K531" s="13" t="s">
        <v>99</v>
      </c>
      <c r="L531" s="13" t="s">
        <v>100</v>
      </c>
      <c r="M531" s="13" t="s">
        <v>38</v>
      </c>
      <c r="N531" s="14">
        <v>666.248</v>
      </c>
      <c r="O531" s="14">
        <v>665.42</v>
      </c>
      <c r="P531" s="13">
        <v>1.0</v>
      </c>
      <c r="Q531" s="14">
        <f t="shared" si="3"/>
        <v>666.248</v>
      </c>
      <c r="R531" s="14">
        <f t="shared" si="4"/>
        <v>0.828</v>
      </c>
      <c r="S531" s="14">
        <f t="shared" si="5"/>
        <v>665.42</v>
      </c>
    </row>
    <row r="532">
      <c r="A532" s="12">
        <v>42438.0</v>
      </c>
      <c r="B532" s="12" t="s">
        <v>2399</v>
      </c>
      <c r="C532" s="2">
        <v>42560.0</v>
      </c>
      <c r="D532" s="15" t="str">
        <f t="shared" si="1"/>
        <v>Jul</v>
      </c>
      <c r="E532" s="2" t="str">
        <f t="shared" si="2"/>
        <v>2016</v>
      </c>
      <c r="F532" s="13" t="s">
        <v>41</v>
      </c>
      <c r="G532" s="13" t="s">
        <v>2592</v>
      </c>
      <c r="H532" s="13" t="s">
        <v>2658</v>
      </c>
      <c r="I532" s="13" t="s">
        <v>23</v>
      </c>
      <c r="J532" s="13" t="s">
        <v>98</v>
      </c>
      <c r="K532" s="13" t="s">
        <v>99</v>
      </c>
      <c r="L532" s="13" t="s">
        <v>100</v>
      </c>
      <c r="M532" s="13" t="s">
        <v>38</v>
      </c>
      <c r="N532" s="14">
        <v>52.512</v>
      </c>
      <c r="O532" s="14">
        <v>51.96</v>
      </c>
      <c r="P532" s="13">
        <v>1.0</v>
      </c>
      <c r="Q532" s="14">
        <f t="shared" si="3"/>
        <v>52.512</v>
      </c>
      <c r="R532" s="14">
        <f t="shared" si="4"/>
        <v>0.552</v>
      </c>
      <c r="S532" s="14">
        <f t="shared" si="5"/>
        <v>51.96</v>
      </c>
    </row>
    <row r="533">
      <c r="A533" s="12">
        <v>42562.0</v>
      </c>
      <c r="B533" s="12" t="s">
        <v>2348</v>
      </c>
      <c r="C533" s="2">
        <v>42624.0</v>
      </c>
      <c r="D533" s="15" t="str">
        <f t="shared" si="1"/>
        <v>Sep</v>
      </c>
      <c r="E533" s="2" t="str">
        <f t="shared" si="2"/>
        <v>2016</v>
      </c>
      <c r="F533" s="13" t="s">
        <v>20</v>
      </c>
      <c r="G533" s="13" t="s">
        <v>2388</v>
      </c>
      <c r="H533" s="13" t="s">
        <v>2659</v>
      </c>
      <c r="I533" s="13" t="s">
        <v>34</v>
      </c>
      <c r="J533" s="13" t="s">
        <v>35</v>
      </c>
      <c r="K533" s="13" t="s">
        <v>52</v>
      </c>
      <c r="L533" s="13" t="s">
        <v>37</v>
      </c>
      <c r="M533" s="13" t="s">
        <v>27</v>
      </c>
      <c r="N533" s="14">
        <v>190.72</v>
      </c>
      <c r="O533" s="14">
        <v>190.15</v>
      </c>
      <c r="P533" s="13">
        <v>9.0</v>
      </c>
      <c r="Q533" s="14">
        <f t="shared" si="3"/>
        <v>1716.48</v>
      </c>
      <c r="R533" s="14">
        <f t="shared" si="4"/>
        <v>1526.33</v>
      </c>
      <c r="S533" s="14">
        <f t="shared" si="5"/>
        <v>190.15</v>
      </c>
    </row>
    <row r="534">
      <c r="A534" s="12">
        <v>43290.0</v>
      </c>
      <c r="B534" s="12" t="s">
        <v>2348</v>
      </c>
      <c r="C534" s="2">
        <v>43413.0</v>
      </c>
      <c r="D534" s="15" t="str">
        <f t="shared" si="1"/>
        <v>Nov</v>
      </c>
      <c r="E534" s="2" t="str">
        <f t="shared" si="2"/>
        <v>2018</v>
      </c>
      <c r="F534" s="13" t="s">
        <v>41</v>
      </c>
      <c r="G534" s="13" t="s">
        <v>2660</v>
      </c>
      <c r="H534" s="13" t="s">
        <v>2422</v>
      </c>
      <c r="I534" s="13" t="s">
        <v>23</v>
      </c>
      <c r="J534" s="13" t="s">
        <v>35</v>
      </c>
      <c r="K534" s="13" t="s">
        <v>52</v>
      </c>
      <c r="L534" s="13" t="s">
        <v>37</v>
      </c>
      <c r="M534" s="13" t="s">
        <v>27</v>
      </c>
      <c r="N534" s="14">
        <v>47.94</v>
      </c>
      <c r="O534" s="14">
        <v>47.47</v>
      </c>
      <c r="P534" s="13">
        <v>9.0</v>
      </c>
      <c r="Q534" s="14">
        <f t="shared" si="3"/>
        <v>431.46</v>
      </c>
      <c r="R534" s="14">
        <f t="shared" si="4"/>
        <v>383.99</v>
      </c>
      <c r="S534" s="14">
        <f t="shared" si="5"/>
        <v>47.47</v>
      </c>
    </row>
    <row r="535">
      <c r="A535" s="12">
        <v>42884.0</v>
      </c>
      <c r="B535" s="12" t="s">
        <v>2335</v>
      </c>
      <c r="C535" s="2">
        <v>42741.0</v>
      </c>
      <c r="D535" s="15" t="str">
        <f t="shared" si="1"/>
        <v>Jan</v>
      </c>
      <c r="E535" s="2" t="str">
        <f t="shared" si="2"/>
        <v>2017</v>
      </c>
      <c r="F535" s="13" t="s">
        <v>20</v>
      </c>
      <c r="G535" s="13" t="s">
        <v>2661</v>
      </c>
      <c r="H535" s="13" t="s">
        <v>2561</v>
      </c>
      <c r="I535" s="13" t="s">
        <v>23</v>
      </c>
      <c r="J535" s="13" t="s">
        <v>1004</v>
      </c>
      <c r="K535" s="13" t="s">
        <v>220</v>
      </c>
      <c r="L535" s="13" t="s">
        <v>26</v>
      </c>
      <c r="M535" s="13" t="s">
        <v>51</v>
      </c>
      <c r="N535" s="14">
        <v>979.95</v>
      </c>
      <c r="O535" s="14">
        <v>979.35</v>
      </c>
      <c r="P535" s="13">
        <v>3.0</v>
      </c>
      <c r="Q535" s="14">
        <f t="shared" si="3"/>
        <v>2939.85</v>
      </c>
      <c r="R535" s="14">
        <f t="shared" si="4"/>
        <v>1960.5</v>
      </c>
      <c r="S535" s="14">
        <f t="shared" si="5"/>
        <v>979.35</v>
      </c>
    </row>
    <row r="536">
      <c r="A536" s="12">
        <v>42884.0</v>
      </c>
      <c r="B536" s="12" t="s">
        <v>2335</v>
      </c>
      <c r="C536" s="2">
        <v>42741.0</v>
      </c>
      <c r="D536" s="15" t="str">
        <f t="shared" si="1"/>
        <v>Jan</v>
      </c>
      <c r="E536" s="2" t="str">
        <f t="shared" si="2"/>
        <v>2017</v>
      </c>
      <c r="F536" s="13" t="s">
        <v>20</v>
      </c>
      <c r="G536" s="13" t="s">
        <v>2661</v>
      </c>
      <c r="H536" s="13" t="s">
        <v>2561</v>
      </c>
      <c r="I536" s="13" t="s">
        <v>23</v>
      </c>
      <c r="J536" s="13" t="s">
        <v>1004</v>
      </c>
      <c r="K536" s="13" t="s">
        <v>220</v>
      </c>
      <c r="L536" s="13" t="s">
        <v>26</v>
      </c>
      <c r="M536" s="13" t="s">
        <v>38</v>
      </c>
      <c r="N536" s="14">
        <v>22.75</v>
      </c>
      <c r="O536" s="14">
        <v>22.51</v>
      </c>
      <c r="P536" s="13">
        <v>3.0</v>
      </c>
      <c r="Q536" s="14">
        <f t="shared" si="3"/>
        <v>68.25</v>
      </c>
      <c r="R536" s="14">
        <f t="shared" si="4"/>
        <v>45.74</v>
      </c>
      <c r="S536" s="14">
        <f t="shared" si="5"/>
        <v>22.51</v>
      </c>
    </row>
    <row r="537">
      <c r="A537" s="12">
        <v>43015.0</v>
      </c>
      <c r="B537" s="12" t="s">
        <v>2358</v>
      </c>
      <c r="C537" s="2">
        <v>42932.0</v>
      </c>
      <c r="D537" s="15" t="str">
        <f t="shared" si="1"/>
        <v>Jul</v>
      </c>
      <c r="E537" s="2" t="str">
        <f t="shared" si="2"/>
        <v>2017</v>
      </c>
      <c r="F537" s="13" t="s">
        <v>41</v>
      </c>
      <c r="G537" s="13" t="s">
        <v>2334</v>
      </c>
      <c r="H537" s="13" t="s">
        <v>2662</v>
      </c>
      <c r="I537" s="13" t="s">
        <v>23</v>
      </c>
      <c r="J537" s="13" t="s">
        <v>1009</v>
      </c>
      <c r="K537" s="13" t="s">
        <v>193</v>
      </c>
      <c r="L537" s="13" t="s">
        <v>37</v>
      </c>
      <c r="M537" s="13" t="s">
        <v>38</v>
      </c>
      <c r="N537" s="14">
        <v>16.768</v>
      </c>
      <c r="O537" s="14">
        <v>16.1</v>
      </c>
      <c r="P537" s="13">
        <v>8.0</v>
      </c>
      <c r="Q537" s="14">
        <f t="shared" si="3"/>
        <v>134.144</v>
      </c>
      <c r="R537" s="14">
        <f t="shared" si="4"/>
        <v>118.044</v>
      </c>
      <c r="S537" s="14">
        <f t="shared" si="5"/>
        <v>16.1</v>
      </c>
    </row>
    <row r="538">
      <c r="A538" s="12">
        <v>43168.0</v>
      </c>
      <c r="B538" s="12" t="s">
        <v>2399</v>
      </c>
      <c r="C538" s="2">
        <v>43321.0</v>
      </c>
      <c r="D538" s="15" t="str">
        <f t="shared" si="1"/>
        <v>Aug</v>
      </c>
      <c r="E538" s="2" t="str">
        <f t="shared" si="2"/>
        <v>2018</v>
      </c>
      <c r="F538" s="13" t="s">
        <v>20</v>
      </c>
      <c r="G538" s="13" t="s">
        <v>2351</v>
      </c>
      <c r="H538" s="13" t="s">
        <v>2663</v>
      </c>
      <c r="I538" s="13" t="s">
        <v>23</v>
      </c>
      <c r="J538" s="13" t="s">
        <v>188</v>
      </c>
      <c r="K538" s="13" t="s">
        <v>135</v>
      </c>
      <c r="L538" s="13" t="s">
        <v>71</v>
      </c>
      <c r="M538" s="13" t="s">
        <v>38</v>
      </c>
      <c r="N538" s="14">
        <v>42.616</v>
      </c>
      <c r="O538" s="14">
        <v>41.78</v>
      </c>
      <c r="P538" s="13">
        <v>6.0</v>
      </c>
      <c r="Q538" s="14">
        <f t="shared" si="3"/>
        <v>255.696</v>
      </c>
      <c r="R538" s="14">
        <f t="shared" si="4"/>
        <v>213.916</v>
      </c>
      <c r="S538" s="14">
        <f t="shared" si="5"/>
        <v>41.78</v>
      </c>
    </row>
    <row r="539">
      <c r="A539" s="12">
        <v>42441.0</v>
      </c>
      <c r="B539" s="12" t="s">
        <v>2399</v>
      </c>
      <c r="C539" s="2">
        <v>42594.0</v>
      </c>
      <c r="D539" s="15" t="str">
        <f t="shared" si="1"/>
        <v>Aug</v>
      </c>
      <c r="E539" s="2" t="str">
        <f t="shared" si="2"/>
        <v>2016</v>
      </c>
      <c r="F539" s="13" t="s">
        <v>41</v>
      </c>
      <c r="G539" s="13" t="s">
        <v>2487</v>
      </c>
      <c r="H539" s="13" t="s">
        <v>2488</v>
      </c>
      <c r="I539" s="13" t="s">
        <v>68</v>
      </c>
      <c r="J539" s="13" t="s">
        <v>174</v>
      </c>
      <c r="K539" s="13" t="s">
        <v>175</v>
      </c>
      <c r="L539" s="13" t="s">
        <v>100</v>
      </c>
      <c r="M539" s="13" t="s">
        <v>38</v>
      </c>
      <c r="N539" s="14">
        <v>10.752</v>
      </c>
      <c r="O539" s="14">
        <v>10.57</v>
      </c>
      <c r="P539" s="13">
        <v>1.0</v>
      </c>
      <c r="Q539" s="14">
        <f t="shared" si="3"/>
        <v>10.752</v>
      </c>
      <c r="R539" s="14">
        <f t="shared" si="4"/>
        <v>0.182</v>
      </c>
      <c r="S539" s="14">
        <f t="shared" si="5"/>
        <v>10.57</v>
      </c>
    </row>
    <row r="540">
      <c r="A540" s="12">
        <v>42563.0</v>
      </c>
      <c r="B540" s="12" t="s">
        <v>2348</v>
      </c>
      <c r="C540" s="2">
        <v>42686.0</v>
      </c>
      <c r="D540" s="15" t="str">
        <f t="shared" si="1"/>
        <v>Nov</v>
      </c>
      <c r="E540" s="2" t="str">
        <f t="shared" si="2"/>
        <v>2016</v>
      </c>
      <c r="F540" s="13" t="s">
        <v>41</v>
      </c>
      <c r="G540" s="13" t="s">
        <v>2377</v>
      </c>
      <c r="H540" s="13" t="s">
        <v>2664</v>
      </c>
      <c r="I540" s="13" t="s">
        <v>23</v>
      </c>
      <c r="J540" s="13" t="s">
        <v>24</v>
      </c>
      <c r="K540" s="13" t="s">
        <v>25</v>
      </c>
      <c r="L540" s="13" t="s">
        <v>26</v>
      </c>
      <c r="M540" s="13" t="s">
        <v>38</v>
      </c>
      <c r="N540" s="14">
        <v>152.94</v>
      </c>
      <c r="O540" s="14">
        <v>152.58</v>
      </c>
      <c r="P540" s="13">
        <v>4.0</v>
      </c>
      <c r="Q540" s="14">
        <f t="shared" si="3"/>
        <v>611.76</v>
      </c>
      <c r="R540" s="14">
        <f t="shared" si="4"/>
        <v>459.18</v>
      </c>
      <c r="S540" s="14">
        <f t="shared" si="5"/>
        <v>152.58</v>
      </c>
    </row>
    <row r="541">
      <c r="A541" s="12">
        <v>42563.0</v>
      </c>
      <c r="B541" s="12" t="s">
        <v>2348</v>
      </c>
      <c r="C541" s="2">
        <v>42686.0</v>
      </c>
      <c r="D541" s="15" t="str">
        <f t="shared" si="1"/>
        <v>Nov</v>
      </c>
      <c r="E541" s="2" t="str">
        <f t="shared" si="2"/>
        <v>2016</v>
      </c>
      <c r="F541" s="13" t="s">
        <v>41</v>
      </c>
      <c r="G541" s="13" t="s">
        <v>2377</v>
      </c>
      <c r="H541" s="13" t="s">
        <v>2664</v>
      </c>
      <c r="I541" s="13" t="s">
        <v>23</v>
      </c>
      <c r="J541" s="13" t="s">
        <v>24</v>
      </c>
      <c r="K541" s="13" t="s">
        <v>25</v>
      </c>
      <c r="L541" s="13" t="s">
        <v>26</v>
      </c>
      <c r="M541" s="13" t="s">
        <v>27</v>
      </c>
      <c r="N541" s="14">
        <v>283.92</v>
      </c>
      <c r="O541" s="14">
        <v>282.95</v>
      </c>
      <c r="P541" s="13">
        <v>4.0</v>
      </c>
      <c r="Q541" s="14">
        <f t="shared" si="3"/>
        <v>1135.68</v>
      </c>
      <c r="R541" s="14">
        <f t="shared" si="4"/>
        <v>852.73</v>
      </c>
      <c r="S541" s="14">
        <f t="shared" si="5"/>
        <v>282.95</v>
      </c>
    </row>
    <row r="542">
      <c r="A542" s="12">
        <v>42006.0</v>
      </c>
      <c r="B542" s="12" t="s">
        <v>2353</v>
      </c>
      <c r="C542" s="2">
        <v>42065.0</v>
      </c>
      <c r="D542" s="15" t="str">
        <f t="shared" si="1"/>
        <v>Mar</v>
      </c>
      <c r="E542" s="2" t="str">
        <f t="shared" si="2"/>
        <v>2015</v>
      </c>
      <c r="F542" s="13" t="s">
        <v>121</v>
      </c>
      <c r="G542" s="13" t="s">
        <v>2652</v>
      </c>
      <c r="H542" s="13" t="s">
        <v>2665</v>
      </c>
      <c r="I542" s="13" t="s">
        <v>23</v>
      </c>
      <c r="J542" s="13" t="s">
        <v>1020</v>
      </c>
      <c r="K542" s="13" t="s">
        <v>77</v>
      </c>
      <c r="L542" s="13" t="s">
        <v>71</v>
      </c>
      <c r="M542" s="13" t="s">
        <v>51</v>
      </c>
      <c r="N542" s="14">
        <v>468.9</v>
      </c>
      <c r="O542" s="14">
        <v>467.96</v>
      </c>
      <c r="P542" s="13">
        <v>5.0</v>
      </c>
      <c r="Q542" s="14">
        <f t="shared" si="3"/>
        <v>2344.5</v>
      </c>
      <c r="R542" s="14">
        <f t="shared" si="4"/>
        <v>1876.54</v>
      </c>
      <c r="S542" s="14">
        <f t="shared" si="5"/>
        <v>467.96</v>
      </c>
    </row>
    <row r="543">
      <c r="A543" s="12">
        <v>42930.0</v>
      </c>
      <c r="B543" s="12" t="s">
        <v>2348</v>
      </c>
      <c r="C543" s="2">
        <v>42933.0</v>
      </c>
      <c r="D543" s="15" t="str">
        <f t="shared" si="1"/>
        <v>Jul</v>
      </c>
      <c r="E543" s="2" t="str">
        <f t="shared" si="2"/>
        <v>2017</v>
      </c>
      <c r="F543" s="13" t="s">
        <v>121</v>
      </c>
      <c r="G543" s="13" t="s">
        <v>2369</v>
      </c>
      <c r="H543" s="13" t="s">
        <v>2370</v>
      </c>
      <c r="I543" s="13" t="s">
        <v>34</v>
      </c>
      <c r="J543" s="13" t="s">
        <v>729</v>
      </c>
      <c r="K543" s="13" t="s">
        <v>193</v>
      </c>
      <c r="L543" s="13" t="s">
        <v>37</v>
      </c>
      <c r="M543" s="13" t="s">
        <v>51</v>
      </c>
      <c r="N543" s="14">
        <v>380.864</v>
      </c>
      <c r="O543" s="14">
        <v>380.6</v>
      </c>
      <c r="P543" s="13">
        <v>8.0</v>
      </c>
      <c r="Q543" s="14">
        <f t="shared" si="3"/>
        <v>3046.912</v>
      </c>
      <c r="R543" s="14">
        <f t="shared" si="4"/>
        <v>2666.312</v>
      </c>
      <c r="S543" s="14">
        <f t="shared" si="5"/>
        <v>380.6</v>
      </c>
    </row>
    <row r="544">
      <c r="A544" s="12">
        <v>42722.0</v>
      </c>
      <c r="B544" s="12" t="s">
        <v>2325</v>
      </c>
      <c r="C544" s="2">
        <v>42727.0</v>
      </c>
      <c r="D544" s="15" t="str">
        <f t="shared" si="1"/>
        <v>Dec</v>
      </c>
      <c r="E544" s="2" t="str">
        <f t="shared" si="2"/>
        <v>2016</v>
      </c>
      <c r="F544" s="13" t="s">
        <v>41</v>
      </c>
      <c r="G544" s="13" t="s">
        <v>2666</v>
      </c>
      <c r="H544" s="13" t="s">
        <v>2667</v>
      </c>
      <c r="I544" s="13" t="s">
        <v>23</v>
      </c>
      <c r="J544" s="13" t="s">
        <v>197</v>
      </c>
      <c r="K544" s="13" t="s">
        <v>304</v>
      </c>
      <c r="L544" s="13" t="s">
        <v>100</v>
      </c>
      <c r="M544" s="13" t="s">
        <v>38</v>
      </c>
      <c r="N544" s="14">
        <v>646.776</v>
      </c>
      <c r="O544" s="14">
        <v>646.66</v>
      </c>
      <c r="P544" s="13">
        <v>4.0</v>
      </c>
      <c r="Q544" s="14">
        <f t="shared" si="3"/>
        <v>2587.104</v>
      </c>
      <c r="R544" s="14">
        <f t="shared" si="4"/>
        <v>1940.444</v>
      </c>
      <c r="S544" s="14">
        <f t="shared" si="5"/>
        <v>646.66</v>
      </c>
    </row>
    <row r="545">
      <c r="A545" s="12">
        <v>42313.0</v>
      </c>
      <c r="B545" s="12" t="s">
        <v>2326</v>
      </c>
      <c r="C545" s="2">
        <v>42140.0</v>
      </c>
      <c r="D545" s="15" t="str">
        <f t="shared" si="1"/>
        <v>May</v>
      </c>
      <c r="E545" s="2" t="str">
        <f t="shared" si="2"/>
        <v>2015</v>
      </c>
      <c r="F545" s="13" t="s">
        <v>41</v>
      </c>
      <c r="G545" s="13" t="s">
        <v>1839</v>
      </c>
      <c r="H545" s="13" t="s">
        <v>2404</v>
      </c>
      <c r="I545" s="13" t="s">
        <v>23</v>
      </c>
      <c r="J545" s="13" t="s">
        <v>69</v>
      </c>
      <c r="K545" s="13" t="s">
        <v>70</v>
      </c>
      <c r="L545" s="13" t="s">
        <v>71</v>
      </c>
      <c r="M545" s="13" t="s">
        <v>51</v>
      </c>
      <c r="N545" s="14">
        <v>58.112</v>
      </c>
      <c r="O545" s="14">
        <v>57.94</v>
      </c>
      <c r="P545" s="13">
        <v>7.0</v>
      </c>
      <c r="Q545" s="14">
        <f t="shared" si="3"/>
        <v>406.784</v>
      </c>
      <c r="R545" s="14">
        <f t="shared" si="4"/>
        <v>348.844</v>
      </c>
      <c r="S545" s="14">
        <f t="shared" si="5"/>
        <v>57.94</v>
      </c>
    </row>
    <row r="546">
      <c r="A546" s="12">
        <v>42313.0</v>
      </c>
      <c r="B546" s="12" t="s">
        <v>2326</v>
      </c>
      <c r="C546" s="2">
        <v>42140.0</v>
      </c>
      <c r="D546" s="15" t="str">
        <f t="shared" si="1"/>
        <v>May</v>
      </c>
      <c r="E546" s="2" t="str">
        <f t="shared" si="2"/>
        <v>2015</v>
      </c>
      <c r="F546" s="13" t="s">
        <v>41</v>
      </c>
      <c r="G546" s="13" t="s">
        <v>1839</v>
      </c>
      <c r="H546" s="13" t="s">
        <v>2404</v>
      </c>
      <c r="I546" s="13" t="s">
        <v>23</v>
      </c>
      <c r="J546" s="13" t="s">
        <v>69</v>
      </c>
      <c r="K546" s="13" t="s">
        <v>70</v>
      </c>
      <c r="L546" s="13" t="s">
        <v>71</v>
      </c>
      <c r="M546" s="13" t="s">
        <v>51</v>
      </c>
      <c r="N546" s="14">
        <v>100.792</v>
      </c>
      <c r="O546" s="14">
        <v>100.58</v>
      </c>
      <c r="P546" s="13">
        <v>7.0</v>
      </c>
      <c r="Q546" s="14">
        <f t="shared" si="3"/>
        <v>705.544</v>
      </c>
      <c r="R546" s="14">
        <f t="shared" si="4"/>
        <v>604.964</v>
      </c>
      <c r="S546" s="14">
        <f t="shared" si="5"/>
        <v>100.58</v>
      </c>
    </row>
    <row r="547">
      <c r="A547" s="12">
        <v>42313.0</v>
      </c>
      <c r="B547" s="12" t="s">
        <v>2326</v>
      </c>
      <c r="C547" s="2">
        <v>42140.0</v>
      </c>
      <c r="D547" s="15" t="str">
        <f t="shared" si="1"/>
        <v>May</v>
      </c>
      <c r="E547" s="2" t="str">
        <f t="shared" si="2"/>
        <v>2015</v>
      </c>
      <c r="F547" s="13" t="s">
        <v>41</v>
      </c>
      <c r="G547" s="13" t="s">
        <v>1839</v>
      </c>
      <c r="H547" s="13" t="s">
        <v>2404</v>
      </c>
      <c r="I547" s="13" t="s">
        <v>23</v>
      </c>
      <c r="J547" s="13" t="s">
        <v>69</v>
      </c>
      <c r="K547" s="13" t="s">
        <v>70</v>
      </c>
      <c r="L547" s="13" t="s">
        <v>71</v>
      </c>
      <c r="M547" s="13" t="s">
        <v>27</v>
      </c>
      <c r="N547" s="14">
        <v>66.112</v>
      </c>
      <c r="O547" s="14">
        <v>65.65</v>
      </c>
      <c r="P547" s="13">
        <v>7.0</v>
      </c>
      <c r="Q547" s="14">
        <f t="shared" si="3"/>
        <v>462.784</v>
      </c>
      <c r="R547" s="14">
        <f t="shared" si="4"/>
        <v>397.134</v>
      </c>
      <c r="S547" s="14">
        <f t="shared" si="5"/>
        <v>65.65</v>
      </c>
    </row>
    <row r="548">
      <c r="A548" s="12">
        <v>43423.0</v>
      </c>
      <c r="B548" s="12" t="s">
        <v>2326</v>
      </c>
      <c r="C548" s="2">
        <v>43426.0</v>
      </c>
      <c r="D548" s="15" t="str">
        <f t="shared" si="1"/>
        <v>Nov</v>
      </c>
      <c r="E548" s="2" t="str">
        <f t="shared" si="2"/>
        <v>2018</v>
      </c>
      <c r="F548" s="13" t="s">
        <v>121</v>
      </c>
      <c r="G548" s="13" t="s">
        <v>2668</v>
      </c>
      <c r="H548" s="13" t="s">
        <v>2669</v>
      </c>
      <c r="I548" s="13" t="s">
        <v>68</v>
      </c>
      <c r="J548" s="13" t="s">
        <v>174</v>
      </c>
      <c r="K548" s="13" t="s">
        <v>175</v>
      </c>
      <c r="L548" s="13" t="s">
        <v>100</v>
      </c>
      <c r="M548" s="13" t="s">
        <v>38</v>
      </c>
      <c r="N548" s="14">
        <v>41.28</v>
      </c>
      <c r="O548" s="14">
        <v>40.59</v>
      </c>
      <c r="P548" s="13">
        <v>1.0</v>
      </c>
      <c r="Q548" s="14">
        <f t="shared" si="3"/>
        <v>41.28</v>
      </c>
      <c r="R548" s="14">
        <f t="shared" si="4"/>
        <v>0.69</v>
      </c>
      <c r="S548" s="14">
        <f t="shared" si="5"/>
        <v>40.59</v>
      </c>
    </row>
    <row r="549">
      <c r="A549" s="12">
        <v>43423.0</v>
      </c>
      <c r="B549" s="12" t="s">
        <v>2326</v>
      </c>
      <c r="C549" s="2">
        <v>43426.0</v>
      </c>
      <c r="D549" s="15" t="str">
        <f t="shared" si="1"/>
        <v>Nov</v>
      </c>
      <c r="E549" s="2" t="str">
        <f t="shared" si="2"/>
        <v>2018</v>
      </c>
      <c r="F549" s="13" t="s">
        <v>121</v>
      </c>
      <c r="G549" s="13" t="s">
        <v>2668</v>
      </c>
      <c r="H549" s="13" t="s">
        <v>2669</v>
      </c>
      <c r="I549" s="13" t="s">
        <v>68</v>
      </c>
      <c r="J549" s="13" t="s">
        <v>174</v>
      </c>
      <c r="K549" s="13" t="s">
        <v>175</v>
      </c>
      <c r="L549" s="13" t="s">
        <v>100</v>
      </c>
      <c r="M549" s="13" t="s">
        <v>38</v>
      </c>
      <c r="N549" s="14">
        <v>13.36</v>
      </c>
      <c r="O549" s="14">
        <v>12.82</v>
      </c>
      <c r="P549" s="13">
        <v>1.0</v>
      </c>
      <c r="Q549" s="14">
        <f t="shared" si="3"/>
        <v>13.36</v>
      </c>
      <c r="R549" s="14">
        <f t="shared" si="4"/>
        <v>0.54</v>
      </c>
      <c r="S549" s="14">
        <f t="shared" si="5"/>
        <v>12.82</v>
      </c>
    </row>
    <row r="550">
      <c r="A550" s="12">
        <v>42689.0</v>
      </c>
      <c r="B550" s="12" t="s">
        <v>2326</v>
      </c>
      <c r="C550" s="2">
        <v>42691.0</v>
      </c>
      <c r="D550" s="15" t="str">
        <f t="shared" si="1"/>
        <v>Nov</v>
      </c>
      <c r="E550" s="2" t="str">
        <f t="shared" si="2"/>
        <v>2016</v>
      </c>
      <c r="F550" s="13" t="s">
        <v>20</v>
      </c>
      <c r="G550" s="13" t="s">
        <v>2589</v>
      </c>
      <c r="H550" s="13" t="s">
        <v>2590</v>
      </c>
      <c r="I550" s="13" t="s">
        <v>34</v>
      </c>
      <c r="J550" s="13" t="s">
        <v>188</v>
      </c>
      <c r="K550" s="13" t="s">
        <v>135</v>
      </c>
      <c r="L550" s="13" t="s">
        <v>71</v>
      </c>
      <c r="M550" s="13" t="s">
        <v>38</v>
      </c>
      <c r="N550" s="14">
        <v>250.272</v>
      </c>
      <c r="O550" s="14">
        <v>249.83</v>
      </c>
      <c r="P550" s="13">
        <v>6.0</v>
      </c>
      <c r="Q550" s="14">
        <f t="shared" si="3"/>
        <v>1501.632</v>
      </c>
      <c r="R550" s="14">
        <f t="shared" si="4"/>
        <v>1251.802</v>
      </c>
      <c r="S550" s="14">
        <f t="shared" si="5"/>
        <v>249.83</v>
      </c>
    </row>
    <row r="551">
      <c r="A551" s="12">
        <v>42689.0</v>
      </c>
      <c r="B551" s="12" t="s">
        <v>2326</v>
      </c>
      <c r="C551" s="2">
        <v>42691.0</v>
      </c>
      <c r="D551" s="15" t="str">
        <f t="shared" si="1"/>
        <v>Nov</v>
      </c>
      <c r="E551" s="2" t="str">
        <f t="shared" si="2"/>
        <v>2016</v>
      </c>
      <c r="F551" s="13" t="s">
        <v>20</v>
      </c>
      <c r="G551" s="13" t="s">
        <v>2589</v>
      </c>
      <c r="H551" s="13" t="s">
        <v>2590</v>
      </c>
      <c r="I551" s="13" t="s">
        <v>34</v>
      </c>
      <c r="J551" s="13" t="s">
        <v>188</v>
      </c>
      <c r="K551" s="13" t="s">
        <v>135</v>
      </c>
      <c r="L551" s="13" t="s">
        <v>71</v>
      </c>
      <c r="M551" s="13" t="s">
        <v>38</v>
      </c>
      <c r="N551" s="14">
        <v>11.364</v>
      </c>
      <c r="O551" s="14">
        <v>10.83</v>
      </c>
      <c r="P551" s="13">
        <v>6.0</v>
      </c>
      <c r="Q551" s="14">
        <f t="shared" si="3"/>
        <v>68.184</v>
      </c>
      <c r="R551" s="14">
        <f t="shared" si="4"/>
        <v>57.354</v>
      </c>
      <c r="S551" s="14">
        <f t="shared" si="5"/>
        <v>10.83</v>
      </c>
    </row>
    <row r="552">
      <c r="A552" s="12">
        <v>42689.0</v>
      </c>
      <c r="B552" s="12" t="s">
        <v>2326</v>
      </c>
      <c r="C552" s="2">
        <v>42691.0</v>
      </c>
      <c r="D552" s="15" t="str">
        <f t="shared" si="1"/>
        <v>Nov</v>
      </c>
      <c r="E552" s="2" t="str">
        <f t="shared" si="2"/>
        <v>2016</v>
      </c>
      <c r="F552" s="13" t="s">
        <v>20</v>
      </c>
      <c r="G552" s="13" t="s">
        <v>2589</v>
      </c>
      <c r="H552" s="13" t="s">
        <v>2590</v>
      </c>
      <c r="I552" s="13" t="s">
        <v>34</v>
      </c>
      <c r="J552" s="13" t="s">
        <v>188</v>
      </c>
      <c r="K552" s="13" t="s">
        <v>135</v>
      </c>
      <c r="L552" s="13" t="s">
        <v>71</v>
      </c>
      <c r="M552" s="13" t="s">
        <v>38</v>
      </c>
      <c r="N552" s="14">
        <v>8.72</v>
      </c>
      <c r="O552" s="14">
        <v>7.76</v>
      </c>
      <c r="P552" s="13">
        <v>6.0</v>
      </c>
      <c r="Q552" s="14">
        <f t="shared" si="3"/>
        <v>52.32</v>
      </c>
      <c r="R552" s="14">
        <f t="shared" si="4"/>
        <v>44.56</v>
      </c>
      <c r="S552" s="14">
        <f t="shared" si="5"/>
        <v>7.76</v>
      </c>
    </row>
    <row r="553">
      <c r="A553" s="12">
        <v>42840.0</v>
      </c>
      <c r="B553" s="12" t="s">
        <v>2332</v>
      </c>
      <c r="C553" s="2">
        <v>42842.0</v>
      </c>
      <c r="D553" s="15" t="str">
        <f t="shared" si="1"/>
        <v>Apr</v>
      </c>
      <c r="E553" s="2" t="str">
        <f t="shared" si="2"/>
        <v>2017</v>
      </c>
      <c r="F553" s="13" t="s">
        <v>20</v>
      </c>
      <c r="G553" s="13" t="s">
        <v>2670</v>
      </c>
      <c r="H553" s="13" t="s">
        <v>2345</v>
      </c>
      <c r="I553" s="13" t="s">
        <v>23</v>
      </c>
      <c r="J553" s="13" t="s">
        <v>87</v>
      </c>
      <c r="K553" s="13" t="s">
        <v>52</v>
      </c>
      <c r="L553" s="13" t="s">
        <v>37</v>
      </c>
      <c r="M553" s="13" t="s">
        <v>27</v>
      </c>
      <c r="N553" s="14">
        <v>1121.568</v>
      </c>
      <c r="O553" s="14">
        <v>1120.83</v>
      </c>
      <c r="P553" s="13">
        <v>9.0</v>
      </c>
      <c r="Q553" s="14">
        <f t="shared" si="3"/>
        <v>10094.112</v>
      </c>
      <c r="R553" s="14">
        <f t="shared" si="4"/>
        <v>8973.282</v>
      </c>
      <c r="S553" s="14">
        <f t="shared" si="5"/>
        <v>1120.83</v>
      </c>
    </row>
    <row r="554">
      <c r="A554" s="12">
        <v>43413.0</v>
      </c>
      <c r="B554" s="12" t="s">
        <v>2326</v>
      </c>
      <c r="C554" s="2">
        <v>43443.0</v>
      </c>
      <c r="D554" s="15" t="str">
        <f t="shared" si="1"/>
        <v>Dec</v>
      </c>
      <c r="E554" s="2" t="str">
        <f t="shared" si="2"/>
        <v>2018</v>
      </c>
      <c r="F554" s="13" t="s">
        <v>121</v>
      </c>
      <c r="G554" s="13" t="s">
        <v>2429</v>
      </c>
      <c r="H554" s="13" t="s">
        <v>2430</v>
      </c>
      <c r="I554" s="13" t="s">
        <v>23</v>
      </c>
      <c r="J554" s="13" t="s">
        <v>849</v>
      </c>
      <c r="K554" s="13" t="s">
        <v>145</v>
      </c>
      <c r="L554" s="13" t="s">
        <v>26</v>
      </c>
      <c r="M554" s="13" t="s">
        <v>27</v>
      </c>
      <c r="N554" s="14">
        <v>34.504</v>
      </c>
      <c r="O554" s="14">
        <v>33.8</v>
      </c>
      <c r="P554" s="13">
        <v>3.0</v>
      </c>
      <c r="Q554" s="14">
        <f t="shared" si="3"/>
        <v>103.512</v>
      </c>
      <c r="R554" s="14">
        <f t="shared" si="4"/>
        <v>69.712</v>
      </c>
      <c r="S554" s="14">
        <f t="shared" si="5"/>
        <v>33.8</v>
      </c>
    </row>
    <row r="555">
      <c r="A555" s="12">
        <v>43428.0</v>
      </c>
      <c r="B555" s="12" t="s">
        <v>2326</v>
      </c>
      <c r="C555" s="2">
        <v>43432.0</v>
      </c>
      <c r="D555" s="15" t="str">
        <f t="shared" si="1"/>
        <v>Nov</v>
      </c>
      <c r="E555" s="2" t="str">
        <f t="shared" si="2"/>
        <v>2018</v>
      </c>
      <c r="F555" s="13" t="s">
        <v>41</v>
      </c>
      <c r="G555" s="13" t="s">
        <v>2434</v>
      </c>
      <c r="H555" s="13" t="s">
        <v>2639</v>
      </c>
      <c r="I555" s="13" t="s">
        <v>23</v>
      </c>
      <c r="J555" s="13" t="s">
        <v>129</v>
      </c>
      <c r="K555" s="13" t="s">
        <v>70</v>
      </c>
      <c r="L555" s="13" t="s">
        <v>71</v>
      </c>
      <c r="M555" s="13" t="s">
        <v>38</v>
      </c>
      <c r="N555" s="14">
        <v>10.824</v>
      </c>
      <c r="O555" s="14">
        <v>10.04</v>
      </c>
      <c r="P555" s="13">
        <v>7.0</v>
      </c>
      <c r="Q555" s="14">
        <f t="shared" si="3"/>
        <v>75.768</v>
      </c>
      <c r="R555" s="14">
        <f t="shared" si="4"/>
        <v>65.728</v>
      </c>
      <c r="S555" s="14">
        <f t="shared" si="5"/>
        <v>10.04</v>
      </c>
    </row>
    <row r="556">
      <c r="A556" s="12">
        <v>43280.0</v>
      </c>
      <c r="B556" s="12" t="s">
        <v>2374</v>
      </c>
      <c r="C556" s="2">
        <v>43166.0</v>
      </c>
      <c r="D556" s="15" t="str">
        <f t="shared" si="1"/>
        <v>Mar</v>
      </c>
      <c r="E556" s="2" t="str">
        <f t="shared" si="2"/>
        <v>2018</v>
      </c>
      <c r="F556" s="13" t="s">
        <v>20</v>
      </c>
      <c r="G556" s="13" t="s">
        <v>2589</v>
      </c>
      <c r="H556" s="13" t="s">
        <v>2590</v>
      </c>
      <c r="I556" s="13" t="s">
        <v>34</v>
      </c>
      <c r="J556" s="13" t="s">
        <v>1043</v>
      </c>
      <c r="K556" s="13" t="s">
        <v>52</v>
      </c>
      <c r="L556" s="13" t="s">
        <v>37</v>
      </c>
      <c r="M556" s="13" t="s">
        <v>38</v>
      </c>
      <c r="N556" s="14">
        <v>1295.78</v>
      </c>
      <c r="O556" s="14">
        <v>1295.24</v>
      </c>
      <c r="P556" s="13">
        <v>9.0</v>
      </c>
      <c r="Q556" s="14">
        <f t="shared" si="3"/>
        <v>11662.02</v>
      </c>
      <c r="R556" s="14">
        <f t="shared" si="4"/>
        <v>10366.78</v>
      </c>
      <c r="S556" s="14">
        <f t="shared" si="5"/>
        <v>1295.24</v>
      </c>
    </row>
    <row r="557">
      <c r="A557" s="12">
        <v>42066.0</v>
      </c>
      <c r="B557" s="12" t="s">
        <v>2399</v>
      </c>
      <c r="C557" s="2">
        <v>42188.0</v>
      </c>
      <c r="D557" s="15" t="str">
        <f t="shared" si="1"/>
        <v>Jul</v>
      </c>
      <c r="E557" s="2" t="str">
        <f t="shared" si="2"/>
        <v>2015</v>
      </c>
      <c r="F557" s="13" t="s">
        <v>20</v>
      </c>
      <c r="G557" s="13" t="s">
        <v>2671</v>
      </c>
      <c r="H557" s="13" t="s">
        <v>2672</v>
      </c>
      <c r="I557" s="13" t="s">
        <v>23</v>
      </c>
      <c r="J557" s="13" t="s">
        <v>315</v>
      </c>
      <c r="K557" s="13" t="s">
        <v>58</v>
      </c>
      <c r="L557" s="13" t="s">
        <v>26</v>
      </c>
      <c r="M557" s="13" t="s">
        <v>38</v>
      </c>
      <c r="N557" s="14">
        <v>19.456</v>
      </c>
      <c r="O557" s="14">
        <v>18.87</v>
      </c>
      <c r="P557" s="13">
        <v>2.0</v>
      </c>
      <c r="Q557" s="14">
        <f t="shared" si="3"/>
        <v>38.912</v>
      </c>
      <c r="R557" s="14">
        <f t="shared" si="4"/>
        <v>20.042</v>
      </c>
      <c r="S557" s="14">
        <f t="shared" si="5"/>
        <v>18.87</v>
      </c>
    </row>
    <row r="558">
      <c r="A558" s="12">
        <v>43014.0</v>
      </c>
      <c r="B558" s="12" t="s">
        <v>2358</v>
      </c>
      <c r="C558" s="2">
        <v>42901.0</v>
      </c>
      <c r="D558" s="15" t="str">
        <f t="shared" si="1"/>
        <v>Jun</v>
      </c>
      <c r="E558" s="2" t="str">
        <f t="shared" si="2"/>
        <v>2017</v>
      </c>
      <c r="F558" s="13" t="s">
        <v>41</v>
      </c>
      <c r="G558" s="13" t="s">
        <v>2673</v>
      </c>
      <c r="H558" s="13" t="s">
        <v>2674</v>
      </c>
      <c r="I558" s="13" t="s">
        <v>23</v>
      </c>
      <c r="J558" s="13" t="s">
        <v>35</v>
      </c>
      <c r="K558" s="13" t="s">
        <v>52</v>
      </c>
      <c r="L558" s="13" t="s">
        <v>37</v>
      </c>
      <c r="M558" s="13" t="s">
        <v>38</v>
      </c>
      <c r="N558" s="14">
        <v>20.7</v>
      </c>
      <c r="O558" s="14">
        <v>20.46</v>
      </c>
      <c r="P558" s="13">
        <v>9.0</v>
      </c>
      <c r="Q558" s="14">
        <f t="shared" si="3"/>
        <v>186.3</v>
      </c>
      <c r="R558" s="14">
        <f t="shared" si="4"/>
        <v>165.84</v>
      </c>
      <c r="S558" s="14">
        <f t="shared" si="5"/>
        <v>20.46</v>
      </c>
    </row>
    <row r="559">
      <c r="A559" s="12">
        <v>43014.0</v>
      </c>
      <c r="B559" s="12" t="s">
        <v>2358</v>
      </c>
      <c r="C559" s="2">
        <v>42901.0</v>
      </c>
      <c r="D559" s="15" t="str">
        <f t="shared" si="1"/>
        <v>Jun</v>
      </c>
      <c r="E559" s="2" t="str">
        <f t="shared" si="2"/>
        <v>2017</v>
      </c>
      <c r="F559" s="13" t="s">
        <v>41</v>
      </c>
      <c r="G559" s="13" t="s">
        <v>2673</v>
      </c>
      <c r="H559" s="13" t="s">
        <v>2674</v>
      </c>
      <c r="I559" s="13" t="s">
        <v>23</v>
      </c>
      <c r="J559" s="13" t="s">
        <v>35</v>
      </c>
      <c r="K559" s="13" t="s">
        <v>52</v>
      </c>
      <c r="L559" s="13" t="s">
        <v>37</v>
      </c>
      <c r="M559" s="13" t="s">
        <v>27</v>
      </c>
      <c r="N559" s="14">
        <v>1335.68</v>
      </c>
      <c r="O559" s="14">
        <v>1335.12</v>
      </c>
      <c r="P559" s="13">
        <v>9.0</v>
      </c>
      <c r="Q559" s="14">
        <f t="shared" si="3"/>
        <v>12021.12</v>
      </c>
      <c r="R559" s="14">
        <f t="shared" si="4"/>
        <v>10686</v>
      </c>
      <c r="S559" s="14">
        <f t="shared" si="5"/>
        <v>1335.12</v>
      </c>
    </row>
    <row r="560">
      <c r="A560" s="12">
        <v>43014.0</v>
      </c>
      <c r="B560" s="12" t="s">
        <v>2358</v>
      </c>
      <c r="C560" s="2">
        <v>42901.0</v>
      </c>
      <c r="D560" s="15" t="str">
        <f t="shared" si="1"/>
        <v>Jun</v>
      </c>
      <c r="E560" s="2" t="str">
        <f t="shared" si="2"/>
        <v>2017</v>
      </c>
      <c r="F560" s="13" t="s">
        <v>41</v>
      </c>
      <c r="G560" s="13" t="s">
        <v>2673</v>
      </c>
      <c r="H560" s="13" t="s">
        <v>2674</v>
      </c>
      <c r="I560" s="13" t="s">
        <v>23</v>
      </c>
      <c r="J560" s="13" t="s">
        <v>35</v>
      </c>
      <c r="K560" s="13" t="s">
        <v>52</v>
      </c>
      <c r="L560" s="13" t="s">
        <v>37</v>
      </c>
      <c r="M560" s="13" t="s">
        <v>38</v>
      </c>
      <c r="N560" s="14">
        <v>32.4</v>
      </c>
      <c r="O560" s="14">
        <v>31.82</v>
      </c>
      <c r="P560" s="13">
        <v>9.0</v>
      </c>
      <c r="Q560" s="14">
        <f t="shared" si="3"/>
        <v>291.6</v>
      </c>
      <c r="R560" s="14">
        <f t="shared" si="4"/>
        <v>259.78</v>
      </c>
      <c r="S560" s="14">
        <f t="shared" si="5"/>
        <v>31.82</v>
      </c>
    </row>
    <row r="561">
      <c r="A561" s="12">
        <v>43424.0</v>
      </c>
      <c r="B561" s="12" t="s">
        <v>2326</v>
      </c>
      <c r="C561" s="2">
        <v>43426.0</v>
      </c>
      <c r="D561" s="15" t="str">
        <f t="shared" si="1"/>
        <v>Nov</v>
      </c>
      <c r="E561" s="2" t="str">
        <f t="shared" si="2"/>
        <v>2018</v>
      </c>
      <c r="F561" s="13" t="s">
        <v>20</v>
      </c>
      <c r="G561" s="13" t="s">
        <v>2666</v>
      </c>
      <c r="H561" s="13" t="s">
        <v>2675</v>
      </c>
      <c r="I561" s="13" t="s">
        <v>23</v>
      </c>
      <c r="J561" s="13" t="s">
        <v>87</v>
      </c>
      <c r="K561" s="13" t="s">
        <v>52</v>
      </c>
      <c r="L561" s="13" t="s">
        <v>37</v>
      </c>
      <c r="M561" s="13" t="s">
        <v>27</v>
      </c>
      <c r="N561" s="14">
        <v>42.6</v>
      </c>
      <c r="O561" s="14">
        <v>41.71</v>
      </c>
      <c r="P561" s="13">
        <v>9.0</v>
      </c>
      <c r="Q561" s="14">
        <f t="shared" si="3"/>
        <v>383.4</v>
      </c>
      <c r="R561" s="14">
        <f t="shared" si="4"/>
        <v>341.69</v>
      </c>
      <c r="S561" s="14">
        <f t="shared" si="5"/>
        <v>41.71</v>
      </c>
    </row>
    <row r="562">
      <c r="A562" s="12">
        <v>43424.0</v>
      </c>
      <c r="B562" s="12" t="s">
        <v>2326</v>
      </c>
      <c r="C562" s="2">
        <v>43426.0</v>
      </c>
      <c r="D562" s="15" t="str">
        <f t="shared" si="1"/>
        <v>Nov</v>
      </c>
      <c r="E562" s="2" t="str">
        <f t="shared" si="2"/>
        <v>2018</v>
      </c>
      <c r="F562" s="13" t="s">
        <v>20</v>
      </c>
      <c r="G562" s="13" t="s">
        <v>2666</v>
      </c>
      <c r="H562" s="13" t="s">
        <v>2675</v>
      </c>
      <c r="I562" s="13" t="s">
        <v>23</v>
      </c>
      <c r="J562" s="13" t="s">
        <v>87</v>
      </c>
      <c r="K562" s="13" t="s">
        <v>52</v>
      </c>
      <c r="L562" s="13" t="s">
        <v>37</v>
      </c>
      <c r="M562" s="13" t="s">
        <v>38</v>
      </c>
      <c r="N562" s="14">
        <v>84.056</v>
      </c>
      <c r="O562" s="14">
        <v>83.54</v>
      </c>
      <c r="P562" s="13">
        <v>9.0</v>
      </c>
      <c r="Q562" s="14">
        <f t="shared" si="3"/>
        <v>756.504</v>
      </c>
      <c r="R562" s="14">
        <f t="shared" si="4"/>
        <v>672.964</v>
      </c>
      <c r="S562" s="14">
        <f t="shared" si="5"/>
        <v>83.54</v>
      </c>
    </row>
    <row r="563">
      <c r="A563" s="12">
        <v>42261.0</v>
      </c>
      <c r="B563" s="12" t="s">
        <v>2329</v>
      </c>
      <c r="C563" s="2">
        <v>42265.0</v>
      </c>
      <c r="D563" s="15" t="str">
        <f t="shared" si="1"/>
        <v>Sep</v>
      </c>
      <c r="E563" s="2" t="str">
        <f t="shared" si="2"/>
        <v>2015</v>
      </c>
      <c r="F563" s="13" t="s">
        <v>20</v>
      </c>
      <c r="G563" s="13" t="s">
        <v>2425</v>
      </c>
      <c r="H563" s="13" t="s">
        <v>2676</v>
      </c>
      <c r="I563" s="13" t="s">
        <v>23</v>
      </c>
      <c r="J563" s="13" t="s">
        <v>522</v>
      </c>
      <c r="K563" s="13" t="s">
        <v>145</v>
      </c>
      <c r="L563" s="13" t="s">
        <v>26</v>
      </c>
      <c r="M563" s="13" t="s">
        <v>38</v>
      </c>
      <c r="N563" s="14">
        <v>13.0</v>
      </c>
      <c r="O563" s="14">
        <v>12.2</v>
      </c>
      <c r="P563" s="13">
        <v>3.0</v>
      </c>
      <c r="Q563" s="14">
        <f t="shared" si="3"/>
        <v>39</v>
      </c>
      <c r="R563" s="14">
        <f t="shared" si="4"/>
        <v>26.8</v>
      </c>
      <c r="S563" s="14">
        <f t="shared" si="5"/>
        <v>12.2</v>
      </c>
    </row>
    <row r="564">
      <c r="A564" s="12">
        <v>42261.0</v>
      </c>
      <c r="B564" s="12" t="s">
        <v>2329</v>
      </c>
      <c r="C564" s="2">
        <v>42265.0</v>
      </c>
      <c r="D564" s="15" t="str">
        <f t="shared" si="1"/>
        <v>Sep</v>
      </c>
      <c r="E564" s="2" t="str">
        <f t="shared" si="2"/>
        <v>2015</v>
      </c>
      <c r="F564" s="13" t="s">
        <v>20</v>
      </c>
      <c r="G564" s="13" t="s">
        <v>2425</v>
      </c>
      <c r="H564" s="13" t="s">
        <v>2676</v>
      </c>
      <c r="I564" s="13" t="s">
        <v>23</v>
      </c>
      <c r="J564" s="13" t="s">
        <v>522</v>
      </c>
      <c r="K564" s="13" t="s">
        <v>145</v>
      </c>
      <c r="L564" s="13" t="s">
        <v>26</v>
      </c>
      <c r="M564" s="13" t="s">
        <v>27</v>
      </c>
      <c r="N564" s="14">
        <v>13.128</v>
      </c>
      <c r="O564" s="14">
        <v>13.05</v>
      </c>
      <c r="P564" s="13">
        <v>3.0</v>
      </c>
      <c r="Q564" s="14">
        <f t="shared" si="3"/>
        <v>39.384</v>
      </c>
      <c r="R564" s="14">
        <f t="shared" si="4"/>
        <v>26.334</v>
      </c>
      <c r="S564" s="14">
        <f t="shared" si="5"/>
        <v>13.05</v>
      </c>
    </row>
    <row r="565">
      <c r="A565" s="12">
        <v>42563.0</v>
      </c>
      <c r="B565" s="12" t="s">
        <v>2348</v>
      </c>
      <c r="C565" s="2">
        <v>42625.0</v>
      </c>
      <c r="D565" s="15" t="str">
        <f t="shared" si="1"/>
        <v>Sep</v>
      </c>
      <c r="E565" s="2" t="str">
        <f t="shared" si="2"/>
        <v>2016</v>
      </c>
      <c r="F565" s="13" t="s">
        <v>121</v>
      </c>
      <c r="G565" s="13" t="s">
        <v>2570</v>
      </c>
      <c r="H565" s="13" t="s">
        <v>2677</v>
      </c>
      <c r="I565" s="13" t="s">
        <v>23</v>
      </c>
      <c r="J565" s="13" t="s">
        <v>62</v>
      </c>
      <c r="K565" s="13" t="s">
        <v>63</v>
      </c>
      <c r="L565" s="13" t="s">
        <v>37</v>
      </c>
      <c r="M565" s="13" t="s">
        <v>38</v>
      </c>
      <c r="N565" s="14">
        <v>3.96</v>
      </c>
      <c r="O565" s="14">
        <v>3.3</v>
      </c>
      <c r="P565" s="13">
        <v>9.0</v>
      </c>
      <c r="Q565" s="14">
        <f t="shared" si="3"/>
        <v>35.64</v>
      </c>
      <c r="R565" s="14">
        <f t="shared" si="4"/>
        <v>32.34</v>
      </c>
      <c r="S565" s="14">
        <f t="shared" si="5"/>
        <v>3.3</v>
      </c>
    </row>
    <row r="566">
      <c r="A566" s="12">
        <v>42563.0</v>
      </c>
      <c r="B566" s="12" t="s">
        <v>2348</v>
      </c>
      <c r="C566" s="2">
        <v>42625.0</v>
      </c>
      <c r="D566" s="15" t="str">
        <f t="shared" si="1"/>
        <v>Sep</v>
      </c>
      <c r="E566" s="2" t="str">
        <f t="shared" si="2"/>
        <v>2016</v>
      </c>
      <c r="F566" s="13" t="s">
        <v>121</v>
      </c>
      <c r="G566" s="13" t="s">
        <v>2570</v>
      </c>
      <c r="H566" s="13" t="s">
        <v>2677</v>
      </c>
      <c r="I566" s="13" t="s">
        <v>23</v>
      </c>
      <c r="J566" s="13" t="s">
        <v>62</v>
      </c>
      <c r="K566" s="13" t="s">
        <v>63</v>
      </c>
      <c r="L566" s="13" t="s">
        <v>37</v>
      </c>
      <c r="M566" s="13" t="s">
        <v>38</v>
      </c>
      <c r="N566" s="14">
        <v>2.61</v>
      </c>
      <c r="O566" s="14">
        <v>2.36</v>
      </c>
      <c r="P566" s="13">
        <v>9.0</v>
      </c>
      <c r="Q566" s="14">
        <f t="shared" si="3"/>
        <v>23.49</v>
      </c>
      <c r="R566" s="14">
        <f t="shared" si="4"/>
        <v>21.13</v>
      </c>
      <c r="S566" s="14">
        <f t="shared" si="5"/>
        <v>2.36</v>
      </c>
    </row>
    <row r="567">
      <c r="A567" s="12">
        <v>43293.0</v>
      </c>
      <c r="B567" s="12" t="s">
        <v>2348</v>
      </c>
      <c r="C567" s="2">
        <v>43385.0</v>
      </c>
      <c r="D567" s="15" t="str">
        <f t="shared" si="1"/>
        <v>Oct</v>
      </c>
      <c r="E567" s="2" t="str">
        <f t="shared" si="2"/>
        <v>2018</v>
      </c>
      <c r="F567" s="13" t="s">
        <v>121</v>
      </c>
      <c r="G567" s="13" t="s">
        <v>2483</v>
      </c>
      <c r="H567" s="13" t="s">
        <v>2599</v>
      </c>
      <c r="I567" s="13" t="s">
        <v>23</v>
      </c>
      <c r="J567" s="13" t="s">
        <v>35</v>
      </c>
      <c r="K567" s="13" t="s">
        <v>52</v>
      </c>
      <c r="L567" s="13" t="s">
        <v>37</v>
      </c>
      <c r="M567" s="13" t="s">
        <v>51</v>
      </c>
      <c r="N567" s="14">
        <v>374.376</v>
      </c>
      <c r="O567" s="14">
        <v>373.52</v>
      </c>
      <c r="P567" s="13">
        <v>9.0</v>
      </c>
      <c r="Q567" s="14">
        <f t="shared" si="3"/>
        <v>3369.384</v>
      </c>
      <c r="R567" s="14">
        <f t="shared" si="4"/>
        <v>2995.864</v>
      </c>
      <c r="S567" s="14">
        <f t="shared" si="5"/>
        <v>373.52</v>
      </c>
    </row>
    <row r="568">
      <c r="A568" s="12">
        <v>43110.0</v>
      </c>
      <c r="B568" s="12" t="s">
        <v>2353</v>
      </c>
      <c r="C568" s="2">
        <v>43322.0</v>
      </c>
      <c r="D568" s="15" t="str">
        <f t="shared" si="1"/>
        <v>Aug</v>
      </c>
      <c r="E568" s="2" t="str">
        <f t="shared" si="2"/>
        <v>2018</v>
      </c>
      <c r="F568" s="13" t="s">
        <v>41</v>
      </c>
      <c r="G568" s="13" t="s">
        <v>2678</v>
      </c>
      <c r="H568" s="13" t="s">
        <v>2679</v>
      </c>
      <c r="I568" s="13" t="s">
        <v>34</v>
      </c>
      <c r="J568" s="13" t="s">
        <v>62</v>
      </c>
      <c r="K568" s="13" t="s">
        <v>63</v>
      </c>
      <c r="L568" s="13" t="s">
        <v>37</v>
      </c>
      <c r="M568" s="13" t="s">
        <v>38</v>
      </c>
      <c r="N568" s="14">
        <v>91.84</v>
      </c>
      <c r="O568" s="14">
        <v>91.28</v>
      </c>
      <c r="P568" s="13">
        <v>9.0</v>
      </c>
      <c r="Q568" s="14">
        <f t="shared" si="3"/>
        <v>826.56</v>
      </c>
      <c r="R568" s="14">
        <f t="shared" si="4"/>
        <v>735.28</v>
      </c>
      <c r="S568" s="14">
        <f t="shared" si="5"/>
        <v>91.28</v>
      </c>
    </row>
    <row r="569">
      <c r="A569" s="12">
        <v>43110.0</v>
      </c>
      <c r="B569" s="12" t="s">
        <v>2353</v>
      </c>
      <c r="C569" s="2">
        <v>43322.0</v>
      </c>
      <c r="D569" s="15" t="str">
        <f t="shared" si="1"/>
        <v>Aug</v>
      </c>
      <c r="E569" s="2" t="str">
        <f t="shared" si="2"/>
        <v>2018</v>
      </c>
      <c r="F569" s="13" t="s">
        <v>41</v>
      </c>
      <c r="G569" s="13" t="s">
        <v>2678</v>
      </c>
      <c r="H569" s="13" t="s">
        <v>2679</v>
      </c>
      <c r="I569" s="13" t="s">
        <v>34</v>
      </c>
      <c r="J569" s="13" t="s">
        <v>62</v>
      </c>
      <c r="K569" s="13" t="s">
        <v>63</v>
      </c>
      <c r="L569" s="13" t="s">
        <v>37</v>
      </c>
      <c r="M569" s="13" t="s">
        <v>38</v>
      </c>
      <c r="N569" s="14">
        <v>81.088</v>
      </c>
      <c r="O569" s="14">
        <v>80.34</v>
      </c>
      <c r="P569" s="13">
        <v>9.0</v>
      </c>
      <c r="Q569" s="14">
        <f t="shared" si="3"/>
        <v>729.792</v>
      </c>
      <c r="R569" s="14">
        <f t="shared" si="4"/>
        <v>649.452</v>
      </c>
      <c r="S569" s="14">
        <f t="shared" si="5"/>
        <v>80.34</v>
      </c>
    </row>
    <row r="570">
      <c r="A570" s="12">
        <v>43110.0</v>
      </c>
      <c r="B570" s="12" t="s">
        <v>2353</v>
      </c>
      <c r="C570" s="2">
        <v>43322.0</v>
      </c>
      <c r="D570" s="15" t="str">
        <f t="shared" si="1"/>
        <v>Aug</v>
      </c>
      <c r="E570" s="2" t="str">
        <f t="shared" si="2"/>
        <v>2018</v>
      </c>
      <c r="F570" s="13" t="s">
        <v>41</v>
      </c>
      <c r="G570" s="13" t="s">
        <v>2678</v>
      </c>
      <c r="H570" s="13" t="s">
        <v>2679</v>
      </c>
      <c r="I570" s="13" t="s">
        <v>34</v>
      </c>
      <c r="J570" s="13" t="s">
        <v>62</v>
      </c>
      <c r="K570" s="13" t="s">
        <v>63</v>
      </c>
      <c r="L570" s="13" t="s">
        <v>37</v>
      </c>
      <c r="M570" s="13" t="s">
        <v>38</v>
      </c>
      <c r="N570" s="14">
        <v>19.44</v>
      </c>
      <c r="O570" s="14">
        <v>19.24</v>
      </c>
      <c r="P570" s="13">
        <v>9.0</v>
      </c>
      <c r="Q570" s="14">
        <f t="shared" si="3"/>
        <v>174.96</v>
      </c>
      <c r="R570" s="14">
        <f t="shared" si="4"/>
        <v>155.72</v>
      </c>
      <c r="S570" s="14">
        <f t="shared" si="5"/>
        <v>19.24</v>
      </c>
    </row>
    <row r="571">
      <c r="A571" s="12">
        <v>43110.0</v>
      </c>
      <c r="B571" s="12" t="s">
        <v>2353</v>
      </c>
      <c r="C571" s="2">
        <v>43322.0</v>
      </c>
      <c r="D571" s="15" t="str">
        <f t="shared" si="1"/>
        <v>Aug</v>
      </c>
      <c r="E571" s="2" t="str">
        <f t="shared" si="2"/>
        <v>2018</v>
      </c>
      <c r="F571" s="13" t="s">
        <v>41</v>
      </c>
      <c r="G571" s="13" t="s">
        <v>2678</v>
      </c>
      <c r="H571" s="13" t="s">
        <v>2679</v>
      </c>
      <c r="I571" s="13" t="s">
        <v>34</v>
      </c>
      <c r="J571" s="13" t="s">
        <v>62</v>
      </c>
      <c r="K571" s="13" t="s">
        <v>63</v>
      </c>
      <c r="L571" s="13" t="s">
        <v>37</v>
      </c>
      <c r="M571" s="13" t="s">
        <v>27</v>
      </c>
      <c r="N571" s="14">
        <v>451.152</v>
      </c>
      <c r="O571" s="14">
        <v>450.79</v>
      </c>
      <c r="P571" s="13">
        <v>9.0</v>
      </c>
      <c r="Q571" s="14">
        <f t="shared" si="3"/>
        <v>4060.368</v>
      </c>
      <c r="R571" s="14">
        <f t="shared" si="4"/>
        <v>3609.578</v>
      </c>
      <c r="S571" s="14">
        <f t="shared" si="5"/>
        <v>450.79</v>
      </c>
    </row>
    <row r="572">
      <c r="A572" s="12">
        <v>43462.0</v>
      </c>
      <c r="B572" s="12" t="s">
        <v>2325</v>
      </c>
      <c r="C572" s="2">
        <v>43556.0</v>
      </c>
      <c r="D572" s="15" t="str">
        <f t="shared" si="1"/>
        <v>Apr</v>
      </c>
      <c r="E572" s="2" t="str">
        <f t="shared" si="2"/>
        <v>2019</v>
      </c>
      <c r="F572" s="13" t="s">
        <v>41</v>
      </c>
      <c r="G572" s="13" t="s">
        <v>2475</v>
      </c>
      <c r="H572" s="13" t="s">
        <v>2680</v>
      </c>
      <c r="I572" s="13" t="s">
        <v>23</v>
      </c>
      <c r="J572" s="13" t="s">
        <v>174</v>
      </c>
      <c r="K572" s="13" t="s">
        <v>175</v>
      </c>
      <c r="L572" s="13" t="s">
        <v>100</v>
      </c>
      <c r="M572" s="13" t="s">
        <v>38</v>
      </c>
      <c r="N572" s="14">
        <v>72.45</v>
      </c>
      <c r="O572" s="14">
        <v>71.96</v>
      </c>
      <c r="P572" s="13">
        <v>1.0</v>
      </c>
      <c r="Q572" s="14">
        <f t="shared" si="3"/>
        <v>72.45</v>
      </c>
      <c r="R572" s="14">
        <f t="shared" si="4"/>
        <v>0.49</v>
      </c>
      <c r="S572" s="14">
        <f t="shared" si="5"/>
        <v>71.96</v>
      </c>
    </row>
    <row r="573">
      <c r="A573" s="12">
        <v>43462.0</v>
      </c>
      <c r="B573" s="12" t="s">
        <v>2325</v>
      </c>
      <c r="C573" s="2">
        <v>43556.0</v>
      </c>
      <c r="D573" s="15" t="str">
        <f t="shared" si="1"/>
        <v>Apr</v>
      </c>
      <c r="E573" s="2" t="str">
        <f t="shared" si="2"/>
        <v>2019</v>
      </c>
      <c r="F573" s="13" t="s">
        <v>41</v>
      </c>
      <c r="G573" s="13" t="s">
        <v>2475</v>
      </c>
      <c r="H573" s="13" t="s">
        <v>2680</v>
      </c>
      <c r="I573" s="13" t="s">
        <v>23</v>
      </c>
      <c r="J573" s="13" t="s">
        <v>174</v>
      </c>
      <c r="K573" s="13" t="s">
        <v>175</v>
      </c>
      <c r="L573" s="13" t="s">
        <v>100</v>
      </c>
      <c r="M573" s="13" t="s">
        <v>38</v>
      </c>
      <c r="N573" s="14">
        <v>13.96</v>
      </c>
      <c r="O573" s="14">
        <v>13.67</v>
      </c>
      <c r="P573" s="13">
        <v>1.0</v>
      </c>
      <c r="Q573" s="14">
        <f t="shared" si="3"/>
        <v>13.96</v>
      </c>
      <c r="R573" s="14">
        <f t="shared" si="4"/>
        <v>0.29</v>
      </c>
      <c r="S573" s="14">
        <f t="shared" si="5"/>
        <v>13.67</v>
      </c>
    </row>
    <row r="574">
      <c r="A574" s="12">
        <v>43462.0</v>
      </c>
      <c r="B574" s="12" t="s">
        <v>2325</v>
      </c>
      <c r="C574" s="2">
        <v>43556.0</v>
      </c>
      <c r="D574" s="15" t="str">
        <f t="shared" si="1"/>
        <v>Apr</v>
      </c>
      <c r="E574" s="2" t="str">
        <f t="shared" si="2"/>
        <v>2019</v>
      </c>
      <c r="F574" s="13" t="s">
        <v>41</v>
      </c>
      <c r="G574" s="13" t="s">
        <v>2475</v>
      </c>
      <c r="H574" s="13" t="s">
        <v>2680</v>
      </c>
      <c r="I574" s="13" t="s">
        <v>23</v>
      </c>
      <c r="J574" s="13" t="s">
        <v>174</v>
      </c>
      <c r="K574" s="13" t="s">
        <v>175</v>
      </c>
      <c r="L574" s="13" t="s">
        <v>100</v>
      </c>
      <c r="M574" s="13" t="s">
        <v>38</v>
      </c>
      <c r="N574" s="14">
        <v>33.264</v>
      </c>
      <c r="O574" s="14">
        <v>32.56</v>
      </c>
      <c r="P574" s="13">
        <v>1.0</v>
      </c>
      <c r="Q574" s="14">
        <f t="shared" si="3"/>
        <v>33.264</v>
      </c>
      <c r="R574" s="14">
        <f t="shared" si="4"/>
        <v>0.704</v>
      </c>
      <c r="S574" s="14">
        <f t="shared" si="5"/>
        <v>32.56</v>
      </c>
    </row>
    <row r="575">
      <c r="A575" s="12">
        <v>43462.0</v>
      </c>
      <c r="B575" s="12" t="s">
        <v>2325</v>
      </c>
      <c r="C575" s="2">
        <v>43556.0</v>
      </c>
      <c r="D575" s="15" t="str">
        <f t="shared" si="1"/>
        <v>Apr</v>
      </c>
      <c r="E575" s="2" t="str">
        <f t="shared" si="2"/>
        <v>2019</v>
      </c>
      <c r="F575" s="13" t="s">
        <v>41</v>
      </c>
      <c r="G575" s="13" t="s">
        <v>2475</v>
      </c>
      <c r="H575" s="13" t="s">
        <v>2680</v>
      </c>
      <c r="I575" s="13" t="s">
        <v>23</v>
      </c>
      <c r="J575" s="13" t="s">
        <v>174</v>
      </c>
      <c r="K575" s="13" t="s">
        <v>175</v>
      </c>
      <c r="L575" s="13" t="s">
        <v>100</v>
      </c>
      <c r="M575" s="13" t="s">
        <v>51</v>
      </c>
      <c r="N575" s="14">
        <v>14.85</v>
      </c>
      <c r="O575" s="14">
        <v>14.03</v>
      </c>
      <c r="P575" s="13">
        <v>1.0</v>
      </c>
      <c r="Q575" s="14">
        <f t="shared" si="3"/>
        <v>14.85</v>
      </c>
      <c r="R575" s="14">
        <f t="shared" si="4"/>
        <v>0.82</v>
      </c>
      <c r="S575" s="14">
        <f t="shared" si="5"/>
        <v>14.03</v>
      </c>
    </row>
    <row r="576">
      <c r="A576" s="12">
        <v>42805.0</v>
      </c>
      <c r="B576" s="12" t="s">
        <v>2399</v>
      </c>
      <c r="C576" s="2">
        <v>42927.0</v>
      </c>
      <c r="D576" s="15" t="str">
        <f t="shared" si="1"/>
        <v>Jul</v>
      </c>
      <c r="E576" s="2" t="str">
        <f t="shared" si="2"/>
        <v>2017</v>
      </c>
      <c r="F576" s="13" t="s">
        <v>41</v>
      </c>
      <c r="G576" s="13" t="s">
        <v>2681</v>
      </c>
      <c r="H576" s="13" t="s">
        <v>2605</v>
      </c>
      <c r="I576" s="13" t="s">
        <v>23</v>
      </c>
      <c r="J576" s="13" t="s">
        <v>1072</v>
      </c>
      <c r="K576" s="13" t="s">
        <v>63</v>
      </c>
      <c r="L576" s="13" t="s">
        <v>37</v>
      </c>
      <c r="M576" s="13" t="s">
        <v>38</v>
      </c>
      <c r="N576" s="14">
        <v>8.82</v>
      </c>
      <c r="O576" s="14">
        <v>7.93</v>
      </c>
      <c r="P576" s="13">
        <v>9.0</v>
      </c>
      <c r="Q576" s="14">
        <f t="shared" si="3"/>
        <v>79.38</v>
      </c>
      <c r="R576" s="14">
        <f t="shared" si="4"/>
        <v>71.45</v>
      </c>
      <c r="S576" s="14">
        <f t="shared" si="5"/>
        <v>7.93</v>
      </c>
    </row>
    <row r="577">
      <c r="A577" s="12">
        <v>42631.0</v>
      </c>
      <c r="B577" s="12" t="s">
        <v>2329</v>
      </c>
      <c r="C577" s="2">
        <v>42635.0</v>
      </c>
      <c r="D577" s="15" t="str">
        <f t="shared" si="1"/>
        <v>Sep</v>
      </c>
      <c r="E577" s="2" t="str">
        <f t="shared" si="2"/>
        <v>2016</v>
      </c>
      <c r="F577" s="13" t="s">
        <v>20</v>
      </c>
      <c r="G577" s="13" t="s">
        <v>2682</v>
      </c>
      <c r="H577" s="13" t="s">
        <v>2683</v>
      </c>
      <c r="I577" s="13" t="s">
        <v>23</v>
      </c>
      <c r="J577" s="13" t="s">
        <v>654</v>
      </c>
      <c r="K577" s="13" t="s">
        <v>52</v>
      </c>
      <c r="L577" s="13" t="s">
        <v>37</v>
      </c>
      <c r="M577" s="13" t="s">
        <v>38</v>
      </c>
      <c r="N577" s="14">
        <v>160.72</v>
      </c>
      <c r="O577" s="14">
        <v>160.1</v>
      </c>
      <c r="P577" s="13">
        <v>9.0</v>
      </c>
      <c r="Q577" s="14">
        <f t="shared" si="3"/>
        <v>1446.48</v>
      </c>
      <c r="R577" s="14">
        <f t="shared" si="4"/>
        <v>1286.38</v>
      </c>
      <c r="S577" s="14">
        <f t="shared" si="5"/>
        <v>160.1</v>
      </c>
    </row>
    <row r="578">
      <c r="A578" s="12">
        <v>42631.0</v>
      </c>
      <c r="B578" s="12" t="s">
        <v>2329</v>
      </c>
      <c r="C578" s="2">
        <v>42635.0</v>
      </c>
      <c r="D578" s="15" t="str">
        <f t="shared" si="1"/>
        <v>Sep</v>
      </c>
      <c r="E578" s="2" t="str">
        <f t="shared" si="2"/>
        <v>2016</v>
      </c>
      <c r="F578" s="13" t="s">
        <v>20</v>
      </c>
      <c r="G578" s="13" t="s">
        <v>2682</v>
      </c>
      <c r="H578" s="13" t="s">
        <v>2683</v>
      </c>
      <c r="I578" s="13" t="s">
        <v>23</v>
      </c>
      <c r="J578" s="13" t="s">
        <v>654</v>
      </c>
      <c r="K578" s="13" t="s">
        <v>52</v>
      </c>
      <c r="L578" s="13" t="s">
        <v>37</v>
      </c>
      <c r="M578" s="13" t="s">
        <v>38</v>
      </c>
      <c r="N578" s="14">
        <v>19.92</v>
      </c>
      <c r="O578" s="14">
        <v>19.4</v>
      </c>
      <c r="P578" s="13">
        <v>9.0</v>
      </c>
      <c r="Q578" s="14">
        <f t="shared" si="3"/>
        <v>179.28</v>
      </c>
      <c r="R578" s="14">
        <f t="shared" si="4"/>
        <v>159.88</v>
      </c>
      <c r="S578" s="14">
        <f t="shared" si="5"/>
        <v>19.4</v>
      </c>
    </row>
    <row r="579">
      <c r="A579" s="12">
        <v>42631.0</v>
      </c>
      <c r="B579" s="12" t="s">
        <v>2329</v>
      </c>
      <c r="C579" s="2">
        <v>42635.0</v>
      </c>
      <c r="D579" s="15" t="str">
        <f t="shared" si="1"/>
        <v>Sep</v>
      </c>
      <c r="E579" s="2" t="str">
        <f t="shared" si="2"/>
        <v>2016</v>
      </c>
      <c r="F579" s="13" t="s">
        <v>20</v>
      </c>
      <c r="G579" s="13" t="s">
        <v>2682</v>
      </c>
      <c r="H579" s="13" t="s">
        <v>2683</v>
      </c>
      <c r="I579" s="13" t="s">
        <v>23</v>
      </c>
      <c r="J579" s="13" t="s">
        <v>654</v>
      </c>
      <c r="K579" s="13" t="s">
        <v>52</v>
      </c>
      <c r="L579" s="13" t="s">
        <v>37</v>
      </c>
      <c r="M579" s="13" t="s">
        <v>38</v>
      </c>
      <c r="N579" s="14">
        <v>7.3</v>
      </c>
      <c r="O579" s="14">
        <v>6.4</v>
      </c>
      <c r="P579" s="13">
        <v>9.0</v>
      </c>
      <c r="Q579" s="14">
        <f t="shared" si="3"/>
        <v>65.7</v>
      </c>
      <c r="R579" s="14">
        <f t="shared" si="4"/>
        <v>59.3</v>
      </c>
      <c r="S579" s="14">
        <f t="shared" si="5"/>
        <v>6.4</v>
      </c>
    </row>
    <row r="580">
      <c r="A580" s="12">
        <v>43301.0</v>
      </c>
      <c r="B580" s="12" t="s">
        <v>2348</v>
      </c>
      <c r="C580" s="2">
        <v>43307.0</v>
      </c>
      <c r="D580" s="15" t="str">
        <f t="shared" si="1"/>
        <v>Jul</v>
      </c>
      <c r="E580" s="2" t="str">
        <f t="shared" si="2"/>
        <v>2018</v>
      </c>
      <c r="F580" s="13" t="s">
        <v>41</v>
      </c>
      <c r="G580" s="13" t="s">
        <v>2684</v>
      </c>
      <c r="H580" s="13" t="s">
        <v>2685</v>
      </c>
      <c r="I580" s="13" t="s">
        <v>23</v>
      </c>
      <c r="J580" s="13" t="s">
        <v>188</v>
      </c>
      <c r="K580" s="13" t="s">
        <v>135</v>
      </c>
      <c r="L580" s="13" t="s">
        <v>71</v>
      </c>
      <c r="M580" s="13" t="s">
        <v>38</v>
      </c>
      <c r="N580" s="14">
        <v>69.712</v>
      </c>
      <c r="O580" s="14">
        <v>69.08</v>
      </c>
      <c r="P580" s="13">
        <v>6.0</v>
      </c>
      <c r="Q580" s="14">
        <f t="shared" si="3"/>
        <v>418.272</v>
      </c>
      <c r="R580" s="14">
        <f t="shared" si="4"/>
        <v>349.192</v>
      </c>
      <c r="S580" s="14">
        <f t="shared" si="5"/>
        <v>69.08</v>
      </c>
    </row>
    <row r="581">
      <c r="A581" s="12">
        <v>43301.0</v>
      </c>
      <c r="B581" s="12" t="s">
        <v>2348</v>
      </c>
      <c r="C581" s="2">
        <v>43307.0</v>
      </c>
      <c r="D581" s="15" t="str">
        <f t="shared" si="1"/>
        <v>Jul</v>
      </c>
      <c r="E581" s="2" t="str">
        <f t="shared" si="2"/>
        <v>2018</v>
      </c>
      <c r="F581" s="13" t="s">
        <v>41</v>
      </c>
      <c r="G581" s="13" t="s">
        <v>2684</v>
      </c>
      <c r="H581" s="13" t="s">
        <v>2685</v>
      </c>
      <c r="I581" s="13" t="s">
        <v>23</v>
      </c>
      <c r="J581" s="13" t="s">
        <v>188</v>
      </c>
      <c r="K581" s="13" t="s">
        <v>135</v>
      </c>
      <c r="L581" s="13" t="s">
        <v>71</v>
      </c>
      <c r="M581" s="13" t="s">
        <v>27</v>
      </c>
      <c r="N581" s="14">
        <v>8.792</v>
      </c>
      <c r="O581" s="14">
        <v>8.04</v>
      </c>
      <c r="P581" s="13">
        <v>6.0</v>
      </c>
      <c r="Q581" s="14">
        <f t="shared" si="3"/>
        <v>52.752</v>
      </c>
      <c r="R581" s="14">
        <f t="shared" si="4"/>
        <v>44.712</v>
      </c>
      <c r="S581" s="14">
        <f t="shared" si="5"/>
        <v>8.04</v>
      </c>
    </row>
    <row r="582">
      <c r="A582" s="12">
        <v>42652.0</v>
      </c>
      <c r="B582" s="12" t="s">
        <v>2358</v>
      </c>
      <c r="C582" s="2">
        <v>42627.0</v>
      </c>
      <c r="D582" s="15" t="str">
        <f t="shared" si="1"/>
        <v>Sep</v>
      </c>
      <c r="E582" s="2" t="str">
        <f t="shared" si="2"/>
        <v>2016</v>
      </c>
      <c r="F582" s="13" t="s">
        <v>41</v>
      </c>
      <c r="G582" s="13" t="s">
        <v>2686</v>
      </c>
      <c r="H582" s="13" t="s">
        <v>2687</v>
      </c>
      <c r="I582" s="13" t="s">
        <v>23</v>
      </c>
      <c r="J582" s="13" t="s">
        <v>35</v>
      </c>
      <c r="K582" s="13" t="s">
        <v>52</v>
      </c>
      <c r="L582" s="13" t="s">
        <v>37</v>
      </c>
      <c r="M582" s="13" t="s">
        <v>38</v>
      </c>
      <c r="N582" s="14">
        <v>51.52</v>
      </c>
      <c r="O582" s="14">
        <v>50.87</v>
      </c>
      <c r="P582" s="13">
        <v>9.0</v>
      </c>
      <c r="Q582" s="14">
        <f t="shared" si="3"/>
        <v>463.68</v>
      </c>
      <c r="R582" s="14">
        <f t="shared" si="4"/>
        <v>412.81</v>
      </c>
      <c r="S582" s="14">
        <f t="shared" si="5"/>
        <v>50.87</v>
      </c>
    </row>
    <row r="583">
      <c r="A583" s="12">
        <v>43112.0</v>
      </c>
      <c r="B583" s="12" t="s">
        <v>2353</v>
      </c>
      <c r="C583" s="2">
        <v>43232.0</v>
      </c>
      <c r="D583" s="15" t="str">
        <f t="shared" si="1"/>
        <v>May</v>
      </c>
      <c r="E583" s="2" t="str">
        <f t="shared" si="2"/>
        <v>2018</v>
      </c>
      <c r="F583" s="13" t="s">
        <v>41</v>
      </c>
      <c r="G583" s="13" t="s">
        <v>2515</v>
      </c>
      <c r="H583" s="13" t="s">
        <v>2593</v>
      </c>
      <c r="I583" s="13" t="s">
        <v>23</v>
      </c>
      <c r="J583" s="13" t="s">
        <v>475</v>
      </c>
      <c r="K583" s="13" t="s">
        <v>279</v>
      </c>
      <c r="L583" s="13" t="s">
        <v>37</v>
      </c>
      <c r="M583" s="13" t="s">
        <v>51</v>
      </c>
      <c r="N583" s="14">
        <v>470.376</v>
      </c>
      <c r="O583" s="14">
        <v>469.87</v>
      </c>
      <c r="P583" s="13">
        <v>8.0</v>
      </c>
      <c r="Q583" s="14">
        <f t="shared" si="3"/>
        <v>3763.008</v>
      </c>
      <c r="R583" s="14">
        <f t="shared" si="4"/>
        <v>3293.138</v>
      </c>
      <c r="S583" s="14">
        <f t="shared" si="5"/>
        <v>469.87</v>
      </c>
    </row>
    <row r="584">
      <c r="A584" s="12">
        <v>43112.0</v>
      </c>
      <c r="B584" s="12" t="s">
        <v>2353</v>
      </c>
      <c r="C584" s="2">
        <v>43232.0</v>
      </c>
      <c r="D584" s="15" t="str">
        <f t="shared" si="1"/>
        <v>May</v>
      </c>
      <c r="E584" s="2" t="str">
        <f t="shared" si="2"/>
        <v>2018</v>
      </c>
      <c r="F584" s="13" t="s">
        <v>41</v>
      </c>
      <c r="G584" s="13" t="s">
        <v>2515</v>
      </c>
      <c r="H584" s="13" t="s">
        <v>2593</v>
      </c>
      <c r="I584" s="13" t="s">
        <v>23</v>
      </c>
      <c r="J584" s="13" t="s">
        <v>475</v>
      </c>
      <c r="K584" s="13" t="s">
        <v>279</v>
      </c>
      <c r="L584" s="13" t="s">
        <v>37</v>
      </c>
      <c r="M584" s="13" t="s">
        <v>51</v>
      </c>
      <c r="N584" s="14">
        <v>105.584</v>
      </c>
      <c r="O584" s="14">
        <v>104.8</v>
      </c>
      <c r="P584" s="13">
        <v>8.0</v>
      </c>
      <c r="Q584" s="14">
        <f t="shared" si="3"/>
        <v>844.672</v>
      </c>
      <c r="R584" s="14">
        <f t="shared" si="4"/>
        <v>739.872</v>
      </c>
      <c r="S584" s="14">
        <f t="shared" si="5"/>
        <v>104.8</v>
      </c>
    </row>
    <row r="585">
      <c r="A585" s="12">
        <v>43112.0</v>
      </c>
      <c r="B585" s="12" t="s">
        <v>2353</v>
      </c>
      <c r="C585" s="2">
        <v>43232.0</v>
      </c>
      <c r="D585" s="15" t="str">
        <f t="shared" si="1"/>
        <v>May</v>
      </c>
      <c r="E585" s="2" t="str">
        <f t="shared" si="2"/>
        <v>2018</v>
      </c>
      <c r="F585" s="13" t="s">
        <v>41</v>
      </c>
      <c r="G585" s="13" t="s">
        <v>2515</v>
      </c>
      <c r="H585" s="13" t="s">
        <v>2593</v>
      </c>
      <c r="I585" s="13" t="s">
        <v>23</v>
      </c>
      <c r="J585" s="13" t="s">
        <v>475</v>
      </c>
      <c r="K585" s="13" t="s">
        <v>279</v>
      </c>
      <c r="L585" s="13" t="s">
        <v>37</v>
      </c>
      <c r="M585" s="13" t="s">
        <v>38</v>
      </c>
      <c r="N585" s="14">
        <v>31.152</v>
      </c>
      <c r="O585" s="14">
        <v>30.52</v>
      </c>
      <c r="P585" s="13">
        <v>8.0</v>
      </c>
      <c r="Q585" s="14">
        <f t="shared" si="3"/>
        <v>249.216</v>
      </c>
      <c r="R585" s="14">
        <f t="shared" si="4"/>
        <v>218.696</v>
      </c>
      <c r="S585" s="14">
        <f t="shared" si="5"/>
        <v>30.52</v>
      </c>
    </row>
    <row r="586">
      <c r="A586" s="12">
        <v>43112.0</v>
      </c>
      <c r="B586" s="12" t="s">
        <v>2353</v>
      </c>
      <c r="C586" s="2">
        <v>43232.0</v>
      </c>
      <c r="D586" s="15" t="str">
        <f t="shared" si="1"/>
        <v>May</v>
      </c>
      <c r="E586" s="2" t="str">
        <f t="shared" si="2"/>
        <v>2018</v>
      </c>
      <c r="F586" s="13" t="s">
        <v>41</v>
      </c>
      <c r="G586" s="13" t="s">
        <v>2515</v>
      </c>
      <c r="H586" s="13" t="s">
        <v>2593</v>
      </c>
      <c r="I586" s="13" t="s">
        <v>23</v>
      </c>
      <c r="J586" s="13" t="s">
        <v>475</v>
      </c>
      <c r="K586" s="13" t="s">
        <v>279</v>
      </c>
      <c r="L586" s="13" t="s">
        <v>37</v>
      </c>
      <c r="M586" s="13" t="s">
        <v>38</v>
      </c>
      <c r="N586" s="14">
        <v>6.783</v>
      </c>
      <c r="O586" s="14">
        <v>6.77</v>
      </c>
      <c r="P586" s="13">
        <v>8.0</v>
      </c>
      <c r="Q586" s="14">
        <f t="shared" si="3"/>
        <v>54.264</v>
      </c>
      <c r="R586" s="14">
        <f t="shared" si="4"/>
        <v>47.494</v>
      </c>
      <c r="S586" s="14">
        <f t="shared" si="5"/>
        <v>6.77</v>
      </c>
    </row>
    <row r="587">
      <c r="A587" s="12">
        <v>43112.0</v>
      </c>
      <c r="B587" s="12" t="s">
        <v>2353</v>
      </c>
      <c r="C587" s="2">
        <v>43232.0</v>
      </c>
      <c r="D587" s="15" t="str">
        <f t="shared" si="1"/>
        <v>May</v>
      </c>
      <c r="E587" s="2" t="str">
        <f t="shared" si="2"/>
        <v>2018</v>
      </c>
      <c r="F587" s="13" t="s">
        <v>41</v>
      </c>
      <c r="G587" s="13" t="s">
        <v>2515</v>
      </c>
      <c r="H587" s="13" t="s">
        <v>2593</v>
      </c>
      <c r="I587" s="13" t="s">
        <v>23</v>
      </c>
      <c r="J587" s="13" t="s">
        <v>475</v>
      </c>
      <c r="K587" s="13" t="s">
        <v>279</v>
      </c>
      <c r="L587" s="13" t="s">
        <v>37</v>
      </c>
      <c r="M587" s="13" t="s">
        <v>51</v>
      </c>
      <c r="N587" s="14">
        <v>406.368</v>
      </c>
      <c r="O587" s="14">
        <v>406.22</v>
      </c>
      <c r="P587" s="13">
        <v>8.0</v>
      </c>
      <c r="Q587" s="14">
        <f t="shared" si="3"/>
        <v>3250.944</v>
      </c>
      <c r="R587" s="14">
        <f t="shared" si="4"/>
        <v>2844.724</v>
      </c>
      <c r="S587" s="14">
        <f t="shared" si="5"/>
        <v>406.22</v>
      </c>
    </row>
    <row r="588">
      <c r="A588" s="12">
        <v>42436.0</v>
      </c>
      <c r="B588" s="12" t="s">
        <v>2399</v>
      </c>
      <c r="C588" s="2">
        <v>42620.0</v>
      </c>
      <c r="D588" s="15" t="str">
        <f t="shared" si="1"/>
        <v>Sep</v>
      </c>
      <c r="E588" s="2" t="str">
        <f t="shared" si="2"/>
        <v>2016</v>
      </c>
      <c r="F588" s="13" t="s">
        <v>41</v>
      </c>
      <c r="G588" s="13" t="s">
        <v>2498</v>
      </c>
      <c r="H588" s="13" t="s">
        <v>2688</v>
      </c>
      <c r="I588" s="13" t="s">
        <v>23</v>
      </c>
      <c r="J588" s="13" t="s">
        <v>814</v>
      </c>
      <c r="K588" s="13" t="s">
        <v>25</v>
      </c>
      <c r="L588" s="13" t="s">
        <v>26</v>
      </c>
      <c r="M588" s="13" t="s">
        <v>27</v>
      </c>
      <c r="N588" s="14">
        <v>70.98</v>
      </c>
      <c r="O588" s="14">
        <v>70.65</v>
      </c>
      <c r="P588" s="13">
        <v>4.0</v>
      </c>
      <c r="Q588" s="14">
        <f t="shared" si="3"/>
        <v>283.92</v>
      </c>
      <c r="R588" s="14">
        <f t="shared" si="4"/>
        <v>213.27</v>
      </c>
      <c r="S588" s="14">
        <f t="shared" si="5"/>
        <v>70.65</v>
      </c>
    </row>
    <row r="589">
      <c r="A589" s="12">
        <v>42436.0</v>
      </c>
      <c r="B589" s="12" t="s">
        <v>2399</v>
      </c>
      <c r="C589" s="2">
        <v>42620.0</v>
      </c>
      <c r="D589" s="15" t="str">
        <f t="shared" si="1"/>
        <v>Sep</v>
      </c>
      <c r="E589" s="2" t="str">
        <f t="shared" si="2"/>
        <v>2016</v>
      </c>
      <c r="F589" s="13" t="s">
        <v>41</v>
      </c>
      <c r="G589" s="13" t="s">
        <v>2498</v>
      </c>
      <c r="H589" s="13" t="s">
        <v>2688</v>
      </c>
      <c r="I589" s="13" t="s">
        <v>23</v>
      </c>
      <c r="J589" s="13" t="s">
        <v>814</v>
      </c>
      <c r="K589" s="13" t="s">
        <v>25</v>
      </c>
      <c r="L589" s="13" t="s">
        <v>26</v>
      </c>
      <c r="M589" s="13" t="s">
        <v>38</v>
      </c>
      <c r="N589" s="14">
        <v>294.93</v>
      </c>
      <c r="O589" s="14">
        <v>294.81</v>
      </c>
      <c r="P589" s="13">
        <v>4.0</v>
      </c>
      <c r="Q589" s="14">
        <f t="shared" si="3"/>
        <v>1179.72</v>
      </c>
      <c r="R589" s="14">
        <f t="shared" si="4"/>
        <v>884.91</v>
      </c>
      <c r="S589" s="14">
        <f t="shared" si="5"/>
        <v>294.81</v>
      </c>
    </row>
    <row r="590">
      <c r="A590" s="12">
        <v>42814.0</v>
      </c>
      <c r="B590" s="12" t="s">
        <v>2399</v>
      </c>
      <c r="C590" s="2">
        <v>42818.0</v>
      </c>
      <c r="D590" s="15" t="str">
        <f t="shared" si="1"/>
        <v>Mar</v>
      </c>
      <c r="E590" s="2" t="str">
        <f t="shared" si="2"/>
        <v>2017</v>
      </c>
      <c r="F590" s="13" t="s">
        <v>41</v>
      </c>
      <c r="G590" s="13" t="s">
        <v>2344</v>
      </c>
      <c r="H590" s="13" t="s">
        <v>2689</v>
      </c>
      <c r="I590" s="13" t="s">
        <v>23</v>
      </c>
      <c r="J590" s="13" t="s">
        <v>1095</v>
      </c>
      <c r="K590" s="13" t="s">
        <v>256</v>
      </c>
      <c r="L590" s="13" t="s">
        <v>37</v>
      </c>
      <c r="M590" s="13" t="s">
        <v>51</v>
      </c>
      <c r="N590" s="14">
        <v>84.784</v>
      </c>
      <c r="O590" s="14">
        <v>84.02</v>
      </c>
      <c r="P590" s="13">
        <v>9.0</v>
      </c>
      <c r="Q590" s="14">
        <f t="shared" si="3"/>
        <v>763.056</v>
      </c>
      <c r="R590" s="14">
        <f t="shared" si="4"/>
        <v>679.036</v>
      </c>
      <c r="S590" s="14">
        <f t="shared" si="5"/>
        <v>84.02</v>
      </c>
    </row>
    <row r="591">
      <c r="A591" s="12">
        <v>42814.0</v>
      </c>
      <c r="B591" s="12" t="s">
        <v>2399</v>
      </c>
      <c r="C591" s="2">
        <v>42818.0</v>
      </c>
      <c r="D591" s="15" t="str">
        <f t="shared" si="1"/>
        <v>Mar</v>
      </c>
      <c r="E591" s="2" t="str">
        <f t="shared" si="2"/>
        <v>2017</v>
      </c>
      <c r="F591" s="13" t="s">
        <v>41</v>
      </c>
      <c r="G591" s="13" t="s">
        <v>2344</v>
      </c>
      <c r="H591" s="13" t="s">
        <v>2689</v>
      </c>
      <c r="I591" s="13" t="s">
        <v>23</v>
      </c>
      <c r="J591" s="13" t="s">
        <v>1095</v>
      </c>
      <c r="K591" s="13" t="s">
        <v>256</v>
      </c>
      <c r="L591" s="13" t="s">
        <v>37</v>
      </c>
      <c r="M591" s="13" t="s">
        <v>38</v>
      </c>
      <c r="N591" s="14">
        <v>20.736</v>
      </c>
      <c r="O591" s="14">
        <v>19.74</v>
      </c>
      <c r="P591" s="13">
        <v>9.0</v>
      </c>
      <c r="Q591" s="14">
        <f t="shared" si="3"/>
        <v>186.624</v>
      </c>
      <c r="R591" s="14">
        <f t="shared" si="4"/>
        <v>166.884</v>
      </c>
      <c r="S591" s="14">
        <f t="shared" si="5"/>
        <v>19.74</v>
      </c>
    </row>
    <row r="592">
      <c r="A592" s="12">
        <v>42814.0</v>
      </c>
      <c r="B592" s="12" t="s">
        <v>2399</v>
      </c>
      <c r="C592" s="2">
        <v>42818.0</v>
      </c>
      <c r="D592" s="15" t="str">
        <f t="shared" si="1"/>
        <v>Mar</v>
      </c>
      <c r="E592" s="2" t="str">
        <f t="shared" si="2"/>
        <v>2017</v>
      </c>
      <c r="F592" s="13" t="s">
        <v>41</v>
      </c>
      <c r="G592" s="13" t="s">
        <v>2344</v>
      </c>
      <c r="H592" s="13" t="s">
        <v>2689</v>
      </c>
      <c r="I592" s="13" t="s">
        <v>23</v>
      </c>
      <c r="J592" s="13" t="s">
        <v>1095</v>
      </c>
      <c r="K592" s="13" t="s">
        <v>256</v>
      </c>
      <c r="L592" s="13" t="s">
        <v>37</v>
      </c>
      <c r="M592" s="13" t="s">
        <v>38</v>
      </c>
      <c r="N592" s="14">
        <v>16.821</v>
      </c>
      <c r="O592" s="14">
        <v>16.29</v>
      </c>
      <c r="P592" s="13">
        <v>9.0</v>
      </c>
      <c r="Q592" s="14">
        <f t="shared" si="3"/>
        <v>151.389</v>
      </c>
      <c r="R592" s="14">
        <f t="shared" si="4"/>
        <v>135.099</v>
      </c>
      <c r="S592" s="14">
        <f t="shared" si="5"/>
        <v>16.29</v>
      </c>
    </row>
    <row r="593">
      <c r="A593" s="12">
        <v>42814.0</v>
      </c>
      <c r="B593" s="12" t="s">
        <v>2399</v>
      </c>
      <c r="C593" s="2">
        <v>42818.0</v>
      </c>
      <c r="D593" s="15" t="str">
        <f t="shared" si="1"/>
        <v>Mar</v>
      </c>
      <c r="E593" s="2" t="str">
        <f t="shared" si="2"/>
        <v>2017</v>
      </c>
      <c r="F593" s="13" t="s">
        <v>41</v>
      </c>
      <c r="G593" s="13" t="s">
        <v>2344</v>
      </c>
      <c r="H593" s="13" t="s">
        <v>2689</v>
      </c>
      <c r="I593" s="13" t="s">
        <v>23</v>
      </c>
      <c r="J593" s="13" t="s">
        <v>1095</v>
      </c>
      <c r="K593" s="13" t="s">
        <v>256</v>
      </c>
      <c r="L593" s="13" t="s">
        <v>37</v>
      </c>
      <c r="M593" s="13" t="s">
        <v>38</v>
      </c>
      <c r="N593" s="14">
        <v>10.368</v>
      </c>
      <c r="O593" s="14">
        <v>10.1</v>
      </c>
      <c r="P593" s="13">
        <v>9.0</v>
      </c>
      <c r="Q593" s="14">
        <f t="shared" si="3"/>
        <v>93.312</v>
      </c>
      <c r="R593" s="14">
        <f t="shared" si="4"/>
        <v>83.212</v>
      </c>
      <c r="S593" s="14">
        <f t="shared" si="5"/>
        <v>10.1</v>
      </c>
    </row>
    <row r="594">
      <c r="A594" s="12">
        <v>42248.0</v>
      </c>
      <c r="B594" s="12" t="s">
        <v>2329</v>
      </c>
      <c r="C594" s="2">
        <v>42017.0</v>
      </c>
      <c r="D594" s="15" t="str">
        <f t="shared" si="1"/>
        <v>Jan</v>
      </c>
      <c r="E594" s="2" t="str">
        <f t="shared" si="2"/>
        <v>2015</v>
      </c>
      <c r="F594" s="13" t="s">
        <v>41</v>
      </c>
      <c r="G594" s="13" t="s">
        <v>2690</v>
      </c>
      <c r="H594" s="13" t="s">
        <v>2691</v>
      </c>
      <c r="I594" s="13" t="s">
        <v>23</v>
      </c>
      <c r="J594" s="13" t="s">
        <v>1100</v>
      </c>
      <c r="K594" s="13" t="s">
        <v>70</v>
      </c>
      <c r="L594" s="13" t="s">
        <v>71</v>
      </c>
      <c r="M594" s="13" t="s">
        <v>38</v>
      </c>
      <c r="N594" s="14">
        <v>9.344</v>
      </c>
      <c r="O594" s="14">
        <v>8.59</v>
      </c>
      <c r="P594" s="13">
        <v>7.0</v>
      </c>
      <c r="Q594" s="14">
        <f t="shared" si="3"/>
        <v>65.408</v>
      </c>
      <c r="R594" s="14">
        <f t="shared" si="4"/>
        <v>56.818</v>
      </c>
      <c r="S594" s="14">
        <f t="shared" si="5"/>
        <v>8.59</v>
      </c>
    </row>
    <row r="595">
      <c r="A595" s="12">
        <v>42248.0</v>
      </c>
      <c r="B595" s="12" t="s">
        <v>2329</v>
      </c>
      <c r="C595" s="2">
        <v>42017.0</v>
      </c>
      <c r="D595" s="15" t="str">
        <f t="shared" si="1"/>
        <v>Jan</v>
      </c>
      <c r="E595" s="2" t="str">
        <f t="shared" si="2"/>
        <v>2015</v>
      </c>
      <c r="F595" s="13" t="s">
        <v>41</v>
      </c>
      <c r="G595" s="13" t="s">
        <v>2690</v>
      </c>
      <c r="H595" s="13" t="s">
        <v>2691</v>
      </c>
      <c r="I595" s="13" t="s">
        <v>23</v>
      </c>
      <c r="J595" s="13" t="s">
        <v>1100</v>
      </c>
      <c r="K595" s="13" t="s">
        <v>70</v>
      </c>
      <c r="L595" s="13" t="s">
        <v>71</v>
      </c>
      <c r="M595" s="13" t="s">
        <v>51</v>
      </c>
      <c r="N595" s="14">
        <v>31.2</v>
      </c>
      <c r="O595" s="14">
        <v>30.73</v>
      </c>
      <c r="P595" s="13">
        <v>7.0</v>
      </c>
      <c r="Q595" s="14">
        <f t="shared" si="3"/>
        <v>218.4</v>
      </c>
      <c r="R595" s="14">
        <f t="shared" si="4"/>
        <v>187.67</v>
      </c>
      <c r="S595" s="14">
        <f t="shared" si="5"/>
        <v>30.73</v>
      </c>
    </row>
    <row r="596">
      <c r="A596" s="12">
        <v>42224.0</v>
      </c>
      <c r="B596" s="12" t="s">
        <v>2322</v>
      </c>
      <c r="C596" s="2">
        <v>42231.0</v>
      </c>
      <c r="D596" s="15" t="str">
        <f t="shared" si="1"/>
        <v>Aug</v>
      </c>
      <c r="E596" s="2" t="str">
        <f t="shared" si="2"/>
        <v>2015</v>
      </c>
      <c r="F596" s="13" t="s">
        <v>41</v>
      </c>
      <c r="G596" s="13" t="s">
        <v>2375</v>
      </c>
      <c r="H596" s="13" t="s">
        <v>2692</v>
      </c>
      <c r="I596" s="13" t="s">
        <v>23</v>
      </c>
      <c r="J596" s="13" t="s">
        <v>542</v>
      </c>
      <c r="K596" s="13" t="s">
        <v>52</v>
      </c>
      <c r="L596" s="13" t="s">
        <v>37</v>
      </c>
      <c r="M596" s="13" t="s">
        <v>38</v>
      </c>
      <c r="N596" s="14">
        <v>76.12</v>
      </c>
      <c r="O596" s="14">
        <v>75.46</v>
      </c>
      <c r="P596" s="13">
        <v>9.0</v>
      </c>
      <c r="Q596" s="14">
        <f t="shared" si="3"/>
        <v>685.08</v>
      </c>
      <c r="R596" s="14">
        <f t="shared" si="4"/>
        <v>609.62</v>
      </c>
      <c r="S596" s="14">
        <f t="shared" si="5"/>
        <v>75.46</v>
      </c>
    </row>
    <row r="597">
      <c r="A597" s="12">
        <v>42224.0</v>
      </c>
      <c r="B597" s="12" t="s">
        <v>2322</v>
      </c>
      <c r="C597" s="2">
        <v>42231.0</v>
      </c>
      <c r="D597" s="15" t="str">
        <f t="shared" si="1"/>
        <v>Aug</v>
      </c>
      <c r="E597" s="2" t="str">
        <f t="shared" si="2"/>
        <v>2015</v>
      </c>
      <c r="F597" s="13" t="s">
        <v>41</v>
      </c>
      <c r="G597" s="13" t="s">
        <v>2375</v>
      </c>
      <c r="H597" s="13" t="s">
        <v>2692</v>
      </c>
      <c r="I597" s="13" t="s">
        <v>23</v>
      </c>
      <c r="J597" s="13" t="s">
        <v>542</v>
      </c>
      <c r="K597" s="13" t="s">
        <v>52</v>
      </c>
      <c r="L597" s="13" t="s">
        <v>37</v>
      </c>
      <c r="M597" s="13" t="s">
        <v>51</v>
      </c>
      <c r="N597" s="14">
        <v>1199.976</v>
      </c>
      <c r="O597" s="14">
        <v>1199.23</v>
      </c>
      <c r="P597" s="13">
        <v>9.0</v>
      </c>
      <c r="Q597" s="14">
        <f t="shared" si="3"/>
        <v>10799.784</v>
      </c>
      <c r="R597" s="14">
        <f t="shared" si="4"/>
        <v>9600.554</v>
      </c>
      <c r="S597" s="14">
        <f t="shared" si="5"/>
        <v>1199.23</v>
      </c>
    </row>
    <row r="598">
      <c r="A598" s="12">
        <v>42224.0</v>
      </c>
      <c r="B598" s="12" t="s">
        <v>2322</v>
      </c>
      <c r="C598" s="2">
        <v>42231.0</v>
      </c>
      <c r="D598" s="15" t="str">
        <f t="shared" si="1"/>
        <v>Aug</v>
      </c>
      <c r="E598" s="2" t="str">
        <f t="shared" si="2"/>
        <v>2015</v>
      </c>
      <c r="F598" s="13" t="s">
        <v>41</v>
      </c>
      <c r="G598" s="13" t="s">
        <v>2375</v>
      </c>
      <c r="H598" s="13" t="s">
        <v>2692</v>
      </c>
      <c r="I598" s="13" t="s">
        <v>23</v>
      </c>
      <c r="J598" s="13" t="s">
        <v>542</v>
      </c>
      <c r="K598" s="13" t="s">
        <v>52</v>
      </c>
      <c r="L598" s="13" t="s">
        <v>37</v>
      </c>
      <c r="M598" s="13" t="s">
        <v>51</v>
      </c>
      <c r="N598" s="14">
        <v>445.96</v>
      </c>
      <c r="O598" s="14">
        <v>445.38</v>
      </c>
      <c r="P598" s="13">
        <v>9.0</v>
      </c>
      <c r="Q598" s="14">
        <f t="shared" si="3"/>
        <v>4013.64</v>
      </c>
      <c r="R598" s="14">
        <f t="shared" si="4"/>
        <v>3568.26</v>
      </c>
      <c r="S598" s="14">
        <f t="shared" si="5"/>
        <v>445.38</v>
      </c>
    </row>
    <row r="599">
      <c r="A599" s="12">
        <v>42224.0</v>
      </c>
      <c r="B599" s="12" t="s">
        <v>2322</v>
      </c>
      <c r="C599" s="2">
        <v>42231.0</v>
      </c>
      <c r="D599" s="15" t="str">
        <f t="shared" si="1"/>
        <v>Aug</v>
      </c>
      <c r="E599" s="2" t="str">
        <f t="shared" si="2"/>
        <v>2015</v>
      </c>
      <c r="F599" s="13" t="s">
        <v>41</v>
      </c>
      <c r="G599" s="13" t="s">
        <v>2375</v>
      </c>
      <c r="H599" s="13" t="s">
        <v>2692</v>
      </c>
      <c r="I599" s="13" t="s">
        <v>23</v>
      </c>
      <c r="J599" s="13" t="s">
        <v>542</v>
      </c>
      <c r="K599" s="13" t="s">
        <v>52</v>
      </c>
      <c r="L599" s="13" t="s">
        <v>37</v>
      </c>
      <c r="M599" s="13" t="s">
        <v>27</v>
      </c>
      <c r="N599" s="14">
        <v>327.76</v>
      </c>
      <c r="O599" s="14">
        <v>327.51</v>
      </c>
      <c r="P599" s="13">
        <v>9.0</v>
      </c>
      <c r="Q599" s="14">
        <f t="shared" si="3"/>
        <v>2949.84</v>
      </c>
      <c r="R599" s="14">
        <f t="shared" si="4"/>
        <v>2622.33</v>
      </c>
      <c r="S599" s="14">
        <f t="shared" si="5"/>
        <v>327.51</v>
      </c>
    </row>
    <row r="600">
      <c r="A600" s="12">
        <v>42930.0</v>
      </c>
      <c r="B600" s="12" t="s">
        <v>2348</v>
      </c>
      <c r="C600" s="2">
        <v>42932.0</v>
      </c>
      <c r="D600" s="15" t="str">
        <f t="shared" si="1"/>
        <v>Jul</v>
      </c>
      <c r="E600" s="2" t="str">
        <f t="shared" si="2"/>
        <v>2017</v>
      </c>
      <c r="F600" s="13" t="s">
        <v>121</v>
      </c>
      <c r="G600" s="13" t="s">
        <v>2693</v>
      </c>
      <c r="H600" s="13" t="s">
        <v>2694</v>
      </c>
      <c r="I600" s="13" t="s">
        <v>23</v>
      </c>
      <c r="J600" s="13" t="s">
        <v>98</v>
      </c>
      <c r="K600" s="13" t="s">
        <v>99</v>
      </c>
      <c r="L600" s="13" t="s">
        <v>100</v>
      </c>
      <c r="M600" s="13" t="s">
        <v>38</v>
      </c>
      <c r="N600" s="14">
        <v>11.632</v>
      </c>
      <c r="O600" s="14">
        <v>11.38</v>
      </c>
      <c r="P600" s="13">
        <v>1.0</v>
      </c>
      <c r="Q600" s="14">
        <f t="shared" si="3"/>
        <v>11.632</v>
      </c>
      <c r="R600" s="14">
        <f t="shared" si="4"/>
        <v>0.252</v>
      </c>
      <c r="S600" s="14">
        <f t="shared" si="5"/>
        <v>11.38</v>
      </c>
    </row>
    <row r="601">
      <c r="A601" s="12">
        <v>42932.0</v>
      </c>
      <c r="B601" s="12" t="s">
        <v>2348</v>
      </c>
      <c r="C601" s="2">
        <v>42937.0</v>
      </c>
      <c r="D601" s="15" t="str">
        <f t="shared" si="1"/>
        <v>Jul</v>
      </c>
      <c r="E601" s="2" t="str">
        <f t="shared" si="2"/>
        <v>2017</v>
      </c>
      <c r="F601" s="13" t="s">
        <v>41</v>
      </c>
      <c r="G601" s="13" t="s">
        <v>2695</v>
      </c>
      <c r="H601" s="13" t="s">
        <v>2696</v>
      </c>
      <c r="I601" s="13" t="s">
        <v>23</v>
      </c>
      <c r="J601" s="13" t="s">
        <v>98</v>
      </c>
      <c r="K601" s="13" t="s">
        <v>99</v>
      </c>
      <c r="L601" s="13" t="s">
        <v>100</v>
      </c>
      <c r="M601" s="13" t="s">
        <v>51</v>
      </c>
      <c r="N601" s="14">
        <v>143.982</v>
      </c>
      <c r="O601" s="14">
        <v>143.98</v>
      </c>
      <c r="P601" s="13">
        <v>1.0</v>
      </c>
      <c r="Q601" s="14">
        <f t="shared" si="3"/>
        <v>143.982</v>
      </c>
      <c r="R601" s="14">
        <f t="shared" si="4"/>
        <v>0.002</v>
      </c>
      <c r="S601" s="14">
        <f t="shared" si="5"/>
        <v>143.98</v>
      </c>
    </row>
    <row r="602">
      <c r="A602" s="12">
        <v>42932.0</v>
      </c>
      <c r="B602" s="12" t="s">
        <v>2348</v>
      </c>
      <c r="C602" s="2">
        <v>42937.0</v>
      </c>
      <c r="D602" s="15" t="str">
        <f t="shared" si="1"/>
        <v>Jul</v>
      </c>
      <c r="E602" s="2" t="str">
        <f t="shared" si="2"/>
        <v>2017</v>
      </c>
      <c r="F602" s="13" t="s">
        <v>41</v>
      </c>
      <c r="G602" s="13" t="s">
        <v>2695</v>
      </c>
      <c r="H602" s="13" t="s">
        <v>2696</v>
      </c>
      <c r="I602" s="13" t="s">
        <v>23</v>
      </c>
      <c r="J602" s="13" t="s">
        <v>98</v>
      </c>
      <c r="K602" s="13" t="s">
        <v>99</v>
      </c>
      <c r="L602" s="13" t="s">
        <v>100</v>
      </c>
      <c r="M602" s="13" t="s">
        <v>51</v>
      </c>
      <c r="N602" s="14">
        <v>494.376</v>
      </c>
      <c r="O602" s="14">
        <v>493.7</v>
      </c>
      <c r="P602" s="13">
        <v>1.0</v>
      </c>
      <c r="Q602" s="14">
        <f t="shared" si="3"/>
        <v>494.376</v>
      </c>
      <c r="R602" s="14">
        <f t="shared" si="4"/>
        <v>0.676</v>
      </c>
      <c r="S602" s="14">
        <f t="shared" si="5"/>
        <v>493.7</v>
      </c>
    </row>
    <row r="603">
      <c r="A603" s="12">
        <v>42932.0</v>
      </c>
      <c r="B603" s="12" t="s">
        <v>2348</v>
      </c>
      <c r="C603" s="2">
        <v>42937.0</v>
      </c>
      <c r="D603" s="15" t="str">
        <f t="shared" si="1"/>
        <v>Jul</v>
      </c>
      <c r="E603" s="2" t="str">
        <f t="shared" si="2"/>
        <v>2017</v>
      </c>
      <c r="F603" s="13" t="s">
        <v>41</v>
      </c>
      <c r="G603" s="13" t="s">
        <v>2695</v>
      </c>
      <c r="H603" s="13" t="s">
        <v>2696</v>
      </c>
      <c r="I603" s="13" t="s">
        <v>23</v>
      </c>
      <c r="J603" s="13" t="s">
        <v>98</v>
      </c>
      <c r="K603" s="13" t="s">
        <v>99</v>
      </c>
      <c r="L603" s="13" t="s">
        <v>100</v>
      </c>
      <c r="M603" s="13" t="s">
        <v>38</v>
      </c>
      <c r="N603" s="14">
        <v>5.84</v>
      </c>
      <c r="O603" s="14">
        <v>4.88</v>
      </c>
      <c r="P603" s="13">
        <v>1.0</v>
      </c>
      <c r="Q603" s="14">
        <f t="shared" si="3"/>
        <v>5.84</v>
      </c>
      <c r="R603" s="14">
        <f t="shared" si="4"/>
        <v>0.96</v>
      </c>
      <c r="S603" s="14">
        <f t="shared" si="5"/>
        <v>4.88</v>
      </c>
    </row>
    <row r="604">
      <c r="A604" s="12">
        <v>42078.0</v>
      </c>
      <c r="B604" s="12" t="s">
        <v>2399</v>
      </c>
      <c r="C604" s="2">
        <v>42082.0</v>
      </c>
      <c r="D604" s="15" t="str">
        <f t="shared" si="1"/>
        <v>Mar</v>
      </c>
      <c r="E604" s="2" t="str">
        <f t="shared" si="2"/>
        <v>2015</v>
      </c>
      <c r="F604" s="13" t="s">
        <v>41</v>
      </c>
      <c r="G604" s="13" t="s">
        <v>2438</v>
      </c>
      <c r="H604" s="13" t="s">
        <v>2697</v>
      </c>
      <c r="I604" s="13" t="s">
        <v>23</v>
      </c>
      <c r="J604" s="13" t="s">
        <v>522</v>
      </c>
      <c r="K604" s="13" t="s">
        <v>145</v>
      </c>
      <c r="L604" s="13" t="s">
        <v>26</v>
      </c>
      <c r="M604" s="13" t="s">
        <v>38</v>
      </c>
      <c r="N604" s="14">
        <v>142.776</v>
      </c>
      <c r="O604" s="14">
        <v>142.64</v>
      </c>
      <c r="P604" s="13">
        <v>3.0</v>
      </c>
      <c r="Q604" s="14">
        <f t="shared" si="3"/>
        <v>428.328</v>
      </c>
      <c r="R604" s="14">
        <f t="shared" si="4"/>
        <v>285.688</v>
      </c>
      <c r="S604" s="14">
        <f t="shared" si="5"/>
        <v>142.64</v>
      </c>
    </row>
    <row r="605">
      <c r="A605" s="12">
        <v>42078.0</v>
      </c>
      <c r="B605" s="12" t="s">
        <v>2399</v>
      </c>
      <c r="C605" s="2">
        <v>42082.0</v>
      </c>
      <c r="D605" s="15" t="str">
        <f t="shared" si="1"/>
        <v>Mar</v>
      </c>
      <c r="E605" s="2" t="str">
        <f t="shared" si="2"/>
        <v>2015</v>
      </c>
      <c r="F605" s="13" t="s">
        <v>41</v>
      </c>
      <c r="G605" s="13" t="s">
        <v>2438</v>
      </c>
      <c r="H605" s="13" t="s">
        <v>2697</v>
      </c>
      <c r="I605" s="13" t="s">
        <v>23</v>
      </c>
      <c r="J605" s="13" t="s">
        <v>522</v>
      </c>
      <c r="K605" s="13" t="s">
        <v>145</v>
      </c>
      <c r="L605" s="13" t="s">
        <v>26</v>
      </c>
      <c r="M605" s="13" t="s">
        <v>27</v>
      </c>
      <c r="N605" s="14">
        <v>45.696</v>
      </c>
      <c r="O605" s="14">
        <v>45.65</v>
      </c>
      <c r="P605" s="13">
        <v>3.0</v>
      </c>
      <c r="Q605" s="14">
        <f t="shared" si="3"/>
        <v>137.088</v>
      </c>
      <c r="R605" s="14">
        <f t="shared" si="4"/>
        <v>91.438</v>
      </c>
      <c r="S605" s="14">
        <f t="shared" si="5"/>
        <v>45.65</v>
      </c>
    </row>
    <row r="606">
      <c r="A606" s="12">
        <v>42078.0</v>
      </c>
      <c r="B606" s="12" t="s">
        <v>2399</v>
      </c>
      <c r="C606" s="2">
        <v>42082.0</v>
      </c>
      <c r="D606" s="15" t="str">
        <f t="shared" si="1"/>
        <v>Mar</v>
      </c>
      <c r="E606" s="2" t="str">
        <f t="shared" si="2"/>
        <v>2015</v>
      </c>
      <c r="F606" s="13" t="s">
        <v>41</v>
      </c>
      <c r="G606" s="13" t="s">
        <v>2438</v>
      </c>
      <c r="H606" s="13" t="s">
        <v>2697</v>
      </c>
      <c r="I606" s="13" t="s">
        <v>23</v>
      </c>
      <c r="J606" s="13" t="s">
        <v>522</v>
      </c>
      <c r="K606" s="13" t="s">
        <v>145</v>
      </c>
      <c r="L606" s="13" t="s">
        <v>26</v>
      </c>
      <c r="M606" s="13" t="s">
        <v>38</v>
      </c>
      <c r="N606" s="14">
        <v>7.218</v>
      </c>
      <c r="O606" s="14">
        <v>6.25</v>
      </c>
      <c r="P606" s="13">
        <v>3.0</v>
      </c>
      <c r="Q606" s="14">
        <f t="shared" si="3"/>
        <v>21.654</v>
      </c>
      <c r="R606" s="14">
        <f t="shared" si="4"/>
        <v>15.404</v>
      </c>
      <c r="S606" s="14">
        <f t="shared" si="5"/>
        <v>6.25</v>
      </c>
    </row>
    <row r="607">
      <c r="A607" s="12">
        <v>42078.0</v>
      </c>
      <c r="B607" s="12" t="s">
        <v>2399</v>
      </c>
      <c r="C607" s="2">
        <v>42082.0</v>
      </c>
      <c r="D607" s="15" t="str">
        <f t="shared" si="1"/>
        <v>Mar</v>
      </c>
      <c r="E607" s="2" t="str">
        <f t="shared" si="2"/>
        <v>2015</v>
      </c>
      <c r="F607" s="13" t="s">
        <v>41</v>
      </c>
      <c r="G607" s="13" t="s">
        <v>2438</v>
      </c>
      <c r="H607" s="13" t="s">
        <v>2697</v>
      </c>
      <c r="I607" s="13" t="s">
        <v>23</v>
      </c>
      <c r="J607" s="13" t="s">
        <v>522</v>
      </c>
      <c r="K607" s="13" t="s">
        <v>145</v>
      </c>
      <c r="L607" s="13" t="s">
        <v>26</v>
      </c>
      <c r="M607" s="13" t="s">
        <v>38</v>
      </c>
      <c r="N607" s="14">
        <v>43.188</v>
      </c>
      <c r="O607" s="14">
        <v>42.61</v>
      </c>
      <c r="P607" s="13">
        <v>3.0</v>
      </c>
      <c r="Q607" s="14">
        <f t="shared" si="3"/>
        <v>129.564</v>
      </c>
      <c r="R607" s="14">
        <f t="shared" si="4"/>
        <v>86.954</v>
      </c>
      <c r="S607" s="14">
        <f t="shared" si="5"/>
        <v>42.61</v>
      </c>
    </row>
    <row r="608">
      <c r="A608" s="12">
        <v>42078.0</v>
      </c>
      <c r="B608" s="12" t="s">
        <v>2399</v>
      </c>
      <c r="C608" s="2">
        <v>42082.0</v>
      </c>
      <c r="D608" s="15" t="str">
        <f t="shared" si="1"/>
        <v>Mar</v>
      </c>
      <c r="E608" s="2" t="str">
        <f t="shared" si="2"/>
        <v>2015</v>
      </c>
      <c r="F608" s="13" t="s">
        <v>41</v>
      </c>
      <c r="G608" s="13" t="s">
        <v>2438</v>
      </c>
      <c r="H608" s="13" t="s">
        <v>2697</v>
      </c>
      <c r="I608" s="13" t="s">
        <v>23</v>
      </c>
      <c r="J608" s="13" t="s">
        <v>522</v>
      </c>
      <c r="K608" s="13" t="s">
        <v>145</v>
      </c>
      <c r="L608" s="13" t="s">
        <v>26</v>
      </c>
      <c r="M608" s="13" t="s">
        <v>38</v>
      </c>
      <c r="N608" s="14">
        <v>131.904</v>
      </c>
      <c r="O608" s="14">
        <v>131.07</v>
      </c>
      <c r="P608" s="13">
        <v>3.0</v>
      </c>
      <c r="Q608" s="14">
        <f t="shared" si="3"/>
        <v>395.712</v>
      </c>
      <c r="R608" s="14">
        <f t="shared" si="4"/>
        <v>264.642</v>
      </c>
      <c r="S608" s="14">
        <f t="shared" si="5"/>
        <v>131.07</v>
      </c>
    </row>
    <row r="609">
      <c r="A609" s="12">
        <v>42147.0</v>
      </c>
      <c r="B609" s="12" t="s">
        <v>2335</v>
      </c>
      <c r="C609" s="2">
        <v>42151.0</v>
      </c>
      <c r="D609" s="15" t="str">
        <f t="shared" si="1"/>
        <v>May</v>
      </c>
      <c r="E609" s="2" t="str">
        <f t="shared" si="2"/>
        <v>2015</v>
      </c>
      <c r="F609" s="13" t="s">
        <v>41</v>
      </c>
      <c r="G609" s="13" t="s">
        <v>2333</v>
      </c>
      <c r="H609" s="13" t="s">
        <v>2698</v>
      </c>
      <c r="I609" s="13" t="s">
        <v>23</v>
      </c>
      <c r="J609" s="13" t="s">
        <v>98</v>
      </c>
      <c r="K609" s="13" t="s">
        <v>99</v>
      </c>
      <c r="L609" s="13" t="s">
        <v>100</v>
      </c>
      <c r="M609" s="13" t="s">
        <v>38</v>
      </c>
      <c r="N609" s="14">
        <v>3.282</v>
      </c>
      <c r="O609" s="14">
        <v>2.64</v>
      </c>
      <c r="P609" s="13">
        <v>1.0</v>
      </c>
      <c r="Q609" s="14">
        <f t="shared" si="3"/>
        <v>3.282</v>
      </c>
      <c r="R609" s="14">
        <f t="shared" si="4"/>
        <v>0.642</v>
      </c>
      <c r="S609" s="14">
        <f t="shared" si="5"/>
        <v>2.64</v>
      </c>
    </row>
    <row r="610">
      <c r="A610" s="12">
        <v>42147.0</v>
      </c>
      <c r="B610" s="12" t="s">
        <v>2335</v>
      </c>
      <c r="C610" s="2">
        <v>42151.0</v>
      </c>
      <c r="D610" s="15" t="str">
        <f t="shared" si="1"/>
        <v>May</v>
      </c>
      <c r="E610" s="2" t="str">
        <f t="shared" si="2"/>
        <v>2015</v>
      </c>
      <c r="F610" s="13" t="s">
        <v>41</v>
      </c>
      <c r="G610" s="13" t="s">
        <v>2333</v>
      </c>
      <c r="H610" s="13" t="s">
        <v>2698</v>
      </c>
      <c r="I610" s="13" t="s">
        <v>23</v>
      </c>
      <c r="J610" s="13" t="s">
        <v>98</v>
      </c>
      <c r="K610" s="13" t="s">
        <v>99</v>
      </c>
      <c r="L610" s="13" t="s">
        <v>100</v>
      </c>
      <c r="M610" s="13" t="s">
        <v>38</v>
      </c>
      <c r="N610" s="14">
        <v>21.168</v>
      </c>
      <c r="O610" s="14">
        <v>20.68</v>
      </c>
      <c r="P610" s="13">
        <v>1.0</v>
      </c>
      <c r="Q610" s="14">
        <f t="shared" si="3"/>
        <v>21.168</v>
      </c>
      <c r="R610" s="14">
        <f t="shared" si="4"/>
        <v>0.488</v>
      </c>
      <c r="S610" s="14">
        <f t="shared" si="5"/>
        <v>20.68</v>
      </c>
    </row>
    <row r="611">
      <c r="A611" s="12">
        <v>42147.0</v>
      </c>
      <c r="B611" s="12" t="s">
        <v>2335</v>
      </c>
      <c r="C611" s="2">
        <v>42151.0</v>
      </c>
      <c r="D611" s="15" t="str">
        <f t="shared" si="1"/>
        <v>May</v>
      </c>
      <c r="E611" s="2" t="str">
        <f t="shared" si="2"/>
        <v>2015</v>
      </c>
      <c r="F611" s="13" t="s">
        <v>41</v>
      </c>
      <c r="G611" s="13" t="s">
        <v>2333</v>
      </c>
      <c r="H611" s="13" t="s">
        <v>2698</v>
      </c>
      <c r="I611" s="13" t="s">
        <v>23</v>
      </c>
      <c r="J611" s="13" t="s">
        <v>98</v>
      </c>
      <c r="K611" s="13" t="s">
        <v>99</v>
      </c>
      <c r="L611" s="13" t="s">
        <v>100</v>
      </c>
      <c r="M611" s="13" t="s">
        <v>51</v>
      </c>
      <c r="N611" s="14">
        <v>55.188</v>
      </c>
      <c r="O611" s="14">
        <v>54.68</v>
      </c>
      <c r="P611" s="13">
        <v>1.0</v>
      </c>
      <c r="Q611" s="14">
        <f t="shared" si="3"/>
        <v>55.188</v>
      </c>
      <c r="R611" s="14">
        <f t="shared" si="4"/>
        <v>0.508</v>
      </c>
      <c r="S611" s="14">
        <f t="shared" si="5"/>
        <v>54.68</v>
      </c>
    </row>
    <row r="612">
      <c r="A612" s="12">
        <v>42853.0</v>
      </c>
      <c r="B612" s="12" t="s">
        <v>2332</v>
      </c>
      <c r="C612" s="2">
        <v>42740.0</v>
      </c>
      <c r="D612" s="15" t="str">
        <f t="shared" si="1"/>
        <v>Jan</v>
      </c>
      <c r="E612" s="2" t="str">
        <f t="shared" si="2"/>
        <v>2017</v>
      </c>
      <c r="F612" s="13" t="s">
        <v>121</v>
      </c>
      <c r="G612" s="13" t="s">
        <v>2699</v>
      </c>
      <c r="H612" s="13" t="s">
        <v>2700</v>
      </c>
      <c r="I612" s="13" t="s">
        <v>34</v>
      </c>
      <c r="J612" s="13" t="s">
        <v>480</v>
      </c>
      <c r="K612" s="13" t="s">
        <v>70</v>
      </c>
      <c r="L612" s="13" t="s">
        <v>71</v>
      </c>
      <c r="M612" s="13" t="s">
        <v>51</v>
      </c>
      <c r="N612" s="14">
        <v>369.576</v>
      </c>
      <c r="O612" s="14">
        <v>369.43</v>
      </c>
      <c r="P612" s="13">
        <v>7.0</v>
      </c>
      <c r="Q612" s="14">
        <f t="shared" si="3"/>
        <v>2587.032</v>
      </c>
      <c r="R612" s="14">
        <f t="shared" si="4"/>
        <v>2217.602</v>
      </c>
      <c r="S612" s="14">
        <f t="shared" si="5"/>
        <v>369.43</v>
      </c>
    </row>
    <row r="613">
      <c r="A613" s="12">
        <v>42853.0</v>
      </c>
      <c r="B613" s="12" t="s">
        <v>2332</v>
      </c>
      <c r="C613" s="2">
        <v>42740.0</v>
      </c>
      <c r="D613" s="15" t="str">
        <f t="shared" si="1"/>
        <v>Jan</v>
      </c>
      <c r="E613" s="2" t="str">
        <f t="shared" si="2"/>
        <v>2017</v>
      </c>
      <c r="F613" s="13" t="s">
        <v>121</v>
      </c>
      <c r="G613" s="13" t="s">
        <v>2699</v>
      </c>
      <c r="H613" s="13" t="s">
        <v>2700</v>
      </c>
      <c r="I613" s="13" t="s">
        <v>34</v>
      </c>
      <c r="J613" s="13" t="s">
        <v>480</v>
      </c>
      <c r="K613" s="13" t="s">
        <v>70</v>
      </c>
      <c r="L613" s="13" t="s">
        <v>71</v>
      </c>
      <c r="M613" s="13" t="s">
        <v>38</v>
      </c>
      <c r="N613" s="14">
        <v>15.712</v>
      </c>
      <c r="O613" s="14">
        <v>15.41</v>
      </c>
      <c r="P613" s="13">
        <v>7.0</v>
      </c>
      <c r="Q613" s="14">
        <f t="shared" si="3"/>
        <v>109.984</v>
      </c>
      <c r="R613" s="14">
        <f t="shared" si="4"/>
        <v>94.574</v>
      </c>
      <c r="S613" s="14">
        <f t="shared" si="5"/>
        <v>15.41</v>
      </c>
    </row>
    <row r="614">
      <c r="A614" s="12">
        <v>43048.0</v>
      </c>
      <c r="B614" s="12" t="s">
        <v>2326</v>
      </c>
      <c r="C614" s="2">
        <v>42991.0</v>
      </c>
      <c r="D614" s="15" t="str">
        <f t="shared" si="1"/>
        <v>Sep</v>
      </c>
      <c r="E614" s="2" t="str">
        <f t="shared" si="2"/>
        <v>2017</v>
      </c>
      <c r="F614" s="13" t="s">
        <v>20</v>
      </c>
      <c r="G614" s="13" t="s">
        <v>2701</v>
      </c>
      <c r="H614" s="13" t="s">
        <v>2702</v>
      </c>
      <c r="I614" s="13" t="s">
        <v>34</v>
      </c>
      <c r="J614" s="13" t="s">
        <v>98</v>
      </c>
      <c r="K614" s="13" t="s">
        <v>99</v>
      </c>
      <c r="L614" s="13" t="s">
        <v>100</v>
      </c>
      <c r="M614" s="13" t="s">
        <v>38</v>
      </c>
      <c r="N614" s="14">
        <v>8.448</v>
      </c>
      <c r="O614" s="14">
        <v>7.49</v>
      </c>
      <c r="P614" s="13">
        <v>1.0</v>
      </c>
      <c r="Q614" s="14">
        <f t="shared" si="3"/>
        <v>8.448</v>
      </c>
      <c r="R614" s="14">
        <f t="shared" si="4"/>
        <v>0.958</v>
      </c>
      <c r="S614" s="14">
        <f t="shared" si="5"/>
        <v>7.49</v>
      </c>
    </row>
    <row r="615">
      <c r="A615" s="12">
        <v>43048.0</v>
      </c>
      <c r="B615" s="12" t="s">
        <v>2326</v>
      </c>
      <c r="C615" s="2">
        <v>42991.0</v>
      </c>
      <c r="D615" s="15" t="str">
        <f t="shared" si="1"/>
        <v>Sep</v>
      </c>
      <c r="E615" s="2" t="str">
        <f t="shared" si="2"/>
        <v>2017</v>
      </c>
      <c r="F615" s="13" t="s">
        <v>20</v>
      </c>
      <c r="G615" s="13" t="s">
        <v>2701</v>
      </c>
      <c r="H615" s="13" t="s">
        <v>2702</v>
      </c>
      <c r="I615" s="13" t="s">
        <v>34</v>
      </c>
      <c r="J615" s="13" t="s">
        <v>98</v>
      </c>
      <c r="K615" s="13" t="s">
        <v>99</v>
      </c>
      <c r="L615" s="13" t="s">
        <v>100</v>
      </c>
      <c r="M615" s="13" t="s">
        <v>51</v>
      </c>
      <c r="N615" s="14">
        <v>728.946</v>
      </c>
      <c r="O615" s="14">
        <v>727.99</v>
      </c>
      <c r="P615" s="13">
        <v>1.0</v>
      </c>
      <c r="Q615" s="14">
        <f t="shared" si="3"/>
        <v>728.946</v>
      </c>
      <c r="R615" s="14">
        <f t="shared" si="4"/>
        <v>0.956</v>
      </c>
      <c r="S615" s="14">
        <f t="shared" si="5"/>
        <v>727.99</v>
      </c>
    </row>
    <row r="616">
      <c r="A616" s="12">
        <v>43418.0</v>
      </c>
      <c r="B616" s="12" t="s">
        <v>2326</v>
      </c>
      <c r="C616" s="2">
        <v>43421.0</v>
      </c>
      <c r="D616" s="15" t="str">
        <f t="shared" si="1"/>
        <v>Nov</v>
      </c>
      <c r="E616" s="2" t="str">
        <f t="shared" si="2"/>
        <v>2018</v>
      </c>
      <c r="F616" s="13" t="s">
        <v>20</v>
      </c>
      <c r="G616" s="13" t="s">
        <v>2703</v>
      </c>
      <c r="H616" s="13" t="s">
        <v>2704</v>
      </c>
      <c r="I616" s="13" t="s">
        <v>23</v>
      </c>
      <c r="J616" s="13" t="s">
        <v>1131</v>
      </c>
      <c r="K616" s="13" t="s">
        <v>304</v>
      </c>
      <c r="L616" s="13" t="s">
        <v>100</v>
      </c>
      <c r="M616" s="13" t="s">
        <v>51</v>
      </c>
      <c r="N616" s="14">
        <v>119.94</v>
      </c>
      <c r="O616" s="14">
        <v>119.72</v>
      </c>
      <c r="P616" s="13">
        <v>4.0</v>
      </c>
      <c r="Q616" s="14">
        <f t="shared" si="3"/>
        <v>479.76</v>
      </c>
      <c r="R616" s="14">
        <f t="shared" si="4"/>
        <v>360.04</v>
      </c>
      <c r="S616" s="14">
        <f t="shared" si="5"/>
        <v>119.72</v>
      </c>
    </row>
    <row r="617">
      <c r="A617" s="12">
        <v>43418.0</v>
      </c>
      <c r="B617" s="12" t="s">
        <v>2326</v>
      </c>
      <c r="C617" s="2">
        <v>43421.0</v>
      </c>
      <c r="D617" s="15" t="str">
        <f t="shared" si="1"/>
        <v>Nov</v>
      </c>
      <c r="E617" s="2" t="str">
        <f t="shared" si="2"/>
        <v>2018</v>
      </c>
      <c r="F617" s="13" t="s">
        <v>20</v>
      </c>
      <c r="G617" s="13" t="s">
        <v>2703</v>
      </c>
      <c r="H617" s="13" t="s">
        <v>2704</v>
      </c>
      <c r="I617" s="13" t="s">
        <v>23</v>
      </c>
      <c r="J617" s="13" t="s">
        <v>1131</v>
      </c>
      <c r="K617" s="13" t="s">
        <v>304</v>
      </c>
      <c r="L617" s="13" t="s">
        <v>100</v>
      </c>
      <c r="M617" s="13" t="s">
        <v>38</v>
      </c>
      <c r="N617" s="14">
        <v>3.648</v>
      </c>
      <c r="O617" s="14">
        <v>2.81</v>
      </c>
      <c r="P617" s="13">
        <v>4.0</v>
      </c>
      <c r="Q617" s="14">
        <f t="shared" si="3"/>
        <v>14.592</v>
      </c>
      <c r="R617" s="14">
        <f t="shared" si="4"/>
        <v>11.782</v>
      </c>
      <c r="S617" s="14">
        <f t="shared" si="5"/>
        <v>2.81</v>
      </c>
    </row>
    <row r="618">
      <c r="A618" s="12">
        <v>43330.0</v>
      </c>
      <c r="B618" s="12" t="s">
        <v>2322</v>
      </c>
      <c r="C618" s="2">
        <v>43335.0</v>
      </c>
      <c r="D618" s="15" t="str">
        <f t="shared" si="1"/>
        <v>Aug</v>
      </c>
      <c r="E618" s="2" t="str">
        <f t="shared" si="2"/>
        <v>2018</v>
      </c>
      <c r="F618" s="13" t="s">
        <v>20</v>
      </c>
      <c r="G618" s="13" t="s">
        <v>2705</v>
      </c>
      <c r="H618" s="13" t="s">
        <v>2706</v>
      </c>
      <c r="I618" s="13" t="s">
        <v>34</v>
      </c>
      <c r="J618" s="13" t="s">
        <v>174</v>
      </c>
      <c r="K618" s="13" t="s">
        <v>175</v>
      </c>
      <c r="L618" s="13" t="s">
        <v>100</v>
      </c>
      <c r="M618" s="13" t="s">
        <v>27</v>
      </c>
      <c r="N618" s="14">
        <v>40.48</v>
      </c>
      <c r="O618" s="14">
        <v>40.35</v>
      </c>
      <c r="P618" s="13">
        <v>1.0</v>
      </c>
      <c r="Q618" s="14">
        <f t="shared" si="3"/>
        <v>40.48</v>
      </c>
      <c r="R618" s="14">
        <f t="shared" si="4"/>
        <v>0.13</v>
      </c>
      <c r="S618" s="14">
        <f t="shared" si="5"/>
        <v>40.35</v>
      </c>
    </row>
    <row r="619">
      <c r="A619" s="12">
        <v>43330.0</v>
      </c>
      <c r="B619" s="12" t="s">
        <v>2322</v>
      </c>
      <c r="C619" s="2">
        <v>43335.0</v>
      </c>
      <c r="D619" s="15" t="str">
        <f t="shared" si="1"/>
        <v>Aug</v>
      </c>
      <c r="E619" s="2" t="str">
        <f t="shared" si="2"/>
        <v>2018</v>
      </c>
      <c r="F619" s="13" t="s">
        <v>20</v>
      </c>
      <c r="G619" s="13" t="s">
        <v>2705</v>
      </c>
      <c r="H619" s="13" t="s">
        <v>2706</v>
      </c>
      <c r="I619" s="13" t="s">
        <v>34</v>
      </c>
      <c r="J619" s="13" t="s">
        <v>174</v>
      </c>
      <c r="K619" s="13" t="s">
        <v>175</v>
      </c>
      <c r="L619" s="13" t="s">
        <v>100</v>
      </c>
      <c r="M619" s="13" t="s">
        <v>27</v>
      </c>
      <c r="N619" s="14">
        <v>9.94</v>
      </c>
      <c r="O619" s="14">
        <v>9.42</v>
      </c>
      <c r="P619" s="13">
        <v>1.0</v>
      </c>
      <c r="Q619" s="14">
        <f t="shared" si="3"/>
        <v>9.94</v>
      </c>
      <c r="R619" s="14">
        <f t="shared" si="4"/>
        <v>0.52</v>
      </c>
      <c r="S619" s="14">
        <f t="shared" si="5"/>
        <v>9.42</v>
      </c>
    </row>
    <row r="620">
      <c r="A620" s="12">
        <v>43330.0</v>
      </c>
      <c r="B620" s="12" t="s">
        <v>2322</v>
      </c>
      <c r="C620" s="2">
        <v>43335.0</v>
      </c>
      <c r="D620" s="15" t="str">
        <f t="shared" si="1"/>
        <v>Aug</v>
      </c>
      <c r="E620" s="2" t="str">
        <f t="shared" si="2"/>
        <v>2018</v>
      </c>
      <c r="F620" s="13" t="s">
        <v>20</v>
      </c>
      <c r="G620" s="13" t="s">
        <v>2705</v>
      </c>
      <c r="H620" s="13" t="s">
        <v>2706</v>
      </c>
      <c r="I620" s="13" t="s">
        <v>34</v>
      </c>
      <c r="J620" s="13" t="s">
        <v>174</v>
      </c>
      <c r="K620" s="13" t="s">
        <v>175</v>
      </c>
      <c r="L620" s="13" t="s">
        <v>100</v>
      </c>
      <c r="M620" s="13" t="s">
        <v>38</v>
      </c>
      <c r="N620" s="14">
        <v>107.424</v>
      </c>
      <c r="O620" s="14">
        <v>107.26</v>
      </c>
      <c r="P620" s="13">
        <v>1.0</v>
      </c>
      <c r="Q620" s="14">
        <f t="shared" si="3"/>
        <v>107.424</v>
      </c>
      <c r="R620" s="14">
        <f t="shared" si="4"/>
        <v>0.164</v>
      </c>
      <c r="S620" s="14">
        <f t="shared" si="5"/>
        <v>107.26</v>
      </c>
    </row>
    <row r="621">
      <c r="A621" s="12">
        <v>43330.0</v>
      </c>
      <c r="B621" s="12" t="s">
        <v>2322</v>
      </c>
      <c r="C621" s="2">
        <v>43335.0</v>
      </c>
      <c r="D621" s="15" t="str">
        <f t="shared" si="1"/>
        <v>Aug</v>
      </c>
      <c r="E621" s="2" t="str">
        <f t="shared" si="2"/>
        <v>2018</v>
      </c>
      <c r="F621" s="13" t="s">
        <v>20</v>
      </c>
      <c r="G621" s="13" t="s">
        <v>2705</v>
      </c>
      <c r="H621" s="13" t="s">
        <v>2706</v>
      </c>
      <c r="I621" s="13" t="s">
        <v>34</v>
      </c>
      <c r="J621" s="13" t="s">
        <v>174</v>
      </c>
      <c r="K621" s="13" t="s">
        <v>175</v>
      </c>
      <c r="L621" s="13" t="s">
        <v>100</v>
      </c>
      <c r="M621" s="13" t="s">
        <v>51</v>
      </c>
      <c r="N621" s="14">
        <v>37.91</v>
      </c>
      <c r="O621" s="14">
        <v>37.76</v>
      </c>
      <c r="P621" s="13">
        <v>1.0</v>
      </c>
      <c r="Q621" s="14">
        <f t="shared" si="3"/>
        <v>37.91</v>
      </c>
      <c r="R621" s="14">
        <f t="shared" si="4"/>
        <v>0.15</v>
      </c>
      <c r="S621" s="14">
        <f t="shared" si="5"/>
        <v>37.76</v>
      </c>
    </row>
    <row r="622">
      <c r="A622" s="12">
        <v>43330.0</v>
      </c>
      <c r="B622" s="12" t="s">
        <v>2322</v>
      </c>
      <c r="C622" s="2">
        <v>43335.0</v>
      </c>
      <c r="D622" s="15" t="str">
        <f t="shared" si="1"/>
        <v>Aug</v>
      </c>
      <c r="E622" s="2" t="str">
        <f t="shared" si="2"/>
        <v>2018</v>
      </c>
      <c r="F622" s="13" t="s">
        <v>20</v>
      </c>
      <c r="G622" s="13" t="s">
        <v>2705</v>
      </c>
      <c r="H622" s="13" t="s">
        <v>2706</v>
      </c>
      <c r="I622" s="13" t="s">
        <v>34</v>
      </c>
      <c r="J622" s="13" t="s">
        <v>174</v>
      </c>
      <c r="K622" s="13" t="s">
        <v>175</v>
      </c>
      <c r="L622" s="13" t="s">
        <v>100</v>
      </c>
      <c r="M622" s="13" t="s">
        <v>27</v>
      </c>
      <c r="N622" s="14">
        <v>88.02</v>
      </c>
      <c r="O622" s="14">
        <v>87.89</v>
      </c>
      <c r="P622" s="13">
        <v>1.0</v>
      </c>
      <c r="Q622" s="14">
        <f t="shared" si="3"/>
        <v>88.02</v>
      </c>
      <c r="R622" s="14">
        <f t="shared" si="4"/>
        <v>0.13</v>
      </c>
      <c r="S622" s="14">
        <f t="shared" si="5"/>
        <v>87.89</v>
      </c>
    </row>
    <row r="623">
      <c r="A623" s="12">
        <v>42364.0</v>
      </c>
      <c r="B623" s="12" t="s">
        <v>2325</v>
      </c>
      <c r="C623" s="2">
        <v>42369.0</v>
      </c>
      <c r="D623" s="15" t="str">
        <f t="shared" si="1"/>
        <v>Dec</v>
      </c>
      <c r="E623" s="2" t="str">
        <f t="shared" si="2"/>
        <v>2015</v>
      </c>
      <c r="F623" s="13" t="s">
        <v>41</v>
      </c>
      <c r="G623" s="13" t="s">
        <v>2707</v>
      </c>
      <c r="H623" s="13" t="s">
        <v>2708</v>
      </c>
      <c r="I623" s="13" t="s">
        <v>23</v>
      </c>
      <c r="J623" s="13" t="s">
        <v>188</v>
      </c>
      <c r="K623" s="13" t="s">
        <v>135</v>
      </c>
      <c r="L623" s="13" t="s">
        <v>71</v>
      </c>
      <c r="M623" s="13" t="s">
        <v>38</v>
      </c>
      <c r="N623" s="14">
        <v>8.69</v>
      </c>
      <c r="O623" s="14">
        <v>8.16</v>
      </c>
      <c r="P623" s="13">
        <v>6.0</v>
      </c>
      <c r="Q623" s="14">
        <f t="shared" si="3"/>
        <v>52.14</v>
      </c>
      <c r="R623" s="14">
        <f t="shared" si="4"/>
        <v>43.98</v>
      </c>
      <c r="S623" s="14">
        <f t="shared" si="5"/>
        <v>8.16</v>
      </c>
    </row>
    <row r="624">
      <c r="A624" s="12">
        <v>42703.0</v>
      </c>
      <c r="B624" s="12" t="s">
        <v>2326</v>
      </c>
      <c r="C624" s="2">
        <v>42441.0</v>
      </c>
      <c r="D624" s="15" t="str">
        <f t="shared" si="1"/>
        <v>Mar</v>
      </c>
      <c r="E624" s="2" t="str">
        <f t="shared" si="2"/>
        <v>2016</v>
      </c>
      <c r="F624" s="13" t="s">
        <v>41</v>
      </c>
      <c r="G624" s="13" t="s">
        <v>2709</v>
      </c>
      <c r="H624" s="13" t="s">
        <v>2710</v>
      </c>
      <c r="I624" s="13" t="s">
        <v>34</v>
      </c>
      <c r="J624" s="13" t="s">
        <v>1142</v>
      </c>
      <c r="K624" s="13" t="s">
        <v>157</v>
      </c>
      <c r="L624" s="13" t="s">
        <v>71</v>
      </c>
      <c r="M624" s="13" t="s">
        <v>27</v>
      </c>
      <c r="N624" s="14">
        <v>301.96</v>
      </c>
      <c r="O624" s="14">
        <v>301.62</v>
      </c>
      <c r="P624" s="13">
        <v>4.0</v>
      </c>
      <c r="Q624" s="14">
        <f t="shared" si="3"/>
        <v>1207.84</v>
      </c>
      <c r="R624" s="14">
        <f t="shared" si="4"/>
        <v>906.22</v>
      </c>
      <c r="S624" s="14">
        <f t="shared" si="5"/>
        <v>301.62</v>
      </c>
    </row>
    <row r="625">
      <c r="A625" s="12">
        <v>42703.0</v>
      </c>
      <c r="B625" s="12" t="s">
        <v>2326</v>
      </c>
      <c r="C625" s="2">
        <v>42441.0</v>
      </c>
      <c r="D625" s="15" t="str">
        <f t="shared" si="1"/>
        <v>Mar</v>
      </c>
      <c r="E625" s="2" t="str">
        <f t="shared" si="2"/>
        <v>2016</v>
      </c>
      <c r="F625" s="13" t="s">
        <v>41</v>
      </c>
      <c r="G625" s="13" t="s">
        <v>2709</v>
      </c>
      <c r="H625" s="13" t="s">
        <v>2710</v>
      </c>
      <c r="I625" s="13" t="s">
        <v>34</v>
      </c>
      <c r="J625" s="13" t="s">
        <v>1142</v>
      </c>
      <c r="K625" s="13" t="s">
        <v>157</v>
      </c>
      <c r="L625" s="13" t="s">
        <v>71</v>
      </c>
      <c r="M625" s="13" t="s">
        <v>38</v>
      </c>
      <c r="N625" s="14">
        <v>555.21</v>
      </c>
      <c r="O625" s="14">
        <v>554.84</v>
      </c>
      <c r="P625" s="13">
        <v>4.0</v>
      </c>
      <c r="Q625" s="14">
        <f t="shared" si="3"/>
        <v>2220.84</v>
      </c>
      <c r="R625" s="14">
        <f t="shared" si="4"/>
        <v>1666</v>
      </c>
      <c r="S625" s="14">
        <f t="shared" si="5"/>
        <v>554.84</v>
      </c>
    </row>
    <row r="626">
      <c r="A626" s="12">
        <v>42703.0</v>
      </c>
      <c r="B626" s="12" t="s">
        <v>2326</v>
      </c>
      <c r="C626" s="2">
        <v>42441.0</v>
      </c>
      <c r="D626" s="15" t="str">
        <f t="shared" si="1"/>
        <v>Mar</v>
      </c>
      <c r="E626" s="2" t="str">
        <f t="shared" si="2"/>
        <v>2016</v>
      </c>
      <c r="F626" s="13" t="s">
        <v>41</v>
      </c>
      <c r="G626" s="13" t="s">
        <v>2709</v>
      </c>
      <c r="H626" s="13" t="s">
        <v>2710</v>
      </c>
      <c r="I626" s="13" t="s">
        <v>34</v>
      </c>
      <c r="J626" s="13" t="s">
        <v>1142</v>
      </c>
      <c r="K626" s="13" t="s">
        <v>157</v>
      </c>
      <c r="L626" s="13" t="s">
        <v>71</v>
      </c>
      <c r="M626" s="13" t="s">
        <v>38</v>
      </c>
      <c r="N626" s="14">
        <v>523.48</v>
      </c>
      <c r="O626" s="14">
        <v>522.95</v>
      </c>
      <c r="P626" s="13">
        <v>4.0</v>
      </c>
      <c r="Q626" s="14">
        <f t="shared" si="3"/>
        <v>2093.92</v>
      </c>
      <c r="R626" s="14">
        <f t="shared" si="4"/>
        <v>1570.97</v>
      </c>
      <c r="S626" s="14">
        <f t="shared" si="5"/>
        <v>522.95</v>
      </c>
    </row>
    <row r="627">
      <c r="A627" s="12">
        <v>42703.0</v>
      </c>
      <c r="B627" s="12" t="s">
        <v>2326</v>
      </c>
      <c r="C627" s="2">
        <v>42441.0</v>
      </c>
      <c r="D627" s="15" t="str">
        <f t="shared" si="1"/>
        <v>Mar</v>
      </c>
      <c r="E627" s="2" t="str">
        <f t="shared" si="2"/>
        <v>2016</v>
      </c>
      <c r="F627" s="13" t="s">
        <v>41</v>
      </c>
      <c r="G627" s="13" t="s">
        <v>2709</v>
      </c>
      <c r="H627" s="13" t="s">
        <v>2710</v>
      </c>
      <c r="I627" s="13" t="s">
        <v>34</v>
      </c>
      <c r="J627" s="13" t="s">
        <v>1142</v>
      </c>
      <c r="K627" s="13" t="s">
        <v>157</v>
      </c>
      <c r="L627" s="13" t="s">
        <v>71</v>
      </c>
      <c r="M627" s="13" t="s">
        <v>38</v>
      </c>
      <c r="N627" s="14">
        <v>161.82</v>
      </c>
      <c r="O627" s="14">
        <v>161.05</v>
      </c>
      <c r="P627" s="13">
        <v>4.0</v>
      </c>
      <c r="Q627" s="14">
        <f t="shared" si="3"/>
        <v>647.28</v>
      </c>
      <c r="R627" s="14">
        <f t="shared" si="4"/>
        <v>486.23</v>
      </c>
      <c r="S627" s="14">
        <f t="shared" si="5"/>
        <v>161.05</v>
      </c>
    </row>
    <row r="628">
      <c r="A628" s="12">
        <v>43358.0</v>
      </c>
      <c r="B628" s="12" t="s">
        <v>2329</v>
      </c>
      <c r="C628" s="2">
        <v>43362.0</v>
      </c>
      <c r="D628" s="15" t="str">
        <f t="shared" si="1"/>
        <v>Sep</v>
      </c>
      <c r="E628" s="2" t="str">
        <f t="shared" si="2"/>
        <v>2018</v>
      </c>
      <c r="F628" s="13" t="s">
        <v>41</v>
      </c>
      <c r="G628" s="13" t="s">
        <v>2711</v>
      </c>
      <c r="H628" s="13" t="s">
        <v>2712</v>
      </c>
      <c r="I628" s="13" t="s">
        <v>68</v>
      </c>
      <c r="J628" s="13" t="s">
        <v>174</v>
      </c>
      <c r="K628" s="13" t="s">
        <v>175</v>
      </c>
      <c r="L628" s="13" t="s">
        <v>100</v>
      </c>
      <c r="M628" s="13" t="s">
        <v>27</v>
      </c>
      <c r="N628" s="14">
        <v>35.56</v>
      </c>
      <c r="O628" s="14">
        <v>35.04</v>
      </c>
      <c r="P628" s="13">
        <v>1.0</v>
      </c>
      <c r="Q628" s="14">
        <f t="shared" si="3"/>
        <v>35.56</v>
      </c>
      <c r="R628" s="14">
        <f t="shared" si="4"/>
        <v>0.52</v>
      </c>
      <c r="S628" s="14">
        <f t="shared" si="5"/>
        <v>35.04</v>
      </c>
    </row>
    <row r="629">
      <c r="A629" s="12">
        <v>43239.0</v>
      </c>
      <c r="B629" s="12" t="s">
        <v>2335</v>
      </c>
      <c r="C629" s="2">
        <v>43243.0</v>
      </c>
      <c r="D629" s="15" t="str">
        <f t="shared" si="1"/>
        <v>May</v>
      </c>
      <c r="E629" s="2" t="str">
        <f t="shared" si="2"/>
        <v>2018</v>
      </c>
      <c r="F629" s="13" t="s">
        <v>41</v>
      </c>
      <c r="G629" s="13" t="s">
        <v>2713</v>
      </c>
      <c r="H629" s="13" t="s">
        <v>2714</v>
      </c>
      <c r="I629" s="13" t="s">
        <v>23</v>
      </c>
      <c r="J629" s="13" t="s">
        <v>62</v>
      </c>
      <c r="K629" s="13" t="s">
        <v>63</v>
      </c>
      <c r="L629" s="13" t="s">
        <v>37</v>
      </c>
      <c r="M629" s="13" t="s">
        <v>38</v>
      </c>
      <c r="N629" s="14">
        <v>97.16</v>
      </c>
      <c r="O629" s="14">
        <v>97.09</v>
      </c>
      <c r="P629" s="13">
        <v>9.0</v>
      </c>
      <c r="Q629" s="14">
        <f t="shared" si="3"/>
        <v>874.44</v>
      </c>
      <c r="R629" s="14">
        <f t="shared" si="4"/>
        <v>777.35</v>
      </c>
      <c r="S629" s="14">
        <f t="shared" si="5"/>
        <v>97.09</v>
      </c>
    </row>
    <row r="630">
      <c r="A630" s="12">
        <v>43451.0</v>
      </c>
      <c r="B630" s="12" t="s">
        <v>2325</v>
      </c>
      <c r="C630" s="2">
        <v>43455.0</v>
      </c>
      <c r="D630" s="15" t="str">
        <f t="shared" si="1"/>
        <v>Dec</v>
      </c>
      <c r="E630" s="2" t="str">
        <f t="shared" si="2"/>
        <v>2018</v>
      </c>
      <c r="F630" s="13" t="s">
        <v>41</v>
      </c>
      <c r="G630" s="13" t="s">
        <v>2499</v>
      </c>
      <c r="H630" s="13" t="s">
        <v>2500</v>
      </c>
      <c r="I630" s="13" t="s">
        <v>23</v>
      </c>
      <c r="J630" s="13" t="s">
        <v>87</v>
      </c>
      <c r="K630" s="13" t="s">
        <v>52</v>
      </c>
      <c r="L630" s="13" t="s">
        <v>37</v>
      </c>
      <c r="M630" s="13" t="s">
        <v>38</v>
      </c>
      <c r="N630" s="14">
        <v>15.24</v>
      </c>
      <c r="O630" s="14">
        <v>14.45</v>
      </c>
      <c r="P630" s="13">
        <v>9.0</v>
      </c>
      <c r="Q630" s="14">
        <f t="shared" si="3"/>
        <v>137.16</v>
      </c>
      <c r="R630" s="14">
        <f t="shared" si="4"/>
        <v>122.71</v>
      </c>
      <c r="S630" s="14">
        <f t="shared" si="5"/>
        <v>14.45</v>
      </c>
    </row>
    <row r="631">
      <c r="A631" s="12">
        <v>43451.0</v>
      </c>
      <c r="B631" s="12" t="s">
        <v>2325</v>
      </c>
      <c r="C631" s="2">
        <v>43455.0</v>
      </c>
      <c r="D631" s="15" t="str">
        <f t="shared" si="1"/>
        <v>Dec</v>
      </c>
      <c r="E631" s="2" t="str">
        <f t="shared" si="2"/>
        <v>2018</v>
      </c>
      <c r="F631" s="13" t="s">
        <v>41</v>
      </c>
      <c r="G631" s="13" t="s">
        <v>2499</v>
      </c>
      <c r="H631" s="13" t="s">
        <v>2500</v>
      </c>
      <c r="I631" s="13" t="s">
        <v>23</v>
      </c>
      <c r="J631" s="13" t="s">
        <v>87</v>
      </c>
      <c r="K631" s="13" t="s">
        <v>52</v>
      </c>
      <c r="L631" s="13" t="s">
        <v>37</v>
      </c>
      <c r="M631" s="13" t="s">
        <v>38</v>
      </c>
      <c r="N631" s="14">
        <v>13.23</v>
      </c>
      <c r="O631" s="14">
        <v>12.83</v>
      </c>
      <c r="P631" s="13">
        <v>9.0</v>
      </c>
      <c r="Q631" s="14">
        <f t="shared" si="3"/>
        <v>119.07</v>
      </c>
      <c r="R631" s="14">
        <f t="shared" si="4"/>
        <v>106.24</v>
      </c>
      <c r="S631" s="14">
        <f t="shared" si="5"/>
        <v>12.83</v>
      </c>
    </row>
    <row r="632">
      <c r="A632" s="12">
        <v>43051.0</v>
      </c>
      <c r="B632" s="12" t="s">
        <v>2326</v>
      </c>
      <c r="C632" s="2">
        <v>43082.0</v>
      </c>
      <c r="D632" s="15" t="str">
        <f t="shared" si="1"/>
        <v>Dec</v>
      </c>
      <c r="E632" s="2" t="str">
        <f t="shared" si="2"/>
        <v>2017</v>
      </c>
      <c r="F632" s="13" t="s">
        <v>20</v>
      </c>
      <c r="G632" s="13" t="s">
        <v>2494</v>
      </c>
      <c r="H632" s="13" t="s">
        <v>2715</v>
      </c>
      <c r="I632" s="13" t="s">
        <v>23</v>
      </c>
      <c r="J632" s="13" t="s">
        <v>278</v>
      </c>
      <c r="K632" s="13" t="s">
        <v>279</v>
      </c>
      <c r="L632" s="13" t="s">
        <v>37</v>
      </c>
      <c r="M632" s="13" t="s">
        <v>38</v>
      </c>
      <c r="N632" s="14">
        <v>243.384</v>
      </c>
      <c r="O632" s="14">
        <v>242.8</v>
      </c>
      <c r="P632" s="13">
        <v>8.0</v>
      </c>
      <c r="Q632" s="14">
        <f t="shared" si="3"/>
        <v>1947.072</v>
      </c>
      <c r="R632" s="14">
        <f t="shared" si="4"/>
        <v>1704.272</v>
      </c>
      <c r="S632" s="14">
        <f t="shared" si="5"/>
        <v>242.8</v>
      </c>
    </row>
    <row r="633">
      <c r="A633" s="12">
        <v>43051.0</v>
      </c>
      <c r="B633" s="12" t="s">
        <v>2326</v>
      </c>
      <c r="C633" s="2">
        <v>43082.0</v>
      </c>
      <c r="D633" s="15" t="str">
        <f t="shared" si="1"/>
        <v>Dec</v>
      </c>
      <c r="E633" s="2" t="str">
        <f t="shared" si="2"/>
        <v>2017</v>
      </c>
      <c r="F633" s="13" t="s">
        <v>20</v>
      </c>
      <c r="G633" s="13" t="s">
        <v>2494</v>
      </c>
      <c r="H633" s="13" t="s">
        <v>2715</v>
      </c>
      <c r="I633" s="13" t="s">
        <v>23</v>
      </c>
      <c r="J633" s="13" t="s">
        <v>278</v>
      </c>
      <c r="K633" s="13" t="s">
        <v>279</v>
      </c>
      <c r="L633" s="13" t="s">
        <v>37</v>
      </c>
      <c r="M633" s="13" t="s">
        <v>51</v>
      </c>
      <c r="N633" s="14">
        <v>119.8</v>
      </c>
      <c r="O633" s="14">
        <v>119.49</v>
      </c>
      <c r="P633" s="13">
        <v>8.0</v>
      </c>
      <c r="Q633" s="14">
        <f t="shared" si="3"/>
        <v>958.4</v>
      </c>
      <c r="R633" s="14">
        <f t="shared" si="4"/>
        <v>838.91</v>
      </c>
      <c r="S633" s="14">
        <f t="shared" si="5"/>
        <v>119.49</v>
      </c>
    </row>
    <row r="634">
      <c r="A634" s="12">
        <v>43051.0</v>
      </c>
      <c r="B634" s="12" t="s">
        <v>2326</v>
      </c>
      <c r="C634" s="2">
        <v>43082.0</v>
      </c>
      <c r="D634" s="15" t="str">
        <f t="shared" si="1"/>
        <v>Dec</v>
      </c>
      <c r="E634" s="2" t="str">
        <f t="shared" si="2"/>
        <v>2017</v>
      </c>
      <c r="F634" s="13" t="s">
        <v>20</v>
      </c>
      <c r="G634" s="13" t="s">
        <v>2494</v>
      </c>
      <c r="H634" s="13" t="s">
        <v>2715</v>
      </c>
      <c r="I634" s="13" t="s">
        <v>23</v>
      </c>
      <c r="J634" s="13" t="s">
        <v>278</v>
      </c>
      <c r="K634" s="13" t="s">
        <v>279</v>
      </c>
      <c r="L634" s="13" t="s">
        <v>37</v>
      </c>
      <c r="M634" s="13" t="s">
        <v>51</v>
      </c>
      <c r="N634" s="14">
        <v>300.768</v>
      </c>
      <c r="O634" s="14">
        <v>300.09</v>
      </c>
      <c r="P634" s="13">
        <v>8.0</v>
      </c>
      <c r="Q634" s="14">
        <f t="shared" si="3"/>
        <v>2406.144</v>
      </c>
      <c r="R634" s="14">
        <f t="shared" si="4"/>
        <v>2106.054</v>
      </c>
      <c r="S634" s="14">
        <f t="shared" si="5"/>
        <v>300.09</v>
      </c>
    </row>
    <row r="635">
      <c r="A635" s="12">
        <v>43367.0</v>
      </c>
      <c r="B635" s="12" t="s">
        <v>2329</v>
      </c>
      <c r="C635" s="2">
        <v>43369.0</v>
      </c>
      <c r="D635" s="15" t="str">
        <f t="shared" si="1"/>
        <v>Sep</v>
      </c>
      <c r="E635" s="2" t="str">
        <f t="shared" si="2"/>
        <v>2018</v>
      </c>
      <c r="F635" s="13" t="s">
        <v>20</v>
      </c>
      <c r="G635" s="13" t="s">
        <v>2655</v>
      </c>
      <c r="H635" s="13" t="s">
        <v>2567</v>
      </c>
      <c r="I635" s="13" t="s">
        <v>23</v>
      </c>
      <c r="J635" s="13" t="s">
        <v>791</v>
      </c>
      <c r="K635" s="13" t="s">
        <v>145</v>
      </c>
      <c r="L635" s="13" t="s">
        <v>26</v>
      </c>
      <c r="M635" s="13" t="s">
        <v>51</v>
      </c>
      <c r="N635" s="14">
        <v>17.88</v>
      </c>
      <c r="O635" s="14">
        <v>16.89</v>
      </c>
      <c r="P635" s="13">
        <v>3.0</v>
      </c>
      <c r="Q635" s="14">
        <f t="shared" si="3"/>
        <v>53.64</v>
      </c>
      <c r="R635" s="14">
        <f t="shared" si="4"/>
        <v>36.75</v>
      </c>
      <c r="S635" s="14">
        <f t="shared" si="5"/>
        <v>16.89</v>
      </c>
    </row>
    <row r="636">
      <c r="A636" s="12">
        <v>43367.0</v>
      </c>
      <c r="B636" s="12" t="s">
        <v>2329</v>
      </c>
      <c r="C636" s="2">
        <v>43369.0</v>
      </c>
      <c r="D636" s="15" t="str">
        <f t="shared" si="1"/>
        <v>Sep</v>
      </c>
      <c r="E636" s="2" t="str">
        <f t="shared" si="2"/>
        <v>2018</v>
      </c>
      <c r="F636" s="13" t="s">
        <v>20</v>
      </c>
      <c r="G636" s="13" t="s">
        <v>2655</v>
      </c>
      <c r="H636" s="13" t="s">
        <v>2567</v>
      </c>
      <c r="I636" s="13" t="s">
        <v>23</v>
      </c>
      <c r="J636" s="13" t="s">
        <v>791</v>
      </c>
      <c r="K636" s="13" t="s">
        <v>145</v>
      </c>
      <c r="L636" s="13" t="s">
        <v>26</v>
      </c>
      <c r="M636" s="13" t="s">
        <v>38</v>
      </c>
      <c r="N636" s="14">
        <v>235.944</v>
      </c>
      <c r="O636" s="14">
        <v>235.05</v>
      </c>
      <c r="P636" s="13">
        <v>3.0</v>
      </c>
      <c r="Q636" s="14">
        <f t="shared" si="3"/>
        <v>707.832</v>
      </c>
      <c r="R636" s="14">
        <f t="shared" si="4"/>
        <v>472.782</v>
      </c>
      <c r="S636" s="14">
        <f t="shared" si="5"/>
        <v>235.05</v>
      </c>
    </row>
    <row r="637">
      <c r="A637" s="12">
        <v>42470.0</v>
      </c>
      <c r="B637" s="12" t="s">
        <v>2332</v>
      </c>
      <c r="C637" s="2">
        <v>42623.0</v>
      </c>
      <c r="D637" s="15" t="str">
        <f t="shared" si="1"/>
        <v>Sep</v>
      </c>
      <c r="E637" s="2" t="str">
        <f t="shared" si="2"/>
        <v>2016</v>
      </c>
      <c r="F637" s="13" t="s">
        <v>20</v>
      </c>
      <c r="G637" s="13" t="s">
        <v>2587</v>
      </c>
      <c r="H637" s="13" t="s">
        <v>2716</v>
      </c>
      <c r="I637" s="13" t="s">
        <v>34</v>
      </c>
      <c r="J637" s="13" t="s">
        <v>1159</v>
      </c>
      <c r="K637" s="13" t="s">
        <v>707</v>
      </c>
      <c r="L637" s="13" t="s">
        <v>26</v>
      </c>
      <c r="M637" s="13" t="s">
        <v>27</v>
      </c>
      <c r="N637" s="14">
        <v>392.94</v>
      </c>
      <c r="O637" s="14">
        <v>392.3</v>
      </c>
      <c r="P637" s="13">
        <v>3.0</v>
      </c>
      <c r="Q637" s="14">
        <f t="shared" si="3"/>
        <v>1178.82</v>
      </c>
      <c r="R637" s="14">
        <f t="shared" si="4"/>
        <v>786.52</v>
      </c>
      <c r="S637" s="14">
        <f t="shared" si="5"/>
        <v>392.3</v>
      </c>
    </row>
    <row r="638">
      <c r="A638" s="12">
        <v>42962.0</v>
      </c>
      <c r="B638" s="12" t="s">
        <v>2322</v>
      </c>
      <c r="C638" s="2">
        <v>42968.0</v>
      </c>
      <c r="D638" s="15" t="str">
        <f t="shared" si="1"/>
        <v>Aug</v>
      </c>
      <c r="E638" s="2" t="str">
        <f t="shared" si="2"/>
        <v>2017</v>
      </c>
      <c r="F638" s="13" t="s">
        <v>41</v>
      </c>
      <c r="G638" s="13" t="s">
        <v>2470</v>
      </c>
      <c r="H638" s="13" t="s">
        <v>2717</v>
      </c>
      <c r="I638" s="13" t="s">
        <v>23</v>
      </c>
      <c r="J638" s="13" t="s">
        <v>278</v>
      </c>
      <c r="K638" s="13" t="s">
        <v>279</v>
      </c>
      <c r="L638" s="13" t="s">
        <v>37</v>
      </c>
      <c r="M638" s="13" t="s">
        <v>38</v>
      </c>
      <c r="N638" s="14">
        <v>18.882</v>
      </c>
      <c r="O638" s="14">
        <v>18.82</v>
      </c>
      <c r="P638" s="13">
        <v>8.0</v>
      </c>
      <c r="Q638" s="14">
        <f t="shared" si="3"/>
        <v>151.056</v>
      </c>
      <c r="R638" s="14">
        <f t="shared" si="4"/>
        <v>132.236</v>
      </c>
      <c r="S638" s="14">
        <f t="shared" si="5"/>
        <v>18.82</v>
      </c>
    </row>
    <row r="639">
      <c r="A639" s="12">
        <v>42962.0</v>
      </c>
      <c r="B639" s="12" t="s">
        <v>2322</v>
      </c>
      <c r="C639" s="2">
        <v>42968.0</v>
      </c>
      <c r="D639" s="15" t="str">
        <f t="shared" si="1"/>
        <v>Aug</v>
      </c>
      <c r="E639" s="2" t="str">
        <f t="shared" si="2"/>
        <v>2017</v>
      </c>
      <c r="F639" s="13" t="s">
        <v>41</v>
      </c>
      <c r="G639" s="13" t="s">
        <v>2470</v>
      </c>
      <c r="H639" s="13" t="s">
        <v>2717</v>
      </c>
      <c r="I639" s="13" t="s">
        <v>23</v>
      </c>
      <c r="J639" s="13" t="s">
        <v>278</v>
      </c>
      <c r="K639" s="13" t="s">
        <v>279</v>
      </c>
      <c r="L639" s="13" t="s">
        <v>37</v>
      </c>
      <c r="M639" s="13" t="s">
        <v>38</v>
      </c>
      <c r="N639" s="14">
        <v>122.328</v>
      </c>
      <c r="O639" s="14">
        <v>121.96</v>
      </c>
      <c r="P639" s="13">
        <v>8.0</v>
      </c>
      <c r="Q639" s="14">
        <f t="shared" si="3"/>
        <v>978.624</v>
      </c>
      <c r="R639" s="14">
        <f t="shared" si="4"/>
        <v>856.664</v>
      </c>
      <c r="S639" s="14">
        <f t="shared" si="5"/>
        <v>121.96</v>
      </c>
    </row>
    <row r="640">
      <c r="A640" s="12">
        <v>42875.0</v>
      </c>
      <c r="B640" s="12" t="s">
        <v>2335</v>
      </c>
      <c r="C640" s="2">
        <v>42880.0</v>
      </c>
      <c r="D640" s="15" t="str">
        <f t="shared" si="1"/>
        <v>May</v>
      </c>
      <c r="E640" s="2" t="str">
        <f t="shared" si="2"/>
        <v>2017</v>
      </c>
      <c r="F640" s="13" t="s">
        <v>41</v>
      </c>
      <c r="G640" s="13" t="s">
        <v>2419</v>
      </c>
      <c r="H640" s="13" t="s">
        <v>2420</v>
      </c>
      <c r="I640" s="13" t="s">
        <v>68</v>
      </c>
      <c r="J640" s="13" t="s">
        <v>1166</v>
      </c>
      <c r="K640" s="13" t="s">
        <v>52</v>
      </c>
      <c r="L640" s="13" t="s">
        <v>37</v>
      </c>
      <c r="M640" s="13" t="s">
        <v>27</v>
      </c>
      <c r="N640" s="14">
        <v>1049.2</v>
      </c>
      <c r="O640" s="14">
        <v>1048.97</v>
      </c>
      <c r="P640" s="13">
        <v>9.0</v>
      </c>
      <c r="Q640" s="14">
        <f t="shared" si="3"/>
        <v>9442.8</v>
      </c>
      <c r="R640" s="14">
        <f t="shared" si="4"/>
        <v>8393.83</v>
      </c>
      <c r="S640" s="14">
        <f t="shared" si="5"/>
        <v>1048.97</v>
      </c>
    </row>
    <row r="641">
      <c r="A641" s="12">
        <v>42875.0</v>
      </c>
      <c r="B641" s="12" t="s">
        <v>2335</v>
      </c>
      <c r="C641" s="2">
        <v>42880.0</v>
      </c>
      <c r="D641" s="15" t="str">
        <f t="shared" si="1"/>
        <v>May</v>
      </c>
      <c r="E641" s="2" t="str">
        <f t="shared" si="2"/>
        <v>2017</v>
      </c>
      <c r="F641" s="13" t="s">
        <v>41</v>
      </c>
      <c r="G641" s="13" t="s">
        <v>2419</v>
      </c>
      <c r="H641" s="13" t="s">
        <v>2420</v>
      </c>
      <c r="I641" s="13" t="s">
        <v>68</v>
      </c>
      <c r="J641" s="13" t="s">
        <v>1166</v>
      </c>
      <c r="K641" s="13" t="s">
        <v>52</v>
      </c>
      <c r="L641" s="13" t="s">
        <v>37</v>
      </c>
      <c r="M641" s="13" t="s">
        <v>38</v>
      </c>
      <c r="N641" s="14">
        <v>15.424</v>
      </c>
      <c r="O641" s="14">
        <v>14.88</v>
      </c>
      <c r="P641" s="13">
        <v>9.0</v>
      </c>
      <c r="Q641" s="14">
        <f t="shared" si="3"/>
        <v>138.816</v>
      </c>
      <c r="R641" s="14">
        <f t="shared" si="4"/>
        <v>123.936</v>
      </c>
      <c r="S641" s="14">
        <f t="shared" si="5"/>
        <v>14.88</v>
      </c>
    </row>
    <row r="642">
      <c r="A642" s="12">
        <v>43087.0</v>
      </c>
      <c r="B642" s="12" t="s">
        <v>2325</v>
      </c>
      <c r="C642" s="2">
        <v>43091.0</v>
      </c>
      <c r="D642" s="15" t="str">
        <f t="shared" si="1"/>
        <v>Dec</v>
      </c>
      <c r="E642" s="2" t="str">
        <f t="shared" si="2"/>
        <v>2017</v>
      </c>
      <c r="F642" s="13" t="s">
        <v>41</v>
      </c>
      <c r="G642" s="13" t="s">
        <v>2456</v>
      </c>
      <c r="H642" s="13" t="s">
        <v>2718</v>
      </c>
      <c r="I642" s="13" t="s">
        <v>34</v>
      </c>
      <c r="J642" s="13" t="s">
        <v>251</v>
      </c>
      <c r="K642" s="13" t="s">
        <v>151</v>
      </c>
      <c r="L642" s="13" t="s">
        <v>71</v>
      </c>
      <c r="M642" s="13" t="s">
        <v>27</v>
      </c>
      <c r="N642" s="14">
        <v>18.84</v>
      </c>
      <c r="O642" s="14">
        <v>18.04</v>
      </c>
      <c r="P642" s="13">
        <v>5.0</v>
      </c>
      <c r="Q642" s="14">
        <f t="shared" si="3"/>
        <v>94.2</v>
      </c>
      <c r="R642" s="14">
        <f t="shared" si="4"/>
        <v>76.16</v>
      </c>
      <c r="S642" s="14">
        <f t="shared" si="5"/>
        <v>18.04</v>
      </c>
    </row>
    <row r="643">
      <c r="A643" s="12">
        <v>43311.0</v>
      </c>
      <c r="B643" s="12" t="s">
        <v>2348</v>
      </c>
      <c r="C643" s="2">
        <v>43167.0</v>
      </c>
      <c r="D643" s="15" t="str">
        <f t="shared" si="1"/>
        <v>Mar</v>
      </c>
      <c r="E643" s="2" t="str">
        <f t="shared" si="2"/>
        <v>2018</v>
      </c>
      <c r="F643" s="13" t="s">
        <v>20</v>
      </c>
      <c r="G643" s="13" t="s">
        <v>2560</v>
      </c>
      <c r="H643" s="13" t="s">
        <v>2719</v>
      </c>
      <c r="I643" s="13" t="s">
        <v>23</v>
      </c>
      <c r="J643" s="13" t="s">
        <v>1174</v>
      </c>
      <c r="K643" s="13" t="s">
        <v>52</v>
      </c>
      <c r="L643" s="13" t="s">
        <v>37</v>
      </c>
      <c r="M643" s="13" t="s">
        <v>38</v>
      </c>
      <c r="N643" s="14">
        <v>330.4</v>
      </c>
      <c r="O643" s="14">
        <v>330.19</v>
      </c>
      <c r="P643" s="13">
        <v>9.0</v>
      </c>
      <c r="Q643" s="14">
        <f t="shared" si="3"/>
        <v>2973.6</v>
      </c>
      <c r="R643" s="14">
        <f t="shared" si="4"/>
        <v>2643.41</v>
      </c>
      <c r="S643" s="14">
        <f t="shared" si="5"/>
        <v>330.19</v>
      </c>
    </row>
    <row r="644">
      <c r="A644" s="12">
        <v>43311.0</v>
      </c>
      <c r="B644" s="12" t="s">
        <v>2348</v>
      </c>
      <c r="C644" s="2">
        <v>43167.0</v>
      </c>
      <c r="D644" s="15" t="str">
        <f t="shared" si="1"/>
        <v>Mar</v>
      </c>
      <c r="E644" s="2" t="str">
        <f t="shared" si="2"/>
        <v>2018</v>
      </c>
      <c r="F644" s="13" t="s">
        <v>20</v>
      </c>
      <c r="G644" s="13" t="s">
        <v>2560</v>
      </c>
      <c r="H644" s="13" t="s">
        <v>2719</v>
      </c>
      <c r="I644" s="13" t="s">
        <v>23</v>
      </c>
      <c r="J644" s="13" t="s">
        <v>1174</v>
      </c>
      <c r="K644" s="13" t="s">
        <v>52</v>
      </c>
      <c r="L644" s="13" t="s">
        <v>37</v>
      </c>
      <c r="M644" s="13" t="s">
        <v>38</v>
      </c>
      <c r="N644" s="14">
        <v>26.25</v>
      </c>
      <c r="O644" s="14">
        <v>25.55</v>
      </c>
      <c r="P644" s="13">
        <v>9.0</v>
      </c>
      <c r="Q644" s="14">
        <f t="shared" si="3"/>
        <v>236.25</v>
      </c>
      <c r="R644" s="14">
        <f t="shared" si="4"/>
        <v>210.7</v>
      </c>
      <c r="S644" s="14">
        <f t="shared" si="5"/>
        <v>25.55</v>
      </c>
    </row>
    <row r="645">
      <c r="A645" s="12">
        <v>43379.0</v>
      </c>
      <c r="B645" s="12" t="s">
        <v>2358</v>
      </c>
      <c r="C645" s="2">
        <v>43266.0</v>
      </c>
      <c r="D645" s="15" t="str">
        <f t="shared" si="1"/>
        <v>Jun</v>
      </c>
      <c r="E645" s="2" t="str">
        <f t="shared" si="2"/>
        <v>2018</v>
      </c>
      <c r="F645" s="13" t="s">
        <v>41</v>
      </c>
      <c r="G645" s="13" t="s">
        <v>2327</v>
      </c>
      <c r="H645" s="13" t="s">
        <v>2720</v>
      </c>
      <c r="I645" s="13" t="s">
        <v>23</v>
      </c>
      <c r="J645" s="13" t="s">
        <v>1179</v>
      </c>
      <c r="K645" s="13" t="s">
        <v>157</v>
      </c>
      <c r="L645" s="13" t="s">
        <v>71</v>
      </c>
      <c r="M645" s="13" t="s">
        <v>51</v>
      </c>
      <c r="N645" s="14">
        <v>132.52</v>
      </c>
      <c r="O645" s="14">
        <v>132.09</v>
      </c>
      <c r="P645" s="13">
        <v>4.0</v>
      </c>
      <c r="Q645" s="14">
        <f t="shared" si="3"/>
        <v>530.08</v>
      </c>
      <c r="R645" s="14">
        <f t="shared" si="4"/>
        <v>397.99</v>
      </c>
      <c r="S645" s="14">
        <f t="shared" si="5"/>
        <v>132.09</v>
      </c>
    </row>
    <row r="646">
      <c r="A646" s="12">
        <v>43302.0</v>
      </c>
      <c r="B646" s="12" t="s">
        <v>2348</v>
      </c>
      <c r="C646" s="2">
        <v>43306.0</v>
      </c>
      <c r="D646" s="15" t="str">
        <f t="shared" si="1"/>
        <v>Jul</v>
      </c>
      <c r="E646" s="2" t="str">
        <f t="shared" si="2"/>
        <v>2018</v>
      </c>
      <c r="F646" s="13" t="s">
        <v>41</v>
      </c>
      <c r="G646" s="13" t="s">
        <v>2458</v>
      </c>
      <c r="H646" s="13" t="s">
        <v>2459</v>
      </c>
      <c r="I646" s="13" t="s">
        <v>68</v>
      </c>
      <c r="J646" s="13" t="s">
        <v>1182</v>
      </c>
      <c r="K646" s="13" t="s">
        <v>462</v>
      </c>
      <c r="L646" s="13" t="s">
        <v>100</v>
      </c>
      <c r="M646" s="13" t="s">
        <v>38</v>
      </c>
      <c r="N646" s="14">
        <v>6.48</v>
      </c>
      <c r="O646" s="14">
        <v>5.96</v>
      </c>
      <c r="P646" s="13">
        <v>7.0</v>
      </c>
      <c r="Q646" s="14">
        <f t="shared" si="3"/>
        <v>45.36</v>
      </c>
      <c r="R646" s="14">
        <f t="shared" si="4"/>
        <v>39.4</v>
      </c>
      <c r="S646" s="14">
        <f t="shared" si="5"/>
        <v>5.96</v>
      </c>
    </row>
    <row r="647">
      <c r="A647" s="12">
        <v>43464.0</v>
      </c>
      <c r="B647" s="12" t="s">
        <v>2325</v>
      </c>
      <c r="C647" s="2">
        <v>43586.0</v>
      </c>
      <c r="D647" s="15" t="str">
        <f t="shared" si="1"/>
        <v>May</v>
      </c>
      <c r="E647" s="2" t="str">
        <f t="shared" si="2"/>
        <v>2019</v>
      </c>
      <c r="F647" s="13" t="s">
        <v>41</v>
      </c>
      <c r="G647" s="13" t="s">
        <v>2721</v>
      </c>
      <c r="H647" s="13" t="s">
        <v>2722</v>
      </c>
      <c r="I647" s="13" t="s">
        <v>68</v>
      </c>
      <c r="J647" s="13" t="s">
        <v>303</v>
      </c>
      <c r="K647" s="13" t="s">
        <v>169</v>
      </c>
      <c r="L647" s="13" t="s">
        <v>71</v>
      </c>
      <c r="M647" s="13" t="s">
        <v>38</v>
      </c>
      <c r="N647" s="14">
        <v>209.3</v>
      </c>
      <c r="O647" s="14">
        <v>209.04</v>
      </c>
      <c r="P647" s="13">
        <v>4.0</v>
      </c>
      <c r="Q647" s="14">
        <f t="shared" si="3"/>
        <v>837.2</v>
      </c>
      <c r="R647" s="14">
        <f t="shared" si="4"/>
        <v>628.16</v>
      </c>
      <c r="S647" s="14">
        <f t="shared" si="5"/>
        <v>209.04</v>
      </c>
    </row>
    <row r="648">
      <c r="A648" s="12">
        <v>42739.0</v>
      </c>
      <c r="B648" s="12" t="s">
        <v>2353</v>
      </c>
      <c r="C648" s="2">
        <v>42951.0</v>
      </c>
      <c r="D648" s="15" t="str">
        <f t="shared" si="1"/>
        <v>Aug</v>
      </c>
      <c r="E648" s="2" t="str">
        <f t="shared" si="2"/>
        <v>2017</v>
      </c>
      <c r="F648" s="13" t="s">
        <v>41</v>
      </c>
      <c r="G648" s="13" t="s">
        <v>2535</v>
      </c>
      <c r="H648" s="13" t="s">
        <v>2357</v>
      </c>
      <c r="I648" s="13" t="s">
        <v>34</v>
      </c>
      <c r="J648" s="13" t="s">
        <v>1187</v>
      </c>
      <c r="K648" s="13" t="s">
        <v>193</v>
      </c>
      <c r="L648" s="13" t="s">
        <v>37</v>
      </c>
      <c r="M648" s="13" t="s">
        <v>38</v>
      </c>
      <c r="N648" s="14">
        <v>31.56</v>
      </c>
      <c r="O648" s="14">
        <v>31.05</v>
      </c>
      <c r="P648" s="13">
        <v>8.0</v>
      </c>
      <c r="Q648" s="14">
        <f t="shared" si="3"/>
        <v>252.48</v>
      </c>
      <c r="R648" s="14">
        <f t="shared" si="4"/>
        <v>221.43</v>
      </c>
      <c r="S648" s="14">
        <f t="shared" si="5"/>
        <v>31.05</v>
      </c>
    </row>
    <row r="649">
      <c r="A649" s="12">
        <v>42739.0</v>
      </c>
      <c r="B649" s="12" t="s">
        <v>2353</v>
      </c>
      <c r="C649" s="2">
        <v>42951.0</v>
      </c>
      <c r="D649" s="15" t="str">
        <f t="shared" si="1"/>
        <v>Aug</v>
      </c>
      <c r="E649" s="2" t="str">
        <f t="shared" si="2"/>
        <v>2017</v>
      </c>
      <c r="F649" s="13" t="s">
        <v>41</v>
      </c>
      <c r="G649" s="13" t="s">
        <v>2535</v>
      </c>
      <c r="H649" s="13" t="s">
        <v>2357</v>
      </c>
      <c r="I649" s="13" t="s">
        <v>34</v>
      </c>
      <c r="J649" s="13" t="s">
        <v>1187</v>
      </c>
      <c r="K649" s="13" t="s">
        <v>193</v>
      </c>
      <c r="L649" s="13" t="s">
        <v>37</v>
      </c>
      <c r="M649" s="13" t="s">
        <v>38</v>
      </c>
      <c r="N649" s="14">
        <v>30.144</v>
      </c>
      <c r="O649" s="14">
        <v>30.06</v>
      </c>
      <c r="P649" s="13">
        <v>8.0</v>
      </c>
      <c r="Q649" s="14">
        <f t="shared" si="3"/>
        <v>241.152</v>
      </c>
      <c r="R649" s="14">
        <f t="shared" si="4"/>
        <v>211.092</v>
      </c>
      <c r="S649" s="14">
        <f t="shared" si="5"/>
        <v>30.06</v>
      </c>
    </row>
    <row r="650">
      <c r="A650" s="12">
        <v>43051.0</v>
      </c>
      <c r="B650" s="12" t="s">
        <v>2326</v>
      </c>
      <c r="C650" s="2">
        <v>43085.0</v>
      </c>
      <c r="D650" s="15" t="str">
        <f t="shared" si="1"/>
        <v>Dec</v>
      </c>
      <c r="E650" s="2" t="str">
        <f t="shared" si="2"/>
        <v>2017</v>
      </c>
      <c r="F650" s="13" t="s">
        <v>20</v>
      </c>
      <c r="G650" s="13" t="s">
        <v>2723</v>
      </c>
      <c r="H650" s="13" t="s">
        <v>2724</v>
      </c>
      <c r="I650" s="13" t="s">
        <v>34</v>
      </c>
      <c r="J650" s="13" t="s">
        <v>1192</v>
      </c>
      <c r="K650" s="13" t="s">
        <v>63</v>
      </c>
      <c r="L650" s="13" t="s">
        <v>37</v>
      </c>
      <c r="M650" s="13" t="s">
        <v>27</v>
      </c>
      <c r="N650" s="14">
        <v>14.8</v>
      </c>
      <c r="O650" s="14">
        <v>14.73</v>
      </c>
      <c r="P650" s="13">
        <v>9.0</v>
      </c>
      <c r="Q650" s="14">
        <f t="shared" si="3"/>
        <v>133.2</v>
      </c>
      <c r="R650" s="14">
        <f t="shared" si="4"/>
        <v>118.47</v>
      </c>
      <c r="S650" s="14">
        <f t="shared" si="5"/>
        <v>14.73</v>
      </c>
    </row>
    <row r="651">
      <c r="A651" s="12">
        <v>43051.0</v>
      </c>
      <c r="B651" s="12" t="s">
        <v>2326</v>
      </c>
      <c r="C651" s="2">
        <v>43085.0</v>
      </c>
      <c r="D651" s="15" t="str">
        <f t="shared" si="1"/>
        <v>Dec</v>
      </c>
      <c r="E651" s="2" t="str">
        <f t="shared" si="2"/>
        <v>2017</v>
      </c>
      <c r="F651" s="13" t="s">
        <v>20</v>
      </c>
      <c r="G651" s="13" t="s">
        <v>2723</v>
      </c>
      <c r="H651" s="13" t="s">
        <v>2724</v>
      </c>
      <c r="I651" s="13" t="s">
        <v>34</v>
      </c>
      <c r="J651" s="13" t="s">
        <v>1192</v>
      </c>
      <c r="K651" s="13" t="s">
        <v>63</v>
      </c>
      <c r="L651" s="13" t="s">
        <v>37</v>
      </c>
      <c r="M651" s="13" t="s">
        <v>51</v>
      </c>
      <c r="N651" s="14">
        <v>302.376</v>
      </c>
      <c r="O651" s="14">
        <v>301.45</v>
      </c>
      <c r="P651" s="13">
        <v>9.0</v>
      </c>
      <c r="Q651" s="14">
        <f t="shared" si="3"/>
        <v>2721.384</v>
      </c>
      <c r="R651" s="14">
        <f t="shared" si="4"/>
        <v>2419.934</v>
      </c>
      <c r="S651" s="14">
        <f t="shared" si="5"/>
        <v>301.45</v>
      </c>
    </row>
    <row r="652">
      <c r="A652" s="12">
        <v>43051.0</v>
      </c>
      <c r="B652" s="12" t="s">
        <v>2326</v>
      </c>
      <c r="C652" s="2">
        <v>43085.0</v>
      </c>
      <c r="D652" s="15" t="str">
        <f t="shared" si="1"/>
        <v>Dec</v>
      </c>
      <c r="E652" s="2" t="str">
        <f t="shared" si="2"/>
        <v>2017</v>
      </c>
      <c r="F652" s="13" t="s">
        <v>20</v>
      </c>
      <c r="G652" s="13" t="s">
        <v>2723</v>
      </c>
      <c r="H652" s="13" t="s">
        <v>2724</v>
      </c>
      <c r="I652" s="13" t="s">
        <v>34</v>
      </c>
      <c r="J652" s="13" t="s">
        <v>1192</v>
      </c>
      <c r="K652" s="13" t="s">
        <v>63</v>
      </c>
      <c r="L652" s="13" t="s">
        <v>37</v>
      </c>
      <c r="M652" s="13" t="s">
        <v>51</v>
      </c>
      <c r="N652" s="14">
        <v>316.0</v>
      </c>
      <c r="O652" s="14">
        <v>315.0</v>
      </c>
      <c r="P652" s="13">
        <v>9.0</v>
      </c>
      <c r="Q652" s="14">
        <f t="shared" si="3"/>
        <v>2844</v>
      </c>
      <c r="R652" s="14">
        <f t="shared" si="4"/>
        <v>2529</v>
      </c>
      <c r="S652" s="14">
        <f t="shared" si="5"/>
        <v>315</v>
      </c>
    </row>
    <row r="653">
      <c r="A653" s="12">
        <v>43031.0</v>
      </c>
      <c r="B653" s="12" t="s">
        <v>2358</v>
      </c>
      <c r="C653" s="2">
        <v>43037.0</v>
      </c>
      <c r="D653" s="15" t="str">
        <f t="shared" si="1"/>
        <v>Oct</v>
      </c>
      <c r="E653" s="2" t="str">
        <f t="shared" si="2"/>
        <v>2017</v>
      </c>
      <c r="F653" s="13" t="s">
        <v>41</v>
      </c>
      <c r="G653" s="13" t="s">
        <v>2436</v>
      </c>
      <c r="H653" s="13" t="s">
        <v>2725</v>
      </c>
      <c r="I653" s="13" t="s">
        <v>68</v>
      </c>
      <c r="J653" s="13" t="s">
        <v>174</v>
      </c>
      <c r="K653" s="13" t="s">
        <v>175</v>
      </c>
      <c r="L653" s="13" t="s">
        <v>100</v>
      </c>
      <c r="M653" s="13" t="s">
        <v>38</v>
      </c>
      <c r="N653" s="14">
        <v>379.4</v>
      </c>
      <c r="O653" s="14">
        <v>378.46</v>
      </c>
      <c r="P653" s="13">
        <v>1.0</v>
      </c>
      <c r="Q653" s="14">
        <f t="shared" si="3"/>
        <v>379.4</v>
      </c>
      <c r="R653" s="14">
        <f t="shared" si="4"/>
        <v>0.94</v>
      </c>
      <c r="S653" s="14">
        <f t="shared" si="5"/>
        <v>378.46</v>
      </c>
    </row>
    <row r="654">
      <c r="A654" s="12">
        <v>43270.0</v>
      </c>
      <c r="B654" s="12" t="s">
        <v>2374</v>
      </c>
      <c r="C654" s="2">
        <v>43274.0</v>
      </c>
      <c r="D654" s="15" t="str">
        <f t="shared" si="1"/>
        <v>Jun</v>
      </c>
      <c r="E654" s="2" t="str">
        <f t="shared" si="2"/>
        <v>2018</v>
      </c>
      <c r="F654" s="13" t="s">
        <v>41</v>
      </c>
      <c r="G654" s="13" t="s">
        <v>2334</v>
      </c>
      <c r="H654" s="13" t="s">
        <v>2582</v>
      </c>
      <c r="I654" s="13" t="s">
        <v>34</v>
      </c>
      <c r="J654" s="13" t="s">
        <v>174</v>
      </c>
      <c r="K654" s="13" t="s">
        <v>175</v>
      </c>
      <c r="L654" s="13" t="s">
        <v>100</v>
      </c>
      <c r="M654" s="13" t="s">
        <v>38</v>
      </c>
      <c r="N654" s="14">
        <v>97.82</v>
      </c>
      <c r="O654" s="14">
        <v>97.7</v>
      </c>
      <c r="P654" s="13">
        <v>1.0</v>
      </c>
      <c r="Q654" s="14">
        <f t="shared" si="3"/>
        <v>97.82</v>
      </c>
      <c r="R654" s="14">
        <f t="shared" si="4"/>
        <v>0.12</v>
      </c>
      <c r="S654" s="14">
        <f t="shared" si="5"/>
        <v>97.7</v>
      </c>
    </row>
    <row r="655">
      <c r="A655" s="12">
        <v>43270.0</v>
      </c>
      <c r="B655" s="12" t="s">
        <v>2374</v>
      </c>
      <c r="C655" s="2">
        <v>43274.0</v>
      </c>
      <c r="D655" s="15" t="str">
        <f t="shared" si="1"/>
        <v>Jun</v>
      </c>
      <c r="E655" s="2" t="str">
        <f t="shared" si="2"/>
        <v>2018</v>
      </c>
      <c r="F655" s="13" t="s">
        <v>41</v>
      </c>
      <c r="G655" s="13" t="s">
        <v>2334</v>
      </c>
      <c r="H655" s="13" t="s">
        <v>2582</v>
      </c>
      <c r="I655" s="13" t="s">
        <v>34</v>
      </c>
      <c r="J655" s="13" t="s">
        <v>174</v>
      </c>
      <c r="K655" s="13" t="s">
        <v>175</v>
      </c>
      <c r="L655" s="13" t="s">
        <v>100</v>
      </c>
      <c r="M655" s="13" t="s">
        <v>51</v>
      </c>
      <c r="N655" s="14">
        <v>103.12</v>
      </c>
      <c r="O655" s="14">
        <v>102.24</v>
      </c>
      <c r="P655" s="13">
        <v>1.0</v>
      </c>
      <c r="Q655" s="14">
        <f t="shared" si="3"/>
        <v>103.12</v>
      </c>
      <c r="R655" s="14">
        <f t="shared" si="4"/>
        <v>0.88</v>
      </c>
      <c r="S655" s="14">
        <f t="shared" si="5"/>
        <v>102.24</v>
      </c>
    </row>
    <row r="656">
      <c r="A656" s="12">
        <v>42969.0</v>
      </c>
      <c r="B656" s="12" t="s">
        <v>2322</v>
      </c>
      <c r="C656" s="2">
        <v>42975.0</v>
      </c>
      <c r="D656" s="15" t="str">
        <f t="shared" si="1"/>
        <v>Aug</v>
      </c>
      <c r="E656" s="2" t="str">
        <f t="shared" si="2"/>
        <v>2017</v>
      </c>
      <c r="F656" s="13" t="s">
        <v>41</v>
      </c>
      <c r="G656" s="13" t="s">
        <v>2523</v>
      </c>
      <c r="H656" s="13" t="s">
        <v>2726</v>
      </c>
      <c r="I656" s="13" t="s">
        <v>23</v>
      </c>
      <c r="J656" s="13" t="s">
        <v>303</v>
      </c>
      <c r="K656" s="13" t="s">
        <v>304</v>
      </c>
      <c r="L656" s="13" t="s">
        <v>100</v>
      </c>
      <c r="M656" s="13" t="s">
        <v>38</v>
      </c>
      <c r="N656" s="14">
        <v>113.552</v>
      </c>
      <c r="O656" s="14">
        <v>112.7</v>
      </c>
      <c r="P656" s="13">
        <v>4.0</v>
      </c>
      <c r="Q656" s="14">
        <f t="shared" si="3"/>
        <v>454.208</v>
      </c>
      <c r="R656" s="14">
        <f t="shared" si="4"/>
        <v>341.508</v>
      </c>
      <c r="S656" s="14">
        <f t="shared" si="5"/>
        <v>112.7</v>
      </c>
    </row>
    <row r="657">
      <c r="A657" s="12">
        <v>42969.0</v>
      </c>
      <c r="B657" s="12" t="s">
        <v>2322</v>
      </c>
      <c r="C657" s="2">
        <v>42975.0</v>
      </c>
      <c r="D657" s="15" t="str">
        <f t="shared" si="1"/>
        <v>Aug</v>
      </c>
      <c r="E657" s="2" t="str">
        <f t="shared" si="2"/>
        <v>2017</v>
      </c>
      <c r="F657" s="13" t="s">
        <v>41</v>
      </c>
      <c r="G657" s="13" t="s">
        <v>2523</v>
      </c>
      <c r="H657" s="13" t="s">
        <v>2726</v>
      </c>
      <c r="I657" s="13" t="s">
        <v>23</v>
      </c>
      <c r="J657" s="13" t="s">
        <v>303</v>
      </c>
      <c r="K657" s="13" t="s">
        <v>304</v>
      </c>
      <c r="L657" s="13" t="s">
        <v>100</v>
      </c>
      <c r="M657" s="13" t="s">
        <v>38</v>
      </c>
      <c r="N657" s="14">
        <v>3.318</v>
      </c>
      <c r="O657" s="14">
        <v>3.09</v>
      </c>
      <c r="P657" s="13">
        <v>4.0</v>
      </c>
      <c r="Q657" s="14">
        <f t="shared" si="3"/>
        <v>13.272</v>
      </c>
      <c r="R657" s="14">
        <f t="shared" si="4"/>
        <v>10.182</v>
      </c>
      <c r="S657" s="14">
        <f t="shared" si="5"/>
        <v>3.09</v>
      </c>
    </row>
    <row r="658">
      <c r="A658" s="12">
        <v>42969.0</v>
      </c>
      <c r="B658" s="12" t="s">
        <v>2322</v>
      </c>
      <c r="C658" s="2">
        <v>42975.0</v>
      </c>
      <c r="D658" s="15" t="str">
        <f t="shared" si="1"/>
        <v>Aug</v>
      </c>
      <c r="E658" s="2" t="str">
        <f t="shared" si="2"/>
        <v>2017</v>
      </c>
      <c r="F658" s="13" t="s">
        <v>41</v>
      </c>
      <c r="G658" s="13" t="s">
        <v>2523</v>
      </c>
      <c r="H658" s="13" t="s">
        <v>2726</v>
      </c>
      <c r="I658" s="13" t="s">
        <v>23</v>
      </c>
      <c r="J658" s="13" t="s">
        <v>303</v>
      </c>
      <c r="K658" s="13" t="s">
        <v>304</v>
      </c>
      <c r="L658" s="13" t="s">
        <v>100</v>
      </c>
      <c r="M658" s="13" t="s">
        <v>38</v>
      </c>
      <c r="N658" s="14">
        <v>134.288</v>
      </c>
      <c r="O658" s="14">
        <v>133.72</v>
      </c>
      <c r="P658" s="13">
        <v>4.0</v>
      </c>
      <c r="Q658" s="14">
        <f t="shared" si="3"/>
        <v>537.152</v>
      </c>
      <c r="R658" s="14">
        <f t="shared" si="4"/>
        <v>403.432</v>
      </c>
      <c r="S658" s="14">
        <f t="shared" si="5"/>
        <v>133.72</v>
      </c>
    </row>
    <row r="659">
      <c r="A659" s="12">
        <v>42997.0</v>
      </c>
      <c r="B659" s="12" t="s">
        <v>2329</v>
      </c>
      <c r="C659" s="2">
        <v>42997.0</v>
      </c>
      <c r="D659" s="15" t="str">
        <f t="shared" si="1"/>
        <v>Sep</v>
      </c>
      <c r="E659" s="2" t="str">
        <f t="shared" si="2"/>
        <v>2017</v>
      </c>
      <c r="F659" s="13" t="s">
        <v>717</v>
      </c>
      <c r="G659" s="13" t="s">
        <v>2727</v>
      </c>
      <c r="H659" s="13" t="s">
        <v>2728</v>
      </c>
      <c r="I659" s="13" t="s">
        <v>68</v>
      </c>
      <c r="J659" s="13" t="s">
        <v>278</v>
      </c>
      <c r="K659" s="13" t="s">
        <v>135</v>
      </c>
      <c r="L659" s="13" t="s">
        <v>71</v>
      </c>
      <c r="M659" s="13" t="s">
        <v>27</v>
      </c>
      <c r="N659" s="14">
        <v>701.372</v>
      </c>
      <c r="O659" s="14">
        <v>700.42</v>
      </c>
      <c r="P659" s="13">
        <v>6.0</v>
      </c>
      <c r="Q659" s="14">
        <f t="shared" si="3"/>
        <v>4208.232</v>
      </c>
      <c r="R659" s="14">
        <f t="shared" si="4"/>
        <v>3507.812</v>
      </c>
      <c r="S659" s="14">
        <f t="shared" si="5"/>
        <v>700.42</v>
      </c>
    </row>
    <row r="660">
      <c r="A660" s="12">
        <v>42997.0</v>
      </c>
      <c r="B660" s="12" t="s">
        <v>2329</v>
      </c>
      <c r="C660" s="2">
        <v>42997.0</v>
      </c>
      <c r="D660" s="15" t="str">
        <f t="shared" si="1"/>
        <v>Sep</v>
      </c>
      <c r="E660" s="2" t="str">
        <f t="shared" si="2"/>
        <v>2017</v>
      </c>
      <c r="F660" s="13" t="s">
        <v>717</v>
      </c>
      <c r="G660" s="13" t="s">
        <v>2727</v>
      </c>
      <c r="H660" s="13" t="s">
        <v>2728</v>
      </c>
      <c r="I660" s="13" t="s">
        <v>68</v>
      </c>
      <c r="J660" s="13" t="s">
        <v>278</v>
      </c>
      <c r="K660" s="13" t="s">
        <v>135</v>
      </c>
      <c r="L660" s="13" t="s">
        <v>71</v>
      </c>
      <c r="M660" s="13" t="s">
        <v>38</v>
      </c>
      <c r="N660" s="14">
        <v>2.308</v>
      </c>
      <c r="O660" s="14">
        <v>1.71</v>
      </c>
      <c r="P660" s="13">
        <v>6.0</v>
      </c>
      <c r="Q660" s="14">
        <f t="shared" si="3"/>
        <v>13.848</v>
      </c>
      <c r="R660" s="14">
        <f t="shared" si="4"/>
        <v>12.138</v>
      </c>
      <c r="S660" s="14">
        <f t="shared" si="5"/>
        <v>1.71</v>
      </c>
    </row>
    <row r="661">
      <c r="A661" s="12">
        <v>42606.0</v>
      </c>
      <c r="B661" s="12" t="s">
        <v>2322</v>
      </c>
      <c r="C661" s="2">
        <v>42610.0</v>
      </c>
      <c r="D661" s="15" t="str">
        <f t="shared" si="1"/>
        <v>Aug</v>
      </c>
      <c r="E661" s="2" t="str">
        <f t="shared" si="2"/>
        <v>2016</v>
      </c>
      <c r="F661" s="13" t="s">
        <v>41</v>
      </c>
      <c r="G661" s="13" t="s">
        <v>2491</v>
      </c>
      <c r="H661" s="13" t="s">
        <v>2492</v>
      </c>
      <c r="I661" s="13" t="s">
        <v>23</v>
      </c>
      <c r="J661" s="13" t="s">
        <v>628</v>
      </c>
      <c r="K661" s="13" t="s">
        <v>70</v>
      </c>
      <c r="L661" s="13" t="s">
        <v>71</v>
      </c>
      <c r="M661" s="13" t="s">
        <v>38</v>
      </c>
      <c r="N661" s="14">
        <v>999.432</v>
      </c>
      <c r="O661" s="14">
        <v>998.53</v>
      </c>
      <c r="P661" s="13">
        <v>7.0</v>
      </c>
      <c r="Q661" s="14">
        <f t="shared" si="3"/>
        <v>6996.024</v>
      </c>
      <c r="R661" s="14">
        <f t="shared" si="4"/>
        <v>5997.494</v>
      </c>
      <c r="S661" s="14">
        <f t="shared" si="5"/>
        <v>998.53</v>
      </c>
    </row>
    <row r="662">
      <c r="A662" s="12">
        <v>42606.0</v>
      </c>
      <c r="B662" s="12" t="s">
        <v>2322</v>
      </c>
      <c r="C662" s="2">
        <v>42610.0</v>
      </c>
      <c r="D662" s="15" t="str">
        <f t="shared" si="1"/>
        <v>Aug</v>
      </c>
      <c r="E662" s="2" t="str">
        <f t="shared" si="2"/>
        <v>2016</v>
      </c>
      <c r="F662" s="13" t="s">
        <v>41</v>
      </c>
      <c r="G662" s="13" t="s">
        <v>2491</v>
      </c>
      <c r="H662" s="13" t="s">
        <v>2492</v>
      </c>
      <c r="I662" s="13" t="s">
        <v>23</v>
      </c>
      <c r="J662" s="13" t="s">
        <v>628</v>
      </c>
      <c r="K662" s="13" t="s">
        <v>70</v>
      </c>
      <c r="L662" s="13" t="s">
        <v>71</v>
      </c>
      <c r="M662" s="13" t="s">
        <v>38</v>
      </c>
      <c r="N662" s="14">
        <v>724.08</v>
      </c>
      <c r="O662" s="14">
        <v>723.22</v>
      </c>
      <c r="P662" s="13">
        <v>7.0</v>
      </c>
      <c r="Q662" s="14">
        <f t="shared" si="3"/>
        <v>5068.56</v>
      </c>
      <c r="R662" s="14">
        <f t="shared" si="4"/>
        <v>4345.34</v>
      </c>
      <c r="S662" s="14">
        <f t="shared" si="5"/>
        <v>723.22</v>
      </c>
    </row>
    <row r="663">
      <c r="A663" s="12">
        <v>42606.0</v>
      </c>
      <c r="B663" s="12" t="s">
        <v>2322</v>
      </c>
      <c r="C663" s="2">
        <v>42610.0</v>
      </c>
      <c r="D663" s="15" t="str">
        <f t="shared" si="1"/>
        <v>Aug</v>
      </c>
      <c r="E663" s="2" t="str">
        <f t="shared" si="2"/>
        <v>2016</v>
      </c>
      <c r="F663" s="13" t="s">
        <v>41</v>
      </c>
      <c r="G663" s="13" t="s">
        <v>2491</v>
      </c>
      <c r="H663" s="13" t="s">
        <v>2492</v>
      </c>
      <c r="I663" s="13" t="s">
        <v>23</v>
      </c>
      <c r="J663" s="13" t="s">
        <v>628</v>
      </c>
      <c r="K663" s="13" t="s">
        <v>70</v>
      </c>
      <c r="L663" s="13" t="s">
        <v>71</v>
      </c>
      <c r="M663" s="13" t="s">
        <v>27</v>
      </c>
      <c r="N663" s="14">
        <v>918.785</v>
      </c>
      <c r="O663" s="14">
        <v>917.93</v>
      </c>
      <c r="P663" s="13">
        <v>7.0</v>
      </c>
      <c r="Q663" s="14">
        <f t="shared" si="3"/>
        <v>6431.495</v>
      </c>
      <c r="R663" s="14">
        <f t="shared" si="4"/>
        <v>5513.565</v>
      </c>
      <c r="S663" s="14">
        <f t="shared" si="5"/>
        <v>917.93</v>
      </c>
    </row>
    <row r="664">
      <c r="A664" s="12">
        <v>42606.0</v>
      </c>
      <c r="B664" s="12" t="s">
        <v>2322</v>
      </c>
      <c r="C664" s="2">
        <v>42610.0</v>
      </c>
      <c r="D664" s="15" t="str">
        <f t="shared" si="1"/>
        <v>Aug</v>
      </c>
      <c r="E664" s="2" t="str">
        <f t="shared" si="2"/>
        <v>2016</v>
      </c>
      <c r="F664" s="13" t="s">
        <v>41</v>
      </c>
      <c r="G664" s="13" t="s">
        <v>2491</v>
      </c>
      <c r="H664" s="13" t="s">
        <v>2492</v>
      </c>
      <c r="I664" s="13" t="s">
        <v>23</v>
      </c>
      <c r="J664" s="13" t="s">
        <v>628</v>
      </c>
      <c r="K664" s="13" t="s">
        <v>70</v>
      </c>
      <c r="L664" s="13" t="s">
        <v>71</v>
      </c>
      <c r="M664" s="13" t="s">
        <v>38</v>
      </c>
      <c r="N664" s="14">
        <v>2.724</v>
      </c>
      <c r="O664" s="14">
        <v>2.25</v>
      </c>
      <c r="P664" s="13">
        <v>7.0</v>
      </c>
      <c r="Q664" s="14">
        <f t="shared" si="3"/>
        <v>19.068</v>
      </c>
      <c r="R664" s="14">
        <f t="shared" si="4"/>
        <v>16.818</v>
      </c>
      <c r="S664" s="14">
        <f t="shared" si="5"/>
        <v>2.25</v>
      </c>
    </row>
    <row r="665">
      <c r="A665" s="12">
        <v>42820.0</v>
      </c>
      <c r="B665" s="12" t="s">
        <v>2399</v>
      </c>
      <c r="C665" s="2">
        <v>42824.0</v>
      </c>
      <c r="D665" s="15" t="str">
        <f t="shared" si="1"/>
        <v>Mar</v>
      </c>
      <c r="E665" s="2" t="str">
        <f t="shared" si="2"/>
        <v>2017</v>
      </c>
      <c r="F665" s="13" t="s">
        <v>41</v>
      </c>
      <c r="G665" s="13" t="s">
        <v>2729</v>
      </c>
      <c r="H665" s="13" t="s">
        <v>2730</v>
      </c>
      <c r="I665" s="13" t="s">
        <v>34</v>
      </c>
      <c r="J665" s="13" t="s">
        <v>174</v>
      </c>
      <c r="K665" s="13" t="s">
        <v>175</v>
      </c>
      <c r="L665" s="13" t="s">
        <v>100</v>
      </c>
      <c r="M665" s="13" t="s">
        <v>38</v>
      </c>
      <c r="N665" s="14">
        <v>459.95</v>
      </c>
      <c r="O665" s="14">
        <v>459.05</v>
      </c>
      <c r="P665" s="13">
        <v>1.0</v>
      </c>
      <c r="Q665" s="14">
        <f t="shared" si="3"/>
        <v>459.95</v>
      </c>
      <c r="R665" s="14">
        <f t="shared" si="4"/>
        <v>0.9</v>
      </c>
      <c r="S665" s="14">
        <f t="shared" si="5"/>
        <v>459.05</v>
      </c>
    </row>
    <row r="666">
      <c r="A666" s="12">
        <v>42836.0</v>
      </c>
      <c r="B666" s="12" t="s">
        <v>2332</v>
      </c>
      <c r="C666" s="2">
        <v>42836.0</v>
      </c>
      <c r="D666" s="15" t="str">
        <f t="shared" si="1"/>
        <v>Apr</v>
      </c>
      <c r="E666" s="2" t="str">
        <f t="shared" si="2"/>
        <v>2017</v>
      </c>
      <c r="F666" s="13" t="s">
        <v>717</v>
      </c>
      <c r="G666" s="13" t="s">
        <v>2527</v>
      </c>
      <c r="H666" s="13" t="s">
        <v>2528</v>
      </c>
      <c r="I666" s="13" t="s">
        <v>23</v>
      </c>
      <c r="J666" s="13" t="s">
        <v>818</v>
      </c>
      <c r="K666" s="13" t="s">
        <v>25</v>
      </c>
      <c r="L666" s="13" t="s">
        <v>26</v>
      </c>
      <c r="M666" s="13" t="s">
        <v>38</v>
      </c>
      <c r="N666" s="14">
        <v>10.74</v>
      </c>
      <c r="O666" s="14">
        <v>10.2</v>
      </c>
      <c r="P666" s="13">
        <v>4.0</v>
      </c>
      <c r="Q666" s="14">
        <f t="shared" si="3"/>
        <v>42.96</v>
      </c>
      <c r="R666" s="14">
        <f t="shared" si="4"/>
        <v>32.76</v>
      </c>
      <c r="S666" s="14">
        <f t="shared" si="5"/>
        <v>10.2</v>
      </c>
    </row>
    <row r="667">
      <c r="A667" s="12">
        <v>43318.0</v>
      </c>
      <c r="B667" s="12" t="s">
        <v>2322</v>
      </c>
      <c r="C667" s="2">
        <v>43379.0</v>
      </c>
      <c r="D667" s="15" t="str">
        <f t="shared" si="1"/>
        <v>Oct</v>
      </c>
      <c r="E667" s="2" t="str">
        <f t="shared" si="2"/>
        <v>2018</v>
      </c>
      <c r="F667" s="13" t="s">
        <v>20</v>
      </c>
      <c r="G667" s="13" t="s">
        <v>2731</v>
      </c>
      <c r="H667" s="13" t="s">
        <v>2732</v>
      </c>
      <c r="I667" s="13" t="s">
        <v>34</v>
      </c>
      <c r="J667" s="13" t="s">
        <v>480</v>
      </c>
      <c r="K667" s="13" t="s">
        <v>70</v>
      </c>
      <c r="L667" s="13" t="s">
        <v>71</v>
      </c>
      <c r="M667" s="13" t="s">
        <v>38</v>
      </c>
      <c r="N667" s="14">
        <v>23.76</v>
      </c>
      <c r="O667" s="14">
        <v>23.17</v>
      </c>
      <c r="P667" s="13">
        <v>7.0</v>
      </c>
      <c r="Q667" s="14">
        <f t="shared" si="3"/>
        <v>166.32</v>
      </c>
      <c r="R667" s="14">
        <f t="shared" si="4"/>
        <v>143.15</v>
      </c>
      <c r="S667" s="14">
        <f t="shared" si="5"/>
        <v>23.17</v>
      </c>
    </row>
    <row r="668">
      <c r="A668" s="12">
        <v>43318.0</v>
      </c>
      <c r="B668" s="12" t="s">
        <v>2322</v>
      </c>
      <c r="C668" s="2">
        <v>43379.0</v>
      </c>
      <c r="D668" s="15" t="str">
        <f t="shared" si="1"/>
        <v>Oct</v>
      </c>
      <c r="E668" s="2" t="str">
        <f t="shared" si="2"/>
        <v>2018</v>
      </c>
      <c r="F668" s="13" t="s">
        <v>20</v>
      </c>
      <c r="G668" s="13" t="s">
        <v>2731</v>
      </c>
      <c r="H668" s="13" t="s">
        <v>2732</v>
      </c>
      <c r="I668" s="13" t="s">
        <v>34</v>
      </c>
      <c r="J668" s="13" t="s">
        <v>480</v>
      </c>
      <c r="K668" s="13" t="s">
        <v>70</v>
      </c>
      <c r="L668" s="13" t="s">
        <v>71</v>
      </c>
      <c r="M668" s="13" t="s">
        <v>38</v>
      </c>
      <c r="N668" s="14">
        <v>85.056</v>
      </c>
      <c r="O668" s="14">
        <v>84.29</v>
      </c>
      <c r="P668" s="13">
        <v>7.0</v>
      </c>
      <c r="Q668" s="14">
        <f t="shared" si="3"/>
        <v>595.392</v>
      </c>
      <c r="R668" s="14">
        <f t="shared" si="4"/>
        <v>511.102</v>
      </c>
      <c r="S668" s="14">
        <f t="shared" si="5"/>
        <v>84.29</v>
      </c>
    </row>
    <row r="669">
      <c r="A669" s="12">
        <v>43318.0</v>
      </c>
      <c r="B669" s="12" t="s">
        <v>2322</v>
      </c>
      <c r="C669" s="2">
        <v>43379.0</v>
      </c>
      <c r="D669" s="15" t="str">
        <f t="shared" si="1"/>
        <v>Oct</v>
      </c>
      <c r="E669" s="2" t="str">
        <f t="shared" si="2"/>
        <v>2018</v>
      </c>
      <c r="F669" s="13" t="s">
        <v>20</v>
      </c>
      <c r="G669" s="13" t="s">
        <v>2731</v>
      </c>
      <c r="H669" s="13" t="s">
        <v>2732</v>
      </c>
      <c r="I669" s="13" t="s">
        <v>34</v>
      </c>
      <c r="J669" s="13" t="s">
        <v>480</v>
      </c>
      <c r="K669" s="13" t="s">
        <v>70</v>
      </c>
      <c r="L669" s="13" t="s">
        <v>71</v>
      </c>
      <c r="M669" s="13" t="s">
        <v>51</v>
      </c>
      <c r="N669" s="14">
        <v>381.576</v>
      </c>
      <c r="O669" s="14">
        <v>380.78</v>
      </c>
      <c r="P669" s="13">
        <v>7.0</v>
      </c>
      <c r="Q669" s="14">
        <f t="shared" si="3"/>
        <v>2671.032</v>
      </c>
      <c r="R669" s="14">
        <f t="shared" si="4"/>
        <v>2290.252</v>
      </c>
      <c r="S669" s="14">
        <f t="shared" si="5"/>
        <v>380.78</v>
      </c>
    </row>
    <row r="670">
      <c r="A670" s="12">
        <v>42362.0</v>
      </c>
      <c r="B670" s="12" t="s">
        <v>2325</v>
      </c>
      <c r="C670" s="2">
        <v>42364.0</v>
      </c>
      <c r="D670" s="15" t="str">
        <f t="shared" si="1"/>
        <v>Dec</v>
      </c>
      <c r="E670" s="2" t="str">
        <f t="shared" si="2"/>
        <v>2015</v>
      </c>
      <c r="F670" s="13" t="s">
        <v>121</v>
      </c>
      <c r="G670" s="13" t="s">
        <v>2733</v>
      </c>
      <c r="H670" s="13" t="s">
        <v>2734</v>
      </c>
      <c r="I670" s="13" t="s">
        <v>23</v>
      </c>
      <c r="J670" s="13" t="s">
        <v>1219</v>
      </c>
      <c r="K670" s="13" t="s">
        <v>304</v>
      </c>
      <c r="L670" s="13" t="s">
        <v>100</v>
      </c>
      <c r="M670" s="13" t="s">
        <v>27</v>
      </c>
      <c r="N670" s="14">
        <v>30.36</v>
      </c>
      <c r="O670" s="14">
        <v>29.57</v>
      </c>
      <c r="P670" s="13">
        <v>4.0</v>
      </c>
      <c r="Q670" s="14">
        <f t="shared" si="3"/>
        <v>121.44</v>
      </c>
      <c r="R670" s="14">
        <f t="shared" si="4"/>
        <v>91.87</v>
      </c>
      <c r="S670" s="14">
        <f t="shared" si="5"/>
        <v>29.57</v>
      </c>
    </row>
    <row r="671">
      <c r="A671" s="12">
        <v>43349.0</v>
      </c>
      <c r="B671" s="12" t="s">
        <v>2329</v>
      </c>
      <c r="C671" s="2">
        <v>43264.0</v>
      </c>
      <c r="D671" s="15" t="str">
        <f t="shared" si="1"/>
        <v>Jun</v>
      </c>
      <c r="E671" s="2" t="str">
        <f t="shared" si="2"/>
        <v>2018</v>
      </c>
      <c r="F671" s="13" t="s">
        <v>41</v>
      </c>
      <c r="G671" s="13" t="s">
        <v>2711</v>
      </c>
      <c r="H671" s="13" t="s">
        <v>2712</v>
      </c>
      <c r="I671" s="13" t="s">
        <v>68</v>
      </c>
      <c r="J671" s="13" t="s">
        <v>188</v>
      </c>
      <c r="K671" s="13" t="s">
        <v>135</v>
      </c>
      <c r="L671" s="13" t="s">
        <v>71</v>
      </c>
      <c r="M671" s="13" t="s">
        <v>27</v>
      </c>
      <c r="N671" s="14">
        <v>23.976</v>
      </c>
      <c r="O671" s="14">
        <v>23.68</v>
      </c>
      <c r="P671" s="13">
        <v>6.0</v>
      </c>
      <c r="Q671" s="14">
        <f t="shared" si="3"/>
        <v>143.856</v>
      </c>
      <c r="R671" s="14">
        <f t="shared" si="4"/>
        <v>120.176</v>
      </c>
      <c r="S671" s="14">
        <f t="shared" si="5"/>
        <v>23.68</v>
      </c>
    </row>
    <row r="672">
      <c r="A672" s="12">
        <v>43349.0</v>
      </c>
      <c r="B672" s="12" t="s">
        <v>2329</v>
      </c>
      <c r="C672" s="2">
        <v>43264.0</v>
      </c>
      <c r="D672" s="15" t="str">
        <f t="shared" si="1"/>
        <v>Jun</v>
      </c>
      <c r="E672" s="2" t="str">
        <f t="shared" si="2"/>
        <v>2018</v>
      </c>
      <c r="F672" s="13" t="s">
        <v>41</v>
      </c>
      <c r="G672" s="13" t="s">
        <v>2711</v>
      </c>
      <c r="H672" s="13" t="s">
        <v>2712</v>
      </c>
      <c r="I672" s="13" t="s">
        <v>68</v>
      </c>
      <c r="J672" s="13" t="s">
        <v>188</v>
      </c>
      <c r="K672" s="13" t="s">
        <v>135</v>
      </c>
      <c r="L672" s="13" t="s">
        <v>71</v>
      </c>
      <c r="M672" s="13" t="s">
        <v>27</v>
      </c>
      <c r="N672" s="14">
        <v>108.925</v>
      </c>
      <c r="O672" s="14">
        <v>108.54</v>
      </c>
      <c r="P672" s="13">
        <v>6.0</v>
      </c>
      <c r="Q672" s="14">
        <f t="shared" si="3"/>
        <v>653.55</v>
      </c>
      <c r="R672" s="14">
        <f t="shared" si="4"/>
        <v>545.01</v>
      </c>
      <c r="S672" s="14">
        <f t="shared" si="5"/>
        <v>108.54</v>
      </c>
    </row>
    <row r="673">
      <c r="A673" s="12">
        <v>43349.0</v>
      </c>
      <c r="B673" s="12" t="s">
        <v>2329</v>
      </c>
      <c r="C673" s="2">
        <v>43264.0</v>
      </c>
      <c r="D673" s="15" t="str">
        <f t="shared" si="1"/>
        <v>Jun</v>
      </c>
      <c r="E673" s="2" t="str">
        <f t="shared" si="2"/>
        <v>2018</v>
      </c>
      <c r="F673" s="13" t="s">
        <v>41</v>
      </c>
      <c r="G673" s="13" t="s">
        <v>2711</v>
      </c>
      <c r="H673" s="13" t="s">
        <v>2712</v>
      </c>
      <c r="I673" s="13" t="s">
        <v>68</v>
      </c>
      <c r="J673" s="13" t="s">
        <v>188</v>
      </c>
      <c r="K673" s="13" t="s">
        <v>135</v>
      </c>
      <c r="L673" s="13" t="s">
        <v>71</v>
      </c>
      <c r="M673" s="13" t="s">
        <v>38</v>
      </c>
      <c r="N673" s="14">
        <v>36.352</v>
      </c>
      <c r="O673" s="14">
        <v>36.08</v>
      </c>
      <c r="P673" s="13">
        <v>6.0</v>
      </c>
      <c r="Q673" s="14">
        <f t="shared" si="3"/>
        <v>218.112</v>
      </c>
      <c r="R673" s="14">
        <f t="shared" si="4"/>
        <v>182.032</v>
      </c>
      <c r="S673" s="14">
        <f t="shared" si="5"/>
        <v>36.08</v>
      </c>
    </row>
    <row r="674">
      <c r="A674" s="12">
        <v>43266.0</v>
      </c>
      <c r="B674" s="12" t="s">
        <v>2374</v>
      </c>
      <c r="C674" s="2">
        <v>43273.0</v>
      </c>
      <c r="D674" s="15" t="str">
        <f t="shared" si="1"/>
        <v>Jun</v>
      </c>
      <c r="E674" s="2" t="str">
        <f t="shared" si="2"/>
        <v>2018</v>
      </c>
      <c r="F674" s="13" t="s">
        <v>41</v>
      </c>
      <c r="G674" s="13" t="s">
        <v>2458</v>
      </c>
      <c r="H674" s="13" t="s">
        <v>2567</v>
      </c>
      <c r="I674" s="13" t="s">
        <v>23</v>
      </c>
      <c r="J674" s="13" t="s">
        <v>733</v>
      </c>
      <c r="K674" s="13" t="s">
        <v>135</v>
      </c>
      <c r="L674" s="13" t="s">
        <v>71</v>
      </c>
      <c r="M674" s="13" t="s">
        <v>38</v>
      </c>
      <c r="N674" s="14">
        <v>19.56</v>
      </c>
      <c r="O674" s="14">
        <v>18.66</v>
      </c>
      <c r="P674" s="13">
        <v>6.0</v>
      </c>
      <c r="Q674" s="14">
        <f t="shared" si="3"/>
        <v>117.36</v>
      </c>
      <c r="R674" s="14">
        <f t="shared" si="4"/>
        <v>98.7</v>
      </c>
      <c r="S674" s="14">
        <f t="shared" si="5"/>
        <v>18.66</v>
      </c>
    </row>
    <row r="675">
      <c r="A675" s="12">
        <v>43232.0</v>
      </c>
      <c r="B675" s="12" t="s">
        <v>2335</v>
      </c>
      <c r="C675" s="2">
        <v>43324.0</v>
      </c>
      <c r="D675" s="15" t="str">
        <f t="shared" si="1"/>
        <v>Aug</v>
      </c>
      <c r="E675" s="2" t="str">
        <f t="shared" si="2"/>
        <v>2018</v>
      </c>
      <c r="F675" s="13" t="s">
        <v>121</v>
      </c>
      <c r="G675" s="13" t="s">
        <v>2661</v>
      </c>
      <c r="H675" s="13" t="s">
        <v>2735</v>
      </c>
      <c r="I675" s="13" t="s">
        <v>23</v>
      </c>
      <c r="J675" s="13" t="s">
        <v>303</v>
      </c>
      <c r="K675" s="13" t="s">
        <v>169</v>
      </c>
      <c r="L675" s="13" t="s">
        <v>71</v>
      </c>
      <c r="M675" s="13" t="s">
        <v>38</v>
      </c>
      <c r="N675" s="14">
        <v>61.44</v>
      </c>
      <c r="O675" s="14">
        <v>60.91</v>
      </c>
      <c r="P675" s="13">
        <v>4.0</v>
      </c>
      <c r="Q675" s="14">
        <f t="shared" si="3"/>
        <v>245.76</v>
      </c>
      <c r="R675" s="14">
        <f t="shared" si="4"/>
        <v>184.85</v>
      </c>
      <c r="S675" s="14">
        <f t="shared" si="5"/>
        <v>60.91</v>
      </c>
    </row>
    <row r="676">
      <c r="A676" s="12">
        <v>43232.0</v>
      </c>
      <c r="B676" s="12" t="s">
        <v>2335</v>
      </c>
      <c r="C676" s="2">
        <v>43324.0</v>
      </c>
      <c r="D676" s="15" t="str">
        <f t="shared" si="1"/>
        <v>Aug</v>
      </c>
      <c r="E676" s="2" t="str">
        <f t="shared" si="2"/>
        <v>2018</v>
      </c>
      <c r="F676" s="13" t="s">
        <v>121</v>
      </c>
      <c r="G676" s="13" t="s">
        <v>2661</v>
      </c>
      <c r="H676" s="13" t="s">
        <v>2735</v>
      </c>
      <c r="I676" s="13" t="s">
        <v>23</v>
      </c>
      <c r="J676" s="13" t="s">
        <v>303</v>
      </c>
      <c r="K676" s="13" t="s">
        <v>169</v>
      </c>
      <c r="L676" s="13" t="s">
        <v>71</v>
      </c>
      <c r="M676" s="13" t="s">
        <v>38</v>
      </c>
      <c r="N676" s="14">
        <v>38.9</v>
      </c>
      <c r="O676" s="14">
        <v>38.1</v>
      </c>
      <c r="P676" s="13">
        <v>4.0</v>
      </c>
      <c r="Q676" s="14">
        <f t="shared" si="3"/>
        <v>155.6</v>
      </c>
      <c r="R676" s="14">
        <f t="shared" si="4"/>
        <v>117.5</v>
      </c>
      <c r="S676" s="14">
        <f t="shared" si="5"/>
        <v>38.1</v>
      </c>
    </row>
    <row r="677">
      <c r="A677" s="12">
        <v>43232.0</v>
      </c>
      <c r="B677" s="12" t="s">
        <v>2335</v>
      </c>
      <c r="C677" s="2">
        <v>43324.0</v>
      </c>
      <c r="D677" s="15" t="str">
        <f t="shared" si="1"/>
        <v>Aug</v>
      </c>
      <c r="E677" s="2" t="str">
        <f t="shared" si="2"/>
        <v>2018</v>
      </c>
      <c r="F677" s="13" t="s">
        <v>121</v>
      </c>
      <c r="G677" s="13" t="s">
        <v>2661</v>
      </c>
      <c r="H677" s="13" t="s">
        <v>2735</v>
      </c>
      <c r="I677" s="13" t="s">
        <v>23</v>
      </c>
      <c r="J677" s="13" t="s">
        <v>303</v>
      </c>
      <c r="K677" s="13" t="s">
        <v>169</v>
      </c>
      <c r="L677" s="13" t="s">
        <v>71</v>
      </c>
      <c r="M677" s="13" t="s">
        <v>51</v>
      </c>
      <c r="N677" s="14">
        <v>99.39</v>
      </c>
      <c r="O677" s="14">
        <v>99.38</v>
      </c>
      <c r="P677" s="13">
        <v>4.0</v>
      </c>
      <c r="Q677" s="14">
        <f t="shared" si="3"/>
        <v>397.56</v>
      </c>
      <c r="R677" s="14">
        <f t="shared" si="4"/>
        <v>298.18</v>
      </c>
      <c r="S677" s="14">
        <f t="shared" si="5"/>
        <v>99.38</v>
      </c>
    </row>
    <row r="678">
      <c r="A678" s="12">
        <v>43177.0</v>
      </c>
      <c r="B678" s="12" t="s">
        <v>2399</v>
      </c>
      <c r="C678" s="2">
        <v>43182.0</v>
      </c>
      <c r="D678" s="15" t="str">
        <f t="shared" si="1"/>
        <v>Mar</v>
      </c>
      <c r="E678" s="2" t="str">
        <f t="shared" si="2"/>
        <v>2018</v>
      </c>
      <c r="F678" s="13" t="s">
        <v>41</v>
      </c>
      <c r="G678" s="13" t="s">
        <v>2736</v>
      </c>
      <c r="H678" s="13" t="s">
        <v>2737</v>
      </c>
      <c r="I678" s="13" t="s">
        <v>23</v>
      </c>
      <c r="J678" s="13" t="s">
        <v>1230</v>
      </c>
      <c r="K678" s="13" t="s">
        <v>70</v>
      </c>
      <c r="L678" s="13" t="s">
        <v>71</v>
      </c>
      <c r="M678" s="13" t="s">
        <v>38</v>
      </c>
      <c r="N678" s="14">
        <v>2.688</v>
      </c>
      <c r="O678" s="14">
        <v>2.55</v>
      </c>
      <c r="P678" s="13">
        <v>7.0</v>
      </c>
      <c r="Q678" s="14">
        <f t="shared" si="3"/>
        <v>18.816</v>
      </c>
      <c r="R678" s="14">
        <f t="shared" si="4"/>
        <v>16.266</v>
      </c>
      <c r="S678" s="14">
        <f t="shared" si="5"/>
        <v>2.55</v>
      </c>
    </row>
    <row r="679">
      <c r="A679" s="12">
        <v>43177.0</v>
      </c>
      <c r="B679" s="12" t="s">
        <v>2399</v>
      </c>
      <c r="C679" s="2">
        <v>43182.0</v>
      </c>
      <c r="D679" s="15" t="str">
        <f t="shared" si="1"/>
        <v>Mar</v>
      </c>
      <c r="E679" s="2" t="str">
        <f t="shared" si="2"/>
        <v>2018</v>
      </c>
      <c r="F679" s="13" t="s">
        <v>41</v>
      </c>
      <c r="G679" s="13" t="s">
        <v>2736</v>
      </c>
      <c r="H679" s="13" t="s">
        <v>2737</v>
      </c>
      <c r="I679" s="13" t="s">
        <v>23</v>
      </c>
      <c r="J679" s="13" t="s">
        <v>1230</v>
      </c>
      <c r="K679" s="13" t="s">
        <v>70</v>
      </c>
      <c r="L679" s="13" t="s">
        <v>71</v>
      </c>
      <c r="M679" s="13" t="s">
        <v>51</v>
      </c>
      <c r="N679" s="14">
        <v>27.816</v>
      </c>
      <c r="O679" s="14">
        <v>26.86</v>
      </c>
      <c r="P679" s="13">
        <v>7.0</v>
      </c>
      <c r="Q679" s="14">
        <f t="shared" si="3"/>
        <v>194.712</v>
      </c>
      <c r="R679" s="14">
        <f t="shared" si="4"/>
        <v>167.852</v>
      </c>
      <c r="S679" s="14">
        <f t="shared" si="5"/>
        <v>26.86</v>
      </c>
    </row>
    <row r="680">
      <c r="A680" s="12">
        <v>43177.0</v>
      </c>
      <c r="B680" s="12" t="s">
        <v>2399</v>
      </c>
      <c r="C680" s="2">
        <v>43182.0</v>
      </c>
      <c r="D680" s="15" t="str">
        <f t="shared" si="1"/>
        <v>Mar</v>
      </c>
      <c r="E680" s="2" t="str">
        <f t="shared" si="2"/>
        <v>2018</v>
      </c>
      <c r="F680" s="13" t="s">
        <v>41</v>
      </c>
      <c r="G680" s="13" t="s">
        <v>2736</v>
      </c>
      <c r="H680" s="13" t="s">
        <v>2737</v>
      </c>
      <c r="I680" s="13" t="s">
        <v>23</v>
      </c>
      <c r="J680" s="13" t="s">
        <v>1230</v>
      </c>
      <c r="K680" s="13" t="s">
        <v>70</v>
      </c>
      <c r="L680" s="13" t="s">
        <v>71</v>
      </c>
      <c r="M680" s="13" t="s">
        <v>27</v>
      </c>
      <c r="N680" s="14">
        <v>82.524</v>
      </c>
      <c r="O680" s="14">
        <v>82.06</v>
      </c>
      <c r="P680" s="13">
        <v>7.0</v>
      </c>
      <c r="Q680" s="14">
        <f t="shared" si="3"/>
        <v>577.668</v>
      </c>
      <c r="R680" s="14">
        <f t="shared" si="4"/>
        <v>495.608</v>
      </c>
      <c r="S680" s="14">
        <f t="shared" si="5"/>
        <v>82.06</v>
      </c>
    </row>
    <row r="681">
      <c r="A681" s="12">
        <v>43177.0</v>
      </c>
      <c r="B681" s="12" t="s">
        <v>2399</v>
      </c>
      <c r="C681" s="2">
        <v>43182.0</v>
      </c>
      <c r="D681" s="15" t="str">
        <f t="shared" si="1"/>
        <v>Mar</v>
      </c>
      <c r="E681" s="2" t="str">
        <f t="shared" si="2"/>
        <v>2018</v>
      </c>
      <c r="F681" s="13" t="s">
        <v>41</v>
      </c>
      <c r="G681" s="13" t="s">
        <v>2736</v>
      </c>
      <c r="H681" s="13" t="s">
        <v>2737</v>
      </c>
      <c r="I681" s="13" t="s">
        <v>23</v>
      </c>
      <c r="J681" s="13" t="s">
        <v>1230</v>
      </c>
      <c r="K681" s="13" t="s">
        <v>70</v>
      </c>
      <c r="L681" s="13" t="s">
        <v>71</v>
      </c>
      <c r="M681" s="13" t="s">
        <v>38</v>
      </c>
      <c r="N681" s="14">
        <v>182.994</v>
      </c>
      <c r="O681" s="14">
        <v>182.04</v>
      </c>
      <c r="P681" s="13">
        <v>7.0</v>
      </c>
      <c r="Q681" s="14">
        <f t="shared" si="3"/>
        <v>1280.958</v>
      </c>
      <c r="R681" s="14">
        <f t="shared" si="4"/>
        <v>1098.918</v>
      </c>
      <c r="S681" s="14">
        <f t="shared" si="5"/>
        <v>182.04</v>
      </c>
    </row>
    <row r="682">
      <c r="A682" s="12">
        <v>43058.0</v>
      </c>
      <c r="B682" s="12" t="s">
        <v>2326</v>
      </c>
      <c r="C682" s="2">
        <v>43063.0</v>
      </c>
      <c r="D682" s="15" t="str">
        <f t="shared" si="1"/>
        <v>Nov</v>
      </c>
      <c r="E682" s="2" t="str">
        <f t="shared" si="2"/>
        <v>2017</v>
      </c>
      <c r="F682" s="13" t="s">
        <v>41</v>
      </c>
      <c r="G682" s="13" t="s">
        <v>2562</v>
      </c>
      <c r="H682" s="13" t="s">
        <v>2738</v>
      </c>
      <c r="I682" s="13" t="s">
        <v>23</v>
      </c>
      <c r="J682" s="13" t="s">
        <v>174</v>
      </c>
      <c r="K682" s="13" t="s">
        <v>175</v>
      </c>
      <c r="L682" s="13" t="s">
        <v>100</v>
      </c>
      <c r="M682" s="13" t="s">
        <v>38</v>
      </c>
      <c r="N682" s="14">
        <v>14.352</v>
      </c>
      <c r="O682" s="14">
        <v>14.01</v>
      </c>
      <c r="P682" s="13">
        <v>1.0</v>
      </c>
      <c r="Q682" s="14">
        <f t="shared" si="3"/>
        <v>14.352</v>
      </c>
      <c r="R682" s="14">
        <f t="shared" si="4"/>
        <v>0.342</v>
      </c>
      <c r="S682" s="14">
        <f t="shared" si="5"/>
        <v>14.01</v>
      </c>
    </row>
    <row r="683">
      <c r="A683" s="12">
        <v>43058.0</v>
      </c>
      <c r="B683" s="12" t="s">
        <v>2326</v>
      </c>
      <c r="C683" s="2">
        <v>43063.0</v>
      </c>
      <c r="D683" s="15" t="str">
        <f t="shared" si="1"/>
        <v>Nov</v>
      </c>
      <c r="E683" s="2" t="str">
        <f t="shared" si="2"/>
        <v>2017</v>
      </c>
      <c r="F683" s="13" t="s">
        <v>41</v>
      </c>
      <c r="G683" s="13" t="s">
        <v>2562</v>
      </c>
      <c r="H683" s="13" t="s">
        <v>2738</v>
      </c>
      <c r="I683" s="13" t="s">
        <v>23</v>
      </c>
      <c r="J683" s="13" t="s">
        <v>174</v>
      </c>
      <c r="K683" s="13" t="s">
        <v>175</v>
      </c>
      <c r="L683" s="13" t="s">
        <v>100</v>
      </c>
      <c r="M683" s="13" t="s">
        <v>38</v>
      </c>
      <c r="N683" s="14">
        <v>64.96</v>
      </c>
      <c r="O683" s="14">
        <v>64.55</v>
      </c>
      <c r="P683" s="13">
        <v>1.0</v>
      </c>
      <c r="Q683" s="14">
        <f t="shared" si="3"/>
        <v>64.96</v>
      </c>
      <c r="R683" s="14">
        <f t="shared" si="4"/>
        <v>0.41</v>
      </c>
      <c r="S683" s="14">
        <f t="shared" si="5"/>
        <v>64.55</v>
      </c>
    </row>
    <row r="684">
      <c r="A684" s="12">
        <v>43058.0</v>
      </c>
      <c r="B684" s="12" t="s">
        <v>2326</v>
      </c>
      <c r="C684" s="2">
        <v>43063.0</v>
      </c>
      <c r="D684" s="15" t="str">
        <f t="shared" si="1"/>
        <v>Nov</v>
      </c>
      <c r="E684" s="2" t="str">
        <f t="shared" si="2"/>
        <v>2017</v>
      </c>
      <c r="F684" s="13" t="s">
        <v>41</v>
      </c>
      <c r="G684" s="13" t="s">
        <v>2562</v>
      </c>
      <c r="H684" s="13" t="s">
        <v>2738</v>
      </c>
      <c r="I684" s="13" t="s">
        <v>23</v>
      </c>
      <c r="J684" s="13" t="s">
        <v>174</v>
      </c>
      <c r="K684" s="13" t="s">
        <v>175</v>
      </c>
      <c r="L684" s="13" t="s">
        <v>100</v>
      </c>
      <c r="M684" s="13" t="s">
        <v>38</v>
      </c>
      <c r="N684" s="14">
        <v>68.6</v>
      </c>
      <c r="O684" s="14">
        <v>68.47</v>
      </c>
      <c r="P684" s="13">
        <v>1.0</v>
      </c>
      <c r="Q684" s="14">
        <f t="shared" si="3"/>
        <v>68.6</v>
      </c>
      <c r="R684" s="14">
        <f t="shared" si="4"/>
        <v>0.13</v>
      </c>
      <c r="S684" s="14">
        <f t="shared" si="5"/>
        <v>68.47</v>
      </c>
    </row>
    <row r="685">
      <c r="A685" s="12">
        <v>43201.0</v>
      </c>
      <c r="B685" s="12" t="s">
        <v>2332</v>
      </c>
      <c r="C685" s="2">
        <v>43201.0</v>
      </c>
      <c r="D685" s="15" t="str">
        <f t="shared" si="1"/>
        <v>Apr</v>
      </c>
      <c r="E685" s="2" t="str">
        <f t="shared" si="2"/>
        <v>2018</v>
      </c>
      <c r="F685" s="13" t="s">
        <v>717</v>
      </c>
      <c r="G685" s="13" t="s">
        <v>2739</v>
      </c>
      <c r="H685" s="13" t="s">
        <v>2577</v>
      </c>
      <c r="I685" s="13" t="s">
        <v>34</v>
      </c>
      <c r="J685" s="13" t="s">
        <v>1237</v>
      </c>
      <c r="K685" s="13" t="s">
        <v>58</v>
      </c>
      <c r="L685" s="13" t="s">
        <v>26</v>
      </c>
      <c r="M685" s="13" t="s">
        <v>51</v>
      </c>
      <c r="N685" s="14">
        <v>7999.98</v>
      </c>
      <c r="O685" s="14">
        <v>7999.04</v>
      </c>
      <c r="P685" s="13">
        <v>2.0</v>
      </c>
      <c r="Q685" s="14">
        <f t="shared" si="3"/>
        <v>15999.96</v>
      </c>
      <c r="R685" s="14">
        <f t="shared" si="4"/>
        <v>8000.92</v>
      </c>
      <c r="S685" s="14">
        <f t="shared" si="5"/>
        <v>7999.04</v>
      </c>
    </row>
    <row r="686">
      <c r="A686" s="12">
        <v>43201.0</v>
      </c>
      <c r="B686" s="12" t="s">
        <v>2332</v>
      </c>
      <c r="C686" s="2">
        <v>43201.0</v>
      </c>
      <c r="D686" s="15" t="str">
        <f t="shared" si="1"/>
        <v>Apr</v>
      </c>
      <c r="E686" s="2" t="str">
        <f t="shared" si="2"/>
        <v>2018</v>
      </c>
      <c r="F686" s="13" t="s">
        <v>717</v>
      </c>
      <c r="G686" s="13" t="s">
        <v>2739</v>
      </c>
      <c r="H686" s="13" t="s">
        <v>2577</v>
      </c>
      <c r="I686" s="13" t="s">
        <v>34</v>
      </c>
      <c r="J686" s="13" t="s">
        <v>1237</v>
      </c>
      <c r="K686" s="13" t="s">
        <v>58</v>
      </c>
      <c r="L686" s="13" t="s">
        <v>26</v>
      </c>
      <c r="M686" s="13" t="s">
        <v>38</v>
      </c>
      <c r="N686" s="14">
        <v>167.44</v>
      </c>
      <c r="O686" s="14">
        <v>167.12</v>
      </c>
      <c r="P686" s="13">
        <v>2.0</v>
      </c>
      <c r="Q686" s="14">
        <f t="shared" si="3"/>
        <v>334.88</v>
      </c>
      <c r="R686" s="14">
        <f t="shared" si="4"/>
        <v>167.76</v>
      </c>
      <c r="S686" s="14">
        <f t="shared" si="5"/>
        <v>167.12</v>
      </c>
    </row>
    <row r="687">
      <c r="A687" s="12">
        <v>42131.0</v>
      </c>
      <c r="B687" s="12" t="s">
        <v>2335</v>
      </c>
      <c r="C687" s="2">
        <v>42223.0</v>
      </c>
      <c r="D687" s="15" t="str">
        <f t="shared" si="1"/>
        <v>Aug</v>
      </c>
      <c r="E687" s="2" t="str">
        <f t="shared" si="2"/>
        <v>2015</v>
      </c>
      <c r="F687" s="13" t="s">
        <v>121</v>
      </c>
      <c r="G687" s="13" t="s">
        <v>2507</v>
      </c>
      <c r="H687" s="13" t="s">
        <v>2740</v>
      </c>
      <c r="I687" s="13" t="s">
        <v>23</v>
      </c>
      <c r="J687" s="13" t="s">
        <v>205</v>
      </c>
      <c r="K687" s="13" t="s">
        <v>827</v>
      </c>
      <c r="L687" s="13" t="s">
        <v>26</v>
      </c>
      <c r="M687" s="13" t="s">
        <v>51</v>
      </c>
      <c r="N687" s="14">
        <v>479.97</v>
      </c>
      <c r="O687" s="14">
        <v>479.4</v>
      </c>
      <c r="P687" s="13">
        <v>3.0</v>
      </c>
      <c r="Q687" s="14">
        <f t="shared" si="3"/>
        <v>1439.91</v>
      </c>
      <c r="R687" s="14">
        <f t="shared" si="4"/>
        <v>960.51</v>
      </c>
      <c r="S687" s="14">
        <f t="shared" si="5"/>
        <v>479.4</v>
      </c>
    </row>
    <row r="688">
      <c r="A688" s="12">
        <v>42131.0</v>
      </c>
      <c r="B688" s="12" t="s">
        <v>2335</v>
      </c>
      <c r="C688" s="2">
        <v>42223.0</v>
      </c>
      <c r="D688" s="15" t="str">
        <f t="shared" si="1"/>
        <v>Aug</v>
      </c>
      <c r="E688" s="2" t="str">
        <f t="shared" si="2"/>
        <v>2015</v>
      </c>
      <c r="F688" s="13" t="s">
        <v>121</v>
      </c>
      <c r="G688" s="13" t="s">
        <v>2507</v>
      </c>
      <c r="H688" s="13" t="s">
        <v>2740</v>
      </c>
      <c r="I688" s="13" t="s">
        <v>23</v>
      </c>
      <c r="J688" s="13" t="s">
        <v>205</v>
      </c>
      <c r="K688" s="13" t="s">
        <v>827</v>
      </c>
      <c r="L688" s="13" t="s">
        <v>26</v>
      </c>
      <c r="M688" s="13" t="s">
        <v>38</v>
      </c>
      <c r="N688" s="14">
        <v>14.62</v>
      </c>
      <c r="O688" s="14">
        <v>13.95</v>
      </c>
      <c r="P688" s="13">
        <v>3.0</v>
      </c>
      <c r="Q688" s="14">
        <f t="shared" si="3"/>
        <v>43.86</v>
      </c>
      <c r="R688" s="14">
        <f t="shared" si="4"/>
        <v>29.91</v>
      </c>
      <c r="S688" s="14">
        <f t="shared" si="5"/>
        <v>13.95</v>
      </c>
    </row>
    <row r="689">
      <c r="A689" s="12">
        <v>42131.0</v>
      </c>
      <c r="B689" s="12" t="s">
        <v>2335</v>
      </c>
      <c r="C689" s="2">
        <v>42223.0</v>
      </c>
      <c r="D689" s="15" t="str">
        <f t="shared" si="1"/>
        <v>Aug</v>
      </c>
      <c r="E689" s="2" t="str">
        <f t="shared" si="2"/>
        <v>2015</v>
      </c>
      <c r="F689" s="13" t="s">
        <v>121</v>
      </c>
      <c r="G689" s="13" t="s">
        <v>2507</v>
      </c>
      <c r="H689" s="13" t="s">
        <v>2740</v>
      </c>
      <c r="I689" s="13" t="s">
        <v>23</v>
      </c>
      <c r="J689" s="13" t="s">
        <v>205</v>
      </c>
      <c r="K689" s="13" t="s">
        <v>827</v>
      </c>
      <c r="L689" s="13" t="s">
        <v>26</v>
      </c>
      <c r="M689" s="13" t="s">
        <v>38</v>
      </c>
      <c r="N689" s="14">
        <v>19.44</v>
      </c>
      <c r="O689" s="14">
        <v>19.38</v>
      </c>
      <c r="P689" s="13">
        <v>3.0</v>
      </c>
      <c r="Q689" s="14">
        <f t="shared" si="3"/>
        <v>58.32</v>
      </c>
      <c r="R689" s="14">
        <f t="shared" si="4"/>
        <v>38.94</v>
      </c>
      <c r="S689" s="14">
        <f t="shared" si="5"/>
        <v>19.38</v>
      </c>
    </row>
    <row r="690">
      <c r="A690" s="12">
        <v>43459.0</v>
      </c>
      <c r="B690" s="12" t="s">
        <v>2325</v>
      </c>
      <c r="C690" s="2">
        <v>43463.0</v>
      </c>
      <c r="D690" s="15" t="str">
        <f t="shared" si="1"/>
        <v>Dec</v>
      </c>
      <c r="E690" s="2" t="str">
        <f t="shared" si="2"/>
        <v>2018</v>
      </c>
      <c r="F690" s="13" t="s">
        <v>41</v>
      </c>
      <c r="G690" s="13" t="s">
        <v>2741</v>
      </c>
      <c r="H690" s="13" t="s">
        <v>2742</v>
      </c>
      <c r="I690" s="13" t="s">
        <v>23</v>
      </c>
      <c r="J690" s="13" t="s">
        <v>174</v>
      </c>
      <c r="K690" s="13" t="s">
        <v>175</v>
      </c>
      <c r="L690" s="13" t="s">
        <v>100</v>
      </c>
      <c r="M690" s="13" t="s">
        <v>27</v>
      </c>
      <c r="N690" s="14">
        <v>191.984</v>
      </c>
      <c r="O690" s="14">
        <v>191.73</v>
      </c>
      <c r="P690" s="13">
        <v>1.0</v>
      </c>
      <c r="Q690" s="14">
        <f t="shared" si="3"/>
        <v>191.984</v>
      </c>
      <c r="R690" s="14">
        <f t="shared" si="4"/>
        <v>0.254</v>
      </c>
      <c r="S690" s="14">
        <f t="shared" si="5"/>
        <v>191.73</v>
      </c>
    </row>
    <row r="691">
      <c r="A691" s="12">
        <v>42176.0</v>
      </c>
      <c r="B691" s="12" t="s">
        <v>2374</v>
      </c>
      <c r="C691" s="2">
        <v>42178.0</v>
      </c>
      <c r="D691" s="15" t="str">
        <f t="shared" si="1"/>
        <v>Jun</v>
      </c>
      <c r="E691" s="2" t="str">
        <f t="shared" si="2"/>
        <v>2015</v>
      </c>
      <c r="F691" s="13" t="s">
        <v>20</v>
      </c>
      <c r="G691" s="13" t="s">
        <v>2743</v>
      </c>
      <c r="H691" s="13" t="s">
        <v>2744</v>
      </c>
      <c r="I691" s="13" t="s">
        <v>23</v>
      </c>
      <c r="J691" s="13" t="s">
        <v>1248</v>
      </c>
      <c r="K691" s="13" t="s">
        <v>198</v>
      </c>
      <c r="L691" s="13" t="s">
        <v>26</v>
      </c>
      <c r="M691" s="13" t="s">
        <v>27</v>
      </c>
      <c r="N691" s="14">
        <v>104.01</v>
      </c>
      <c r="O691" s="14">
        <v>103.23</v>
      </c>
      <c r="P691" s="13">
        <v>2.0</v>
      </c>
      <c r="Q691" s="14">
        <f t="shared" si="3"/>
        <v>208.02</v>
      </c>
      <c r="R691" s="14">
        <f t="shared" si="4"/>
        <v>104.79</v>
      </c>
      <c r="S691" s="14">
        <f t="shared" si="5"/>
        <v>103.23</v>
      </c>
    </row>
    <row r="692">
      <c r="A692" s="12">
        <v>42176.0</v>
      </c>
      <c r="B692" s="12" t="s">
        <v>2374</v>
      </c>
      <c r="C692" s="2">
        <v>42178.0</v>
      </c>
      <c r="D692" s="15" t="str">
        <f t="shared" si="1"/>
        <v>Jun</v>
      </c>
      <c r="E692" s="2" t="str">
        <f t="shared" si="2"/>
        <v>2015</v>
      </c>
      <c r="F692" s="13" t="s">
        <v>20</v>
      </c>
      <c r="G692" s="13" t="s">
        <v>2743</v>
      </c>
      <c r="H692" s="13" t="s">
        <v>2744</v>
      </c>
      <c r="I692" s="13" t="s">
        <v>23</v>
      </c>
      <c r="J692" s="13" t="s">
        <v>1248</v>
      </c>
      <c r="K692" s="13" t="s">
        <v>198</v>
      </c>
      <c r="L692" s="13" t="s">
        <v>26</v>
      </c>
      <c r="M692" s="13" t="s">
        <v>51</v>
      </c>
      <c r="N692" s="14">
        <v>284.82</v>
      </c>
      <c r="O692" s="14">
        <v>284.3</v>
      </c>
      <c r="P692" s="13">
        <v>2.0</v>
      </c>
      <c r="Q692" s="14">
        <f t="shared" si="3"/>
        <v>569.64</v>
      </c>
      <c r="R692" s="14">
        <f t="shared" si="4"/>
        <v>285.34</v>
      </c>
      <c r="S692" s="14">
        <f t="shared" si="5"/>
        <v>284.3</v>
      </c>
    </row>
    <row r="693">
      <c r="A693" s="12">
        <v>42176.0</v>
      </c>
      <c r="B693" s="12" t="s">
        <v>2374</v>
      </c>
      <c r="C693" s="2">
        <v>42178.0</v>
      </c>
      <c r="D693" s="15" t="str">
        <f t="shared" si="1"/>
        <v>Jun</v>
      </c>
      <c r="E693" s="2" t="str">
        <f t="shared" si="2"/>
        <v>2015</v>
      </c>
      <c r="F693" s="13" t="s">
        <v>20</v>
      </c>
      <c r="G693" s="13" t="s">
        <v>2743</v>
      </c>
      <c r="H693" s="13" t="s">
        <v>2744</v>
      </c>
      <c r="I693" s="13" t="s">
        <v>23</v>
      </c>
      <c r="J693" s="13" t="s">
        <v>1248</v>
      </c>
      <c r="K693" s="13" t="s">
        <v>198</v>
      </c>
      <c r="L693" s="13" t="s">
        <v>26</v>
      </c>
      <c r="M693" s="13" t="s">
        <v>38</v>
      </c>
      <c r="N693" s="14">
        <v>36.84</v>
      </c>
      <c r="O693" s="14">
        <v>35.94</v>
      </c>
      <c r="P693" s="13">
        <v>2.0</v>
      </c>
      <c r="Q693" s="14">
        <f t="shared" si="3"/>
        <v>73.68</v>
      </c>
      <c r="R693" s="14">
        <f t="shared" si="4"/>
        <v>37.74</v>
      </c>
      <c r="S693" s="14">
        <f t="shared" si="5"/>
        <v>35.94</v>
      </c>
    </row>
    <row r="694">
      <c r="A694" s="12">
        <v>42457.0</v>
      </c>
      <c r="B694" s="12" t="s">
        <v>2399</v>
      </c>
      <c r="C694" s="2">
        <v>42404.0</v>
      </c>
      <c r="D694" s="15" t="str">
        <f t="shared" si="1"/>
        <v>Feb</v>
      </c>
      <c r="E694" s="2" t="str">
        <f t="shared" si="2"/>
        <v>2016</v>
      </c>
      <c r="F694" s="13" t="s">
        <v>41</v>
      </c>
      <c r="G694" s="13" t="s">
        <v>2438</v>
      </c>
      <c r="H694" s="13" t="s">
        <v>2745</v>
      </c>
      <c r="I694" s="13" t="s">
        <v>23</v>
      </c>
      <c r="J694" s="13" t="s">
        <v>35</v>
      </c>
      <c r="K694" s="13" t="s">
        <v>52</v>
      </c>
      <c r="L694" s="13" t="s">
        <v>37</v>
      </c>
      <c r="M694" s="13" t="s">
        <v>51</v>
      </c>
      <c r="N694" s="14">
        <v>166.24</v>
      </c>
      <c r="O694" s="14">
        <v>166.08</v>
      </c>
      <c r="P694" s="13">
        <v>9.0</v>
      </c>
      <c r="Q694" s="14">
        <f t="shared" si="3"/>
        <v>1496.16</v>
      </c>
      <c r="R694" s="14">
        <f t="shared" si="4"/>
        <v>1330.08</v>
      </c>
      <c r="S694" s="14">
        <f t="shared" si="5"/>
        <v>166.08</v>
      </c>
    </row>
    <row r="695">
      <c r="A695" s="12">
        <v>42457.0</v>
      </c>
      <c r="B695" s="12" t="s">
        <v>2399</v>
      </c>
      <c r="C695" s="2">
        <v>42404.0</v>
      </c>
      <c r="D695" s="15" t="str">
        <f t="shared" si="1"/>
        <v>Feb</v>
      </c>
      <c r="E695" s="2" t="str">
        <f t="shared" si="2"/>
        <v>2016</v>
      </c>
      <c r="F695" s="13" t="s">
        <v>41</v>
      </c>
      <c r="G695" s="13" t="s">
        <v>2438</v>
      </c>
      <c r="H695" s="13" t="s">
        <v>2745</v>
      </c>
      <c r="I695" s="13" t="s">
        <v>23</v>
      </c>
      <c r="J695" s="13" t="s">
        <v>35</v>
      </c>
      <c r="K695" s="13" t="s">
        <v>52</v>
      </c>
      <c r="L695" s="13" t="s">
        <v>37</v>
      </c>
      <c r="M695" s="13" t="s">
        <v>38</v>
      </c>
      <c r="N695" s="14">
        <v>33.4</v>
      </c>
      <c r="O695" s="14">
        <v>33.38</v>
      </c>
      <c r="P695" s="13">
        <v>9.0</v>
      </c>
      <c r="Q695" s="14">
        <f t="shared" si="3"/>
        <v>300.6</v>
      </c>
      <c r="R695" s="14">
        <f t="shared" si="4"/>
        <v>267.22</v>
      </c>
      <c r="S695" s="14">
        <f t="shared" si="5"/>
        <v>33.38</v>
      </c>
    </row>
    <row r="696">
      <c r="A696" s="12">
        <v>42504.0</v>
      </c>
      <c r="B696" s="12" t="s">
        <v>2335</v>
      </c>
      <c r="C696" s="2">
        <v>42507.0</v>
      </c>
      <c r="D696" s="15" t="str">
        <f t="shared" si="1"/>
        <v>May</v>
      </c>
      <c r="E696" s="2" t="str">
        <f t="shared" si="2"/>
        <v>2016</v>
      </c>
      <c r="F696" s="13" t="s">
        <v>121</v>
      </c>
      <c r="G696" s="13" t="s">
        <v>2746</v>
      </c>
      <c r="H696" s="13" t="s">
        <v>2747</v>
      </c>
      <c r="I696" s="13" t="s">
        <v>68</v>
      </c>
      <c r="J696" s="13" t="s">
        <v>1256</v>
      </c>
      <c r="K696" s="13" t="s">
        <v>99</v>
      </c>
      <c r="L696" s="13" t="s">
        <v>100</v>
      </c>
      <c r="M696" s="13" t="s">
        <v>38</v>
      </c>
      <c r="N696" s="14">
        <v>198.272</v>
      </c>
      <c r="O696" s="14">
        <v>197.32</v>
      </c>
      <c r="P696" s="13">
        <v>1.0</v>
      </c>
      <c r="Q696" s="14">
        <f t="shared" si="3"/>
        <v>198.272</v>
      </c>
      <c r="R696" s="14">
        <f t="shared" si="4"/>
        <v>0.952</v>
      </c>
      <c r="S696" s="14">
        <f t="shared" si="5"/>
        <v>197.32</v>
      </c>
    </row>
    <row r="697">
      <c r="A697" s="12">
        <v>42504.0</v>
      </c>
      <c r="B697" s="12" t="s">
        <v>2335</v>
      </c>
      <c r="C697" s="2">
        <v>42507.0</v>
      </c>
      <c r="D697" s="15" t="str">
        <f t="shared" si="1"/>
        <v>May</v>
      </c>
      <c r="E697" s="2" t="str">
        <f t="shared" si="2"/>
        <v>2016</v>
      </c>
      <c r="F697" s="13" t="s">
        <v>121</v>
      </c>
      <c r="G697" s="13" t="s">
        <v>2746</v>
      </c>
      <c r="H697" s="13" t="s">
        <v>2747</v>
      </c>
      <c r="I697" s="13" t="s">
        <v>68</v>
      </c>
      <c r="J697" s="13" t="s">
        <v>1256</v>
      </c>
      <c r="K697" s="13" t="s">
        <v>99</v>
      </c>
      <c r="L697" s="13" t="s">
        <v>100</v>
      </c>
      <c r="M697" s="13" t="s">
        <v>38</v>
      </c>
      <c r="N697" s="14">
        <v>47.36</v>
      </c>
      <c r="O697" s="14">
        <v>47.31</v>
      </c>
      <c r="P697" s="13">
        <v>1.0</v>
      </c>
      <c r="Q697" s="14">
        <f t="shared" si="3"/>
        <v>47.36</v>
      </c>
      <c r="R697" s="14">
        <f t="shared" si="4"/>
        <v>0.05</v>
      </c>
      <c r="S697" s="14">
        <f t="shared" si="5"/>
        <v>47.31</v>
      </c>
    </row>
    <row r="698">
      <c r="A698" s="12">
        <v>42504.0</v>
      </c>
      <c r="B698" s="12" t="s">
        <v>2335</v>
      </c>
      <c r="C698" s="2">
        <v>42507.0</v>
      </c>
      <c r="D698" s="15" t="str">
        <f t="shared" si="1"/>
        <v>May</v>
      </c>
      <c r="E698" s="2" t="str">
        <f t="shared" si="2"/>
        <v>2016</v>
      </c>
      <c r="F698" s="13" t="s">
        <v>121</v>
      </c>
      <c r="G698" s="13" t="s">
        <v>2746</v>
      </c>
      <c r="H698" s="13" t="s">
        <v>2747</v>
      </c>
      <c r="I698" s="13" t="s">
        <v>68</v>
      </c>
      <c r="J698" s="13" t="s">
        <v>1256</v>
      </c>
      <c r="K698" s="13" t="s">
        <v>99</v>
      </c>
      <c r="L698" s="13" t="s">
        <v>100</v>
      </c>
      <c r="M698" s="13" t="s">
        <v>38</v>
      </c>
      <c r="N698" s="14">
        <v>200.984</v>
      </c>
      <c r="O698" s="14">
        <v>200.57</v>
      </c>
      <c r="P698" s="13">
        <v>1.0</v>
      </c>
      <c r="Q698" s="14">
        <f t="shared" si="3"/>
        <v>200.984</v>
      </c>
      <c r="R698" s="14">
        <f t="shared" si="4"/>
        <v>0.414</v>
      </c>
      <c r="S698" s="14">
        <f t="shared" si="5"/>
        <v>200.57</v>
      </c>
    </row>
    <row r="699">
      <c r="A699" s="12">
        <v>42504.0</v>
      </c>
      <c r="B699" s="12" t="s">
        <v>2335</v>
      </c>
      <c r="C699" s="2">
        <v>42507.0</v>
      </c>
      <c r="D699" s="15" t="str">
        <f t="shared" si="1"/>
        <v>May</v>
      </c>
      <c r="E699" s="2" t="str">
        <f t="shared" si="2"/>
        <v>2016</v>
      </c>
      <c r="F699" s="13" t="s">
        <v>121</v>
      </c>
      <c r="G699" s="13" t="s">
        <v>2746</v>
      </c>
      <c r="H699" s="13" t="s">
        <v>2747</v>
      </c>
      <c r="I699" s="13" t="s">
        <v>68</v>
      </c>
      <c r="J699" s="13" t="s">
        <v>1256</v>
      </c>
      <c r="K699" s="13" t="s">
        <v>99</v>
      </c>
      <c r="L699" s="13" t="s">
        <v>100</v>
      </c>
      <c r="M699" s="13" t="s">
        <v>38</v>
      </c>
      <c r="N699" s="14">
        <v>97.696</v>
      </c>
      <c r="O699" s="14">
        <v>97.58</v>
      </c>
      <c r="P699" s="13">
        <v>1.0</v>
      </c>
      <c r="Q699" s="14">
        <f t="shared" si="3"/>
        <v>97.696</v>
      </c>
      <c r="R699" s="14">
        <f t="shared" si="4"/>
        <v>0.116</v>
      </c>
      <c r="S699" s="14">
        <f t="shared" si="5"/>
        <v>97.58</v>
      </c>
    </row>
    <row r="700">
      <c r="A700" s="12">
        <v>42504.0</v>
      </c>
      <c r="B700" s="12" t="s">
        <v>2335</v>
      </c>
      <c r="C700" s="2">
        <v>42507.0</v>
      </c>
      <c r="D700" s="15" t="str">
        <f t="shared" si="1"/>
        <v>May</v>
      </c>
      <c r="E700" s="2" t="str">
        <f t="shared" si="2"/>
        <v>2016</v>
      </c>
      <c r="F700" s="13" t="s">
        <v>121</v>
      </c>
      <c r="G700" s="13" t="s">
        <v>2746</v>
      </c>
      <c r="H700" s="13" t="s">
        <v>2747</v>
      </c>
      <c r="I700" s="13" t="s">
        <v>68</v>
      </c>
      <c r="J700" s="13" t="s">
        <v>1256</v>
      </c>
      <c r="K700" s="13" t="s">
        <v>99</v>
      </c>
      <c r="L700" s="13" t="s">
        <v>100</v>
      </c>
      <c r="M700" s="13" t="s">
        <v>38</v>
      </c>
      <c r="N700" s="14">
        <v>2.696</v>
      </c>
      <c r="O700" s="14">
        <v>2.67</v>
      </c>
      <c r="P700" s="13">
        <v>1.0</v>
      </c>
      <c r="Q700" s="14">
        <f t="shared" si="3"/>
        <v>2.696</v>
      </c>
      <c r="R700" s="14">
        <f t="shared" si="4"/>
        <v>0.026</v>
      </c>
      <c r="S700" s="14">
        <f t="shared" si="5"/>
        <v>2.67</v>
      </c>
    </row>
    <row r="701">
      <c r="A701" s="12">
        <v>42504.0</v>
      </c>
      <c r="B701" s="12" t="s">
        <v>2335</v>
      </c>
      <c r="C701" s="2">
        <v>42507.0</v>
      </c>
      <c r="D701" s="15" t="str">
        <f t="shared" si="1"/>
        <v>May</v>
      </c>
      <c r="E701" s="2" t="str">
        <f t="shared" si="2"/>
        <v>2016</v>
      </c>
      <c r="F701" s="13" t="s">
        <v>121</v>
      </c>
      <c r="G701" s="13" t="s">
        <v>2746</v>
      </c>
      <c r="H701" s="13" t="s">
        <v>2747</v>
      </c>
      <c r="I701" s="13" t="s">
        <v>68</v>
      </c>
      <c r="J701" s="13" t="s">
        <v>1256</v>
      </c>
      <c r="K701" s="13" t="s">
        <v>99</v>
      </c>
      <c r="L701" s="13" t="s">
        <v>100</v>
      </c>
      <c r="M701" s="13" t="s">
        <v>38</v>
      </c>
      <c r="N701" s="14">
        <v>18.588</v>
      </c>
      <c r="O701" s="14">
        <v>18.0</v>
      </c>
      <c r="P701" s="13">
        <v>1.0</v>
      </c>
      <c r="Q701" s="14">
        <f t="shared" si="3"/>
        <v>18.588</v>
      </c>
      <c r="R701" s="14">
        <f t="shared" si="4"/>
        <v>0.588</v>
      </c>
      <c r="S701" s="14">
        <f t="shared" si="5"/>
        <v>18</v>
      </c>
    </row>
    <row r="702">
      <c r="A702" s="12">
        <v>42504.0</v>
      </c>
      <c r="B702" s="12" t="s">
        <v>2335</v>
      </c>
      <c r="C702" s="2">
        <v>42507.0</v>
      </c>
      <c r="D702" s="15" t="str">
        <f t="shared" si="1"/>
        <v>May</v>
      </c>
      <c r="E702" s="2" t="str">
        <f t="shared" si="2"/>
        <v>2016</v>
      </c>
      <c r="F702" s="13" t="s">
        <v>121</v>
      </c>
      <c r="G702" s="13" t="s">
        <v>2746</v>
      </c>
      <c r="H702" s="13" t="s">
        <v>2747</v>
      </c>
      <c r="I702" s="13" t="s">
        <v>68</v>
      </c>
      <c r="J702" s="13" t="s">
        <v>1256</v>
      </c>
      <c r="K702" s="13" t="s">
        <v>99</v>
      </c>
      <c r="L702" s="13" t="s">
        <v>100</v>
      </c>
      <c r="M702" s="13" t="s">
        <v>38</v>
      </c>
      <c r="N702" s="14">
        <v>4.896</v>
      </c>
      <c r="O702" s="14">
        <v>4.29</v>
      </c>
      <c r="P702" s="13">
        <v>1.0</v>
      </c>
      <c r="Q702" s="14">
        <f t="shared" si="3"/>
        <v>4.896</v>
      </c>
      <c r="R702" s="14">
        <f t="shared" si="4"/>
        <v>0.606</v>
      </c>
      <c r="S702" s="14">
        <f t="shared" si="5"/>
        <v>4.29</v>
      </c>
    </row>
    <row r="703">
      <c r="A703" s="12">
        <v>43140.0</v>
      </c>
      <c r="B703" s="12" t="s">
        <v>2431</v>
      </c>
      <c r="C703" s="2">
        <v>43321.0</v>
      </c>
      <c r="D703" s="15" t="str">
        <f t="shared" si="1"/>
        <v>Aug</v>
      </c>
      <c r="E703" s="2" t="str">
        <f t="shared" si="2"/>
        <v>2018</v>
      </c>
      <c r="F703" s="13" t="s">
        <v>41</v>
      </c>
      <c r="G703" s="13" t="s">
        <v>2525</v>
      </c>
      <c r="H703" s="13" t="s">
        <v>2526</v>
      </c>
      <c r="I703" s="13" t="s">
        <v>34</v>
      </c>
      <c r="J703" s="13" t="s">
        <v>1219</v>
      </c>
      <c r="K703" s="13" t="s">
        <v>304</v>
      </c>
      <c r="L703" s="13" t="s">
        <v>100</v>
      </c>
      <c r="M703" s="13" t="s">
        <v>27</v>
      </c>
      <c r="N703" s="14">
        <v>15.072</v>
      </c>
      <c r="O703" s="14">
        <v>15.04</v>
      </c>
      <c r="P703" s="13">
        <v>4.0</v>
      </c>
      <c r="Q703" s="14">
        <f t="shared" si="3"/>
        <v>60.288</v>
      </c>
      <c r="R703" s="14">
        <f t="shared" si="4"/>
        <v>45.248</v>
      </c>
      <c r="S703" s="14">
        <f t="shared" si="5"/>
        <v>15.04</v>
      </c>
    </row>
    <row r="704">
      <c r="A704" s="12">
        <v>42836.0</v>
      </c>
      <c r="B704" s="12" t="s">
        <v>2332</v>
      </c>
      <c r="C704" s="2">
        <v>42958.0</v>
      </c>
      <c r="D704" s="15" t="str">
        <f t="shared" si="1"/>
        <v>Aug</v>
      </c>
      <c r="E704" s="2" t="str">
        <f t="shared" si="2"/>
        <v>2017</v>
      </c>
      <c r="F704" s="13" t="s">
        <v>20</v>
      </c>
      <c r="G704" s="13" t="s">
        <v>2342</v>
      </c>
      <c r="H704" s="13" t="s">
        <v>2585</v>
      </c>
      <c r="I704" s="13" t="s">
        <v>34</v>
      </c>
      <c r="J704" s="13" t="s">
        <v>62</v>
      </c>
      <c r="K704" s="13" t="s">
        <v>63</v>
      </c>
      <c r="L704" s="13" t="s">
        <v>37</v>
      </c>
      <c r="M704" s="13" t="s">
        <v>27</v>
      </c>
      <c r="N704" s="14">
        <v>209.88</v>
      </c>
      <c r="O704" s="14">
        <v>209.67</v>
      </c>
      <c r="P704" s="13">
        <v>9.0</v>
      </c>
      <c r="Q704" s="14">
        <f t="shared" si="3"/>
        <v>1888.92</v>
      </c>
      <c r="R704" s="14">
        <f t="shared" si="4"/>
        <v>1679.25</v>
      </c>
      <c r="S704" s="14">
        <f t="shared" si="5"/>
        <v>209.67</v>
      </c>
    </row>
    <row r="705">
      <c r="A705" s="12">
        <v>42617.0</v>
      </c>
      <c r="B705" s="12" t="s">
        <v>2329</v>
      </c>
      <c r="C705" s="2">
        <v>42474.0</v>
      </c>
      <c r="D705" s="15" t="str">
        <f t="shared" si="1"/>
        <v>Apr</v>
      </c>
      <c r="E705" s="2" t="str">
        <f t="shared" si="2"/>
        <v>2016</v>
      </c>
      <c r="F705" s="13" t="s">
        <v>41</v>
      </c>
      <c r="G705" s="13" t="s">
        <v>2748</v>
      </c>
      <c r="H705" s="13" t="s">
        <v>2749</v>
      </c>
      <c r="I705" s="13" t="s">
        <v>23</v>
      </c>
      <c r="J705" s="13" t="s">
        <v>654</v>
      </c>
      <c r="K705" s="13" t="s">
        <v>52</v>
      </c>
      <c r="L705" s="13" t="s">
        <v>37</v>
      </c>
      <c r="M705" s="13" t="s">
        <v>27</v>
      </c>
      <c r="N705" s="14">
        <v>369.912</v>
      </c>
      <c r="O705" s="14">
        <v>369.25</v>
      </c>
      <c r="P705" s="13">
        <v>9.0</v>
      </c>
      <c r="Q705" s="14">
        <f t="shared" si="3"/>
        <v>3329.208</v>
      </c>
      <c r="R705" s="14">
        <f t="shared" si="4"/>
        <v>2959.958</v>
      </c>
      <c r="S705" s="14">
        <f t="shared" si="5"/>
        <v>369.25</v>
      </c>
    </row>
    <row r="706">
      <c r="A706" s="12">
        <v>42347.0</v>
      </c>
      <c r="B706" s="12" t="s">
        <v>2325</v>
      </c>
      <c r="C706" s="2">
        <v>42264.0</v>
      </c>
      <c r="D706" s="15" t="str">
        <f t="shared" si="1"/>
        <v>Sep</v>
      </c>
      <c r="E706" s="2" t="str">
        <f t="shared" si="2"/>
        <v>2015</v>
      </c>
      <c r="F706" s="13" t="s">
        <v>41</v>
      </c>
      <c r="G706" s="13" t="s">
        <v>2750</v>
      </c>
      <c r="H706" s="13" t="s">
        <v>2630</v>
      </c>
      <c r="I706" s="13" t="s">
        <v>34</v>
      </c>
      <c r="J706" s="13" t="s">
        <v>1266</v>
      </c>
      <c r="K706" s="13" t="s">
        <v>58</v>
      </c>
      <c r="L706" s="13" t="s">
        <v>26</v>
      </c>
      <c r="M706" s="13" t="s">
        <v>38</v>
      </c>
      <c r="N706" s="14">
        <v>10.368</v>
      </c>
      <c r="O706" s="14">
        <v>10.13</v>
      </c>
      <c r="P706" s="13">
        <v>2.0</v>
      </c>
      <c r="Q706" s="14">
        <f t="shared" si="3"/>
        <v>20.736</v>
      </c>
      <c r="R706" s="14">
        <f t="shared" si="4"/>
        <v>10.606</v>
      </c>
      <c r="S706" s="14">
        <f t="shared" si="5"/>
        <v>10.13</v>
      </c>
    </row>
    <row r="707">
      <c r="A707" s="12">
        <v>42347.0</v>
      </c>
      <c r="B707" s="12" t="s">
        <v>2325</v>
      </c>
      <c r="C707" s="2">
        <v>42264.0</v>
      </c>
      <c r="D707" s="15" t="str">
        <f t="shared" si="1"/>
        <v>Sep</v>
      </c>
      <c r="E707" s="2" t="str">
        <f t="shared" si="2"/>
        <v>2015</v>
      </c>
      <c r="F707" s="13" t="s">
        <v>41</v>
      </c>
      <c r="G707" s="13" t="s">
        <v>2750</v>
      </c>
      <c r="H707" s="13" t="s">
        <v>2630</v>
      </c>
      <c r="I707" s="13" t="s">
        <v>34</v>
      </c>
      <c r="J707" s="13" t="s">
        <v>1266</v>
      </c>
      <c r="K707" s="13" t="s">
        <v>58</v>
      </c>
      <c r="L707" s="13" t="s">
        <v>26</v>
      </c>
      <c r="M707" s="13" t="s">
        <v>38</v>
      </c>
      <c r="N707" s="14">
        <v>166.84</v>
      </c>
      <c r="O707" s="14">
        <v>166.37</v>
      </c>
      <c r="P707" s="13">
        <v>2.0</v>
      </c>
      <c r="Q707" s="14">
        <f t="shared" si="3"/>
        <v>333.68</v>
      </c>
      <c r="R707" s="14">
        <f t="shared" si="4"/>
        <v>167.31</v>
      </c>
      <c r="S707" s="14">
        <f t="shared" si="5"/>
        <v>166.37</v>
      </c>
    </row>
    <row r="708">
      <c r="A708" s="12">
        <v>42347.0</v>
      </c>
      <c r="B708" s="12" t="s">
        <v>2325</v>
      </c>
      <c r="C708" s="2">
        <v>42264.0</v>
      </c>
      <c r="D708" s="15" t="str">
        <f t="shared" si="1"/>
        <v>Sep</v>
      </c>
      <c r="E708" s="2" t="str">
        <f t="shared" si="2"/>
        <v>2015</v>
      </c>
      <c r="F708" s="13" t="s">
        <v>41</v>
      </c>
      <c r="G708" s="13" t="s">
        <v>2750</v>
      </c>
      <c r="H708" s="13" t="s">
        <v>2630</v>
      </c>
      <c r="I708" s="13" t="s">
        <v>34</v>
      </c>
      <c r="J708" s="13" t="s">
        <v>1266</v>
      </c>
      <c r="K708" s="13" t="s">
        <v>58</v>
      </c>
      <c r="L708" s="13" t="s">
        <v>26</v>
      </c>
      <c r="M708" s="13" t="s">
        <v>51</v>
      </c>
      <c r="N708" s="14">
        <v>15.216</v>
      </c>
      <c r="O708" s="14">
        <v>14.91</v>
      </c>
      <c r="P708" s="13">
        <v>2.0</v>
      </c>
      <c r="Q708" s="14">
        <f t="shared" si="3"/>
        <v>30.432</v>
      </c>
      <c r="R708" s="14">
        <f t="shared" si="4"/>
        <v>15.522</v>
      </c>
      <c r="S708" s="14">
        <f t="shared" si="5"/>
        <v>14.91</v>
      </c>
    </row>
    <row r="709">
      <c r="A709" s="12">
        <v>42047.0</v>
      </c>
      <c r="B709" s="12" t="s">
        <v>2431</v>
      </c>
      <c r="C709" s="2">
        <v>42106.0</v>
      </c>
      <c r="D709" s="15" t="str">
        <f t="shared" si="1"/>
        <v>Apr</v>
      </c>
      <c r="E709" s="2" t="str">
        <f t="shared" si="2"/>
        <v>2015</v>
      </c>
      <c r="F709" s="13" t="s">
        <v>121</v>
      </c>
      <c r="G709" s="13" t="s">
        <v>2478</v>
      </c>
      <c r="H709" s="13" t="s">
        <v>2751</v>
      </c>
      <c r="I709" s="13" t="s">
        <v>23</v>
      </c>
      <c r="J709" s="13" t="s">
        <v>174</v>
      </c>
      <c r="K709" s="13" t="s">
        <v>175</v>
      </c>
      <c r="L709" s="13" t="s">
        <v>100</v>
      </c>
      <c r="M709" s="13" t="s">
        <v>51</v>
      </c>
      <c r="N709" s="14">
        <v>119.96</v>
      </c>
      <c r="O709" s="14">
        <v>119.88</v>
      </c>
      <c r="P709" s="13">
        <v>1.0</v>
      </c>
      <c r="Q709" s="14">
        <f t="shared" si="3"/>
        <v>119.96</v>
      </c>
      <c r="R709" s="14">
        <f t="shared" si="4"/>
        <v>0.08</v>
      </c>
      <c r="S709" s="14">
        <f t="shared" si="5"/>
        <v>119.88</v>
      </c>
    </row>
    <row r="710">
      <c r="A710" s="12">
        <v>42047.0</v>
      </c>
      <c r="B710" s="12" t="s">
        <v>2431</v>
      </c>
      <c r="C710" s="2">
        <v>42106.0</v>
      </c>
      <c r="D710" s="15" t="str">
        <f t="shared" si="1"/>
        <v>Apr</v>
      </c>
      <c r="E710" s="2" t="str">
        <f t="shared" si="2"/>
        <v>2015</v>
      </c>
      <c r="F710" s="13" t="s">
        <v>121</v>
      </c>
      <c r="G710" s="13" t="s">
        <v>2478</v>
      </c>
      <c r="H710" s="13" t="s">
        <v>2751</v>
      </c>
      <c r="I710" s="13" t="s">
        <v>23</v>
      </c>
      <c r="J710" s="13" t="s">
        <v>174</v>
      </c>
      <c r="K710" s="13" t="s">
        <v>175</v>
      </c>
      <c r="L710" s="13" t="s">
        <v>100</v>
      </c>
      <c r="M710" s="13" t="s">
        <v>27</v>
      </c>
      <c r="N710" s="14">
        <v>883.92</v>
      </c>
      <c r="O710" s="14">
        <v>883.73</v>
      </c>
      <c r="P710" s="13">
        <v>1.0</v>
      </c>
      <c r="Q710" s="14">
        <f t="shared" si="3"/>
        <v>883.92</v>
      </c>
      <c r="R710" s="14">
        <f t="shared" si="4"/>
        <v>0.19</v>
      </c>
      <c r="S710" s="14">
        <f t="shared" si="5"/>
        <v>883.73</v>
      </c>
    </row>
    <row r="711">
      <c r="A711" s="12">
        <v>42047.0</v>
      </c>
      <c r="B711" s="12" t="s">
        <v>2431</v>
      </c>
      <c r="C711" s="2">
        <v>42106.0</v>
      </c>
      <c r="D711" s="15" t="str">
        <f t="shared" si="1"/>
        <v>Apr</v>
      </c>
      <c r="E711" s="2" t="str">
        <f t="shared" si="2"/>
        <v>2015</v>
      </c>
      <c r="F711" s="13" t="s">
        <v>121</v>
      </c>
      <c r="G711" s="13" t="s">
        <v>2478</v>
      </c>
      <c r="H711" s="13" t="s">
        <v>2751</v>
      </c>
      <c r="I711" s="13" t="s">
        <v>23</v>
      </c>
      <c r="J711" s="13" t="s">
        <v>174</v>
      </c>
      <c r="K711" s="13" t="s">
        <v>175</v>
      </c>
      <c r="L711" s="13" t="s">
        <v>100</v>
      </c>
      <c r="M711" s="13" t="s">
        <v>38</v>
      </c>
      <c r="N711" s="14">
        <v>46.72</v>
      </c>
      <c r="O711" s="14">
        <v>46.15</v>
      </c>
      <c r="P711" s="13">
        <v>1.0</v>
      </c>
      <c r="Q711" s="14">
        <f t="shared" si="3"/>
        <v>46.72</v>
      </c>
      <c r="R711" s="14">
        <f t="shared" si="4"/>
        <v>0.57</v>
      </c>
      <c r="S711" s="14">
        <f t="shared" si="5"/>
        <v>46.15</v>
      </c>
    </row>
    <row r="712">
      <c r="A712" s="12">
        <v>42128.0</v>
      </c>
      <c r="B712" s="12" t="s">
        <v>2335</v>
      </c>
      <c r="C712" s="2">
        <v>42189.0</v>
      </c>
      <c r="D712" s="15" t="str">
        <f t="shared" si="1"/>
        <v>Jul</v>
      </c>
      <c r="E712" s="2" t="str">
        <f t="shared" si="2"/>
        <v>2015</v>
      </c>
      <c r="F712" s="13" t="s">
        <v>121</v>
      </c>
      <c r="G712" s="13" t="s">
        <v>2356</v>
      </c>
      <c r="H712" s="13" t="s">
        <v>2495</v>
      </c>
      <c r="I712" s="13" t="s">
        <v>68</v>
      </c>
      <c r="J712" s="13" t="s">
        <v>174</v>
      </c>
      <c r="K712" s="13" t="s">
        <v>175</v>
      </c>
      <c r="L712" s="13" t="s">
        <v>100</v>
      </c>
      <c r="M712" s="13" t="s">
        <v>38</v>
      </c>
      <c r="N712" s="14">
        <v>55.48</v>
      </c>
      <c r="O712" s="14">
        <v>55.03</v>
      </c>
      <c r="P712" s="13">
        <v>1.0</v>
      </c>
      <c r="Q712" s="14">
        <f t="shared" si="3"/>
        <v>55.48</v>
      </c>
      <c r="R712" s="14">
        <f t="shared" si="4"/>
        <v>0.45</v>
      </c>
      <c r="S712" s="14">
        <f t="shared" si="5"/>
        <v>55.03</v>
      </c>
    </row>
    <row r="713">
      <c r="A713" s="12">
        <v>43168.0</v>
      </c>
      <c r="B713" s="12" t="s">
        <v>2399</v>
      </c>
      <c r="C713" s="2">
        <v>43290.0</v>
      </c>
      <c r="D713" s="15" t="str">
        <f t="shared" si="1"/>
        <v>Jul</v>
      </c>
      <c r="E713" s="2" t="str">
        <f t="shared" si="2"/>
        <v>2018</v>
      </c>
      <c r="F713" s="13" t="s">
        <v>41</v>
      </c>
      <c r="G713" s="13" t="s">
        <v>2578</v>
      </c>
      <c r="H713" s="13" t="s">
        <v>2752</v>
      </c>
      <c r="I713" s="13" t="s">
        <v>23</v>
      </c>
      <c r="J713" s="13" t="s">
        <v>1276</v>
      </c>
      <c r="K713" s="13" t="s">
        <v>145</v>
      </c>
      <c r="L713" s="13" t="s">
        <v>26</v>
      </c>
      <c r="M713" s="13" t="s">
        <v>38</v>
      </c>
      <c r="N713" s="14">
        <v>24.448</v>
      </c>
      <c r="O713" s="14">
        <v>24.28</v>
      </c>
      <c r="P713" s="13">
        <v>3.0</v>
      </c>
      <c r="Q713" s="14">
        <f t="shared" si="3"/>
        <v>73.344</v>
      </c>
      <c r="R713" s="14">
        <f t="shared" si="4"/>
        <v>49.064</v>
      </c>
      <c r="S713" s="14">
        <f t="shared" si="5"/>
        <v>24.28</v>
      </c>
    </row>
    <row r="714">
      <c r="A714" s="12">
        <v>43239.0</v>
      </c>
      <c r="B714" s="12" t="s">
        <v>2335</v>
      </c>
      <c r="C714" s="2">
        <v>43244.0</v>
      </c>
      <c r="D714" s="15" t="str">
        <f t="shared" si="1"/>
        <v>May</v>
      </c>
      <c r="E714" s="2" t="str">
        <f t="shared" si="2"/>
        <v>2018</v>
      </c>
      <c r="F714" s="13" t="s">
        <v>41</v>
      </c>
      <c r="G714" s="13" t="s">
        <v>2753</v>
      </c>
      <c r="H714" s="13" t="s">
        <v>2754</v>
      </c>
      <c r="I714" s="13" t="s">
        <v>34</v>
      </c>
      <c r="J714" s="13" t="s">
        <v>1281</v>
      </c>
      <c r="K714" s="13" t="s">
        <v>175</v>
      </c>
      <c r="L714" s="13" t="s">
        <v>100</v>
      </c>
      <c r="M714" s="13" t="s">
        <v>38</v>
      </c>
      <c r="N714" s="14">
        <v>281.34</v>
      </c>
      <c r="O714" s="14">
        <v>280.52</v>
      </c>
      <c r="P714" s="13">
        <v>1.0</v>
      </c>
      <c r="Q714" s="14">
        <f t="shared" si="3"/>
        <v>281.34</v>
      </c>
      <c r="R714" s="14">
        <f t="shared" si="4"/>
        <v>0.82</v>
      </c>
      <c r="S714" s="14">
        <f t="shared" si="5"/>
        <v>280.52</v>
      </c>
    </row>
    <row r="715">
      <c r="A715" s="12">
        <v>43239.0</v>
      </c>
      <c r="B715" s="12" t="s">
        <v>2335</v>
      </c>
      <c r="C715" s="2">
        <v>43244.0</v>
      </c>
      <c r="D715" s="15" t="str">
        <f t="shared" si="1"/>
        <v>May</v>
      </c>
      <c r="E715" s="2" t="str">
        <f t="shared" si="2"/>
        <v>2018</v>
      </c>
      <c r="F715" s="13" t="s">
        <v>41</v>
      </c>
      <c r="G715" s="13" t="s">
        <v>2753</v>
      </c>
      <c r="H715" s="13" t="s">
        <v>2754</v>
      </c>
      <c r="I715" s="13" t="s">
        <v>34</v>
      </c>
      <c r="J715" s="13" t="s">
        <v>1281</v>
      </c>
      <c r="K715" s="13" t="s">
        <v>175</v>
      </c>
      <c r="L715" s="13" t="s">
        <v>100</v>
      </c>
      <c r="M715" s="13" t="s">
        <v>51</v>
      </c>
      <c r="N715" s="14">
        <v>307.98</v>
      </c>
      <c r="O715" s="14">
        <v>307.2</v>
      </c>
      <c r="P715" s="13">
        <v>1.0</v>
      </c>
      <c r="Q715" s="14">
        <f t="shared" si="3"/>
        <v>307.98</v>
      </c>
      <c r="R715" s="14">
        <f t="shared" si="4"/>
        <v>0.78</v>
      </c>
      <c r="S715" s="14">
        <f t="shared" si="5"/>
        <v>307.2</v>
      </c>
    </row>
    <row r="716">
      <c r="A716" s="12">
        <v>43239.0</v>
      </c>
      <c r="B716" s="12" t="s">
        <v>2335</v>
      </c>
      <c r="C716" s="2">
        <v>43244.0</v>
      </c>
      <c r="D716" s="15" t="str">
        <f t="shared" si="1"/>
        <v>May</v>
      </c>
      <c r="E716" s="2" t="str">
        <f t="shared" si="2"/>
        <v>2018</v>
      </c>
      <c r="F716" s="13" t="s">
        <v>41</v>
      </c>
      <c r="G716" s="13" t="s">
        <v>2753</v>
      </c>
      <c r="H716" s="13" t="s">
        <v>2754</v>
      </c>
      <c r="I716" s="13" t="s">
        <v>34</v>
      </c>
      <c r="J716" s="13" t="s">
        <v>1281</v>
      </c>
      <c r="K716" s="13" t="s">
        <v>175</v>
      </c>
      <c r="L716" s="13" t="s">
        <v>100</v>
      </c>
      <c r="M716" s="13" t="s">
        <v>51</v>
      </c>
      <c r="N716" s="14">
        <v>299.97</v>
      </c>
      <c r="O716" s="14">
        <v>299.73</v>
      </c>
      <c r="P716" s="13">
        <v>1.0</v>
      </c>
      <c r="Q716" s="14">
        <f t="shared" si="3"/>
        <v>299.97</v>
      </c>
      <c r="R716" s="14">
        <f t="shared" si="4"/>
        <v>0.24</v>
      </c>
      <c r="S716" s="14">
        <f t="shared" si="5"/>
        <v>299.73</v>
      </c>
    </row>
    <row r="717">
      <c r="A717" s="12">
        <v>42011.0</v>
      </c>
      <c r="B717" s="12" t="s">
        <v>2353</v>
      </c>
      <c r="C717" s="2">
        <v>42162.0</v>
      </c>
      <c r="D717" s="15" t="str">
        <f t="shared" si="1"/>
        <v>Jun</v>
      </c>
      <c r="E717" s="2" t="str">
        <f t="shared" si="2"/>
        <v>2015</v>
      </c>
      <c r="F717" s="13" t="s">
        <v>20</v>
      </c>
      <c r="G717" s="13" t="s">
        <v>2525</v>
      </c>
      <c r="H717" s="13" t="s">
        <v>2526</v>
      </c>
      <c r="I717" s="13" t="s">
        <v>34</v>
      </c>
      <c r="J717" s="13" t="s">
        <v>62</v>
      </c>
      <c r="K717" s="13" t="s">
        <v>63</v>
      </c>
      <c r="L717" s="13" t="s">
        <v>37</v>
      </c>
      <c r="M717" s="13" t="s">
        <v>38</v>
      </c>
      <c r="N717" s="14">
        <v>19.92</v>
      </c>
      <c r="O717" s="14">
        <v>19.36</v>
      </c>
      <c r="P717" s="13">
        <v>9.0</v>
      </c>
      <c r="Q717" s="14">
        <f t="shared" si="3"/>
        <v>179.28</v>
      </c>
      <c r="R717" s="14">
        <f t="shared" si="4"/>
        <v>159.92</v>
      </c>
      <c r="S717" s="14">
        <f t="shared" si="5"/>
        <v>19.36</v>
      </c>
    </row>
    <row r="718">
      <c r="A718" s="12">
        <v>42309.0</v>
      </c>
      <c r="B718" s="12" t="s">
        <v>2326</v>
      </c>
      <c r="C718" s="2">
        <v>42018.0</v>
      </c>
      <c r="D718" s="15" t="str">
        <f t="shared" si="1"/>
        <v>Jan</v>
      </c>
      <c r="E718" s="2" t="str">
        <f t="shared" si="2"/>
        <v>2015</v>
      </c>
      <c r="F718" s="13" t="s">
        <v>121</v>
      </c>
      <c r="G718" s="13" t="s">
        <v>2755</v>
      </c>
      <c r="H718" s="13" t="s">
        <v>2756</v>
      </c>
      <c r="I718" s="13" t="s">
        <v>23</v>
      </c>
      <c r="J718" s="13" t="s">
        <v>162</v>
      </c>
      <c r="K718" s="13" t="s">
        <v>163</v>
      </c>
      <c r="L718" s="13" t="s">
        <v>100</v>
      </c>
      <c r="M718" s="13" t="s">
        <v>27</v>
      </c>
      <c r="N718" s="14">
        <v>9.94</v>
      </c>
      <c r="O718" s="14">
        <v>8.98</v>
      </c>
      <c r="P718" s="13">
        <v>1.0</v>
      </c>
      <c r="Q718" s="14">
        <f t="shared" si="3"/>
        <v>9.94</v>
      </c>
      <c r="R718" s="14">
        <f t="shared" si="4"/>
        <v>0.96</v>
      </c>
      <c r="S718" s="14">
        <f t="shared" si="5"/>
        <v>8.98</v>
      </c>
    </row>
    <row r="719">
      <c r="A719" s="12">
        <v>43367.0</v>
      </c>
      <c r="B719" s="12" t="s">
        <v>2329</v>
      </c>
      <c r="C719" s="2">
        <v>43372.0</v>
      </c>
      <c r="D719" s="15" t="str">
        <f t="shared" si="1"/>
        <v>Sep</v>
      </c>
      <c r="E719" s="2" t="str">
        <f t="shared" si="2"/>
        <v>2018</v>
      </c>
      <c r="F719" s="13" t="s">
        <v>41</v>
      </c>
      <c r="G719" s="13" t="s">
        <v>2517</v>
      </c>
      <c r="H719" s="13" t="s">
        <v>2518</v>
      </c>
      <c r="I719" s="13" t="s">
        <v>23</v>
      </c>
      <c r="J719" s="13" t="s">
        <v>360</v>
      </c>
      <c r="K719" s="13" t="s">
        <v>304</v>
      </c>
      <c r="L719" s="13" t="s">
        <v>100</v>
      </c>
      <c r="M719" s="13" t="s">
        <v>27</v>
      </c>
      <c r="N719" s="14">
        <v>103.056</v>
      </c>
      <c r="O719" s="14">
        <v>102.11</v>
      </c>
      <c r="P719" s="13">
        <v>4.0</v>
      </c>
      <c r="Q719" s="14">
        <f t="shared" si="3"/>
        <v>412.224</v>
      </c>
      <c r="R719" s="14">
        <f t="shared" si="4"/>
        <v>310.114</v>
      </c>
      <c r="S719" s="14">
        <f t="shared" si="5"/>
        <v>102.11</v>
      </c>
    </row>
    <row r="720">
      <c r="A720" s="12">
        <v>42041.0</v>
      </c>
      <c r="B720" s="12" t="s">
        <v>2431</v>
      </c>
      <c r="C720" s="2">
        <v>42191.0</v>
      </c>
      <c r="D720" s="15" t="str">
        <f t="shared" si="1"/>
        <v>Jul</v>
      </c>
      <c r="E720" s="2" t="str">
        <f t="shared" si="2"/>
        <v>2015</v>
      </c>
      <c r="F720" s="13" t="s">
        <v>41</v>
      </c>
      <c r="G720" s="13" t="s">
        <v>2532</v>
      </c>
      <c r="H720" s="13" t="s">
        <v>2757</v>
      </c>
      <c r="I720" s="13" t="s">
        <v>68</v>
      </c>
      <c r="J720" s="13" t="s">
        <v>105</v>
      </c>
      <c r="K720" s="13" t="s">
        <v>83</v>
      </c>
      <c r="L720" s="13" t="s">
        <v>37</v>
      </c>
      <c r="M720" s="13" t="s">
        <v>38</v>
      </c>
      <c r="N720" s="14">
        <v>59.808</v>
      </c>
      <c r="O720" s="14">
        <v>59.78</v>
      </c>
      <c r="P720" s="13">
        <v>8.0</v>
      </c>
      <c r="Q720" s="14">
        <f t="shared" si="3"/>
        <v>478.464</v>
      </c>
      <c r="R720" s="14">
        <f t="shared" si="4"/>
        <v>418.684</v>
      </c>
      <c r="S720" s="14">
        <f t="shared" si="5"/>
        <v>59.78</v>
      </c>
    </row>
    <row r="721">
      <c r="A721" s="12">
        <v>42041.0</v>
      </c>
      <c r="B721" s="12" t="s">
        <v>2431</v>
      </c>
      <c r="C721" s="2">
        <v>42191.0</v>
      </c>
      <c r="D721" s="15" t="str">
        <f t="shared" si="1"/>
        <v>Jul</v>
      </c>
      <c r="E721" s="2" t="str">
        <f t="shared" si="2"/>
        <v>2015</v>
      </c>
      <c r="F721" s="13" t="s">
        <v>41</v>
      </c>
      <c r="G721" s="13" t="s">
        <v>2532</v>
      </c>
      <c r="H721" s="13" t="s">
        <v>2757</v>
      </c>
      <c r="I721" s="13" t="s">
        <v>68</v>
      </c>
      <c r="J721" s="13" t="s">
        <v>105</v>
      </c>
      <c r="K721" s="13" t="s">
        <v>83</v>
      </c>
      <c r="L721" s="13" t="s">
        <v>37</v>
      </c>
      <c r="M721" s="13" t="s">
        <v>27</v>
      </c>
      <c r="N721" s="14">
        <v>73.32</v>
      </c>
      <c r="O721" s="14">
        <v>72.32</v>
      </c>
      <c r="P721" s="13">
        <v>8.0</v>
      </c>
      <c r="Q721" s="14">
        <f t="shared" si="3"/>
        <v>586.56</v>
      </c>
      <c r="R721" s="14">
        <f t="shared" si="4"/>
        <v>514.24</v>
      </c>
      <c r="S721" s="14">
        <f t="shared" si="5"/>
        <v>72.32</v>
      </c>
    </row>
    <row r="722">
      <c r="A722" s="12">
        <v>42779.0</v>
      </c>
      <c r="B722" s="12" t="s">
        <v>2431</v>
      </c>
      <c r="C722" s="2">
        <v>42784.0</v>
      </c>
      <c r="D722" s="15" t="str">
        <f t="shared" si="1"/>
        <v>Feb</v>
      </c>
      <c r="E722" s="2" t="str">
        <f t="shared" si="2"/>
        <v>2017</v>
      </c>
      <c r="F722" s="13" t="s">
        <v>41</v>
      </c>
      <c r="G722" s="13" t="s">
        <v>2617</v>
      </c>
      <c r="H722" s="13" t="s">
        <v>2758</v>
      </c>
      <c r="I722" s="13" t="s">
        <v>68</v>
      </c>
      <c r="J722" s="13" t="s">
        <v>35</v>
      </c>
      <c r="K722" s="13" t="s">
        <v>52</v>
      </c>
      <c r="L722" s="13" t="s">
        <v>37</v>
      </c>
      <c r="M722" s="13" t="s">
        <v>38</v>
      </c>
      <c r="N722" s="14">
        <v>146.82</v>
      </c>
      <c r="O722" s="14">
        <v>146.01</v>
      </c>
      <c r="P722" s="13">
        <v>9.0</v>
      </c>
      <c r="Q722" s="14">
        <f t="shared" si="3"/>
        <v>1321.38</v>
      </c>
      <c r="R722" s="14">
        <f t="shared" si="4"/>
        <v>1175.37</v>
      </c>
      <c r="S722" s="14">
        <f t="shared" si="5"/>
        <v>146.01</v>
      </c>
    </row>
    <row r="723">
      <c r="A723" s="12">
        <v>43084.0</v>
      </c>
      <c r="B723" s="12" t="s">
        <v>2325</v>
      </c>
      <c r="C723" s="2">
        <v>43088.0</v>
      </c>
      <c r="D723" s="15" t="str">
        <f t="shared" si="1"/>
        <v>Dec</v>
      </c>
      <c r="E723" s="2" t="str">
        <f t="shared" si="2"/>
        <v>2017</v>
      </c>
      <c r="F723" s="13" t="s">
        <v>41</v>
      </c>
      <c r="G723" s="13" t="s">
        <v>2507</v>
      </c>
      <c r="H723" s="13" t="s">
        <v>2466</v>
      </c>
      <c r="I723" s="13" t="s">
        <v>34</v>
      </c>
      <c r="J723" s="13" t="s">
        <v>513</v>
      </c>
      <c r="K723" s="13" t="s">
        <v>157</v>
      </c>
      <c r="L723" s="13" t="s">
        <v>71</v>
      </c>
      <c r="M723" s="13" t="s">
        <v>27</v>
      </c>
      <c r="N723" s="14">
        <v>1652.94</v>
      </c>
      <c r="O723" s="14">
        <v>1652.21</v>
      </c>
      <c r="P723" s="13">
        <v>4.0</v>
      </c>
      <c r="Q723" s="14">
        <f t="shared" si="3"/>
        <v>6611.76</v>
      </c>
      <c r="R723" s="14">
        <f t="shared" si="4"/>
        <v>4959.55</v>
      </c>
      <c r="S723" s="14">
        <f t="shared" si="5"/>
        <v>1652.21</v>
      </c>
    </row>
    <row r="724">
      <c r="A724" s="12">
        <v>43084.0</v>
      </c>
      <c r="B724" s="12" t="s">
        <v>2325</v>
      </c>
      <c r="C724" s="2">
        <v>43088.0</v>
      </c>
      <c r="D724" s="15" t="str">
        <f t="shared" si="1"/>
        <v>Dec</v>
      </c>
      <c r="E724" s="2" t="str">
        <f t="shared" si="2"/>
        <v>2017</v>
      </c>
      <c r="F724" s="13" t="s">
        <v>41</v>
      </c>
      <c r="G724" s="13" t="s">
        <v>2507</v>
      </c>
      <c r="H724" s="13" t="s">
        <v>2466</v>
      </c>
      <c r="I724" s="13" t="s">
        <v>34</v>
      </c>
      <c r="J724" s="13" t="s">
        <v>513</v>
      </c>
      <c r="K724" s="13" t="s">
        <v>157</v>
      </c>
      <c r="L724" s="13" t="s">
        <v>71</v>
      </c>
      <c r="M724" s="13" t="s">
        <v>38</v>
      </c>
      <c r="N724" s="14">
        <v>296.37</v>
      </c>
      <c r="O724" s="14">
        <v>296.27</v>
      </c>
      <c r="P724" s="13">
        <v>4.0</v>
      </c>
      <c r="Q724" s="14">
        <f t="shared" si="3"/>
        <v>1185.48</v>
      </c>
      <c r="R724" s="14">
        <f t="shared" si="4"/>
        <v>889.21</v>
      </c>
      <c r="S724" s="14">
        <f t="shared" si="5"/>
        <v>296.27</v>
      </c>
    </row>
    <row r="725">
      <c r="A725" s="12">
        <v>42195.0</v>
      </c>
      <c r="B725" s="12" t="s">
        <v>2348</v>
      </c>
      <c r="C725" s="2">
        <v>42290.0</v>
      </c>
      <c r="D725" s="15" t="str">
        <f t="shared" si="1"/>
        <v>Oct</v>
      </c>
      <c r="E725" s="2" t="str">
        <f t="shared" si="2"/>
        <v>2015</v>
      </c>
      <c r="F725" s="13" t="s">
        <v>41</v>
      </c>
      <c r="G725" s="13" t="s">
        <v>2759</v>
      </c>
      <c r="H725" s="13" t="s">
        <v>2760</v>
      </c>
      <c r="I725" s="13" t="s">
        <v>68</v>
      </c>
      <c r="J725" s="13" t="s">
        <v>98</v>
      </c>
      <c r="K725" s="13" t="s">
        <v>99</v>
      </c>
      <c r="L725" s="13" t="s">
        <v>100</v>
      </c>
      <c r="M725" s="13" t="s">
        <v>27</v>
      </c>
      <c r="N725" s="14">
        <v>129.92</v>
      </c>
      <c r="O725" s="14">
        <v>129.89</v>
      </c>
      <c r="P725" s="13">
        <v>1.0</v>
      </c>
      <c r="Q725" s="14">
        <f t="shared" si="3"/>
        <v>129.92</v>
      </c>
      <c r="R725" s="14">
        <f t="shared" si="4"/>
        <v>0.03</v>
      </c>
      <c r="S725" s="14">
        <f t="shared" si="5"/>
        <v>129.89</v>
      </c>
    </row>
    <row r="726">
      <c r="A726" s="12">
        <v>42923.0</v>
      </c>
      <c r="B726" s="12" t="s">
        <v>2348</v>
      </c>
      <c r="C726" s="2">
        <v>43076.0</v>
      </c>
      <c r="D726" s="15" t="str">
        <f t="shared" si="1"/>
        <v>Dec</v>
      </c>
      <c r="E726" s="2" t="str">
        <f t="shared" si="2"/>
        <v>2017</v>
      </c>
      <c r="F726" s="13" t="s">
        <v>41</v>
      </c>
      <c r="G726" s="13" t="s">
        <v>2363</v>
      </c>
      <c r="H726" s="13" t="s">
        <v>2761</v>
      </c>
      <c r="I726" s="13" t="s">
        <v>34</v>
      </c>
      <c r="J726" s="13" t="s">
        <v>1305</v>
      </c>
      <c r="K726" s="13" t="s">
        <v>145</v>
      </c>
      <c r="L726" s="13" t="s">
        <v>26</v>
      </c>
      <c r="M726" s="13" t="s">
        <v>38</v>
      </c>
      <c r="N726" s="14">
        <v>45.584</v>
      </c>
      <c r="O726" s="14">
        <v>45.23</v>
      </c>
      <c r="P726" s="13">
        <v>3.0</v>
      </c>
      <c r="Q726" s="14">
        <f t="shared" si="3"/>
        <v>136.752</v>
      </c>
      <c r="R726" s="14">
        <f t="shared" si="4"/>
        <v>91.522</v>
      </c>
      <c r="S726" s="14">
        <f t="shared" si="5"/>
        <v>45.23</v>
      </c>
    </row>
    <row r="727">
      <c r="A727" s="12">
        <v>43359.0</v>
      </c>
      <c r="B727" s="12" t="s">
        <v>2329</v>
      </c>
      <c r="C727" s="2">
        <v>43363.0</v>
      </c>
      <c r="D727" s="15" t="str">
        <f t="shared" si="1"/>
        <v>Sep</v>
      </c>
      <c r="E727" s="2" t="str">
        <f t="shared" si="2"/>
        <v>2018</v>
      </c>
      <c r="F727" s="13" t="s">
        <v>41</v>
      </c>
      <c r="G727" s="13" t="s">
        <v>2748</v>
      </c>
      <c r="H727" s="13" t="s">
        <v>2762</v>
      </c>
      <c r="I727" s="13" t="s">
        <v>23</v>
      </c>
      <c r="J727" s="13" t="s">
        <v>685</v>
      </c>
      <c r="K727" s="13" t="s">
        <v>70</v>
      </c>
      <c r="L727" s="13" t="s">
        <v>71</v>
      </c>
      <c r="M727" s="13" t="s">
        <v>38</v>
      </c>
      <c r="N727" s="14">
        <v>17.568</v>
      </c>
      <c r="O727" s="14">
        <v>17.21</v>
      </c>
      <c r="P727" s="13">
        <v>7.0</v>
      </c>
      <c r="Q727" s="14">
        <f t="shared" si="3"/>
        <v>122.976</v>
      </c>
      <c r="R727" s="14">
        <f t="shared" si="4"/>
        <v>105.766</v>
      </c>
      <c r="S727" s="14">
        <f t="shared" si="5"/>
        <v>17.21</v>
      </c>
    </row>
    <row r="728">
      <c r="A728" s="12">
        <v>43359.0</v>
      </c>
      <c r="B728" s="12" t="s">
        <v>2329</v>
      </c>
      <c r="C728" s="2">
        <v>43363.0</v>
      </c>
      <c r="D728" s="15" t="str">
        <f t="shared" si="1"/>
        <v>Sep</v>
      </c>
      <c r="E728" s="2" t="str">
        <f t="shared" si="2"/>
        <v>2018</v>
      </c>
      <c r="F728" s="13" t="s">
        <v>41</v>
      </c>
      <c r="G728" s="13" t="s">
        <v>2748</v>
      </c>
      <c r="H728" s="13" t="s">
        <v>2762</v>
      </c>
      <c r="I728" s="13" t="s">
        <v>23</v>
      </c>
      <c r="J728" s="13" t="s">
        <v>685</v>
      </c>
      <c r="K728" s="13" t="s">
        <v>70</v>
      </c>
      <c r="L728" s="13" t="s">
        <v>71</v>
      </c>
      <c r="M728" s="13" t="s">
        <v>51</v>
      </c>
      <c r="N728" s="14">
        <v>55.992</v>
      </c>
      <c r="O728" s="14">
        <v>55.22</v>
      </c>
      <c r="P728" s="13">
        <v>7.0</v>
      </c>
      <c r="Q728" s="14">
        <f t="shared" si="3"/>
        <v>391.944</v>
      </c>
      <c r="R728" s="14">
        <f t="shared" si="4"/>
        <v>336.724</v>
      </c>
      <c r="S728" s="14">
        <f t="shared" si="5"/>
        <v>55.22</v>
      </c>
    </row>
    <row r="729">
      <c r="A729" s="12">
        <v>42806.0</v>
      </c>
      <c r="B729" s="12" t="s">
        <v>2399</v>
      </c>
      <c r="C729" s="2">
        <v>42898.0</v>
      </c>
      <c r="D729" s="15" t="str">
        <f t="shared" si="1"/>
        <v>Jun</v>
      </c>
      <c r="E729" s="2" t="str">
        <f t="shared" si="2"/>
        <v>2017</v>
      </c>
      <c r="F729" s="13" t="s">
        <v>121</v>
      </c>
      <c r="G729" s="13" t="s">
        <v>2351</v>
      </c>
      <c r="H729" s="13" t="s">
        <v>2635</v>
      </c>
      <c r="I729" s="13" t="s">
        <v>23</v>
      </c>
      <c r="J729" s="13" t="s">
        <v>1313</v>
      </c>
      <c r="K729" s="13" t="s">
        <v>175</v>
      </c>
      <c r="L729" s="13" t="s">
        <v>100</v>
      </c>
      <c r="M729" s="13" t="s">
        <v>38</v>
      </c>
      <c r="N729" s="14">
        <v>182.72</v>
      </c>
      <c r="O729" s="14">
        <v>182.7</v>
      </c>
      <c r="P729" s="13">
        <v>1.0</v>
      </c>
      <c r="Q729" s="14">
        <f t="shared" si="3"/>
        <v>182.72</v>
      </c>
      <c r="R729" s="14">
        <f t="shared" si="4"/>
        <v>0.02</v>
      </c>
      <c r="S729" s="14">
        <f t="shared" si="5"/>
        <v>182.7</v>
      </c>
    </row>
    <row r="730">
      <c r="A730" s="12">
        <v>42806.0</v>
      </c>
      <c r="B730" s="12" t="s">
        <v>2399</v>
      </c>
      <c r="C730" s="2">
        <v>42898.0</v>
      </c>
      <c r="D730" s="15" t="str">
        <f t="shared" si="1"/>
        <v>Jun</v>
      </c>
      <c r="E730" s="2" t="str">
        <f t="shared" si="2"/>
        <v>2017</v>
      </c>
      <c r="F730" s="13" t="s">
        <v>121</v>
      </c>
      <c r="G730" s="13" t="s">
        <v>2351</v>
      </c>
      <c r="H730" s="13" t="s">
        <v>2635</v>
      </c>
      <c r="I730" s="13" t="s">
        <v>23</v>
      </c>
      <c r="J730" s="13" t="s">
        <v>1313</v>
      </c>
      <c r="K730" s="13" t="s">
        <v>175</v>
      </c>
      <c r="L730" s="13" t="s">
        <v>100</v>
      </c>
      <c r="M730" s="13" t="s">
        <v>27</v>
      </c>
      <c r="N730" s="14">
        <v>400.032</v>
      </c>
      <c r="O730" s="14">
        <v>399.48</v>
      </c>
      <c r="P730" s="13">
        <v>1.0</v>
      </c>
      <c r="Q730" s="14">
        <f t="shared" si="3"/>
        <v>400.032</v>
      </c>
      <c r="R730" s="14">
        <f t="shared" si="4"/>
        <v>0.552</v>
      </c>
      <c r="S730" s="14">
        <f t="shared" si="5"/>
        <v>399.48</v>
      </c>
    </row>
    <row r="731">
      <c r="A731" s="12">
        <v>42806.0</v>
      </c>
      <c r="B731" s="12" t="s">
        <v>2399</v>
      </c>
      <c r="C731" s="2">
        <v>42898.0</v>
      </c>
      <c r="D731" s="15" t="str">
        <f t="shared" si="1"/>
        <v>Jun</v>
      </c>
      <c r="E731" s="2" t="str">
        <f t="shared" si="2"/>
        <v>2017</v>
      </c>
      <c r="F731" s="13" t="s">
        <v>121</v>
      </c>
      <c r="G731" s="13" t="s">
        <v>2351</v>
      </c>
      <c r="H731" s="13" t="s">
        <v>2635</v>
      </c>
      <c r="I731" s="13" t="s">
        <v>23</v>
      </c>
      <c r="J731" s="13" t="s">
        <v>1313</v>
      </c>
      <c r="K731" s="13" t="s">
        <v>175</v>
      </c>
      <c r="L731" s="13" t="s">
        <v>100</v>
      </c>
      <c r="M731" s="13" t="s">
        <v>38</v>
      </c>
      <c r="N731" s="14">
        <v>33.63</v>
      </c>
      <c r="O731" s="14">
        <v>33.16</v>
      </c>
      <c r="P731" s="13">
        <v>1.0</v>
      </c>
      <c r="Q731" s="14">
        <f t="shared" si="3"/>
        <v>33.63</v>
      </c>
      <c r="R731" s="14">
        <f t="shared" si="4"/>
        <v>0.47</v>
      </c>
      <c r="S731" s="14">
        <f t="shared" si="5"/>
        <v>33.16</v>
      </c>
    </row>
    <row r="732">
      <c r="A732" s="12">
        <v>42806.0</v>
      </c>
      <c r="B732" s="12" t="s">
        <v>2399</v>
      </c>
      <c r="C732" s="2">
        <v>42898.0</v>
      </c>
      <c r="D732" s="15" t="str">
        <f t="shared" si="1"/>
        <v>Jun</v>
      </c>
      <c r="E732" s="2" t="str">
        <f t="shared" si="2"/>
        <v>2017</v>
      </c>
      <c r="F732" s="13" t="s">
        <v>121</v>
      </c>
      <c r="G732" s="13" t="s">
        <v>2351</v>
      </c>
      <c r="H732" s="13" t="s">
        <v>2635</v>
      </c>
      <c r="I732" s="13" t="s">
        <v>23</v>
      </c>
      <c r="J732" s="13" t="s">
        <v>1313</v>
      </c>
      <c r="K732" s="13" t="s">
        <v>175</v>
      </c>
      <c r="L732" s="13" t="s">
        <v>100</v>
      </c>
      <c r="M732" s="13" t="s">
        <v>27</v>
      </c>
      <c r="N732" s="14">
        <v>542.646</v>
      </c>
      <c r="O732" s="14">
        <v>542.23</v>
      </c>
      <c r="P732" s="13">
        <v>1.0</v>
      </c>
      <c r="Q732" s="14">
        <f t="shared" si="3"/>
        <v>542.646</v>
      </c>
      <c r="R732" s="14">
        <f t="shared" si="4"/>
        <v>0.416</v>
      </c>
      <c r="S732" s="14">
        <f t="shared" si="5"/>
        <v>542.23</v>
      </c>
    </row>
    <row r="733">
      <c r="A733" s="12">
        <v>42806.0</v>
      </c>
      <c r="B733" s="12" t="s">
        <v>2399</v>
      </c>
      <c r="C733" s="2">
        <v>42898.0</v>
      </c>
      <c r="D733" s="15" t="str">
        <f t="shared" si="1"/>
        <v>Jun</v>
      </c>
      <c r="E733" s="2" t="str">
        <f t="shared" si="2"/>
        <v>2017</v>
      </c>
      <c r="F733" s="13" t="s">
        <v>121</v>
      </c>
      <c r="G733" s="13" t="s">
        <v>2351</v>
      </c>
      <c r="H733" s="13" t="s">
        <v>2635</v>
      </c>
      <c r="I733" s="13" t="s">
        <v>23</v>
      </c>
      <c r="J733" s="13" t="s">
        <v>1313</v>
      </c>
      <c r="K733" s="13" t="s">
        <v>175</v>
      </c>
      <c r="L733" s="13" t="s">
        <v>100</v>
      </c>
      <c r="M733" s="13" t="s">
        <v>38</v>
      </c>
      <c r="N733" s="14">
        <v>6.3</v>
      </c>
      <c r="O733" s="14">
        <v>5.34</v>
      </c>
      <c r="P733" s="13">
        <v>1.0</v>
      </c>
      <c r="Q733" s="14">
        <f t="shared" si="3"/>
        <v>6.3</v>
      </c>
      <c r="R733" s="14">
        <f t="shared" si="4"/>
        <v>0.96</v>
      </c>
      <c r="S733" s="14">
        <f t="shared" si="5"/>
        <v>5.34</v>
      </c>
    </row>
    <row r="734">
      <c r="A734" s="12">
        <v>43121.0</v>
      </c>
      <c r="B734" s="12" t="s">
        <v>2353</v>
      </c>
      <c r="C734" s="2">
        <v>43125.0</v>
      </c>
      <c r="D734" s="15" t="str">
        <f t="shared" si="1"/>
        <v>Jan</v>
      </c>
      <c r="E734" s="2" t="str">
        <f t="shared" si="2"/>
        <v>2018</v>
      </c>
      <c r="F734" s="13" t="s">
        <v>41</v>
      </c>
      <c r="G734" s="13" t="s">
        <v>32</v>
      </c>
      <c r="H734" s="13" t="s">
        <v>2763</v>
      </c>
      <c r="I734" s="13" t="s">
        <v>68</v>
      </c>
      <c r="J734" s="13" t="s">
        <v>62</v>
      </c>
      <c r="K734" s="13" t="s">
        <v>63</v>
      </c>
      <c r="L734" s="13" t="s">
        <v>37</v>
      </c>
      <c r="M734" s="13" t="s">
        <v>38</v>
      </c>
      <c r="N734" s="14">
        <v>242.94</v>
      </c>
      <c r="O734" s="14">
        <v>242.41</v>
      </c>
      <c r="P734" s="13">
        <v>9.0</v>
      </c>
      <c r="Q734" s="14">
        <f t="shared" si="3"/>
        <v>2186.46</v>
      </c>
      <c r="R734" s="14">
        <f t="shared" si="4"/>
        <v>1944.05</v>
      </c>
      <c r="S734" s="14">
        <f t="shared" si="5"/>
        <v>242.41</v>
      </c>
    </row>
    <row r="735">
      <c r="A735" s="12">
        <v>43121.0</v>
      </c>
      <c r="B735" s="12" t="s">
        <v>2353</v>
      </c>
      <c r="C735" s="2">
        <v>43125.0</v>
      </c>
      <c r="D735" s="15" t="str">
        <f t="shared" si="1"/>
        <v>Jan</v>
      </c>
      <c r="E735" s="2" t="str">
        <f t="shared" si="2"/>
        <v>2018</v>
      </c>
      <c r="F735" s="13" t="s">
        <v>41</v>
      </c>
      <c r="G735" s="13" t="s">
        <v>32</v>
      </c>
      <c r="H735" s="13" t="s">
        <v>2763</v>
      </c>
      <c r="I735" s="13" t="s">
        <v>68</v>
      </c>
      <c r="J735" s="13" t="s">
        <v>62</v>
      </c>
      <c r="K735" s="13" t="s">
        <v>63</v>
      </c>
      <c r="L735" s="13" t="s">
        <v>37</v>
      </c>
      <c r="M735" s="13" t="s">
        <v>51</v>
      </c>
      <c r="N735" s="14">
        <v>179.97</v>
      </c>
      <c r="O735" s="14">
        <v>179.08</v>
      </c>
      <c r="P735" s="13">
        <v>9.0</v>
      </c>
      <c r="Q735" s="14">
        <f t="shared" si="3"/>
        <v>1619.73</v>
      </c>
      <c r="R735" s="14">
        <f t="shared" si="4"/>
        <v>1440.65</v>
      </c>
      <c r="S735" s="14">
        <f t="shared" si="5"/>
        <v>179.08</v>
      </c>
    </row>
    <row r="736">
      <c r="A736" s="12">
        <v>43121.0</v>
      </c>
      <c r="B736" s="12" t="s">
        <v>2353</v>
      </c>
      <c r="C736" s="2">
        <v>43125.0</v>
      </c>
      <c r="D736" s="15" t="str">
        <f t="shared" si="1"/>
        <v>Jan</v>
      </c>
      <c r="E736" s="2" t="str">
        <f t="shared" si="2"/>
        <v>2018</v>
      </c>
      <c r="F736" s="13" t="s">
        <v>41</v>
      </c>
      <c r="G736" s="13" t="s">
        <v>32</v>
      </c>
      <c r="H736" s="13" t="s">
        <v>2763</v>
      </c>
      <c r="I736" s="13" t="s">
        <v>68</v>
      </c>
      <c r="J736" s="13" t="s">
        <v>62</v>
      </c>
      <c r="K736" s="13" t="s">
        <v>63</v>
      </c>
      <c r="L736" s="13" t="s">
        <v>37</v>
      </c>
      <c r="M736" s="13" t="s">
        <v>38</v>
      </c>
      <c r="N736" s="14">
        <v>99.696</v>
      </c>
      <c r="O736" s="14">
        <v>99.66</v>
      </c>
      <c r="P736" s="13">
        <v>9.0</v>
      </c>
      <c r="Q736" s="14">
        <f t="shared" si="3"/>
        <v>897.264</v>
      </c>
      <c r="R736" s="14">
        <f t="shared" si="4"/>
        <v>797.604</v>
      </c>
      <c r="S736" s="14">
        <f t="shared" si="5"/>
        <v>99.66</v>
      </c>
    </row>
    <row r="737">
      <c r="A737" s="12">
        <v>43121.0</v>
      </c>
      <c r="B737" s="12" t="s">
        <v>2353</v>
      </c>
      <c r="C737" s="2">
        <v>43125.0</v>
      </c>
      <c r="D737" s="15" t="str">
        <f t="shared" si="1"/>
        <v>Jan</v>
      </c>
      <c r="E737" s="2" t="str">
        <f t="shared" si="2"/>
        <v>2018</v>
      </c>
      <c r="F737" s="13" t="s">
        <v>41</v>
      </c>
      <c r="G737" s="13" t="s">
        <v>32</v>
      </c>
      <c r="H737" s="13" t="s">
        <v>2763</v>
      </c>
      <c r="I737" s="13" t="s">
        <v>68</v>
      </c>
      <c r="J737" s="13" t="s">
        <v>62</v>
      </c>
      <c r="K737" s="13" t="s">
        <v>63</v>
      </c>
      <c r="L737" s="13" t="s">
        <v>37</v>
      </c>
      <c r="M737" s="13" t="s">
        <v>38</v>
      </c>
      <c r="N737" s="14">
        <v>27.936</v>
      </c>
      <c r="O737" s="14">
        <v>27.72</v>
      </c>
      <c r="P737" s="13">
        <v>9.0</v>
      </c>
      <c r="Q737" s="14">
        <f t="shared" si="3"/>
        <v>251.424</v>
      </c>
      <c r="R737" s="14">
        <f t="shared" si="4"/>
        <v>223.704</v>
      </c>
      <c r="S737" s="14">
        <f t="shared" si="5"/>
        <v>27.72</v>
      </c>
    </row>
    <row r="738">
      <c r="A738" s="12">
        <v>43121.0</v>
      </c>
      <c r="B738" s="12" t="s">
        <v>2353</v>
      </c>
      <c r="C738" s="2">
        <v>43125.0</v>
      </c>
      <c r="D738" s="15" t="str">
        <f t="shared" si="1"/>
        <v>Jan</v>
      </c>
      <c r="E738" s="2" t="str">
        <f t="shared" si="2"/>
        <v>2018</v>
      </c>
      <c r="F738" s="13" t="s">
        <v>41</v>
      </c>
      <c r="G738" s="13" t="s">
        <v>32</v>
      </c>
      <c r="H738" s="13" t="s">
        <v>2763</v>
      </c>
      <c r="I738" s="13" t="s">
        <v>68</v>
      </c>
      <c r="J738" s="13" t="s">
        <v>62</v>
      </c>
      <c r="K738" s="13" t="s">
        <v>63</v>
      </c>
      <c r="L738" s="13" t="s">
        <v>37</v>
      </c>
      <c r="M738" s="13" t="s">
        <v>27</v>
      </c>
      <c r="N738" s="14">
        <v>84.98</v>
      </c>
      <c r="O738" s="14">
        <v>84.26</v>
      </c>
      <c r="P738" s="13">
        <v>9.0</v>
      </c>
      <c r="Q738" s="14">
        <f t="shared" si="3"/>
        <v>764.82</v>
      </c>
      <c r="R738" s="14">
        <f t="shared" si="4"/>
        <v>680.56</v>
      </c>
      <c r="S738" s="14">
        <f t="shared" si="5"/>
        <v>84.26</v>
      </c>
    </row>
    <row r="739">
      <c r="A739" s="12">
        <v>43121.0</v>
      </c>
      <c r="B739" s="12" t="s">
        <v>2353</v>
      </c>
      <c r="C739" s="2">
        <v>43125.0</v>
      </c>
      <c r="D739" s="15" t="str">
        <f t="shared" si="1"/>
        <v>Jan</v>
      </c>
      <c r="E739" s="2" t="str">
        <f t="shared" si="2"/>
        <v>2018</v>
      </c>
      <c r="F739" s="13" t="s">
        <v>41</v>
      </c>
      <c r="G739" s="13" t="s">
        <v>32</v>
      </c>
      <c r="H739" s="13" t="s">
        <v>2763</v>
      </c>
      <c r="I739" s="13" t="s">
        <v>68</v>
      </c>
      <c r="J739" s="13" t="s">
        <v>62</v>
      </c>
      <c r="K739" s="13" t="s">
        <v>63</v>
      </c>
      <c r="L739" s="13" t="s">
        <v>37</v>
      </c>
      <c r="M739" s="13" t="s">
        <v>38</v>
      </c>
      <c r="N739" s="14">
        <v>18.72</v>
      </c>
      <c r="O739" s="14">
        <v>17.91</v>
      </c>
      <c r="P739" s="13">
        <v>9.0</v>
      </c>
      <c r="Q739" s="14">
        <f t="shared" si="3"/>
        <v>168.48</v>
      </c>
      <c r="R739" s="14">
        <f t="shared" si="4"/>
        <v>150.57</v>
      </c>
      <c r="S739" s="14">
        <f t="shared" si="5"/>
        <v>17.91</v>
      </c>
    </row>
    <row r="740">
      <c r="A740" s="12">
        <v>42225.0</v>
      </c>
      <c r="B740" s="12" t="s">
        <v>2322</v>
      </c>
      <c r="C740" s="2">
        <v>42347.0</v>
      </c>
      <c r="D740" s="15" t="str">
        <f t="shared" si="1"/>
        <v>Dec</v>
      </c>
      <c r="E740" s="2" t="str">
        <f t="shared" si="2"/>
        <v>2015</v>
      </c>
      <c r="F740" s="13" t="s">
        <v>41</v>
      </c>
      <c r="G740" s="13" t="s">
        <v>2405</v>
      </c>
      <c r="H740" s="13" t="s">
        <v>2421</v>
      </c>
      <c r="I740" s="13" t="s">
        <v>23</v>
      </c>
      <c r="J740" s="13" t="s">
        <v>87</v>
      </c>
      <c r="K740" s="13" t="s">
        <v>52</v>
      </c>
      <c r="L740" s="13" t="s">
        <v>37</v>
      </c>
      <c r="M740" s="13" t="s">
        <v>51</v>
      </c>
      <c r="N740" s="14">
        <v>49.98</v>
      </c>
      <c r="O740" s="14">
        <v>49.18</v>
      </c>
      <c r="P740" s="13">
        <v>9.0</v>
      </c>
      <c r="Q740" s="14">
        <f t="shared" si="3"/>
        <v>449.82</v>
      </c>
      <c r="R740" s="14">
        <f t="shared" si="4"/>
        <v>400.64</v>
      </c>
      <c r="S740" s="14">
        <f t="shared" si="5"/>
        <v>49.18</v>
      </c>
    </row>
    <row r="741">
      <c r="A741" s="12">
        <v>42095.0</v>
      </c>
      <c r="B741" s="12" t="s">
        <v>2332</v>
      </c>
      <c r="C741" s="2">
        <v>42217.0</v>
      </c>
      <c r="D741" s="15" t="str">
        <f t="shared" si="1"/>
        <v>Aug</v>
      </c>
      <c r="E741" s="2" t="str">
        <f t="shared" si="2"/>
        <v>2015</v>
      </c>
      <c r="F741" s="13" t="s">
        <v>41</v>
      </c>
      <c r="G741" s="13" t="s">
        <v>2764</v>
      </c>
      <c r="H741" s="13" t="s">
        <v>2765</v>
      </c>
      <c r="I741" s="13" t="s">
        <v>68</v>
      </c>
      <c r="J741" s="13" t="s">
        <v>134</v>
      </c>
      <c r="K741" s="13" t="s">
        <v>135</v>
      </c>
      <c r="L741" s="13" t="s">
        <v>71</v>
      </c>
      <c r="M741" s="13" t="s">
        <v>38</v>
      </c>
      <c r="N741" s="14">
        <v>11.784</v>
      </c>
      <c r="O741" s="14">
        <v>10.79</v>
      </c>
      <c r="P741" s="13">
        <v>6.0</v>
      </c>
      <c r="Q741" s="14">
        <f t="shared" si="3"/>
        <v>70.704</v>
      </c>
      <c r="R741" s="14">
        <f t="shared" si="4"/>
        <v>59.914</v>
      </c>
      <c r="S741" s="14">
        <f t="shared" si="5"/>
        <v>10.79</v>
      </c>
    </row>
    <row r="742">
      <c r="A742" s="12">
        <v>42095.0</v>
      </c>
      <c r="B742" s="12" t="s">
        <v>2332</v>
      </c>
      <c r="C742" s="2">
        <v>42217.0</v>
      </c>
      <c r="D742" s="15" t="str">
        <f t="shared" si="1"/>
        <v>Aug</v>
      </c>
      <c r="E742" s="2" t="str">
        <f t="shared" si="2"/>
        <v>2015</v>
      </c>
      <c r="F742" s="13" t="s">
        <v>41</v>
      </c>
      <c r="G742" s="13" t="s">
        <v>2764</v>
      </c>
      <c r="H742" s="13" t="s">
        <v>2765</v>
      </c>
      <c r="I742" s="13" t="s">
        <v>68</v>
      </c>
      <c r="J742" s="13" t="s">
        <v>134</v>
      </c>
      <c r="K742" s="13" t="s">
        <v>135</v>
      </c>
      <c r="L742" s="13" t="s">
        <v>71</v>
      </c>
      <c r="M742" s="13" t="s">
        <v>38</v>
      </c>
      <c r="N742" s="14">
        <v>272.736</v>
      </c>
      <c r="O742" s="14">
        <v>271.79</v>
      </c>
      <c r="P742" s="13">
        <v>6.0</v>
      </c>
      <c r="Q742" s="14">
        <f t="shared" si="3"/>
        <v>1636.416</v>
      </c>
      <c r="R742" s="14">
        <f t="shared" si="4"/>
        <v>1364.626</v>
      </c>
      <c r="S742" s="14">
        <f t="shared" si="5"/>
        <v>271.79</v>
      </c>
    </row>
    <row r="743">
      <c r="A743" s="12">
        <v>42095.0</v>
      </c>
      <c r="B743" s="12" t="s">
        <v>2332</v>
      </c>
      <c r="C743" s="2">
        <v>42217.0</v>
      </c>
      <c r="D743" s="15" t="str">
        <f t="shared" si="1"/>
        <v>Aug</v>
      </c>
      <c r="E743" s="2" t="str">
        <f t="shared" si="2"/>
        <v>2015</v>
      </c>
      <c r="F743" s="13" t="s">
        <v>41</v>
      </c>
      <c r="G743" s="13" t="s">
        <v>2764</v>
      </c>
      <c r="H743" s="13" t="s">
        <v>2765</v>
      </c>
      <c r="I743" s="13" t="s">
        <v>68</v>
      </c>
      <c r="J743" s="13" t="s">
        <v>134</v>
      </c>
      <c r="K743" s="13" t="s">
        <v>135</v>
      </c>
      <c r="L743" s="13" t="s">
        <v>71</v>
      </c>
      <c r="M743" s="13" t="s">
        <v>38</v>
      </c>
      <c r="N743" s="14">
        <v>3.54</v>
      </c>
      <c r="O743" s="14">
        <v>3.11</v>
      </c>
      <c r="P743" s="13">
        <v>6.0</v>
      </c>
      <c r="Q743" s="14">
        <f t="shared" si="3"/>
        <v>21.24</v>
      </c>
      <c r="R743" s="14">
        <f t="shared" si="4"/>
        <v>18.13</v>
      </c>
      <c r="S743" s="14">
        <f t="shared" si="5"/>
        <v>3.11</v>
      </c>
    </row>
    <row r="744">
      <c r="A744" s="12">
        <v>42974.0</v>
      </c>
      <c r="B744" s="12" t="s">
        <v>2322</v>
      </c>
      <c r="C744" s="2">
        <v>42744.0</v>
      </c>
      <c r="D744" s="15" t="str">
        <f t="shared" si="1"/>
        <v>Jan</v>
      </c>
      <c r="E744" s="2" t="str">
        <f t="shared" si="2"/>
        <v>2017</v>
      </c>
      <c r="F744" s="13" t="s">
        <v>41</v>
      </c>
      <c r="G744" s="13" t="s">
        <v>2552</v>
      </c>
      <c r="H744" s="13" t="s">
        <v>2766</v>
      </c>
      <c r="I744" s="13" t="s">
        <v>23</v>
      </c>
      <c r="J744" s="13" t="s">
        <v>480</v>
      </c>
      <c r="K744" s="13" t="s">
        <v>70</v>
      </c>
      <c r="L744" s="13" t="s">
        <v>71</v>
      </c>
      <c r="M744" s="13" t="s">
        <v>38</v>
      </c>
      <c r="N744" s="14">
        <v>51.52</v>
      </c>
      <c r="O744" s="14">
        <v>51.13</v>
      </c>
      <c r="P744" s="13">
        <v>7.0</v>
      </c>
      <c r="Q744" s="14">
        <f t="shared" si="3"/>
        <v>360.64</v>
      </c>
      <c r="R744" s="14">
        <f t="shared" si="4"/>
        <v>309.51</v>
      </c>
      <c r="S744" s="14">
        <f t="shared" si="5"/>
        <v>51.13</v>
      </c>
    </row>
    <row r="745">
      <c r="A745" s="12">
        <v>42974.0</v>
      </c>
      <c r="B745" s="12" t="s">
        <v>2322</v>
      </c>
      <c r="C745" s="2">
        <v>42744.0</v>
      </c>
      <c r="D745" s="15" t="str">
        <f t="shared" si="1"/>
        <v>Jan</v>
      </c>
      <c r="E745" s="2" t="str">
        <f t="shared" si="2"/>
        <v>2017</v>
      </c>
      <c r="F745" s="13" t="s">
        <v>41</v>
      </c>
      <c r="G745" s="13" t="s">
        <v>2552</v>
      </c>
      <c r="H745" s="13" t="s">
        <v>2766</v>
      </c>
      <c r="I745" s="13" t="s">
        <v>23</v>
      </c>
      <c r="J745" s="13" t="s">
        <v>480</v>
      </c>
      <c r="K745" s="13" t="s">
        <v>70</v>
      </c>
      <c r="L745" s="13" t="s">
        <v>71</v>
      </c>
      <c r="M745" s="13" t="s">
        <v>38</v>
      </c>
      <c r="N745" s="14">
        <v>3.528</v>
      </c>
      <c r="O745" s="14">
        <v>3.36</v>
      </c>
      <c r="P745" s="13">
        <v>7.0</v>
      </c>
      <c r="Q745" s="14">
        <f t="shared" si="3"/>
        <v>24.696</v>
      </c>
      <c r="R745" s="14">
        <f t="shared" si="4"/>
        <v>21.336</v>
      </c>
      <c r="S745" s="14">
        <f t="shared" si="5"/>
        <v>3.36</v>
      </c>
    </row>
    <row r="746">
      <c r="A746" s="12">
        <v>42974.0</v>
      </c>
      <c r="B746" s="12" t="s">
        <v>2322</v>
      </c>
      <c r="C746" s="2">
        <v>42744.0</v>
      </c>
      <c r="D746" s="15" t="str">
        <f t="shared" si="1"/>
        <v>Jan</v>
      </c>
      <c r="E746" s="2" t="str">
        <f t="shared" si="2"/>
        <v>2017</v>
      </c>
      <c r="F746" s="13" t="s">
        <v>41</v>
      </c>
      <c r="G746" s="13" t="s">
        <v>2552</v>
      </c>
      <c r="H746" s="13" t="s">
        <v>2766</v>
      </c>
      <c r="I746" s="13" t="s">
        <v>23</v>
      </c>
      <c r="J746" s="13" t="s">
        <v>480</v>
      </c>
      <c r="K746" s="13" t="s">
        <v>70</v>
      </c>
      <c r="L746" s="13" t="s">
        <v>71</v>
      </c>
      <c r="M746" s="13" t="s">
        <v>38</v>
      </c>
      <c r="N746" s="14">
        <v>4.624</v>
      </c>
      <c r="O746" s="14">
        <v>4.0</v>
      </c>
      <c r="P746" s="13">
        <v>7.0</v>
      </c>
      <c r="Q746" s="14">
        <f t="shared" si="3"/>
        <v>32.368</v>
      </c>
      <c r="R746" s="14">
        <f t="shared" si="4"/>
        <v>28.368</v>
      </c>
      <c r="S746" s="14">
        <f t="shared" si="5"/>
        <v>4</v>
      </c>
    </row>
    <row r="747">
      <c r="A747" s="12">
        <v>42974.0</v>
      </c>
      <c r="B747" s="12" t="s">
        <v>2322</v>
      </c>
      <c r="C747" s="2">
        <v>42744.0</v>
      </c>
      <c r="D747" s="15" t="str">
        <f t="shared" si="1"/>
        <v>Jan</v>
      </c>
      <c r="E747" s="2" t="str">
        <f t="shared" si="2"/>
        <v>2017</v>
      </c>
      <c r="F747" s="13" t="s">
        <v>41</v>
      </c>
      <c r="G747" s="13" t="s">
        <v>2552</v>
      </c>
      <c r="H747" s="13" t="s">
        <v>2766</v>
      </c>
      <c r="I747" s="13" t="s">
        <v>23</v>
      </c>
      <c r="J747" s="13" t="s">
        <v>480</v>
      </c>
      <c r="K747" s="13" t="s">
        <v>70</v>
      </c>
      <c r="L747" s="13" t="s">
        <v>71</v>
      </c>
      <c r="M747" s="13" t="s">
        <v>38</v>
      </c>
      <c r="N747" s="14">
        <v>55.168</v>
      </c>
      <c r="O747" s="14">
        <v>54.91</v>
      </c>
      <c r="P747" s="13">
        <v>7.0</v>
      </c>
      <c r="Q747" s="14">
        <f t="shared" si="3"/>
        <v>386.176</v>
      </c>
      <c r="R747" s="14">
        <f t="shared" si="4"/>
        <v>331.266</v>
      </c>
      <c r="S747" s="14">
        <f t="shared" si="5"/>
        <v>54.91</v>
      </c>
    </row>
    <row r="748">
      <c r="A748" s="12">
        <v>42151.0</v>
      </c>
      <c r="B748" s="12" t="s">
        <v>2335</v>
      </c>
      <c r="C748" s="2">
        <v>42151.0</v>
      </c>
      <c r="D748" s="15" t="str">
        <f t="shared" si="1"/>
        <v>May</v>
      </c>
      <c r="E748" s="2" t="str">
        <f t="shared" si="2"/>
        <v>2015</v>
      </c>
      <c r="F748" s="13" t="s">
        <v>717</v>
      </c>
      <c r="G748" s="13" t="s">
        <v>2632</v>
      </c>
      <c r="H748" s="13" t="s">
        <v>2633</v>
      </c>
      <c r="I748" s="13" t="s">
        <v>34</v>
      </c>
      <c r="J748" s="13" t="s">
        <v>542</v>
      </c>
      <c r="K748" s="13" t="s">
        <v>52</v>
      </c>
      <c r="L748" s="13" t="s">
        <v>37</v>
      </c>
      <c r="M748" s="13" t="s">
        <v>27</v>
      </c>
      <c r="N748" s="14">
        <v>567.12</v>
      </c>
      <c r="O748" s="14">
        <v>566.93</v>
      </c>
      <c r="P748" s="13">
        <v>9.0</v>
      </c>
      <c r="Q748" s="14">
        <f t="shared" si="3"/>
        <v>5104.08</v>
      </c>
      <c r="R748" s="14">
        <f t="shared" si="4"/>
        <v>4537.15</v>
      </c>
      <c r="S748" s="14">
        <f t="shared" si="5"/>
        <v>566.93</v>
      </c>
    </row>
    <row r="749">
      <c r="A749" s="12">
        <v>42151.0</v>
      </c>
      <c r="B749" s="12" t="s">
        <v>2335</v>
      </c>
      <c r="C749" s="2">
        <v>42151.0</v>
      </c>
      <c r="D749" s="15" t="str">
        <f t="shared" si="1"/>
        <v>May</v>
      </c>
      <c r="E749" s="2" t="str">
        <f t="shared" si="2"/>
        <v>2015</v>
      </c>
      <c r="F749" s="13" t="s">
        <v>717</v>
      </c>
      <c r="G749" s="13" t="s">
        <v>2632</v>
      </c>
      <c r="H749" s="13" t="s">
        <v>2633</v>
      </c>
      <c r="I749" s="13" t="s">
        <v>34</v>
      </c>
      <c r="J749" s="13" t="s">
        <v>542</v>
      </c>
      <c r="K749" s="13" t="s">
        <v>52</v>
      </c>
      <c r="L749" s="13" t="s">
        <v>37</v>
      </c>
      <c r="M749" s="13" t="s">
        <v>38</v>
      </c>
      <c r="N749" s="14">
        <v>359.32</v>
      </c>
      <c r="O749" s="14">
        <v>358.74</v>
      </c>
      <c r="P749" s="13">
        <v>9.0</v>
      </c>
      <c r="Q749" s="14">
        <f t="shared" si="3"/>
        <v>3233.88</v>
      </c>
      <c r="R749" s="14">
        <f t="shared" si="4"/>
        <v>2875.14</v>
      </c>
      <c r="S749" s="14">
        <f t="shared" si="5"/>
        <v>358.74</v>
      </c>
    </row>
    <row r="750">
      <c r="A750" s="12">
        <v>42814.0</v>
      </c>
      <c r="B750" s="12" t="s">
        <v>2399</v>
      </c>
      <c r="C750" s="2">
        <v>42816.0</v>
      </c>
      <c r="D750" s="15" t="str">
        <f t="shared" si="1"/>
        <v>Mar</v>
      </c>
      <c r="E750" s="2" t="str">
        <f t="shared" si="2"/>
        <v>2017</v>
      </c>
      <c r="F750" s="13" t="s">
        <v>20</v>
      </c>
      <c r="G750" s="13" t="s">
        <v>2767</v>
      </c>
      <c r="H750" s="13" t="s">
        <v>2768</v>
      </c>
      <c r="I750" s="13" t="s">
        <v>23</v>
      </c>
      <c r="J750" s="13" t="s">
        <v>1329</v>
      </c>
      <c r="K750" s="13" t="s">
        <v>135</v>
      </c>
      <c r="L750" s="13" t="s">
        <v>71</v>
      </c>
      <c r="M750" s="13" t="s">
        <v>51</v>
      </c>
      <c r="N750" s="14">
        <v>11.992</v>
      </c>
      <c r="O750" s="14">
        <v>11.93</v>
      </c>
      <c r="P750" s="13">
        <v>6.0</v>
      </c>
      <c r="Q750" s="14">
        <f t="shared" si="3"/>
        <v>71.952</v>
      </c>
      <c r="R750" s="14">
        <f t="shared" si="4"/>
        <v>60.022</v>
      </c>
      <c r="S750" s="14">
        <f t="shared" si="5"/>
        <v>11.93</v>
      </c>
    </row>
    <row r="751">
      <c r="A751" s="12">
        <v>43141.0</v>
      </c>
      <c r="B751" s="12" t="s">
        <v>2431</v>
      </c>
      <c r="C751" s="2">
        <v>43261.0</v>
      </c>
      <c r="D751" s="15" t="str">
        <f t="shared" si="1"/>
        <v>Jun</v>
      </c>
      <c r="E751" s="2" t="str">
        <f t="shared" si="2"/>
        <v>2018</v>
      </c>
      <c r="F751" s="13" t="s">
        <v>41</v>
      </c>
      <c r="G751" s="13" t="s">
        <v>2753</v>
      </c>
      <c r="H751" s="13" t="s">
        <v>2769</v>
      </c>
      <c r="I751" s="13" t="s">
        <v>23</v>
      </c>
      <c r="J751" s="13" t="s">
        <v>1333</v>
      </c>
      <c r="K751" s="13" t="s">
        <v>157</v>
      </c>
      <c r="L751" s="13" t="s">
        <v>71</v>
      </c>
      <c r="M751" s="13" t="s">
        <v>38</v>
      </c>
      <c r="N751" s="14">
        <v>58.05</v>
      </c>
      <c r="O751" s="14">
        <v>57.83</v>
      </c>
      <c r="P751" s="13">
        <v>4.0</v>
      </c>
      <c r="Q751" s="14">
        <f t="shared" si="3"/>
        <v>232.2</v>
      </c>
      <c r="R751" s="14">
        <f t="shared" si="4"/>
        <v>174.37</v>
      </c>
      <c r="S751" s="14">
        <f t="shared" si="5"/>
        <v>57.83</v>
      </c>
    </row>
    <row r="752">
      <c r="A752" s="12">
        <v>43141.0</v>
      </c>
      <c r="B752" s="12" t="s">
        <v>2431</v>
      </c>
      <c r="C752" s="2">
        <v>43261.0</v>
      </c>
      <c r="D752" s="15" t="str">
        <f t="shared" si="1"/>
        <v>Jun</v>
      </c>
      <c r="E752" s="2" t="str">
        <f t="shared" si="2"/>
        <v>2018</v>
      </c>
      <c r="F752" s="13" t="s">
        <v>41</v>
      </c>
      <c r="G752" s="13" t="s">
        <v>2753</v>
      </c>
      <c r="H752" s="13" t="s">
        <v>2769</v>
      </c>
      <c r="I752" s="13" t="s">
        <v>23</v>
      </c>
      <c r="J752" s="13" t="s">
        <v>1333</v>
      </c>
      <c r="K752" s="13" t="s">
        <v>157</v>
      </c>
      <c r="L752" s="13" t="s">
        <v>71</v>
      </c>
      <c r="M752" s="13" t="s">
        <v>27</v>
      </c>
      <c r="N752" s="14">
        <v>157.74</v>
      </c>
      <c r="O752" s="14">
        <v>157.37</v>
      </c>
      <c r="P752" s="13">
        <v>4.0</v>
      </c>
      <c r="Q752" s="14">
        <f t="shared" si="3"/>
        <v>630.96</v>
      </c>
      <c r="R752" s="14">
        <f t="shared" si="4"/>
        <v>473.59</v>
      </c>
      <c r="S752" s="14">
        <f t="shared" si="5"/>
        <v>157.37</v>
      </c>
    </row>
    <row r="753">
      <c r="A753" s="12">
        <v>43141.0</v>
      </c>
      <c r="B753" s="12" t="s">
        <v>2431</v>
      </c>
      <c r="C753" s="2">
        <v>43261.0</v>
      </c>
      <c r="D753" s="15" t="str">
        <f t="shared" si="1"/>
        <v>Jun</v>
      </c>
      <c r="E753" s="2" t="str">
        <f t="shared" si="2"/>
        <v>2018</v>
      </c>
      <c r="F753" s="13" t="s">
        <v>41</v>
      </c>
      <c r="G753" s="13" t="s">
        <v>2753</v>
      </c>
      <c r="H753" s="13" t="s">
        <v>2769</v>
      </c>
      <c r="I753" s="13" t="s">
        <v>23</v>
      </c>
      <c r="J753" s="13" t="s">
        <v>1333</v>
      </c>
      <c r="K753" s="13" t="s">
        <v>157</v>
      </c>
      <c r="L753" s="13" t="s">
        <v>71</v>
      </c>
      <c r="M753" s="13" t="s">
        <v>38</v>
      </c>
      <c r="N753" s="14">
        <v>56.98</v>
      </c>
      <c r="O753" s="14">
        <v>56.82</v>
      </c>
      <c r="P753" s="13">
        <v>4.0</v>
      </c>
      <c r="Q753" s="14">
        <f t="shared" si="3"/>
        <v>227.92</v>
      </c>
      <c r="R753" s="14">
        <f t="shared" si="4"/>
        <v>171.1</v>
      </c>
      <c r="S753" s="14">
        <f t="shared" si="5"/>
        <v>56.82</v>
      </c>
    </row>
    <row r="754">
      <c r="A754" s="12">
        <v>43141.0</v>
      </c>
      <c r="B754" s="12" t="s">
        <v>2431</v>
      </c>
      <c r="C754" s="2">
        <v>43261.0</v>
      </c>
      <c r="D754" s="15" t="str">
        <f t="shared" si="1"/>
        <v>Jun</v>
      </c>
      <c r="E754" s="2" t="str">
        <f t="shared" si="2"/>
        <v>2018</v>
      </c>
      <c r="F754" s="13" t="s">
        <v>41</v>
      </c>
      <c r="G754" s="13" t="s">
        <v>2753</v>
      </c>
      <c r="H754" s="13" t="s">
        <v>2769</v>
      </c>
      <c r="I754" s="13" t="s">
        <v>23</v>
      </c>
      <c r="J754" s="13" t="s">
        <v>1333</v>
      </c>
      <c r="K754" s="13" t="s">
        <v>157</v>
      </c>
      <c r="L754" s="13" t="s">
        <v>71</v>
      </c>
      <c r="M754" s="13" t="s">
        <v>38</v>
      </c>
      <c r="N754" s="14">
        <v>2.88</v>
      </c>
      <c r="O754" s="14">
        <v>2.5</v>
      </c>
      <c r="P754" s="13">
        <v>4.0</v>
      </c>
      <c r="Q754" s="14">
        <f t="shared" si="3"/>
        <v>11.52</v>
      </c>
      <c r="R754" s="14">
        <f t="shared" si="4"/>
        <v>9.02</v>
      </c>
      <c r="S754" s="14">
        <f t="shared" si="5"/>
        <v>2.5</v>
      </c>
    </row>
    <row r="755">
      <c r="A755" s="12">
        <v>42920.0</v>
      </c>
      <c r="B755" s="12" t="s">
        <v>2348</v>
      </c>
      <c r="C755" s="2">
        <v>42982.0</v>
      </c>
      <c r="D755" s="15" t="str">
        <f t="shared" si="1"/>
        <v>Sep</v>
      </c>
      <c r="E755" s="2" t="str">
        <f t="shared" si="2"/>
        <v>2017</v>
      </c>
      <c r="F755" s="13" t="s">
        <v>121</v>
      </c>
      <c r="G755" s="13" t="s">
        <v>2770</v>
      </c>
      <c r="H755" s="13" t="s">
        <v>2689</v>
      </c>
      <c r="I755" s="13" t="s">
        <v>34</v>
      </c>
      <c r="J755" s="13" t="s">
        <v>87</v>
      </c>
      <c r="K755" s="13" t="s">
        <v>52</v>
      </c>
      <c r="L755" s="13" t="s">
        <v>37</v>
      </c>
      <c r="M755" s="13" t="s">
        <v>51</v>
      </c>
      <c r="N755" s="14">
        <v>1199.976</v>
      </c>
      <c r="O755" s="14">
        <v>1199.7</v>
      </c>
      <c r="P755" s="13">
        <v>9.0</v>
      </c>
      <c r="Q755" s="14">
        <f t="shared" si="3"/>
        <v>10799.784</v>
      </c>
      <c r="R755" s="14">
        <f t="shared" si="4"/>
        <v>9600.084</v>
      </c>
      <c r="S755" s="14">
        <f t="shared" si="5"/>
        <v>1199.7</v>
      </c>
    </row>
    <row r="756">
      <c r="A756" s="12">
        <v>42563.0</v>
      </c>
      <c r="B756" s="12" t="s">
        <v>2348</v>
      </c>
      <c r="C756" s="2">
        <v>42716.0</v>
      </c>
      <c r="D756" s="15" t="str">
        <f t="shared" si="1"/>
        <v>Dec</v>
      </c>
      <c r="E756" s="2" t="str">
        <f t="shared" si="2"/>
        <v>2016</v>
      </c>
      <c r="F756" s="13" t="s">
        <v>41</v>
      </c>
      <c r="G756" s="13" t="s">
        <v>2690</v>
      </c>
      <c r="H756" s="13" t="s">
        <v>2691</v>
      </c>
      <c r="I756" s="13" t="s">
        <v>23</v>
      </c>
      <c r="J756" s="13" t="s">
        <v>35</v>
      </c>
      <c r="K756" s="13" t="s">
        <v>52</v>
      </c>
      <c r="L756" s="13" t="s">
        <v>37</v>
      </c>
      <c r="M756" s="13" t="s">
        <v>27</v>
      </c>
      <c r="N756" s="14">
        <v>79.92</v>
      </c>
      <c r="O756" s="14">
        <v>79.91</v>
      </c>
      <c r="P756" s="13">
        <v>9.0</v>
      </c>
      <c r="Q756" s="14">
        <f t="shared" si="3"/>
        <v>719.28</v>
      </c>
      <c r="R756" s="14">
        <f t="shared" si="4"/>
        <v>639.37</v>
      </c>
      <c r="S756" s="14">
        <f t="shared" si="5"/>
        <v>79.91</v>
      </c>
    </row>
    <row r="757">
      <c r="A757" s="12">
        <v>42996.0</v>
      </c>
      <c r="B757" s="12" t="s">
        <v>2329</v>
      </c>
      <c r="C757" s="2">
        <v>43000.0</v>
      </c>
      <c r="D757" s="15" t="str">
        <f t="shared" si="1"/>
        <v>Sep</v>
      </c>
      <c r="E757" s="2" t="str">
        <f t="shared" si="2"/>
        <v>2017</v>
      </c>
      <c r="F757" s="13" t="s">
        <v>41</v>
      </c>
      <c r="G757" s="13" t="s">
        <v>2699</v>
      </c>
      <c r="H757" s="13" t="s">
        <v>2700</v>
      </c>
      <c r="I757" s="13" t="s">
        <v>34</v>
      </c>
      <c r="J757" s="13" t="s">
        <v>849</v>
      </c>
      <c r="K757" s="13" t="s">
        <v>145</v>
      </c>
      <c r="L757" s="13" t="s">
        <v>26</v>
      </c>
      <c r="M757" s="13" t="s">
        <v>27</v>
      </c>
      <c r="N757" s="14">
        <v>383.438</v>
      </c>
      <c r="O757" s="14">
        <v>382.77</v>
      </c>
      <c r="P757" s="13">
        <v>3.0</v>
      </c>
      <c r="Q757" s="14">
        <f t="shared" si="3"/>
        <v>1150.314</v>
      </c>
      <c r="R757" s="14">
        <f t="shared" si="4"/>
        <v>767.544</v>
      </c>
      <c r="S757" s="14">
        <f t="shared" si="5"/>
        <v>382.77</v>
      </c>
    </row>
    <row r="758">
      <c r="A758" s="12">
        <v>42367.0</v>
      </c>
      <c r="B758" s="12" t="s">
        <v>2325</v>
      </c>
      <c r="C758" s="2">
        <v>42401.0</v>
      </c>
      <c r="D758" s="15" t="str">
        <f t="shared" si="1"/>
        <v>Feb</v>
      </c>
      <c r="E758" s="2" t="str">
        <f t="shared" si="2"/>
        <v>2016</v>
      </c>
      <c r="F758" s="13" t="s">
        <v>41</v>
      </c>
      <c r="G758" s="13" t="s">
        <v>2771</v>
      </c>
      <c r="H758" s="13" t="s">
        <v>2772</v>
      </c>
      <c r="I758" s="13" t="s">
        <v>23</v>
      </c>
      <c r="J758" s="13" t="s">
        <v>1342</v>
      </c>
      <c r="K758" s="13" t="s">
        <v>151</v>
      </c>
      <c r="L758" s="13" t="s">
        <v>71</v>
      </c>
      <c r="M758" s="13" t="s">
        <v>38</v>
      </c>
      <c r="N758" s="14">
        <v>24.56</v>
      </c>
      <c r="O758" s="14">
        <v>24.04</v>
      </c>
      <c r="P758" s="13">
        <v>5.0</v>
      </c>
      <c r="Q758" s="14">
        <f t="shared" si="3"/>
        <v>122.8</v>
      </c>
      <c r="R758" s="14">
        <f t="shared" si="4"/>
        <v>98.76</v>
      </c>
      <c r="S758" s="14">
        <f t="shared" si="5"/>
        <v>24.04</v>
      </c>
    </row>
    <row r="759">
      <c r="A759" s="12">
        <v>42367.0</v>
      </c>
      <c r="B759" s="12" t="s">
        <v>2325</v>
      </c>
      <c r="C759" s="2">
        <v>42401.0</v>
      </c>
      <c r="D759" s="15" t="str">
        <f t="shared" si="1"/>
        <v>Feb</v>
      </c>
      <c r="E759" s="2" t="str">
        <f t="shared" si="2"/>
        <v>2016</v>
      </c>
      <c r="F759" s="13" t="s">
        <v>41</v>
      </c>
      <c r="G759" s="13" t="s">
        <v>2771</v>
      </c>
      <c r="H759" s="13" t="s">
        <v>2772</v>
      </c>
      <c r="I759" s="13" t="s">
        <v>23</v>
      </c>
      <c r="J759" s="13" t="s">
        <v>1342</v>
      </c>
      <c r="K759" s="13" t="s">
        <v>151</v>
      </c>
      <c r="L759" s="13" t="s">
        <v>71</v>
      </c>
      <c r="M759" s="13" t="s">
        <v>51</v>
      </c>
      <c r="N759" s="14">
        <v>119.8</v>
      </c>
      <c r="O759" s="14">
        <v>119.4</v>
      </c>
      <c r="P759" s="13">
        <v>5.0</v>
      </c>
      <c r="Q759" s="14">
        <f t="shared" si="3"/>
        <v>599</v>
      </c>
      <c r="R759" s="14">
        <f t="shared" si="4"/>
        <v>479.6</v>
      </c>
      <c r="S759" s="14">
        <f t="shared" si="5"/>
        <v>119.4</v>
      </c>
    </row>
    <row r="760">
      <c r="A760" s="12">
        <v>43304.0</v>
      </c>
      <c r="B760" s="12" t="s">
        <v>2348</v>
      </c>
      <c r="C760" s="2">
        <v>43309.0</v>
      </c>
      <c r="D760" s="15" t="str">
        <f t="shared" si="1"/>
        <v>Jul</v>
      </c>
      <c r="E760" s="2" t="str">
        <f t="shared" si="2"/>
        <v>2018</v>
      </c>
      <c r="F760" s="13" t="s">
        <v>41</v>
      </c>
      <c r="G760" s="13" t="s">
        <v>2532</v>
      </c>
      <c r="H760" s="13" t="s">
        <v>2663</v>
      </c>
      <c r="I760" s="13" t="s">
        <v>34</v>
      </c>
      <c r="J760" s="13" t="s">
        <v>174</v>
      </c>
      <c r="K760" s="13" t="s">
        <v>175</v>
      </c>
      <c r="L760" s="13" t="s">
        <v>100</v>
      </c>
      <c r="M760" s="13" t="s">
        <v>38</v>
      </c>
      <c r="N760" s="14">
        <v>13.128</v>
      </c>
      <c r="O760" s="14">
        <v>13.04</v>
      </c>
      <c r="P760" s="13">
        <v>1.0</v>
      </c>
      <c r="Q760" s="14">
        <f t="shared" si="3"/>
        <v>13.128</v>
      </c>
      <c r="R760" s="14">
        <f t="shared" si="4"/>
        <v>0.088</v>
      </c>
      <c r="S760" s="14">
        <f t="shared" si="5"/>
        <v>13.04</v>
      </c>
    </row>
    <row r="761">
      <c r="A761" s="12">
        <v>43361.0</v>
      </c>
      <c r="B761" s="12" t="s">
        <v>2329</v>
      </c>
      <c r="C761" s="2">
        <v>43365.0</v>
      </c>
      <c r="D761" s="15" t="str">
        <f t="shared" si="1"/>
        <v>Sep</v>
      </c>
      <c r="E761" s="2" t="str">
        <f t="shared" si="2"/>
        <v>2018</v>
      </c>
      <c r="F761" s="13" t="s">
        <v>41</v>
      </c>
      <c r="G761" s="13" t="s">
        <v>2535</v>
      </c>
      <c r="H761" s="13" t="s">
        <v>2606</v>
      </c>
      <c r="I761" s="13" t="s">
        <v>34</v>
      </c>
      <c r="J761" s="13" t="s">
        <v>1020</v>
      </c>
      <c r="K761" s="13" t="s">
        <v>77</v>
      </c>
      <c r="L761" s="13" t="s">
        <v>71</v>
      </c>
      <c r="M761" s="13" t="s">
        <v>38</v>
      </c>
      <c r="N761" s="14">
        <v>22.72</v>
      </c>
      <c r="O761" s="14">
        <v>22.7</v>
      </c>
      <c r="P761" s="13">
        <v>5.0</v>
      </c>
      <c r="Q761" s="14">
        <f t="shared" si="3"/>
        <v>113.6</v>
      </c>
      <c r="R761" s="14">
        <f t="shared" si="4"/>
        <v>90.9</v>
      </c>
      <c r="S761" s="14">
        <f t="shared" si="5"/>
        <v>22.7</v>
      </c>
    </row>
    <row r="762">
      <c r="A762" s="12">
        <v>42613.0</v>
      </c>
      <c r="B762" s="12" t="s">
        <v>2322</v>
      </c>
      <c r="C762" s="2">
        <v>42499.0</v>
      </c>
      <c r="D762" s="15" t="str">
        <f t="shared" si="1"/>
        <v>May</v>
      </c>
      <c r="E762" s="2" t="str">
        <f t="shared" si="2"/>
        <v>2016</v>
      </c>
      <c r="F762" s="13" t="s">
        <v>41</v>
      </c>
      <c r="G762" s="13" t="s">
        <v>2333</v>
      </c>
      <c r="H762" s="13" t="s">
        <v>2698</v>
      </c>
      <c r="I762" s="13" t="s">
        <v>23</v>
      </c>
      <c r="J762" s="13" t="s">
        <v>35</v>
      </c>
      <c r="K762" s="13" t="s">
        <v>52</v>
      </c>
      <c r="L762" s="13" t="s">
        <v>37</v>
      </c>
      <c r="M762" s="13" t="s">
        <v>38</v>
      </c>
      <c r="N762" s="14">
        <v>58.32</v>
      </c>
      <c r="O762" s="14">
        <v>58.08</v>
      </c>
      <c r="P762" s="13">
        <v>9.0</v>
      </c>
      <c r="Q762" s="14">
        <f t="shared" si="3"/>
        <v>524.88</v>
      </c>
      <c r="R762" s="14">
        <f t="shared" si="4"/>
        <v>466.8</v>
      </c>
      <c r="S762" s="14">
        <f t="shared" si="5"/>
        <v>58.08</v>
      </c>
    </row>
    <row r="763">
      <c r="A763" s="12">
        <v>43170.0</v>
      </c>
      <c r="B763" s="12" t="s">
        <v>2399</v>
      </c>
      <c r="C763" s="2">
        <v>43292.0</v>
      </c>
      <c r="D763" s="15" t="str">
        <f t="shared" si="1"/>
        <v>Jul</v>
      </c>
      <c r="E763" s="2" t="str">
        <f t="shared" si="2"/>
        <v>2018</v>
      </c>
      <c r="F763" s="13" t="s">
        <v>41</v>
      </c>
      <c r="G763" s="13" t="s">
        <v>2400</v>
      </c>
      <c r="H763" s="13" t="s">
        <v>2401</v>
      </c>
      <c r="I763" s="13" t="s">
        <v>34</v>
      </c>
      <c r="J763" s="13" t="s">
        <v>958</v>
      </c>
      <c r="K763" s="13" t="s">
        <v>707</v>
      </c>
      <c r="L763" s="13" t="s">
        <v>26</v>
      </c>
      <c r="M763" s="13" t="s">
        <v>38</v>
      </c>
      <c r="N763" s="14">
        <v>12.39</v>
      </c>
      <c r="O763" s="14">
        <v>11.81</v>
      </c>
      <c r="P763" s="13">
        <v>3.0</v>
      </c>
      <c r="Q763" s="14">
        <f t="shared" si="3"/>
        <v>37.17</v>
      </c>
      <c r="R763" s="14">
        <f t="shared" si="4"/>
        <v>25.36</v>
      </c>
      <c r="S763" s="14">
        <f t="shared" si="5"/>
        <v>11.81</v>
      </c>
    </row>
    <row r="764">
      <c r="A764" s="12">
        <v>42584.0</v>
      </c>
      <c r="B764" s="12" t="s">
        <v>2322</v>
      </c>
      <c r="C764" s="2">
        <v>42413.0</v>
      </c>
      <c r="D764" s="15" t="str">
        <f t="shared" si="1"/>
        <v>Feb</v>
      </c>
      <c r="E764" s="2" t="str">
        <f t="shared" si="2"/>
        <v>2016</v>
      </c>
      <c r="F764" s="13" t="s">
        <v>41</v>
      </c>
      <c r="G764" s="13" t="s">
        <v>2773</v>
      </c>
      <c r="H764" s="13" t="s">
        <v>2774</v>
      </c>
      <c r="I764" s="13" t="s">
        <v>23</v>
      </c>
      <c r="J764" s="13" t="s">
        <v>303</v>
      </c>
      <c r="K764" s="13" t="s">
        <v>304</v>
      </c>
      <c r="L764" s="13" t="s">
        <v>100</v>
      </c>
      <c r="M764" s="13" t="s">
        <v>51</v>
      </c>
      <c r="N764" s="14">
        <v>107.982</v>
      </c>
      <c r="O764" s="14">
        <v>107.03</v>
      </c>
      <c r="P764" s="13">
        <v>4.0</v>
      </c>
      <c r="Q764" s="14">
        <f t="shared" si="3"/>
        <v>431.928</v>
      </c>
      <c r="R764" s="14">
        <f t="shared" si="4"/>
        <v>324.898</v>
      </c>
      <c r="S764" s="14">
        <f t="shared" si="5"/>
        <v>107.03</v>
      </c>
    </row>
    <row r="765">
      <c r="A765" s="12">
        <v>42017.0</v>
      </c>
      <c r="B765" s="12" t="s">
        <v>2353</v>
      </c>
      <c r="C765" s="2">
        <v>42019.0</v>
      </c>
      <c r="D765" s="15" t="str">
        <f t="shared" si="1"/>
        <v>Jan</v>
      </c>
      <c r="E765" s="2" t="str">
        <f t="shared" si="2"/>
        <v>2015</v>
      </c>
      <c r="F765" s="13" t="s">
        <v>20</v>
      </c>
      <c r="G765" s="13" t="s">
        <v>2775</v>
      </c>
      <c r="H765" s="13" t="s">
        <v>2776</v>
      </c>
      <c r="I765" s="13" t="s">
        <v>34</v>
      </c>
      <c r="J765" s="13" t="s">
        <v>1360</v>
      </c>
      <c r="K765" s="13" t="s">
        <v>430</v>
      </c>
      <c r="L765" s="13" t="s">
        <v>26</v>
      </c>
      <c r="M765" s="13" t="s">
        <v>38</v>
      </c>
      <c r="N765" s="14">
        <v>11.36</v>
      </c>
      <c r="O765" s="14">
        <v>10.46</v>
      </c>
      <c r="P765" s="13">
        <v>7.0</v>
      </c>
      <c r="Q765" s="14">
        <f t="shared" si="3"/>
        <v>79.52</v>
      </c>
      <c r="R765" s="14">
        <f t="shared" si="4"/>
        <v>69.06</v>
      </c>
      <c r="S765" s="14">
        <f t="shared" si="5"/>
        <v>10.46</v>
      </c>
    </row>
    <row r="766">
      <c r="A766" s="12">
        <v>42017.0</v>
      </c>
      <c r="B766" s="12" t="s">
        <v>2353</v>
      </c>
      <c r="C766" s="2">
        <v>42019.0</v>
      </c>
      <c r="D766" s="15" t="str">
        <f t="shared" si="1"/>
        <v>Jan</v>
      </c>
      <c r="E766" s="2" t="str">
        <f t="shared" si="2"/>
        <v>2015</v>
      </c>
      <c r="F766" s="13" t="s">
        <v>20</v>
      </c>
      <c r="G766" s="13" t="s">
        <v>2775</v>
      </c>
      <c r="H766" s="13" t="s">
        <v>2776</v>
      </c>
      <c r="I766" s="13" t="s">
        <v>34</v>
      </c>
      <c r="J766" s="13" t="s">
        <v>1360</v>
      </c>
      <c r="K766" s="13" t="s">
        <v>430</v>
      </c>
      <c r="L766" s="13" t="s">
        <v>26</v>
      </c>
      <c r="M766" s="13" t="s">
        <v>38</v>
      </c>
      <c r="N766" s="14">
        <v>50.94</v>
      </c>
      <c r="O766" s="14">
        <v>50.37</v>
      </c>
      <c r="P766" s="13">
        <v>7.0</v>
      </c>
      <c r="Q766" s="14">
        <f t="shared" si="3"/>
        <v>356.58</v>
      </c>
      <c r="R766" s="14">
        <f t="shared" si="4"/>
        <v>306.21</v>
      </c>
      <c r="S766" s="14">
        <f t="shared" si="5"/>
        <v>50.37</v>
      </c>
    </row>
    <row r="767">
      <c r="A767" s="12">
        <v>42017.0</v>
      </c>
      <c r="B767" s="12" t="s">
        <v>2353</v>
      </c>
      <c r="C767" s="2">
        <v>42019.0</v>
      </c>
      <c r="D767" s="15" t="str">
        <f t="shared" si="1"/>
        <v>Jan</v>
      </c>
      <c r="E767" s="2" t="str">
        <f t="shared" si="2"/>
        <v>2015</v>
      </c>
      <c r="F767" s="13" t="s">
        <v>20</v>
      </c>
      <c r="G767" s="13" t="s">
        <v>2775</v>
      </c>
      <c r="H767" s="13" t="s">
        <v>2776</v>
      </c>
      <c r="I767" s="13" t="s">
        <v>34</v>
      </c>
      <c r="J767" s="13" t="s">
        <v>1360</v>
      </c>
      <c r="K767" s="13" t="s">
        <v>430</v>
      </c>
      <c r="L767" s="13" t="s">
        <v>26</v>
      </c>
      <c r="M767" s="13" t="s">
        <v>51</v>
      </c>
      <c r="N767" s="14">
        <v>646.74</v>
      </c>
      <c r="O767" s="14">
        <v>646.38</v>
      </c>
      <c r="P767" s="13">
        <v>7.0</v>
      </c>
      <c r="Q767" s="14">
        <f t="shared" si="3"/>
        <v>4527.18</v>
      </c>
      <c r="R767" s="14">
        <f t="shared" si="4"/>
        <v>3880.8</v>
      </c>
      <c r="S767" s="14">
        <f t="shared" si="5"/>
        <v>646.38</v>
      </c>
    </row>
    <row r="768">
      <c r="A768" s="12">
        <v>42017.0</v>
      </c>
      <c r="B768" s="12" t="s">
        <v>2353</v>
      </c>
      <c r="C768" s="2">
        <v>42019.0</v>
      </c>
      <c r="D768" s="15" t="str">
        <f t="shared" si="1"/>
        <v>Jan</v>
      </c>
      <c r="E768" s="2" t="str">
        <f t="shared" si="2"/>
        <v>2015</v>
      </c>
      <c r="F768" s="13" t="s">
        <v>20</v>
      </c>
      <c r="G768" s="13" t="s">
        <v>2775</v>
      </c>
      <c r="H768" s="13" t="s">
        <v>2776</v>
      </c>
      <c r="I768" s="13" t="s">
        <v>34</v>
      </c>
      <c r="J768" s="13" t="s">
        <v>1360</v>
      </c>
      <c r="K768" s="13" t="s">
        <v>430</v>
      </c>
      <c r="L768" s="13" t="s">
        <v>26</v>
      </c>
      <c r="M768" s="13" t="s">
        <v>38</v>
      </c>
      <c r="N768" s="14">
        <v>5.64</v>
      </c>
      <c r="O768" s="14">
        <v>4.98</v>
      </c>
      <c r="P768" s="13">
        <v>7.0</v>
      </c>
      <c r="Q768" s="14">
        <f t="shared" si="3"/>
        <v>39.48</v>
      </c>
      <c r="R768" s="14">
        <f t="shared" si="4"/>
        <v>34.5</v>
      </c>
      <c r="S768" s="14">
        <f t="shared" si="5"/>
        <v>4.98</v>
      </c>
    </row>
    <row r="769">
      <c r="A769" s="12">
        <v>42017.0</v>
      </c>
      <c r="B769" s="12" t="s">
        <v>2353</v>
      </c>
      <c r="C769" s="2">
        <v>42019.0</v>
      </c>
      <c r="D769" s="15" t="str">
        <f t="shared" si="1"/>
        <v>Jan</v>
      </c>
      <c r="E769" s="2" t="str">
        <f t="shared" si="2"/>
        <v>2015</v>
      </c>
      <c r="F769" s="13" t="s">
        <v>20</v>
      </c>
      <c r="G769" s="13" t="s">
        <v>2775</v>
      </c>
      <c r="H769" s="13" t="s">
        <v>2776</v>
      </c>
      <c r="I769" s="13" t="s">
        <v>34</v>
      </c>
      <c r="J769" s="13" t="s">
        <v>1360</v>
      </c>
      <c r="K769" s="13" t="s">
        <v>430</v>
      </c>
      <c r="L769" s="13" t="s">
        <v>26</v>
      </c>
      <c r="M769" s="13" t="s">
        <v>38</v>
      </c>
      <c r="N769" s="14">
        <v>572.58</v>
      </c>
      <c r="O769" s="14">
        <v>572.37</v>
      </c>
      <c r="P769" s="13">
        <v>7.0</v>
      </c>
      <c r="Q769" s="14">
        <f t="shared" si="3"/>
        <v>4008.06</v>
      </c>
      <c r="R769" s="14">
        <f t="shared" si="4"/>
        <v>3435.69</v>
      </c>
      <c r="S769" s="14">
        <f t="shared" si="5"/>
        <v>572.37</v>
      </c>
    </row>
    <row r="770">
      <c r="A770" s="12">
        <v>42138.0</v>
      </c>
      <c r="B770" s="12" t="s">
        <v>2335</v>
      </c>
      <c r="C770" s="2">
        <v>42144.0</v>
      </c>
      <c r="D770" s="15" t="str">
        <f t="shared" si="1"/>
        <v>May</v>
      </c>
      <c r="E770" s="2" t="str">
        <f t="shared" si="2"/>
        <v>2015</v>
      </c>
      <c r="F770" s="13" t="s">
        <v>41</v>
      </c>
      <c r="G770" s="13" t="s">
        <v>2723</v>
      </c>
      <c r="H770" s="13" t="s">
        <v>2777</v>
      </c>
      <c r="I770" s="13" t="s">
        <v>34</v>
      </c>
      <c r="J770" s="13" t="s">
        <v>642</v>
      </c>
      <c r="K770" s="13" t="s">
        <v>145</v>
      </c>
      <c r="L770" s="13" t="s">
        <v>26</v>
      </c>
      <c r="M770" s="13" t="s">
        <v>27</v>
      </c>
      <c r="N770" s="14">
        <v>310.88</v>
      </c>
      <c r="O770" s="14">
        <v>310.63</v>
      </c>
      <c r="P770" s="13">
        <v>3.0</v>
      </c>
      <c r="Q770" s="14">
        <f t="shared" si="3"/>
        <v>932.64</v>
      </c>
      <c r="R770" s="14">
        <f t="shared" si="4"/>
        <v>622.01</v>
      </c>
      <c r="S770" s="14">
        <f t="shared" si="5"/>
        <v>310.63</v>
      </c>
    </row>
    <row r="771">
      <c r="A771" s="12">
        <v>42874.0</v>
      </c>
      <c r="B771" s="12" t="s">
        <v>2335</v>
      </c>
      <c r="C771" s="2">
        <v>42879.0</v>
      </c>
      <c r="D771" s="15" t="str">
        <f t="shared" si="1"/>
        <v>May</v>
      </c>
      <c r="E771" s="2" t="str">
        <f t="shared" si="2"/>
        <v>2017</v>
      </c>
      <c r="F771" s="13" t="s">
        <v>41</v>
      </c>
      <c r="G771" s="13" t="s">
        <v>2503</v>
      </c>
      <c r="H771" s="13" t="s">
        <v>2504</v>
      </c>
      <c r="I771" s="13" t="s">
        <v>23</v>
      </c>
      <c r="J771" s="13" t="s">
        <v>628</v>
      </c>
      <c r="K771" s="13" t="s">
        <v>198</v>
      </c>
      <c r="L771" s="13" t="s">
        <v>26</v>
      </c>
      <c r="M771" s="13" t="s">
        <v>27</v>
      </c>
      <c r="N771" s="14">
        <v>641.96</v>
      </c>
      <c r="O771" s="14">
        <v>641.65</v>
      </c>
      <c r="P771" s="13">
        <v>2.0</v>
      </c>
      <c r="Q771" s="14">
        <f t="shared" si="3"/>
        <v>1283.92</v>
      </c>
      <c r="R771" s="14">
        <f t="shared" si="4"/>
        <v>642.27</v>
      </c>
      <c r="S771" s="14">
        <f t="shared" si="5"/>
        <v>641.65</v>
      </c>
    </row>
    <row r="772">
      <c r="A772" s="12">
        <v>43130.0</v>
      </c>
      <c r="B772" s="12" t="s">
        <v>2353</v>
      </c>
      <c r="C772" s="2">
        <v>43222.0</v>
      </c>
      <c r="D772" s="15" t="str">
        <f t="shared" si="1"/>
        <v>May</v>
      </c>
      <c r="E772" s="2" t="str">
        <f t="shared" si="2"/>
        <v>2018</v>
      </c>
      <c r="F772" s="13" t="s">
        <v>41</v>
      </c>
      <c r="G772" s="13" t="s">
        <v>2778</v>
      </c>
      <c r="H772" s="13" t="s">
        <v>2779</v>
      </c>
      <c r="I772" s="13" t="s">
        <v>34</v>
      </c>
      <c r="J772" s="13" t="s">
        <v>767</v>
      </c>
      <c r="K772" s="13" t="s">
        <v>298</v>
      </c>
      <c r="L772" s="13" t="s">
        <v>71</v>
      </c>
      <c r="M772" s="13" t="s">
        <v>38</v>
      </c>
      <c r="N772" s="14">
        <v>18.28</v>
      </c>
      <c r="O772" s="14">
        <v>17.68</v>
      </c>
      <c r="P772" s="13">
        <v>5.0</v>
      </c>
      <c r="Q772" s="14">
        <f t="shared" si="3"/>
        <v>91.4</v>
      </c>
      <c r="R772" s="14">
        <f t="shared" si="4"/>
        <v>73.72</v>
      </c>
      <c r="S772" s="14">
        <f t="shared" si="5"/>
        <v>17.68</v>
      </c>
    </row>
    <row r="773">
      <c r="A773" s="12">
        <v>43130.0</v>
      </c>
      <c r="B773" s="12" t="s">
        <v>2353</v>
      </c>
      <c r="C773" s="2">
        <v>43222.0</v>
      </c>
      <c r="D773" s="15" t="str">
        <f t="shared" si="1"/>
        <v>May</v>
      </c>
      <c r="E773" s="2" t="str">
        <f t="shared" si="2"/>
        <v>2018</v>
      </c>
      <c r="F773" s="13" t="s">
        <v>41</v>
      </c>
      <c r="G773" s="13" t="s">
        <v>2778</v>
      </c>
      <c r="H773" s="13" t="s">
        <v>2779</v>
      </c>
      <c r="I773" s="13" t="s">
        <v>34</v>
      </c>
      <c r="J773" s="13" t="s">
        <v>767</v>
      </c>
      <c r="K773" s="13" t="s">
        <v>298</v>
      </c>
      <c r="L773" s="13" t="s">
        <v>71</v>
      </c>
      <c r="M773" s="13" t="s">
        <v>51</v>
      </c>
      <c r="N773" s="14">
        <v>207.0</v>
      </c>
      <c r="O773" s="14">
        <v>206.73</v>
      </c>
      <c r="P773" s="13">
        <v>5.0</v>
      </c>
      <c r="Q773" s="14">
        <f t="shared" si="3"/>
        <v>1035</v>
      </c>
      <c r="R773" s="14">
        <f t="shared" si="4"/>
        <v>828.27</v>
      </c>
      <c r="S773" s="14">
        <f t="shared" si="5"/>
        <v>206.73</v>
      </c>
    </row>
    <row r="774">
      <c r="A774" s="12">
        <v>43130.0</v>
      </c>
      <c r="B774" s="12" t="s">
        <v>2353</v>
      </c>
      <c r="C774" s="2">
        <v>43222.0</v>
      </c>
      <c r="D774" s="15" t="str">
        <f t="shared" si="1"/>
        <v>May</v>
      </c>
      <c r="E774" s="2" t="str">
        <f t="shared" si="2"/>
        <v>2018</v>
      </c>
      <c r="F774" s="13" t="s">
        <v>41</v>
      </c>
      <c r="G774" s="13" t="s">
        <v>2778</v>
      </c>
      <c r="H774" s="13" t="s">
        <v>2779</v>
      </c>
      <c r="I774" s="13" t="s">
        <v>34</v>
      </c>
      <c r="J774" s="13" t="s">
        <v>767</v>
      </c>
      <c r="K774" s="13" t="s">
        <v>298</v>
      </c>
      <c r="L774" s="13" t="s">
        <v>71</v>
      </c>
      <c r="M774" s="13" t="s">
        <v>38</v>
      </c>
      <c r="N774" s="14">
        <v>32.35</v>
      </c>
      <c r="O774" s="14">
        <v>31.87</v>
      </c>
      <c r="P774" s="13">
        <v>5.0</v>
      </c>
      <c r="Q774" s="14">
        <f t="shared" si="3"/>
        <v>161.75</v>
      </c>
      <c r="R774" s="14">
        <f t="shared" si="4"/>
        <v>129.88</v>
      </c>
      <c r="S774" s="14">
        <f t="shared" si="5"/>
        <v>31.87</v>
      </c>
    </row>
    <row r="775">
      <c r="A775" s="12">
        <v>43130.0</v>
      </c>
      <c r="B775" s="12" t="s">
        <v>2353</v>
      </c>
      <c r="C775" s="2">
        <v>43222.0</v>
      </c>
      <c r="D775" s="15" t="str">
        <f t="shared" si="1"/>
        <v>May</v>
      </c>
      <c r="E775" s="2" t="str">
        <f t="shared" si="2"/>
        <v>2018</v>
      </c>
      <c r="F775" s="13" t="s">
        <v>41</v>
      </c>
      <c r="G775" s="13" t="s">
        <v>2778</v>
      </c>
      <c r="H775" s="13" t="s">
        <v>2779</v>
      </c>
      <c r="I775" s="13" t="s">
        <v>34</v>
      </c>
      <c r="J775" s="13" t="s">
        <v>767</v>
      </c>
      <c r="K775" s="13" t="s">
        <v>298</v>
      </c>
      <c r="L775" s="13" t="s">
        <v>71</v>
      </c>
      <c r="M775" s="13" t="s">
        <v>38</v>
      </c>
      <c r="N775" s="14">
        <v>7.71</v>
      </c>
      <c r="O775" s="14">
        <v>6.77</v>
      </c>
      <c r="P775" s="13">
        <v>5.0</v>
      </c>
      <c r="Q775" s="14">
        <f t="shared" si="3"/>
        <v>38.55</v>
      </c>
      <c r="R775" s="14">
        <f t="shared" si="4"/>
        <v>31.78</v>
      </c>
      <c r="S775" s="14">
        <f t="shared" si="5"/>
        <v>6.77</v>
      </c>
    </row>
    <row r="776">
      <c r="A776" s="12">
        <v>43130.0</v>
      </c>
      <c r="B776" s="12" t="s">
        <v>2353</v>
      </c>
      <c r="C776" s="2">
        <v>43222.0</v>
      </c>
      <c r="D776" s="15" t="str">
        <f t="shared" si="1"/>
        <v>May</v>
      </c>
      <c r="E776" s="2" t="str">
        <f t="shared" si="2"/>
        <v>2018</v>
      </c>
      <c r="F776" s="13" t="s">
        <v>41</v>
      </c>
      <c r="G776" s="13" t="s">
        <v>2778</v>
      </c>
      <c r="H776" s="13" t="s">
        <v>2779</v>
      </c>
      <c r="I776" s="13" t="s">
        <v>34</v>
      </c>
      <c r="J776" s="13" t="s">
        <v>767</v>
      </c>
      <c r="K776" s="13" t="s">
        <v>298</v>
      </c>
      <c r="L776" s="13" t="s">
        <v>71</v>
      </c>
      <c r="M776" s="13" t="s">
        <v>38</v>
      </c>
      <c r="N776" s="14">
        <v>40.3</v>
      </c>
      <c r="O776" s="14">
        <v>39.34</v>
      </c>
      <c r="P776" s="13">
        <v>5.0</v>
      </c>
      <c r="Q776" s="14">
        <f t="shared" si="3"/>
        <v>201.5</v>
      </c>
      <c r="R776" s="14">
        <f t="shared" si="4"/>
        <v>162.16</v>
      </c>
      <c r="S776" s="14">
        <f t="shared" si="5"/>
        <v>39.34</v>
      </c>
    </row>
    <row r="777">
      <c r="A777" s="12">
        <v>43130.0</v>
      </c>
      <c r="B777" s="12" t="s">
        <v>2353</v>
      </c>
      <c r="C777" s="2">
        <v>43222.0</v>
      </c>
      <c r="D777" s="15" t="str">
        <f t="shared" si="1"/>
        <v>May</v>
      </c>
      <c r="E777" s="2" t="str">
        <f t="shared" si="2"/>
        <v>2018</v>
      </c>
      <c r="F777" s="13" t="s">
        <v>41</v>
      </c>
      <c r="G777" s="13" t="s">
        <v>2778</v>
      </c>
      <c r="H777" s="13" t="s">
        <v>2779</v>
      </c>
      <c r="I777" s="13" t="s">
        <v>34</v>
      </c>
      <c r="J777" s="13" t="s">
        <v>767</v>
      </c>
      <c r="K777" s="13" t="s">
        <v>298</v>
      </c>
      <c r="L777" s="13" t="s">
        <v>71</v>
      </c>
      <c r="M777" s="13" t="s">
        <v>27</v>
      </c>
      <c r="N777" s="14">
        <v>34.58</v>
      </c>
      <c r="O777" s="14">
        <v>33.95</v>
      </c>
      <c r="P777" s="13">
        <v>5.0</v>
      </c>
      <c r="Q777" s="14">
        <f t="shared" si="3"/>
        <v>172.9</v>
      </c>
      <c r="R777" s="14">
        <f t="shared" si="4"/>
        <v>138.95</v>
      </c>
      <c r="S777" s="14">
        <f t="shared" si="5"/>
        <v>33.95</v>
      </c>
    </row>
    <row r="778">
      <c r="A778" s="12">
        <v>42184.0</v>
      </c>
      <c r="B778" s="12" t="s">
        <v>2374</v>
      </c>
      <c r="C778" s="2">
        <v>42162.0</v>
      </c>
      <c r="D778" s="15" t="str">
        <f t="shared" si="1"/>
        <v>Jun</v>
      </c>
      <c r="E778" s="2" t="str">
        <f t="shared" si="2"/>
        <v>2015</v>
      </c>
      <c r="F778" s="13" t="s">
        <v>41</v>
      </c>
      <c r="G778" s="13" t="s">
        <v>2521</v>
      </c>
      <c r="H778" s="13" t="s">
        <v>2780</v>
      </c>
      <c r="I778" s="13" t="s">
        <v>23</v>
      </c>
      <c r="J778" s="13" t="s">
        <v>579</v>
      </c>
      <c r="K778" s="13" t="s">
        <v>304</v>
      </c>
      <c r="L778" s="13" t="s">
        <v>100</v>
      </c>
      <c r="M778" s="13" t="s">
        <v>38</v>
      </c>
      <c r="N778" s="14">
        <v>32.76</v>
      </c>
      <c r="O778" s="14">
        <v>32.5</v>
      </c>
      <c r="P778" s="13">
        <v>4.0</v>
      </c>
      <c r="Q778" s="14">
        <f t="shared" si="3"/>
        <v>131.04</v>
      </c>
      <c r="R778" s="14">
        <f t="shared" si="4"/>
        <v>98.54</v>
      </c>
      <c r="S778" s="14">
        <f t="shared" si="5"/>
        <v>32.5</v>
      </c>
    </row>
    <row r="779">
      <c r="A779" s="12">
        <v>42603.0</v>
      </c>
      <c r="B779" s="12" t="s">
        <v>2322</v>
      </c>
      <c r="C779" s="2">
        <v>42605.0</v>
      </c>
      <c r="D779" s="15" t="str">
        <f t="shared" si="1"/>
        <v>Aug</v>
      </c>
      <c r="E779" s="2" t="str">
        <f t="shared" si="2"/>
        <v>2016</v>
      </c>
      <c r="F779" s="13" t="s">
        <v>121</v>
      </c>
      <c r="G779" s="13" t="s">
        <v>2540</v>
      </c>
      <c r="H779" s="13" t="s">
        <v>2421</v>
      </c>
      <c r="I779" s="13" t="s">
        <v>68</v>
      </c>
      <c r="J779" s="13" t="s">
        <v>87</v>
      </c>
      <c r="K779" s="13" t="s">
        <v>52</v>
      </c>
      <c r="L779" s="13" t="s">
        <v>37</v>
      </c>
      <c r="M779" s="13" t="s">
        <v>27</v>
      </c>
      <c r="N779" s="14">
        <v>544.008</v>
      </c>
      <c r="O779" s="14">
        <v>543.32</v>
      </c>
      <c r="P779" s="13">
        <v>9.0</v>
      </c>
      <c r="Q779" s="14">
        <f t="shared" si="3"/>
        <v>4896.072</v>
      </c>
      <c r="R779" s="14">
        <f t="shared" si="4"/>
        <v>4352.752</v>
      </c>
      <c r="S779" s="14">
        <f t="shared" si="5"/>
        <v>543.32</v>
      </c>
    </row>
    <row r="780">
      <c r="A780" s="12">
        <v>42603.0</v>
      </c>
      <c r="B780" s="12" t="s">
        <v>2322</v>
      </c>
      <c r="C780" s="2">
        <v>42605.0</v>
      </c>
      <c r="D780" s="15" t="str">
        <f t="shared" si="1"/>
        <v>Aug</v>
      </c>
      <c r="E780" s="2" t="str">
        <f t="shared" si="2"/>
        <v>2016</v>
      </c>
      <c r="F780" s="13" t="s">
        <v>121</v>
      </c>
      <c r="G780" s="13" t="s">
        <v>2540</v>
      </c>
      <c r="H780" s="13" t="s">
        <v>2421</v>
      </c>
      <c r="I780" s="13" t="s">
        <v>68</v>
      </c>
      <c r="J780" s="13" t="s">
        <v>87</v>
      </c>
      <c r="K780" s="13" t="s">
        <v>52</v>
      </c>
      <c r="L780" s="13" t="s">
        <v>37</v>
      </c>
      <c r="M780" s="13" t="s">
        <v>38</v>
      </c>
      <c r="N780" s="14">
        <v>59.94</v>
      </c>
      <c r="O780" s="14">
        <v>59.49</v>
      </c>
      <c r="P780" s="13">
        <v>9.0</v>
      </c>
      <c r="Q780" s="14">
        <f t="shared" si="3"/>
        <v>539.46</v>
      </c>
      <c r="R780" s="14">
        <f t="shared" si="4"/>
        <v>479.97</v>
      </c>
      <c r="S780" s="14">
        <f t="shared" si="5"/>
        <v>59.49</v>
      </c>
    </row>
    <row r="781">
      <c r="A781" s="12">
        <v>42603.0</v>
      </c>
      <c r="B781" s="12" t="s">
        <v>2322</v>
      </c>
      <c r="C781" s="2">
        <v>42605.0</v>
      </c>
      <c r="D781" s="15" t="str">
        <f t="shared" si="1"/>
        <v>Aug</v>
      </c>
      <c r="E781" s="2" t="str">
        <f t="shared" si="2"/>
        <v>2016</v>
      </c>
      <c r="F781" s="13" t="s">
        <v>121</v>
      </c>
      <c r="G781" s="13" t="s">
        <v>2540</v>
      </c>
      <c r="H781" s="13" t="s">
        <v>2421</v>
      </c>
      <c r="I781" s="13" t="s">
        <v>68</v>
      </c>
      <c r="J781" s="13" t="s">
        <v>87</v>
      </c>
      <c r="K781" s="13" t="s">
        <v>52</v>
      </c>
      <c r="L781" s="13" t="s">
        <v>37</v>
      </c>
      <c r="M781" s="13" t="s">
        <v>38</v>
      </c>
      <c r="N781" s="14">
        <v>23.92</v>
      </c>
      <c r="O781" s="14">
        <v>23.61</v>
      </c>
      <c r="P781" s="13">
        <v>9.0</v>
      </c>
      <c r="Q781" s="14">
        <f t="shared" si="3"/>
        <v>215.28</v>
      </c>
      <c r="R781" s="14">
        <f t="shared" si="4"/>
        <v>191.67</v>
      </c>
      <c r="S781" s="14">
        <f t="shared" si="5"/>
        <v>23.61</v>
      </c>
    </row>
    <row r="782">
      <c r="A782" s="12">
        <v>42603.0</v>
      </c>
      <c r="B782" s="12" t="s">
        <v>2322</v>
      </c>
      <c r="C782" s="2">
        <v>42605.0</v>
      </c>
      <c r="D782" s="15" t="str">
        <f t="shared" si="1"/>
        <v>Aug</v>
      </c>
      <c r="E782" s="2" t="str">
        <f t="shared" si="2"/>
        <v>2016</v>
      </c>
      <c r="F782" s="13" t="s">
        <v>121</v>
      </c>
      <c r="G782" s="13" t="s">
        <v>2540</v>
      </c>
      <c r="H782" s="13" t="s">
        <v>2421</v>
      </c>
      <c r="I782" s="13" t="s">
        <v>68</v>
      </c>
      <c r="J782" s="13" t="s">
        <v>87</v>
      </c>
      <c r="K782" s="13" t="s">
        <v>52</v>
      </c>
      <c r="L782" s="13" t="s">
        <v>37</v>
      </c>
      <c r="M782" s="13" t="s">
        <v>38</v>
      </c>
      <c r="N782" s="14">
        <v>4.28</v>
      </c>
      <c r="O782" s="14">
        <v>4.07</v>
      </c>
      <c r="P782" s="13">
        <v>9.0</v>
      </c>
      <c r="Q782" s="14">
        <f t="shared" si="3"/>
        <v>38.52</v>
      </c>
      <c r="R782" s="14">
        <f t="shared" si="4"/>
        <v>34.45</v>
      </c>
      <c r="S782" s="14">
        <f t="shared" si="5"/>
        <v>4.07</v>
      </c>
    </row>
    <row r="783">
      <c r="A783" s="12">
        <v>42439.0</v>
      </c>
      <c r="B783" s="12" t="s">
        <v>2399</v>
      </c>
      <c r="C783" s="2">
        <v>42531.0</v>
      </c>
      <c r="D783" s="15" t="str">
        <f t="shared" si="1"/>
        <v>Jun</v>
      </c>
      <c r="E783" s="2" t="str">
        <f t="shared" si="2"/>
        <v>2016</v>
      </c>
      <c r="F783" s="13" t="s">
        <v>20</v>
      </c>
      <c r="G783" s="13" t="s">
        <v>2781</v>
      </c>
      <c r="H783" s="13" t="s">
        <v>2782</v>
      </c>
      <c r="I783" s="13" t="s">
        <v>23</v>
      </c>
      <c r="J783" s="13" t="s">
        <v>303</v>
      </c>
      <c r="K783" s="13" t="s">
        <v>304</v>
      </c>
      <c r="L783" s="13" t="s">
        <v>100</v>
      </c>
      <c r="M783" s="13" t="s">
        <v>38</v>
      </c>
      <c r="N783" s="14">
        <v>32.07</v>
      </c>
      <c r="O783" s="14">
        <v>31.46</v>
      </c>
      <c r="P783" s="13">
        <v>4.0</v>
      </c>
      <c r="Q783" s="14">
        <f t="shared" si="3"/>
        <v>128.28</v>
      </c>
      <c r="R783" s="14">
        <f t="shared" si="4"/>
        <v>96.82</v>
      </c>
      <c r="S783" s="14">
        <f t="shared" si="5"/>
        <v>31.46</v>
      </c>
    </row>
    <row r="784">
      <c r="A784" s="12">
        <v>42439.0</v>
      </c>
      <c r="B784" s="12" t="s">
        <v>2399</v>
      </c>
      <c r="C784" s="2">
        <v>42531.0</v>
      </c>
      <c r="D784" s="15" t="str">
        <f t="shared" si="1"/>
        <v>Jun</v>
      </c>
      <c r="E784" s="2" t="str">
        <f t="shared" si="2"/>
        <v>2016</v>
      </c>
      <c r="F784" s="13" t="s">
        <v>20</v>
      </c>
      <c r="G784" s="13" t="s">
        <v>2781</v>
      </c>
      <c r="H784" s="13" t="s">
        <v>2782</v>
      </c>
      <c r="I784" s="13" t="s">
        <v>23</v>
      </c>
      <c r="J784" s="13" t="s">
        <v>303</v>
      </c>
      <c r="K784" s="13" t="s">
        <v>304</v>
      </c>
      <c r="L784" s="13" t="s">
        <v>100</v>
      </c>
      <c r="M784" s="13" t="s">
        <v>51</v>
      </c>
      <c r="N784" s="14">
        <v>24.0</v>
      </c>
      <c r="O784" s="14">
        <v>23.28</v>
      </c>
      <c r="P784" s="13">
        <v>4.0</v>
      </c>
      <c r="Q784" s="14">
        <f t="shared" si="3"/>
        <v>96</v>
      </c>
      <c r="R784" s="14">
        <f t="shared" si="4"/>
        <v>72.72</v>
      </c>
      <c r="S784" s="14">
        <f t="shared" si="5"/>
        <v>23.28</v>
      </c>
    </row>
    <row r="785">
      <c r="A785" s="12">
        <v>42439.0</v>
      </c>
      <c r="B785" s="12" t="s">
        <v>2399</v>
      </c>
      <c r="C785" s="2">
        <v>42531.0</v>
      </c>
      <c r="D785" s="15" t="str">
        <f t="shared" si="1"/>
        <v>Jun</v>
      </c>
      <c r="E785" s="2" t="str">
        <f t="shared" si="2"/>
        <v>2016</v>
      </c>
      <c r="F785" s="13" t="s">
        <v>20</v>
      </c>
      <c r="G785" s="13" t="s">
        <v>2781</v>
      </c>
      <c r="H785" s="13" t="s">
        <v>2782</v>
      </c>
      <c r="I785" s="13" t="s">
        <v>23</v>
      </c>
      <c r="J785" s="13" t="s">
        <v>303</v>
      </c>
      <c r="K785" s="13" t="s">
        <v>304</v>
      </c>
      <c r="L785" s="13" t="s">
        <v>100</v>
      </c>
      <c r="M785" s="13" t="s">
        <v>27</v>
      </c>
      <c r="N785" s="14">
        <v>35.49</v>
      </c>
      <c r="O785" s="14">
        <v>34.93</v>
      </c>
      <c r="P785" s="13">
        <v>4.0</v>
      </c>
      <c r="Q785" s="14">
        <f t="shared" si="3"/>
        <v>141.96</v>
      </c>
      <c r="R785" s="14">
        <f t="shared" si="4"/>
        <v>107.03</v>
      </c>
      <c r="S785" s="14">
        <f t="shared" si="5"/>
        <v>34.93</v>
      </c>
    </row>
    <row r="786">
      <c r="A786" s="12">
        <v>42439.0</v>
      </c>
      <c r="B786" s="12" t="s">
        <v>2399</v>
      </c>
      <c r="C786" s="2">
        <v>42531.0</v>
      </c>
      <c r="D786" s="15" t="str">
        <f t="shared" si="1"/>
        <v>Jun</v>
      </c>
      <c r="E786" s="2" t="str">
        <f t="shared" si="2"/>
        <v>2016</v>
      </c>
      <c r="F786" s="13" t="s">
        <v>20</v>
      </c>
      <c r="G786" s="13" t="s">
        <v>2781</v>
      </c>
      <c r="H786" s="13" t="s">
        <v>2782</v>
      </c>
      <c r="I786" s="13" t="s">
        <v>23</v>
      </c>
      <c r="J786" s="13" t="s">
        <v>303</v>
      </c>
      <c r="K786" s="13" t="s">
        <v>304</v>
      </c>
      <c r="L786" s="13" t="s">
        <v>100</v>
      </c>
      <c r="M786" s="13" t="s">
        <v>51</v>
      </c>
      <c r="N786" s="14">
        <v>47.984</v>
      </c>
      <c r="O786" s="14">
        <v>46.99</v>
      </c>
      <c r="P786" s="13">
        <v>4.0</v>
      </c>
      <c r="Q786" s="14">
        <f t="shared" si="3"/>
        <v>191.936</v>
      </c>
      <c r="R786" s="14">
        <f t="shared" si="4"/>
        <v>144.946</v>
      </c>
      <c r="S786" s="14">
        <f t="shared" si="5"/>
        <v>46.99</v>
      </c>
    </row>
    <row r="787">
      <c r="A787" s="12">
        <v>42513.0</v>
      </c>
      <c r="B787" s="12" t="s">
        <v>2335</v>
      </c>
      <c r="C787" s="2">
        <v>42518.0</v>
      </c>
      <c r="D787" s="15" t="str">
        <f t="shared" si="1"/>
        <v>May</v>
      </c>
      <c r="E787" s="2" t="str">
        <f t="shared" si="2"/>
        <v>2016</v>
      </c>
      <c r="F787" s="13" t="s">
        <v>41</v>
      </c>
      <c r="G787" s="13" t="s">
        <v>2369</v>
      </c>
      <c r="H787" s="13" t="s">
        <v>2512</v>
      </c>
      <c r="I787" s="13" t="s">
        <v>34</v>
      </c>
      <c r="J787" s="13" t="s">
        <v>235</v>
      </c>
      <c r="K787" s="13" t="s">
        <v>236</v>
      </c>
      <c r="L787" s="13" t="s">
        <v>26</v>
      </c>
      <c r="M787" s="13" t="s">
        <v>38</v>
      </c>
      <c r="N787" s="14">
        <v>186.69</v>
      </c>
      <c r="O787" s="14">
        <v>185.95</v>
      </c>
      <c r="P787" s="13">
        <v>2.0</v>
      </c>
      <c r="Q787" s="14">
        <f t="shared" si="3"/>
        <v>373.38</v>
      </c>
      <c r="R787" s="14">
        <f t="shared" si="4"/>
        <v>187.43</v>
      </c>
      <c r="S787" s="14">
        <f t="shared" si="5"/>
        <v>185.95</v>
      </c>
    </row>
    <row r="788">
      <c r="A788" s="12">
        <v>43176.0</v>
      </c>
      <c r="B788" s="12" t="s">
        <v>2399</v>
      </c>
      <c r="C788" s="2">
        <v>43180.0</v>
      </c>
      <c r="D788" s="15" t="str">
        <f t="shared" si="1"/>
        <v>Mar</v>
      </c>
      <c r="E788" s="2" t="str">
        <f t="shared" si="2"/>
        <v>2018</v>
      </c>
      <c r="F788" s="13" t="s">
        <v>20</v>
      </c>
      <c r="G788" s="13" t="s">
        <v>2427</v>
      </c>
      <c r="H788" s="13" t="s">
        <v>2428</v>
      </c>
      <c r="I788" s="13" t="s">
        <v>23</v>
      </c>
      <c r="J788" s="13" t="s">
        <v>1382</v>
      </c>
      <c r="K788" s="13" t="s">
        <v>52</v>
      </c>
      <c r="L788" s="13" t="s">
        <v>37</v>
      </c>
      <c r="M788" s="13" t="s">
        <v>38</v>
      </c>
      <c r="N788" s="14">
        <v>17.456</v>
      </c>
      <c r="O788" s="14">
        <v>16.96</v>
      </c>
      <c r="P788" s="13">
        <v>9.0</v>
      </c>
      <c r="Q788" s="14">
        <f t="shared" si="3"/>
        <v>157.104</v>
      </c>
      <c r="R788" s="14">
        <f t="shared" si="4"/>
        <v>140.144</v>
      </c>
      <c r="S788" s="14">
        <f t="shared" si="5"/>
        <v>16.96</v>
      </c>
    </row>
    <row r="789">
      <c r="A789" s="12">
        <v>42716.0</v>
      </c>
      <c r="B789" s="12" t="s">
        <v>2325</v>
      </c>
      <c r="C789" s="2">
        <v>42720.0</v>
      </c>
      <c r="D789" s="15" t="str">
        <f t="shared" si="1"/>
        <v>Dec</v>
      </c>
      <c r="E789" s="2" t="str">
        <f t="shared" si="2"/>
        <v>2016</v>
      </c>
      <c r="F789" s="13" t="s">
        <v>41</v>
      </c>
      <c r="G789" s="13" t="s">
        <v>2666</v>
      </c>
      <c r="H789" s="13" t="s">
        <v>2783</v>
      </c>
      <c r="I789" s="13" t="s">
        <v>23</v>
      </c>
      <c r="J789" s="13" t="s">
        <v>1382</v>
      </c>
      <c r="K789" s="13" t="s">
        <v>52</v>
      </c>
      <c r="L789" s="13" t="s">
        <v>37</v>
      </c>
      <c r="M789" s="13" t="s">
        <v>27</v>
      </c>
      <c r="N789" s="14">
        <v>348.928</v>
      </c>
      <c r="O789" s="14">
        <v>348.61</v>
      </c>
      <c r="P789" s="13">
        <v>9.0</v>
      </c>
      <c r="Q789" s="14">
        <f t="shared" si="3"/>
        <v>3140.352</v>
      </c>
      <c r="R789" s="14">
        <f t="shared" si="4"/>
        <v>2791.742</v>
      </c>
      <c r="S789" s="14">
        <f t="shared" si="5"/>
        <v>348.61</v>
      </c>
    </row>
    <row r="790">
      <c r="A790" s="12">
        <v>42547.0</v>
      </c>
      <c r="B790" s="12" t="s">
        <v>2374</v>
      </c>
      <c r="C790" s="2">
        <v>42551.0</v>
      </c>
      <c r="D790" s="15" t="str">
        <f t="shared" si="1"/>
        <v>Jun</v>
      </c>
      <c r="E790" s="2" t="str">
        <f t="shared" si="2"/>
        <v>2016</v>
      </c>
      <c r="F790" s="13" t="s">
        <v>41</v>
      </c>
      <c r="G790" s="13" t="s">
        <v>922</v>
      </c>
      <c r="H790" s="13" t="s">
        <v>923</v>
      </c>
      <c r="I790" s="13" t="s">
        <v>23</v>
      </c>
      <c r="J790" s="13" t="s">
        <v>814</v>
      </c>
      <c r="K790" s="13" t="s">
        <v>198</v>
      </c>
      <c r="L790" s="13" t="s">
        <v>26</v>
      </c>
      <c r="M790" s="13" t="s">
        <v>38</v>
      </c>
      <c r="N790" s="14">
        <v>143.96</v>
      </c>
      <c r="O790" s="14">
        <v>143.01</v>
      </c>
      <c r="P790" s="13">
        <v>2.0</v>
      </c>
      <c r="Q790" s="14">
        <f t="shared" si="3"/>
        <v>287.92</v>
      </c>
      <c r="R790" s="14">
        <f t="shared" si="4"/>
        <v>144.91</v>
      </c>
      <c r="S790" s="14">
        <f t="shared" si="5"/>
        <v>143.01</v>
      </c>
    </row>
    <row r="791">
      <c r="A791" s="12">
        <v>42547.0</v>
      </c>
      <c r="B791" s="12" t="s">
        <v>2374</v>
      </c>
      <c r="C791" s="2">
        <v>42551.0</v>
      </c>
      <c r="D791" s="15" t="str">
        <f t="shared" si="1"/>
        <v>Jun</v>
      </c>
      <c r="E791" s="2" t="str">
        <f t="shared" si="2"/>
        <v>2016</v>
      </c>
      <c r="F791" s="13" t="s">
        <v>41</v>
      </c>
      <c r="G791" s="13" t="s">
        <v>922</v>
      </c>
      <c r="H791" s="13" t="s">
        <v>923</v>
      </c>
      <c r="I791" s="13" t="s">
        <v>23</v>
      </c>
      <c r="J791" s="13" t="s">
        <v>814</v>
      </c>
      <c r="K791" s="13" t="s">
        <v>198</v>
      </c>
      <c r="L791" s="13" t="s">
        <v>26</v>
      </c>
      <c r="M791" s="13" t="s">
        <v>38</v>
      </c>
      <c r="N791" s="14">
        <v>15.42</v>
      </c>
      <c r="O791" s="14">
        <v>14.8</v>
      </c>
      <c r="P791" s="13">
        <v>2.0</v>
      </c>
      <c r="Q791" s="14">
        <f t="shared" si="3"/>
        <v>30.84</v>
      </c>
      <c r="R791" s="14">
        <f t="shared" si="4"/>
        <v>16.04</v>
      </c>
      <c r="S791" s="14">
        <f t="shared" si="5"/>
        <v>14.8</v>
      </c>
    </row>
    <row r="792">
      <c r="A792" s="12">
        <v>42547.0</v>
      </c>
      <c r="B792" s="12" t="s">
        <v>2374</v>
      </c>
      <c r="C792" s="2">
        <v>42551.0</v>
      </c>
      <c r="D792" s="15" t="str">
        <f t="shared" si="1"/>
        <v>Jun</v>
      </c>
      <c r="E792" s="2" t="str">
        <f t="shared" si="2"/>
        <v>2016</v>
      </c>
      <c r="F792" s="13" t="s">
        <v>41</v>
      </c>
      <c r="G792" s="13" t="s">
        <v>922</v>
      </c>
      <c r="H792" s="13" t="s">
        <v>923</v>
      </c>
      <c r="I792" s="13" t="s">
        <v>23</v>
      </c>
      <c r="J792" s="13" t="s">
        <v>814</v>
      </c>
      <c r="K792" s="13" t="s">
        <v>198</v>
      </c>
      <c r="L792" s="13" t="s">
        <v>26</v>
      </c>
      <c r="M792" s="13" t="s">
        <v>38</v>
      </c>
      <c r="N792" s="14">
        <v>43.04</v>
      </c>
      <c r="O792" s="14">
        <v>42.63</v>
      </c>
      <c r="P792" s="13">
        <v>2.0</v>
      </c>
      <c r="Q792" s="14">
        <f t="shared" si="3"/>
        <v>86.08</v>
      </c>
      <c r="R792" s="14">
        <f t="shared" si="4"/>
        <v>43.45</v>
      </c>
      <c r="S792" s="14">
        <f t="shared" si="5"/>
        <v>42.63</v>
      </c>
    </row>
    <row r="793">
      <c r="A793" s="12">
        <v>42547.0</v>
      </c>
      <c r="B793" s="12" t="s">
        <v>2374</v>
      </c>
      <c r="C793" s="2">
        <v>42551.0</v>
      </c>
      <c r="D793" s="15" t="str">
        <f t="shared" si="1"/>
        <v>Jun</v>
      </c>
      <c r="E793" s="2" t="str">
        <f t="shared" si="2"/>
        <v>2016</v>
      </c>
      <c r="F793" s="13" t="s">
        <v>41</v>
      </c>
      <c r="G793" s="13" t="s">
        <v>922</v>
      </c>
      <c r="H793" s="13" t="s">
        <v>923</v>
      </c>
      <c r="I793" s="13" t="s">
        <v>23</v>
      </c>
      <c r="J793" s="13" t="s">
        <v>814</v>
      </c>
      <c r="K793" s="13" t="s">
        <v>198</v>
      </c>
      <c r="L793" s="13" t="s">
        <v>26</v>
      </c>
      <c r="M793" s="13" t="s">
        <v>27</v>
      </c>
      <c r="N793" s="14">
        <v>332.94</v>
      </c>
      <c r="O793" s="14">
        <v>332.22</v>
      </c>
      <c r="P793" s="13">
        <v>2.0</v>
      </c>
      <c r="Q793" s="14">
        <f t="shared" si="3"/>
        <v>665.88</v>
      </c>
      <c r="R793" s="14">
        <f t="shared" si="4"/>
        <v>333.66</v>
      </c>
      <c r="S793" s="14">
        <f t="shared" si="5"/>
        <v>332.22</v>
      </c>
    </row>
    <row r="794">
      <c r="A794" s="12">
        <v>42875.0</v>
      </c>
      <c r="B794" s="12" t="s">
        <v>2335</v>
      </c>
      <c r="C794" s="2">
        <v>42875.0</v>
      </c>
      <c r="D794" s="15" t="str">
        <f t="shared" si="1"/>
        <v>May</v>
      </c>
      <c r="E794" s="2" t="str">
        <f t="shared" si="2"/>
        <v>2017</v>
      </c>
      <c r="F794" s="13" t="s">
        <v>717</v>
      </c>
      <c r="G794" s="13" t="s">
        <v>2784</v>
      </c>
      <c r="H794" s="13" t="s">
        <v>2785</v>
      </c>
      <c r="I794" s="13" t="s">
        <v>23</v>
      </c>
      <c r="J794" s="13" t="s">
        <v>1393</v>
      </c>
      <c r="K794" s="13" t="s">
        <v>58</v>
      </c>
      <c r="L794" s="13" t="s">
        <v>26</v>
      </c>
      <c r="M794" s="13" t="s">
        <v>51</v>
      </c>
      <c r="N794" s="14">
        <v>1363.96</v>
      </c>
      <c r="O794" s="14">
        <v>1363.48</v>
      </c>
      <c r="P794" s="13">
        <v>2.0</v>
      </c>
      <c r="Q794" s="14">
        <f t="shared" si="3"/>
        <v>2727.92</v>
      </c>
      <c r="R794" s="14">
        <f t="shared" si="4"/>
        <v>1364.44</v>
      </c>
      <c r="S794" s="14">
        <f t="shared" si="5"/>
        <v>1363.48</v>
      </c>
    </row>
    <row r="795">
      <c r="A795" s="12">
        <v>42267.0</v>
      </c>
      <c r="B795" s="12" t="s">
        <v>2329</v>
      </c>
      <c r="C795" s="2">
        <v>42273.0</v>
      </c>
      <c r="D795" s="15" t="str">
        <f t="shared" si="1"/>
        <v>Sep</v>
      </c>
      <c r="E795" s="2" t="str">
        <f t="shared" si="2"/>
        <v>2015</v>
      </c>
      <c r="F795" s="13" t="s">
        <v>41</v>
      </c>
      <c r="G795" s="13" t="s">
        <v>2786</v>
      </c>
      <c r="H795" s="13" t="s">
        <v>2370</v>
      </c>
      <c r="I795" s="13" t="s">
        <v>23</v>
      </c>
      <c r="J795" s="13" t="s">
        <v>87</v>
      </c>
      <c r="K795" s="13" t="s">
        <v>52</v>
      </c>
      <c r="L795" s="13" t="s">
        <v>37</v>
      </c>
      <c r="M795" s="13" t="s">
        <v>38</v>
      </c>
      <c r="N795" s="14">
        <v>9.96</v>
      </c>
      <c r="O795" s="14">
        <v>8.97</v>
      </c>
      <c r="P795" s="13">
        <v>9.0</v>
      </c>
      <c r="Q795" s="14">
        <f t="shared" si="3"/>
        <v>89.64</v>
      </c>
      <c r="R795" s="14">
        <f t="shared" si="4"/>
        <v>80.67</v>
      </c>
      <c r="S795" s="14">
        <f t="shared" si="5"/>
        <v>8.97</v>
      </c>
    </row>
    <row r="796">
      <c r="A796" s="12">
        <v>42267.0</v>
      </c>
      <c r="B796" s="12" t="s">
        <v>2329</v>
      </c>
      <c r="C796" s="2">
        <v>42273.0</v>
      </c>
      <c r="D796" s="15" t="str">
        <f t="shared" si="1"/>
        <v>Sep</v>
      </c>
      <c r="E796" s="2" t="str">
        <f t="shared" si="2"/>
        <v>2015</v>
      </c>
      <c r="F796" s="13" t="s">
        <v>41</v>
      </c>
      <c r="G796" s="13" t="s">
        <v>2786</v>
      </c>
      <c r="H796" s="13" t="s">
        <v>2370</v>
      </c>
      <c r="I796" s="13" t="s">
        <v>23</v>
      </c>
      <c r="J796" s="13" t="s">
        <v>87</v>
      </c>
      <c r="K796" s="13" t="s">
        <v>52</v>
      </c>
      <c r="L796" s="13" t="s">
        <v>37</v>
      </c>
      <c r="M796" s="13" t="s">
        <v>38</v>
      </c>
      <c r="N796" s="14">
        <v>21.72</v>
      </c>
      <c r="O796" s="14">
        <v>21.3</v>
      </c>
      <c r="P796" s="13">
        <v>9.0</v>
      </c>
      <c r="Q796" s="14">
        <f t="shared" si="3"/>
        <v>195.48</v>
      </c>
      <c r="R796" s="14">
        <f t="shared" si="4"/>
        <v>174.18</v>
      </c>
      <c r="S796" s="14">
        <f t="shared" si="5"/>
        <v>21.3</v>
      </c>
    </row>
    <row r="797">
      <c r="A797" s="12">
        <v>43364.0</v>
      </c>
      <c r="B797" s="12" t="s">
        <v>2329</v>
      </c>
      <c r="C797" s="2">
        <v>43369.0</v>
      </c>
      <c r="D797" s="15" t="str">
        <f t="shared" si="1"/>
        <v>Sep</v>
      </c>
      <c r="E797" s="2" t="str">
        <f t="shared" si="2"/>
        <v>2018</v>
      </c>
      <c r="F797" s="13" t="s">
        <v>41</v>
      </c>
      <c r="G797" s="13" t="s">
        <v>2419</v>
      </c>
      <c r="H797" s="13" t="s">
        <v>2787</v>
      </c>
      <c r="I797" s="13" t="s">
        <v>23</v>
      </c>
      <c r="J797" s="13" t="s">
        <v>240</v>
      </c>
      <c r="K797" s="13" t="s">
        <v>151</v>
      </c>
      <c r="L797" s="13" t="s">
        <v>71</v>
      </c>
      <c r="M797" s="13" t="s">
        <v>38</v>
      </c>
      <c r="N797" s="14">
        <v>20.16</v>
      </c>
      <c r="O797" s="14">
        <v>20.03</v>
      </c>
      <c r="P797" s="13">
        <v>5.0</v>
      </c>
      <c r="Q797" s="14">
        <f t="shared" si="3"/>
        <v>100.8</v>
      </c>
      <c r="R797" s="14">
        <f t="shared" si="4"/>
        <v>80.77</v>
      </c>
      <c r="S797" s="14">
        <f t="shared" si="5"/>
        <v>20.03</v>
      </c>
    </row>
    <row r="798">
      <c r="A798" s="12">
        <v>42728.0</v>
      </c>
      <c r="B798" s="12" t="s">
        <v>2325</v>
      </c>
      <c r="C798" s="2">
        <v>42730.0</v>
      </c>
      <c r="D798" s="15" t="str">
        <f t="shared" si="1"/>
        <v>Dec</v>
      </c>
      <c r="E798" s="2" t="str">
        <f t="shared" si="2"/>
        <v>2016</v>
      </c>
      <c r="F798" s="13" t="s">
        <v>121</v>
      </c>
      <c r="G798" s="13" t="s">
        <v>2478</v>
      </c>
      <c r="H798" s="13" t="s">
        <v>2513</v>
      </c>
      <c r="I798" s="13" t="s">
        <v>34</v>
      </c>
      <c r="J798" s="13" t="s">
        <v>240</v>
      </c>
      <c r="K798" s="13" t="s">
        <v>175</v>
      </c>
      <c r="L798" s="13" t="s">
        <v>100</v>
      </c>
      <c r="M798" s="13" t="s">
        <v>38</v>
      </c>
      <c r="N798" s="14">
        <v>132.79</v>
      </c>
      <c r="O798" s="14">
        <v>132.09</v>
      </c>
      <c r="P798" s="13">
        <v>1.0</v>
      </c>
      <c r="Q798" s="14">
        <f t="shared" si="3"/>
        <v>132.79</v>
      </c>
      <c r="R798" s="14">
        <f t="shared" si="4"/>
        <v>0.7</v>
      </c>
      <c r="S798" s="14">
        <f t="shared" si="5"/>
        <v>132.09</v>
      </c>
    </row>
    <row r="799">
      <c r="A799" s="12">
        <v>42728.0</v>
      </c>
      <c r="B799" s="12" t="s">
        <v>2325</v>
      </c>
      <c r="C799" s="2">
        <v>42730.0</v>
      </c>
      <c r="D799" s="15" t="str">
        <f t="shared" si="1"/>
        <v>Dec</v>
      </c>
      <c r="E799" s="2" t="str">
        <f t="shared" si="2"/>
        <v>2016</v>
      </c>
      <c r="F799" s="13" t="s">
        <v>121</v>
      </c>
      <c r="G799" s="13" t="s">
        <v>2478</v>
      </c>
      <c r="H799" s="13" t="s">
        <v>2513</v>
      </c>
      <c r="I799" s="13" t="s">
        <v>34</v>
      </c>
      <c r="J799" s="13" t="s">
        <v>240</v>
      </c>
      <c r="K799" s="13" t="s">
        <v>175</v>
      </c>
      <c r="L799" s="13" t="s">
        <v>100</v>
      </c>
      <c r="M799" s="13" t="s">
        <v>38</v>
      </c>
      <c r="N799" s="14">
        <v>12.96</v>
      </c>
      <c r="O799" s="14">
        <v>12.5</v>
      </c>
      <c r="P799" s="13">
        <v>1.0</v>
      </c>
      <c r="Q799" s="14">
        <f t="shared" si="3"/>
        <v>12.96</v>
      </c>
      <c r="R799" s="14">
        <f t="shared" si="4"/>
        <v>0.46</v>
      </c>
      <c r="S799" s="14">
        <f t="shared" si="5"/>
        <v>12.5</v>
      </c>
    </row>
    <row r="800">
      <c r="A800" s="12">
        <v>42728.0</v>
      </c>
      <c r="B800" s="12" t="s">
        <v>2325</v>
      </c>
      <c r="C800" s="2">
        <v>42730.0</v>
      </c>
      <c r="D800" s="15" t="str">
        <f t="shared" si="1"/>
        <v>Dec</v>
      </c>
      <c r="E800" s="2" t="str">
        <f t="shared" si="2"/>
        <v>2016</v>
      </c>
      <c r="F800" s="13" t="s">
        <v>121</v>
      </c>
      <c r="G800" s="13" t="s">
        <v>2478</v>
      </c>
      <c r="H800" s="13" t="s">
        <v>2513</v>
      </c>
      <c r="I800" s="13" t="s">
        <v>34</v>
      </c>
      <c r="J800" s="13" t="s">
        <v>240</v>
      </c>
      <c r="K800" s="13" t="s">
        <v>175</v>
      </c>
      <c r="L800" s="13" t="s">
        <v>100</v>
      </c>
      <c r="M800" s="13" t="s">
        <v>38</v>
      </c>
      <c r="N800" s="14">
        <v>21.56</v>
      </c>
      <c r="O800" s="14">
        <v>20.78</v>
      </c>
      <c r="P800" s="13">
        <v>1.0</v>
      </c>
      <c r="Q800" s="14">
        <f t="shared" si="3"/>
        <v>21.56</v>
      </c>
      <c r="R800" s="14">
        <f t="shared" si="4"/>
        <v>0.78</v>
      </c>
      <c r="S800" s="14">
        <f t="shared" si="5"/>
        <v>20.78</v>
      </c>
    </row>
    <row r="801">
      <c r="A801" s="12">
        <v>42701.0</v>
      </c>
      <c r="B801" s="12" t="s">
        <v>2326</v>
      </c>
      <c r="C801" s="2">
        <v>42441.0</v>
      </c>
      <c r="D801" s="15" t="str">
        <f t="shared" si="1"/>
        <v>Mar</v>
      </c>
      <c r="E801" s="2" t="str">
        <f t="shared" si="2"/>
        <v>2016</v>
      </c>
      <c r="F801" s="13" t="s">
        <v>41</v>
      </c>
      <c r="G801" s="13" t="s">
        <v>2684</v>
      </c>
      <c r="H801" s="13" t="s">
        <v>2788</v>
      </c>
      <c r="I801" s="13" t="s">
        <v>23</v>
      </c>
      <c r="J801" s="13" t="s">
        <v>1406</v>
      </c>
      <c r="K801" s="13" t="s">
        <v>52</v>
      </c>
      <c r="L801" s="13" t="s">
        <v>37</v>
      </c>
      <c r="M801" s="13" t="s">
        <v>27</v>
      </c>
      <c r="N801" s="14">
        <v>283.92</v>
      </c>
      <c r="O801" s="14">
        <v>282.99</v>
      </c>
      <c r="P801" s="13">
        <v>9.0</v>
      </c>
      <c r="Q801" s="14">
        <f t="shared" si="3"/>
        <v>2555.28</v>
      </c>
      <c r="R801" s="14">
        <f t="shared" si="4"/>
        <v>2272.29</v>
      </c>
      <c r="S801" s="14">
        <f t="shared" si="5"/>
        <v>282.99</v>
      </c>
    </row>
    <row r="802">
      <c r="A802" s="12">
        <v>43151.0</v>
      </c>
      <c r="B802" s="12" t="s">
        <v>2431</v>
      </c>
      <c r="C802" s="2">
        <v>43154.0</v>
      </c>
      <c r="D802" s="15" t="str">
        <f t="shared" si="1"/>
        <v>Feb</v>
      </c>
      <c r="E802" s="2" t="str">
        <f t="shared" si="2"/>
        <v>2018</v>
      </c>
      <c r="F802" s="13" t="s">
        <v>121</v>
      </c>
      <c r="G802" s="13" t="s">
        <v>2452</v>
      </c>
      <c r="H802" s="13" t="s">
        <v>2789</v>
      </c>
      <c r="I802" s="13" t="s">
        <v>34</v>
      </c>
      <c r="J802" s="13" t="s">
        <v>542</v>
      </c>
      <c r="K802" s="13" t="s">
        <v>52</v>
      </c>
      <c r="L802" s="13" t="s">
        <v>37</v>
      </c>
      <c r="M802" s="13" t="s">
        <v>27</v>
      </c>
      <c r="N802" s="14">
        <v>22.23</v>
      </c>
      <c r="O802" s="14">
        <v>21.53</v>
      </c>
      <c r="P802" s="13">
        <v>9.0</v>
      </c>
      <c r="Q802" s="14">
        <f t="shared" si="3"/>
        <v>200.07</v>
      </c>
      <c r="R802" s="14">
        <f t="shared" si="4"/>
        <v>178.54</v>
      </c>
      <c r="S802" s="14">
        <f t="shared" si="5"/>
        <v>21.53</v>
      </c>
    </row>
    <row r="803">
      <c r="A803" s="12">
        <v>43151.0</v>
      </c>
      <c r="B803" s="12" t="s">
        <v>2431</v>
      </c>
      <c r="C803" s="2">
        <v>43154.0</v>
      </c>
      <c r="D803" s="15" t="str">
        <f t="shared" si="1"/>
        <v>Feb</v>
      </c>
      <c r="E803" s="2" t="str">
        <f t="shared" si="2"/>
        <v>2018</v>
      </c>
      <c r="F803" s="13" t="s">
        <v>121</v>
      </c>
      <c r="G803" s="13" t="s">
        <v>2452</v>
      </c>
      <c r="H803" s="13" t="s">
        <v>2789</v>
      </c>
      <c r="I803" s="13" t="s">
        <v>34</v>
      </c>
      <c r="J803" s="13" t="s">
        <v>542</v>
      </c>
      <c r="K803" s="13" t="s">
        <v>52</v>
      </c>
      <c r="L803" s="13" t="s">
        <v>37</v>
      </c>
      <c r="M803" s="13" t="s">
        <v>51</v>
      </c>
      <c r="N803" s="14">
        <v>215.968</v>
      </c>
      <c r="O803" s="14">
        <v>215.54</v>
      </c>
      <c r="P803" s="13">
        <v>9.0</v>
      </c>
      <c r="Q803" s="14">
        <f t="shared" si="3"/>
        <v>1943.712</v>
      </c>
      <c r="R803" s="14">
        <f t="shared" si="4"/>
        <v>1728.172</v>
      </c>
      <c r="S803" s="14">
        <f t="shared" si="5"/>
        <v>215.54</v>
      </c>
    </row>
    <row r="804">
      <c r="A804" s="12">
        <v>42965.0</v>
      </c>
      <c r="B804" s="12" t="s">
        <v>2322</v>
      </c>
      <c r="C804" s="2">
        <v>42970.0</v>
      </c>
      <c r="D804" s="15" t="str">
        <f t="shared" si="1"/>
        <v>Aug</v>
      </c>
      <c r="E804" s="2" t="str">
        <f t="shared" si="2"/>
        <v>2017</v>
      </c>
      <c r="F804" s="13" t="s">
        <v>20</v>
      </c>
      <c r="G804" s="13" t="s">
        <v>2452</v>
      </c>
      <c r="H804" s="13" t="s">
        <v>2789</v>
      </c>
      <c r="I804" s="13" t="s">
        <v>34</v>
      </c>
      <c r="J804" s="13" t="s">
        <v>174</v>
      </c>
      <c r="K804" s="13" t="s">
        <v>175</v>
      </c>
      <c r="L804" s="13" t="s">
        <v>100</v>
      </c>
      <c r="M804" s="13" t="s">
        <v>38</v>
      </c>
      <c r="N804" s="14">
        <v>355.32</v>
      </c>
      <c r="O804" s="14">
        <v>354.85</v>
      </c>
      <c r="P804" s="13">
        <v>1.0</v>
      </c>
      <c r="Q804" s="14">
        <f t="shared" si="3"/>
        <v>355.32</v>
      </c>
      <c r="R804" s="14">
        <f t="shared" si="4"/>
        <v>0.47</v>
      </c>
      <c r="S804" s="14">
        <f t="shared" si="5"/>
        <v>354.85</v>
      </c>
    </row>
    <row r="805">
      <c r="A805" s="12">
        <v>43072.0</v>
      </c>
      <c r="B805" s="12" t="s">
        <v>2325</v>
      </c>
      <c r="C805" s="2">
        <v>42811.0</v>
      </c>
      <c r="D805" s="15" t="str">
        <f t="shared" si="1"/>
        <v>Mar</v>
      </c>
      <c r="E805" s="2" t="str">
        <f t="shared" si="2"/>
        <v>2017</v>
      </c>
      <c r="F805" s="13" t="s">
        <v>41</v>
      </c>
      <c r="G805" s="13" t="s">
        <v>2592</v>
      </c>
      <c r="H805" s="13" t="s">
        <v>2790</v>
      </c>
      <c r="I805" s="13" t="s">
        <v>34</v>
      </c>
      <c r="J805" s="13" t="s">
        <v>429</v>
      </c>
      <c r="K805" s="13" t="s">
        <v>430</v>
      </c>
      <c r="L805" s="13" t="s">
        <v>26</v>
      </c>
      <c r="M805" s="13" t="s">
        <v>38</v>
      </c>
      <c r="N805" s="14">
        <v>12.96</v>
      </c>
      <c r="O805" s="14">
        <v>12.7</v>
      </c>
      <c r="P805" s="13">
        <v>7.0</v>
      </c>
      <c r="Q805" s="14">
        <f t="shared" si="3"/>
        <v>90.72</v>
      </c>
      <c r="R805" s="14">
        <f t="shared" si="4"/>
        <v>78.02</v>
      </c>
      <c r="S805" s="14">
        <f t="shared" si="5"/>
        <v>12.7</v>
      </c>
    </row>
    <row r="806">
      <c r="A806" s="12">
        <v>43212.0</v>
      </c>
      <c r="B806" s="12" t="s">
        <v>2332</v>
      </c>
      <c r="C806" s="2">
        <v>43214.0</v>
      </c>
      <c r="D806" s="15" t="str">
        <f t="shared" si="1"/>
        <v>Apr</v>
      </c>
      <c r="E806" s="2" t="str">
        <f t="shared" si="2"/>
        <v>2018</v>
      </c>
      <c r="F806" s="13" t="s">
        <v>121</v>
      </c>
      <c r="G806" s="13" t="s">
        <v>2405</v>
      </c>
      <c r="H806" s="13" t="s">
        <v>2791</v>
      </c>
      <c r="I806" s="13" t="s">
        <v>23</v>
      </c>
      <c r="J806" s="13" t="s">
        <v>87</v>
      </c>
      <c r="K806" s="13" t="s">
        <v>52</v>
      </c>
      <c r="L806" s="13" t="s">
        <v>37</v>
      </c>
      <c r="M806" s="13" t="s">
        <v>27</v>
      </c>
      <c r="N806" s="14">
        <v>18.28</v>
      </c>
      <c r="O806" s="14">
        <v>17.56</v>
      </c>
      <c r="P806" s="13">
        <v>9.0</v>
      </c>
      <c r="Q806" s="14">
        <f t="shared" si="3"/>
        <v>164.52</v>
      </c>
      <c r="R806" s="14">
        <f t="shared" si="4"/>
        <v>146.96</v>
      </c>
      <c r="S806" s="14">
        <f t="shared" si="5"/>
        <v>17.56</v>
      </c>
    </row>
    <row r="807">
      <c r="A807" s="12">
        <v>42015.0</v>
      </c>
      <c r="B807" s="12" t="s">
        <v>2353</v>
      </c>
      <c r="C807" s="2">
        <v>42196.0</v>
      </c>
      <c r="D807" s="15" t="str">
        <f t="shared" si="1"/>
        <v>Jul</v>
      </c>
      <c r="E807" s="2" t="str">
        <f t="shared" si="2"/>
        <v>2015</v>
      </c>
      <c r="F807" s="13" t="s">
        <v>41</v>
      </c>
      <c r="G807" s="13" t="s">
        <v>2583</v>
      </c>
      <c r="H807" s="13" t="s">
        <v>2584</v>
      </c>
      <c r="I807" s="13" t="s">
        <v>23</v>
      </c>
      <c r="J807" s="13" t="s">
        <v>475</v>
      </c>
      <c r="K807" s="13" t="s">
        <v>279</v>
      </c>
      <c r="L807" s="13" t="s">
        <v>37</v>
      </c>
      <c r="M807" s="13" t="s">
        <v>38</v>
      </c>
      <c r="N807" s="14">
        <v>43.176</v>
      </c>
      <c r="O807" s="14">
        <v>42.52</v>
      </c>
      <c r="P807" s="13">
        <v>8.0</v>
      </c>
      <c r="Q807" s="14">
        <f t="shared" si="3"/>
        <v>345.408</v>
      </c>
      <c r="R807" s="14">
        <f t="shared" si="4"/>
        <v>302.888</v>
      </c>
      <c r="S807" s="14">
        <f t="shared" si="5"/>
        <v>42.52</v>
      </c>
    </row>
    <row r="808">
      <c r="A808" s="12">
        <v>42015.0</v>
      </c>
      <c r="B808" s="12" t="s">
        <v>2353</v>
      </c>
      <c r="C808" s="2">
        <v>42196.0</v>
      </c>
      <c r="D808" s="15" t="str">
        <f t="shared" si="1"/>
        <v>Jul</v>
      </c>
      <c r="E808" s="2" t="str">
        <f t="shared" si="2"/>
        <v>2015</v>
      </c>
      <c r="F808" s="13" t="s">
        <v>41</v>
      </c>
      <c r="G808" s="13" t="s">
        <v>2583</v>
      </c>
      <c r="H808" s="13" t="s">
        <v>2584</v>
      </c>
      <c r="I808" s="13" t="s">
        <v>23</v>
      </c>
      <c r="J808" s="13" t="s">
        <v>475</v>
      </c>
      <c r="K808" s="13" t="s">
        <v>279</v>
      </c>
      <c r="L808" s="13" t="s">
        <v>37</v>
      </c>
      <c r="M808" s="13" t="s">
        <v>51</v>
      </c>
      <c r="N808" s="14">
        <v>1983.968</v>
      </c>
      <c r="O808" s="14">
        <v>1983.61</v>
      </c>
      <c r="P808" s="13">
        <v>8.0</v>
      </c>
      <c r="Q808" s="14">
        <f t="shared" si="3"/>
        <v>15871.744</v>
      </c>
      <c r="R808" s="14">
        <f t="shared" si="4"/>
        <v>13888.134</v>
      </c>
      <c r="S808" s="14">
        <f t="shared" si="5"/>
        <v>1983.61</v>
      </c>
    </row>
    <row r="809">
      <c r="A809" s="12">
        <v>42431.0</v>
      </c>
      <c r="B809" s="12" t="s">
        <v>2399</v>
      </c>
      <c r="C809" s="2">
        <v>42492.0</v>
      </c>
      <c r="D809" s="15" t="str">
        <f t="shared" si="1"/>
        <v>May</v>
      </c>
      <c r="E809" s="2" t="str">
        <f t="shared" si="2"/>
        <v>2016</v>
      </c>
      <c r="F809" s="13" t="s">
        <v>121</v>
      </c>
      <c r="G809" s="13" t="s">
        <v>2334</v>
      </c>
      <c r="H809" s="13" t="s">
        <v>2662</v>
      </c>
      <c r="I809" s="13" t="s">
        <v>23</v>
      </c>
      <c r="J809" s="13" t="s">
        <v>1423</v>
      </c>
      <c r="K809" s="13" t="s">
        <v>93</v>
      </c>
      <c r="L809" s="13" t="s">
        <v>71</v>
      </c>
      <c r="M809" s="13" t="s">
        <v>27</v>
      </c>
      <c r="N809" s="14">
        <v>28.4</v>
      </c>
      <c r="O809" s="14">
        <v>28.32</v>
      </c>
      <c r="P809" s="13">
        <v>6.0</v>
      </c>
      <c r="Q809" s="14">
        <f t="shared" si="3"/>
        <v>170.4</v>
      </c>
      <c r="R809" s="14">
        <f t="shared" si="4"/>
        <v>142.08</v>
      </c>
      <c r="S809" s="14">
        <f t="shared" si="5"/>
        <v>28.32</v>
      </c>
    </row>
    <row r="810">
      <c r="A810" s="12">
        <v>42431.0</v>
      </c>
      <c r="B810" s="12" t="s">
        <v>2399</v>
      </c>
      <c r="C810" s="2">
        <v>42492.0</v>
      </c>
      <c r="D810" s="15" t="str">
        <f t="shared" si="1"/>
        <v>May</v>
      </c>
      <c r="E810" s="2" t="str">
        <f t="shared" si="2"/>
        <v>2016</v>
      </c>
      <c r="F810" s="13" t="s">
        <v>121</v>
      </c>
      <c r="G810" s="13" t="s">
        <v>2334</v>
      </c>
      <c r="H810" s="13" t="s">
        <v>2662</v>
      </c>
      <c r="I810" s="13" t="s">
        <v>23</v>
      </c>
      <c r="J810" s="13" t="s">
        <v>1423</v>
      </c>
      <c r="K810" s="13" t="s">
        <v>93</v>
      </c>
      <c r="L810" s="13" t="s">
        <v>71</v>
      </c>
      <c r="M810" s="13" t="s">
        <v>51</v>
      </c>
      <c r="N810" s="14">
        <v>149.97</v>
      </c>
      <c r="O810" s="14">
        <v>149.22</v>
      </c>
      <c r="P810" s="13">
        <v>6.0</v>
      </c>
      <c r="Q810" s="14">
        <f t="shared" si="3"/>
        <v>899.82</v>
      </c>
      <c r="R810" s="14">
        <f t="shared" si="4"/>
        <v>750.6</v>
      </c>
      <c r="S810" s="14">
        <f t="shared" si="5"/>
        <v>149.22</v>
      </c>
    </row>
    <row r="811">
      <c r="A811" s="12">
        <v>42290.0</v>
      </c>
      <c r="B811" s="12" t="s">
        <v>2358</v>
      </c>
      <c r="C811" s="2">
        <v>42292.0</v>
      </c>
      <c r="D811" s="15" t="str">
        <f t="shared" si="1"/>
        <v>Oct</v>
      </c>
      <c r="E811" s="2" t="str">
        <f t="shared" si="2"/>
        <v>2015</v>
      </c>
      <c r="F811" s="13" t="s">
        <v>121</v>
      </c>
      <c r="G811" s="13" t="s">
        <v>2344</v>
      </c>
      <c r="H811" s="13" t="s">
        <v>2689</v>
      </c>
      <c r="I811" s="13" t="s">
        <v>23</v>
      </c>
      <c r="J811" s="13" t="s">
        <v>1426</v>
      </c>
      <c r="K811" s="13" t="s">
        <v>63</v>
      </c>
      <c r="L811" s="13" t="s">
        <v>37</v>
      </c>
      <c r="M811" s="13" t="s">
        <v>38</v>
      </c>
      <c r="N811" s="14">
        <v>11.52</v>
      </c>
      <c r="O811" s="14">
        <v>11.04</v>
      </c>
      <c r="P811" s="13">
        <v>9.0</v>
      </c>
      <c r="Q811" s="14">
        <f t="shared" si="3"/>
        <v>103.68</v>
      </c>
      <c r="R811" s="14">
        <f t="shared" si="4"/>
        <v>92.64</v>
      </c>
      <c r="S811" s="14">
        <f t="shared" si="5"/>
        <v>11.04</v>
      </c>
    </row>
    <row r="812">
      <c r="A812" s="12">
        <v>42290.0</v>
      </c>
      <c r="B812" s="12" t="s">
        <v>2358</v>
      </c>
      <c r="C812" s="2">
        <v>42292.0</v>
      </c>
      <c r="D812" s="15" t="str">
        <f t="shared" si="1"/>
        <v>Oct</v>
      </c>
      <c r="E812" s="2" t="str">
        <f t="shared" si="2"/>
        <v>2015</v>
      </c>
      <c r="F812" s="13" t="s">
        <v>121</v>
      </c>
      <c r="G812" s="13" t="s">
        <v>2344</v>
      </c>
      <c r="H812" s="13" t="s">
        <v>2689</v>
      </c>
      <c r="I812" s="13" t="s">
        <v>23</v>
      </c>
      <c r="J812" s="13" t="s">
        <v>1426</v>
      </c>
      <c r="K812" s="13" t="s">
        <v>63</v>
      </c>
      <c r="L812" s="13" t="s">
        <v>37</v>
      </c>
      <c r="M812" s="13" t="s">
        <v>27</v>
      </c>
      <c r="N812" s="14">
        <v>1298.55</v>
      </c>
      <c r="O812" s="14">
        <v>1297.88</v>
      </c>
      <c r="P812" s="13">
        <v>9.0</v>
      </c>
      <c r="Q812" s="14">
        <f t="shared" si="3"/>
        <v>11686.95</v>
      </c>
      <c r="R812" s="14">
        <f t="shared" si="4"/>
        <v>10389.07</v>
      </c>
      <c r="S812" s="14">
        <f t="shared" si="5"/>
        <v>1297.88</v>
      </c>
    </row>
    <row r="813">
      <c r="A813" s="12">
        <v>42290.0</v>
      </c>
      <c r="B813" s="12" t="s">
        <v>2358</v>
      </c>
      <c r="C813" s="2">
        <v>42292.0</v>
      </c>
      <c r="D813" s="15" t="str">
        <f t="shared" si="1"/>
        <v>Oct</v>
      </c>
      <c r="E813" s="2" t="str">
        <f t="shared" si="2"/>
        <v>2015</v>
      </c>
      <c r="F813" s="13" t="s">
        <v>121</v>
      </c>
      <c r="G813" s="13" t="s">
        <v>2344</v>
      </c>
      <c r="H813" s="13" t="s">
        <v>2689</v>
      </c>
      <c r="I813" s="13" t="s">
        <v>23</v>
      </c>
      <c r="J813" s="13" t="s">
        <v>1426</v>
      </c>
      <c r="K813" s="13" t="s">
        <v>63</v>
      </c>
      <c r="L813" s="13" t="s">
        <v>37</v>
      </c>
      <c r="M813" s="13" t="s">
        <v>38</v>
      </c>
      <c r="N813" s="14">
        <v>213.92</v>
      </c>
      <c r="O813" s="14">
        <v>213.11</v>
      </c>
      <c r="P813" s="13">
        <v>9.0</v>
      </c>
      <c r="Q813" s="14">
        <f t="shared" si="3"/>
        <v>1925.28</v>
      </c>
      <c r="R813" s="14">
        <f t="shared" si="4"/>
        <v>1712.17</v>
      </c>
      <c r="S813" s="14">
        <f t="shared" si="5"/>
        <v>213.11</v>
      </c>
    </row>
    <row r="814">
      <c r="A814" s="12">
        <v>42290.0</v>
      </c>
      <c r="B814" s="12" t="s">
        <v>2358</v>
      </c>
      <c r="C814" s="2">
        <v>42292.0</v>
      </c>
      <c r="D814" s="15" t="str">
        <f t="shared" si="1"/>
        <v>Oct</v>
      </c>
      <c r="E814" s="2" t="str">
        <f t="shared" si="2"/>
        <v>2015</v>
      </c>
      <c r="F814" s="13" t="s">
        <v>121</v>
      </c>
      <c r="G814" s="13" t="s">
        <v>2344</v>
      </c>
      <c r="H814" s="13" t="s">
        <v>2689</v>
      </c>
      <c r="I814" s="13" t="s">
        <v>23</v>
      </c>
      <c r="J814" s="13" t="s">
        <v>1426</v>
      </c>
      <c r="K814" s="13" t="s">
        <v>63</v>
      </c>
      <c r="L814" s="13" t="s">
        <v>37</v>
      </c>
      <c r="M814" s="13" t="s">
        <v>51</v>
      </c>
      <c r="N814" s="14">
        <v>25.78</v>
      </c>
      <c r="O814" s="14">
        <v>24.79</v>
      </c>
      <c r="P814" s="13">
        <v>9.0</v>
      </c>
      <c r="Q814" s="14">
        <f t="shared" si="3"/>
        <v>232.02</v>
      </c>
      <c r="R814" s="14">
        <f t="shared" si="4"/>
        <v>207.23</v>
      </c>
      <c r="S814" s="14">
        <f t="shared" si="5"/>
        <v>24.79</v>
      </c>
    </row>
    <row r="815">
      <c r="A815" s="12">
        <v>43234.0</v>
      </c>
      <c r="B815" s="12" t="s">
        <v>2335</v>
      </c>
      <c r="C815" s="2">
        <v>43234.0</v>
      </c>
      <c r="D815" s="15" t="str">
        <f t="shared" si="1"/>
        <v>May</v>
      </c>
      <c r="E815" s="2" t="str">
        <f t="shared" si="2"/>
        <v>2018</v>
      </c>
      <c r="F815" s="13" t="s">
        <v>717</v>
      </c>
      <c r="G815" s="13" t="s">
        <v>2792</v>
      </c>
      <c r="H815" s="13" t="s">
        <v>2777</v>
      </c>
      <c r="I815" s="13" t="s">
        <v>23</v>
      </c>
      <c r="J815" s="13" t="s">
        <v>1431</v>
      </c>
      <c r="K815" s="13" t="s">
        <v>52</v>
      </c>
      <c r="L815" s="13" t="s">
        <v>37</v>
      </c>
      <c r="M815" s="13" t="s">
        <v>27</v>
      </c>
      <c r="N815" s="14">
        <v>18.28</v>
      </c>
      <c r="O815" s="14">
        <v>18.08</v>
      </c>
      <c r="P815" s="13">
        <v>9.0</v>
      </c>
      <c r="Q815" s="14">
        <f t="shared" si="3"/>
        <v>164.52</v>
      </c>
      <c r="R815" s="14">
        <f t="shared" si="4"/>
        <v>146.44</v>
      </c>
      <c r="S815" s="14">
        <f t="shared" si="5"/>
        <v>18.08</v>
      </c>
    </row>
    <row r="816">
      <c r="A816" s="12">
        <v>43234.0</v>
      </c>
      <c r="B816" s="12" t="s">
        <v>2335</v>
      </c>
      <c r="C816" s="2">
        <v>43234.0</v>
      </c>
      <c r="D816" s="15" t="str">
        <f t="shared" si="1"/>
        <v>May</v>
      </c>
      <c r="E816" s="2" t="str">
        <f t="shared" si="2"/>
        <v>2018</v>
      </c>
      <c r="F816" s="13" t="s">
        <v>717</v>
      </c>
      <c r="G816" s="13" t="s">
        <v>2792</v>
      </c>
      <c r="H816" s="13" t="s">
        <v>2777</v>
      </c>
      <c r="I816" s="13" t="s">
        <v>23</v>
      </c>
      <c r="J816" s="13" t="s">
        <v>1431</v>
      </c>
      <c r="K816" s="13" t="s">
        <v>52</v>
      </c>
      <c r="L816" s="13" t="s">
        <v>37</v>
      </c>
      <c r="M816" s="13" t="s">
        <v>51</v>
      </c>
      <c r="N816" s="14">
        <v>1399.93</v>
      </c>
      <c r="O816" s="14">
        <v>1399.32</v>
      </c>
      <c r="P816" s="13">
        <v>9.0</v>
      </c>
      <c r="Q816" s="14">
        <f t="shared" si="3"/>
        <v>12599.37</v>
      </c>
      <c r="R816" s="14">
        <f t="shared" si="4"/>
        <v>11200.05</v>
      </c>
      <c r="S816" s="14">
        <f t="shared" si="5"/>
        <v>1399.32</v>
      </c>
    </row>
    <row r="817">
      <c r="A817" s="12">
        <v>42449.0</v>
      </c>
      <c r="B817" s="12" t="s">
        <v>2399</v>
      </c>
      <c r="C817" s="2">
        <v>42452.0</v>
      </c>
      <c r="D817" s="15" t="str">
        <f t="shared" si="1"/>
        <v>Mar</v>
      </c>
      <c r="E817" s="2" t="str">
        <f t="shared" si="2"/>
        <v>2016</v>
      </c>
      <c r="F817" s="13" t="s">
        <v>121</v>
      </c>
      <c r="G817" s="13" t="s">
        <v>2596</v>
      </c>
      <c r="H817" s="13" t="s">
        <v>2793</v>
      </c>
      <c r="I817" s="13" t="s">
        <v>34</v>
      </c>
      <c r="J817" s="13" t="s">
        <v>1436</v>
      </c>
      <c r="K817" s="13" t="s">
        <v>77</v>
      </c>
      <c r="L817" s="13" t="s">
        <v>71</v>
      </c>
      <c r="M817" s="13" t="s">
        <v>38</v>
      </c>
      <c r="N817" s="14">
        <v>51.84</v>
      </c>
      <c r="O817" s="14">
        <v>51.11</v>
      </c>
      <c r="P817" s="13">
        <v>5.0</v>
      </c>
      <c r="Q817" s="14">
        <f t="shared" si="3"/>
        <v>259.2</v>
      </c>
      <c r="R817" s="14">
        <f t="shared" si="4"/>
        <v>208.09</v>
      </c>
      <c r="S817" s="14">
        <f t="shared" si="5"/>
        <v>51.11</v>
      </c>
    </row>
    <row r="818">
      <c r="A818" s="12">
        <v>42993.0</v>
      </c>
      <c r="B818" s="12" t="s">
        <v>2329</v>
      </c>
      <c r="C818" s="2">
        <v>42997.0</v>
      </c>
      <c r="D818" s="15" t="str">
        <f t="shared" si="1"/>
        <v>Sep</v>
      </c>
      <c r="E818" s="2" t="str">
        <f t="shared" si="2"/>
        <v>2017</v>
      </c>
      <c r="F818" s="13" t="s">
        <v>41</v>
      </c>
      <c r="G818" s="13" t="s">
        <v>2589</v>
      </c>
      <c r="H818" s="13" t="s">
        <v>2653</v>
      </c>
      <c r="I818" s="13" t="s">
        <v>23</v>
      </c>
      <c r="J818" s="13" t="s">
        <v>98</v>
      </c>
      <c r="K818" s="13" t="s">
        <v>99</v>
      </c>
      <c r="L818" s="13" t="s">
        <v>100</v>
      </c>
      <c r="M818" s="13" t="s">
        <v>38</v>
      </c>
      <c r="N818" s="14">
        <v>5.344</v>
      </c>
      <c r="O818" s="14">
        <v>4.97</v>
      </c>
      <c r="P818" s="13">
        <v>1.0</v>
      </c>
      <c r="Q818" s="14">
        <f t="shared" si="3"/>
        <v>5.344</v>
      </c>
      <c r="R818" s="14">
        <f t="shared" si="4"/>
        <v>0.374</v>
      </c>
      <c r="S818" s="14">
        <f t="shared" si="5"/>
        <v>4.97</v>
      </c>
    </row>
    <row r="819">
      <c r="A819" s="12">
        <v>42183.0</v>
      </c>
      <c r="B819" s="12" t="s">
        <v>2374</v>
      </c>
      <c r="C819" s="2">
        <v>42042.0</v>
      </c>
      <c r="D819" s="15" t="str">
        <f t="shared" si="1"/>
        <v>Feb</v>
      </c>
      <c r="E819" s="2" t="str">
        <f t="shared" si="2"/>
        <v>2015</v>
      </c>
      <c r="F819" s="13" t="s">
        <v>41</v>
      </c>
      <c r="G819" s="13" t="s">
        <v>2425</v>
      </c>
      <c r="H819" s="13" t="s">
        <v>2676</v>
      </c>
      <c r="I819" s="13" t="s">
        <v>23</v>
      </c>
      <c r="J819" s="13" t="s">
        <v>98</v>
      </c>
      <c r="K819" s="13" t="s">
        <v>99</v>
      </c>
      <c r="L819" s="13" t="s">
        <v>100</v>
      </c>
      <c r="M819" s="13" t="s">
        <v>38</v>
      </c>
      <c r="N819" s="14">
        <v>41.472</v>
      </c>
      <c r="O819" s="14">
        <v>41.33</v>
      </c>
      <c r="P819" s="13">
        <v>1.0</v>
      </c>
      <c r="Q819" s="14">
        <f t="shared" si="3"/>
        <v>41.472</v>
      </c>
      <c r="R819" s="14">
        <f t="shared" si="4"/>
        <v>0.142</v>
      </c>
      <c r="S819" s="14">
        <f t="shared" si="5"/>
        <v>41.33</v>
      </c>
    </row>
    <row r="820">
      <c r="A820" s="12">
        <v>42183.0</v>
      </c>
      <c r="B820" s="12" t="s">
        <v>2374</v>
      </c>
      <c r="C820" s="2">
        <v>42042.0</v>
      </c>
      <c r="D820" s="15" t="str">
        <f t="shared" si="1"/>
        <v>Feb</v>
      </c>
      <c r="E820" s="2" t="str">
        <f t="shared" si="2"/>
        <v>2015</v>
      </c>
      <c r="F820" s="13" t="s">
        <v>41</v>
      </c>
      <c r="G820" s="13" t="s">
        <v>2425</v>
      </c>
      <c r="H820" s="13" t="s">
        <v>2676</v>
      </c>
      <c r="I820" s="13" t="s">
        <v>23</v>
      </c>
      <c r="J820" s="13" t="s">
        <v>98</v>
      </c>
      <c r="K820" s="13" t="s">
        <v>99</v>
      </c>
      <c r="L820" s="13" t="s">
        <v>100</v>
      </c>
      <c r="M820" s="13" t="s">
        <v>38</v>
      </c>
      <c r="N820" s="14">
        <v>3.168</v>
      </c>
      <c r="O820" s="14">
        <v>2.59</v>
      </c>
      <c r="P820" s="13">
        <v>1.0</v>
      </c>
      <c r="Q820" s="14">
        <f t="shared" si="3"/>
        <v>3.168</v>
      </c>
      <c r="R820" s="14">
        <f t="shared" si="4"/>
        <v>0.578</v>
      </c>
      <c r="S820" s="14">
        <f t="shared" si="5"/>
        <v>2.59</v>
      </c>
    </row>
    <row r="821">
      <c r="A821" s="12">
        <v>42183.0</v>
      </c>
      <c r="B821" s="12" t="s">
        <v>2374</v>
      </c>
      <c r="C821" s="2">
        <v>42042.0</v>
      </c>
      <c r="D821" s="15" t="str">
        <f t="shared" si="1"/>
        <v>Feb</v>
      </c>
      <c r="E821" s="2" t="str">
        <f t="shared" si="2"/>
        <v>2015</v>
      </c>
      <c r="F821" s="13" t="s">
        <v>41</v>
      </c>
      <c r="G821" s="13" t="s">
        <v>2425</v>
      </c>
      <c r="H821" s="13" t="s">
        <v>2676</v>
      </c>
      <c r="I821" s="13" t="s">
        <v>23</v>
      </c>
      <c r="J821" s="13" t="s">
        <v>98</v>
      </c>
      <c r="K821" s="13" t="s">
        <v>99</v>
      </c>
      <c r="L821" s="13" t="s">
        <v>100</v>
      </c>
      <c r="M821" s="13" t="s">
        <v>27</v>
      </c>
      <c r="N821" s="14">
        <v>1228.465</v>
      </c>
      <c r="O821" s="14">
        <v>1227.98</v>
      </c>
      <c r="P821" s="13">
        <v>1.0</v>
      </c>
      <c r="Q821" s="14">
        <f t="shared" si="3"/>
        <v>1228.465</v>
      </c>
      <c r="R821" s="14">
        <f t="shared" si="4"/>
        <v>0.485</v>
      </c>
      <c r="S821" s="14">
        <f t="shared" si="5"/>
        <v>1227.98</v>
      </c>
    </row>
    <row r="822">
      <c r="A822" s="12">
        <v>42183.0</v>
      </c>
      <c r="B822" s="12" t="s">
        <v>2374</v>
      </c>
      <c r="C822" s="2">
        <v>42042.0</v>
      </c>
      <c r="D822" s="15" t="str">
        <f t="shared" si="1"/>
        <v>Feb</v>
      </c>
      <c r="E822" s="2" t="str">
        <f t="shared" si="2"/>
        <v>2015</v>
      </c>
      <c r="F822" s="13" t="s">
        <v>41</v>
      </c>
      <c r="G822" s="13" t="s">
        <v>2425</v>
      </c>
      <c r="H822" s="13" t="s">
        <v>2676</v>
      </c>
      <c r="I822" s="13" t="s">
        <v>23</v>
      </c>
      <c r="J822" s="13" t="s">
        <v>98</v>
      </c>
      <c r="K822" s="13" t="s">
        <v>99</v>
      </c>
      <c r="L822" s="13" t="s">
        <v>100</v>
      </c>
      <c r="M822" s="13" t="s">
        <v>38</v>
      </c>
      <c r="N822" s="14">
        <v>31.086</v>
      </c>
      <c r="O822" s="14">
        <v>31.06</v>
      </c>
      <c r="P822" s="13">
        <v>1.0</v>
      </c>
      <c r="Q822" s="14">
        <f t="shared" si="3"/>
        <v>31.086</v>
      </c>
      <c r="R822" s="14">
        <f t="shared" si="4"/>
        <v>0.026</v>
      </c>
      <c r="S822" s="14">
        <f t="shared" si="5"/>
        <v>31.06</v>
      </c>
    </row>
    <row r="823">
      <c r="A823" s="12">
        <v>42183.0</v>
      </c>
      <c r="B823" s="12" t="s">
        <v>2374</v>
      </c>
      <c r="C823" s="2">
        <v>42042.0</v>
      </c>
      <c r="D823" s="15" t="str">
        <f t="shared" si="1"/>
        <v>Feb</v>
      </c>
      <c r="E823" s="2" t="str">
        <f t="shared" si="2"/>
        <v>2015</v>
      </c>
      <c r="F823" s="13" t="s">
        <v>41</v>
      </c>
      <c r="G823" s="13" t="s">
        <v>2425</v>
      </c>
      <c r="H823" s="13" t="s">
        <v>2676</v>
      </c>
      <c r="I823" s="13" t="s">
        <v>23</v>
      </c>
      <c r="J823" s="13" t="s">
        <v>98</v>
      </c>
      <c r="K823" s="13" t="s">
        <v>99</v>
      </c>
      <c r="L823" s="13" t="s">
        <v>100</v>
      </c>
      <c r="M823" s="13" t="s">
        <v>38</v>
      </c>
      <c r="N823" s="14">
        <v>335.52</v>
      </c>
      <c r="O823" s="14">
        <v>335.44</v>
      </c>
      <c r="P823" s="13">
        <v>1.0</v>
      </c>
      <c r="Q823" s="14">
        <f t="shared" si="3"/>
        <v>335.52</v>
      </c>
      <c r="R823" s="14">
        <f t="shared" si="4"/>
        <v>0.08</v>
      </c>
      <c r="S823" s="14">
        <f t="shared" si="5"/>
        <v>335.44</v>
      </c>
    </row>
    <row r="824">
      <c r="A824" s="12">
        <v>43271.0</v>
      </c>
      <c r="B824" s="12" t="s">
        <v>2374</v>
      </c>
      <c r="C824" s="2">
        <v>43278.0</v>
      </c>
      <c r="D824" s="15" t="str">
        <f t="shared" si="1"/>
        <v>Jun</v>
      </c>
      <c r="E824" s="2" t="str">
        <f t="shared" si="2"/>
        <v>2018</v>
      </c>
      <c r="F824" s="13" t="s">
        <v>41</v>
      </c>
      <c r="G824" s="13" t="s">
        <v>2794</v>
      </c>
      <c r="H824" s="13" t="s">
        <v>2795</v>
      </c>
      <c r="I824" s="13" t="s">
        <v>23</v>
      </c>
      <c r="J824" s="13" t="s">
        <v>612</v>
      </c>
      <c r="K824" s="13" t="s">
        <v>462</v>
      </c>
      <c r="L824" s="13" t="s">
        <v>100</v>
      </c>
      <c r="M824" s="13" t="s">
        <v>51</v>
      </c>
      <c r="N824" s="14">
        <v>239.97</v>
      </c>
      <c r="O824" s="14">
        <v>239.15</v>
      </c>
      <c r="P824" s="13">
        <v>7.0</v>
      </c>
      <c r="Q824" s="14">
        <f t="shared" si="3"/>
        <v>1679.79</v>
      </c>
      <c r="R824" s="14">
        <f t="shared" si="4"/>
        <v>1440.64</v>
      </c>
      <c r="S824" s="14">
        <f t="shared" si="5"/>
        <v>239.15</v>
      </c>
    </row>
    <row r="825">
      <c r="A825" s="12">
        <v>43271.0</v>
      </c>
      <c r="B825" s="12" t="s">
        <v>2374</v>
      </c>
      <c r="C825" s="2">
        <v>43278.0</v>
      </c>
      <c r="D825" s="15" t="str">
        <f t="shared" si="1"/>
        <v>Jun</v>
      </c>
      <c r="E825" s="2" t="str">
        <f t="shared" si="2"/>
        <v>2018</v>
      </c>
      <c r="F825" s="13" t="s">
        <v>41</v>
      </c>
      <c r="G825" s="13" t="s">
        <v>2794</v>
      </c>
      <c r="H825" s="13" t="s">
        <v>2795</v>
      </c>
      <c r="I825" s="13" t="s">
        <v>23</v>
      </c>
      <c r="J825" s="13" t="s">
        <v>612</v>
      </c>
      <c r="K825" s="13" t="s">
        <v>462</v>
      </c>
      <c r="L825" s="13" t="s">
        <v>100</v>
      </c>
      <c r="M825" s="13" t="s">
        <v>38</v>
      </c>
      <c r="N825" s="14">
        <v>9.82</v>
      </c>
      <c r="O825" s="14">
        <v>9.82</v>
      </c>
      <c r="P825" s="13">
        <v>7.0</v>
      </c>
      <c r="Q825" s="14">
        <f t="shared" si="3"/>
        <v>68.74</v>
      </c>
      <c r="R825" s="14">
        <f t="shared" si="4"/>
        <v>58.92</v>
      </c>
      <c r="S825" s="14">
        <f t="shared" si="5"/>
        <v>9.82</v>
      </c>
    </row>
    <row r="826">
      <c r="A826" s="12">
        <v>42252.0</v>
      </c>
      <c r="B826" s="12" t="s">
        <v>2329</v>
      </c>
      <c r="C826" s="2">
        <v>42139.0</v>
      </c>
      <c r="D826" s="15" t="str">
        <f t="shared" si="1"/>
        <v>May</v>
      </c>
      <c r="E826" s="2" t="str">
        <f t="shared" si="2"/>
        <v>2015</v>
      </c>
      <c r="F826" s="13" t="s">
        <v>41</v>
      </c>
      <c r="G826" s="13" t="s">
        <v>2373</v>
      </c>
      <c r="H826" s="13" t="s">
        <v>2796</v>
      </c>
      <c r="I826" s="13" t="s">
        <v>23</v>
      </c>
      <c r="J826" s="13" t="s">
        <v>87</v>
      </c>
      <c r="K826" s="13" t="s">
        <v>52</v>
      </c>
      <c r="L826" s="13" t="s">
        <v>37</v>
      </c>
      <c r="M826" s="13" t="s">
        <v>51</v>
      </c>
      <c r="N826" s="14">
        <v>67.8</v>
      </c>
      <c r="O826" s="14">
        <v>66.82</v>
      </c>
      <c r="P826" s="13">
        <v>9.0</v>
      </c>
      <c r="Q826" s="14">
        <f t="shared" si="3"/>
        <v>610.2</v>
      </c>
      <c r="R826" s="14">
        <f t="shared" si="4"/>
        <v>543.38</v>
      </c>
      <c r="S826" s="14">
        <f t="shared" si="5"/>
        <v>66.82</v>
      </c>
    </row>
    <row r="827">
      <c r="A827" s="12">
        <v>42252.0</v>
      </c>
      <c r="B827" s="12" t="s">
        <v>2329</v>
      </c>
      <c r="C827" s="2">
        <v>42139.0</v>
      </c>
      <c r="D827" s="15" t="str">
        <f t="shared" si="1"/>
        <v>May</v>
      </c>
      <c r="E827" s="2" t="str">
        <f t="shared" si="2"/>
        <v>2015</v>
      </c>
      <c r="F827" s="13" t="s">
        <v>41</v>
      </c>
      <c r="G827" s="13" t="s">
        <v>2373</v>
      </c>
      <c r="H827" s="13" t="s">
        <v>2796</v>
      </c>
      <c r="I827" s="13" t="s">
        <v>23</v>
      </c>
      <c r="J827" s="13" t="s">
        <v>87</v>
      </c>
      <c r="K827" s="13" t="s">
        <v>52</v>
      </c>
      <c r="L827" s="13" t="s">
        <v>37</v>
      </c>
      <c r="M827" s="13" t="s">
        <v>51</v>
      </c>
      <c r="N827" s="14">
        <v>167.97</v>
      </c>
      <c r="O827" s="14">
        <v>167.06</v>
      </c>
      <c r="P827" s="13">
        <v>9.0</v>
      </c>
      <c r="Q827" s="14">
        <f t="shared" si="3"/>
        <v>1511.73</v>
      </c>
      <c r="R827" s="14">
        <f t="shared" si="4"/>
        <v>1344.67</v>
      </c>
      <c r="S827" s="14">
        <f t="shared" si="5"/>
        <v>167.06</v>
      </c>
    </row>
    <row r="828">
      <c r="A828" s="12">
        <v>43333.0</v>
      </c>
      <c r="B828" s="12" t="s">
        <v>2322</v>
      </c>
      <c r="C828" s="2">
        <v>43340.0</v>
      </c>
      <c r="D828" s="15" t="str">
        <f t="shared" si="1"/>
        <v>Aug</v>
      </c>
      <c r="E828" s="2" t="str">
        <f t="shared" si="2"/>
        <v>2018</v>
      </c>
      <c r="F828" s="13" t="s">
        <v>41</v>
      </c>
      <c r="G828" s="13" t="s">
        <v>2434</v>
      </c>
      <c r="H828" s="13" t="s">
        <v>2639</v>
      </c>
      <c r="I828" s="13" t="s">
        <v>23</v>
      </c>
      <c r="J828" s="13" t="s">
        <v>533</v>
      </c>
      <c r="K828" s="13" t="s">
        <v>151</v>
      </c>
      <c r="L828" s="13" t="s">
        <v>71</v>
      </c>
      <c r="M828" s="13" t="s">
        <v>38</v>
      </c>
      <c r="N828" s="14">
        <v>35.0</v>
      </c>
      <c r="O828" s="14">
        <v>34.12</v>
      </c>
      <c r="P828" s="13">
        <v>5.0</v>
      </c>
      <c r="Q828" s="14">
        <f t="shared" si="3"/>
        <v>175</v>
      </c>
      <c r="R828" s="14">
        <f t="shared" si="4"/>
        <v>140.88</v>
      </c>
      <c r="S828" s="14">
        <f t="shared" si="5"/>
        <v>34.12</v>
      </c>
    </row>
    <row r="829">
      <c r="A829" s="12">
        <v>43333.0</v>
      </c>
      <c r="B829" s="12" t="s">
        <v>2322</v>
      </c>
      <c r="C829" s="2">
        <v>43340.0</v>
      </c>
      <c r="D829" s="15" t="str">
        <f t="shared" si="1"/>
        <v>Aug</v>
      </c>
      <c r="E829" s="2" t="str">
        <f t="shared" si="2"/>
        <v>2018</v>
      </c>
      <c r="F829" s="13" t="s">
        <v>41</v>
      </c>
      <c r="G829" s="13" t="s">
        <v>2434</v>
      </c>
      <c r="H829" s="13" t="s">
        <v>2639</v>
      </c>
      <c r="I829" s="13" t="s">
        <v>23</v>
      </c>
      <c r="J829" s="13" t="s">
        <v>533</v>
      </c>
      <c r="K829" s="13" t="s">
        <v>151</v>
      </c>
      <c r="L829" s="13" t="s">
        <v>71</v>
      </c>
      <c r="M829" s="13" t="s">
        <v>38</v>
      </c>
      <c r="N829" s="14">
        <v>37.24</v>
      </c>
      <c r="O829" s="14">
        <v>37.15</v>
      </c>
      <c r="P829" s="13">
        <v>5.0</v>
      </c>
      <c r="Q829" s="14">
        <f t="shared" si="3"/>
        <v>186.2</v>
      </c>
      <c r="R829" s="14">
        <f t="shared" si="4"/>
        <v>149.05</v>
      </c>
      <c r="S829" s="14">
        <f t="shared" si="5"/>
        <v>37.15</v>
      </c>
    </row>
    <row r="830">
      <c r="A830" s="12">
        <v>43333.0</v>
      </c>
      <c r="B830" s="12" t="s">
        <v>2322</v>
      </c>
      <c r="C830" s="2">
        <v>43340.0</v>
      </c>
      <c r="D830" s="15" t="str">
        <f t="shared" si="1"/>
        <v>Aug</v>
      </c>
      <c r="E830" s="2" t="str">
        <f t="shared" si="2"/>
        <v>2018</v>
      </c>
      <c r="F830" s="13" t="s">
        <v>41</v>
      </c>
      <c r="G830" s="13" t="s">
        <v>2434</v>
      </c>
      <c r="H830" s="13" t="s">
        <v>2639</v>
      </c>
      <c r="I830" s="13" t="s">
        <v>23</v>
      </c>
      <c r="J830" s="13" t="s">
        <v>533</v>
      </c>
      <c r="K830" s="13" t="s">
        <v>151</v>
      </c>
      <c r="L830" s="13" t="s">
        <v>71</v>
      </c>
      <c r="M830" s="13" t="s">
        <v>38</v>
      </c>
      <c r="N830" s="14">
        <v>15.28</v>
      </c>
      <c r="O830" s="14">
        <v>14.83</v>
      </c>
      <c r="P830" s="13">
        <v>5.0</v>
      </c>
      <c r="Q830" s="14">
        <f t="shared" si="3"/>
        <v>76.4</v>
      </c>
      <c r="R830" s="14">
        <f t="shared" si="4"/>
        <v>61.57</v>
      </c>
      <c r="S830" s="14">
        <f t="shared" si="5"/>
        <v>14.83</v>
      </c>
    </row>
    <row r="831">
      <c r="A831" s="12">
        <v>43267.0</v>
      </c>
      <c r="B831" s="12" t="s">
        <v>2374</v>
      </c>
      <c r="C831" s="2">
        <v>43272.0</v>
      </c>
      <c r="D831" s="15" t="str">
        <f t="shared" si="1"/>
        <v>Jun</v>
      </c>
      <c r="E831" s="2" t="str">
        <f t="shared" si="2"/>
        <v>2018</v>
      </c>
      <c r="F831" s="13" t="s">
        <v>20</v>
      </c>
      <c r="G831" s="13" t="s">
        <v>2392</v>
      </c>
      <c r="H831" s="13" t="s">
        <v>2393</v>
      </c>
      <c r="I831" s="13" t="s">
        <v>23</v>
      </c>
      <c r="J831" s="13" t="s">
        <v>1450</v>
      </c>
      <c r="K831" s="13" t="s">
        <v>25</v>
      </c>
      <c r="L831" s="13" t="s">
        <v>26</v>
      </c>
      <c r="M831" s="13" t="s">
        <v>27</v>
      </c>
      <c r="N831" s="14">
        <v>301.96</v>
      </c>
      <c r="O831" s="14">
        <v>301.63</v>
      </c>
      <c r="P831" s="13">
        <v>4.0</v>
      </c>
      <c r="Q831" s="14">
        <f t="shared" si="3"/>
        <v>1207.84</v>
      </c>
      <c r="R831" s="14">
        <f t="shared" si="4"/>
        <v>906.21</v>
      </c>
      <c r="S831" s="14">
        <f t="shared" si="5"/>
        <v>301.63</v>
      </c>
    </row>
    <row r="832">
      <c r="A832" s="12">
        <v>43267.0</v>
      </c>
      <c r="B832" s="12" t="s">
        <v>2374</v>
      </c>
      <c r="C832" s="2">
        <v>43272.0</v>
      </c>
      <c r="D832" s="15" t="str">
        <f t="shared" si="1"/>
        <v>Jun</v>
      </c>
      <c r="E832" s="2" t="str">
        <f t="shared" si="2"/>
        <v>2018</v>
      </c>
      <c r="F832" s="13" t="s">
        <v>20</v>
      </c>
      <c r="G832" s="13" t="s">
        <v>2392</v>
      </c>
      <c r="H832" s="13" t="s">
        <v>2393</v>
      </c>
      <c r="I832" s="13" t="s">
        <v>23</v>
      </c>
      <c r="J832" s="13" t="s">
        <v>1450</v>
      </c>
      <c r="K832" s="13" t="s">
        <v>25</v>
      </c>
      <c r="L832" s="13" t="s">
        <v>26</v>
      </c>
      <c r="M832" s="13" t="s">
        <v>38</v>
      </c>
      <c r="N832" s="14">
        <v>180.66</v>
      </c>
      <c r="O832" s="14">
        <v>180.35</v>
      </c>
      <c r="P832" s="13">
        <v>4.0</v>
      </c>
      <c r="Q832" s="14">
        <f t="shared" si="3"/>
        <v>722.64</v>
      </c>
      <c r="R832" s="14">
        <f t="shared" si="4"/>
        <v>542.29</v>
      </c>
      <c r="S832" s="14">
        <f t="shared" si="5"/>
        <v>180.35</v>
      </c>
    </row>
    <row r="833">
      <c r="A833" s="12">
        <v>43267.0</v>
      </c>
      <c r="B833" s="12" t="s">
        <v>2374</v>
      </c>
      <c r="C833" s="2">
        <v>43272.0</v>
      </c>
      <c r="D833" s="15" t="str">
        <f t="shared" si="1"/>
        <v>Jun</v>
      </c>
      <c r="E833" s="2" t="str">
        <f t="shared" si="2"/>
        <v>2018</v>
      </c>
      <c r="F833" s="13" t="s">
        <v>20</v>
      </c>
      <c r="G833" s="13" t="s">
        <v>2392</v>
      </c>
      <c r="H833" s="13" t="s">
        <v>2393</v>
      </c>
      <c r="I833" s="13" t="s">
        <v>23</v>
      </c>
      <c r="J833" s="13" t="s">
        <v>1450</v>
      </c>
      <c r="K833" s="13" t="s">
        <v>25</v>
      </c>
      <c r="L833" s="13" t="s">
        <v>26</v>
      </c>
      <c r="M833" s="13" t="s">
        <v>51</v>
      </c>
      <c r="N833" s="14">
        <v>191.98</v>
      </c>
      <c r="O833" s="14">
        <v>191.97</v>
      </c>
      <c r="P833" s="13">
        <v>4.0</v>
      </c>
      <c r="Q833" s="14">
        <f t="shared" si="3"/>
        <v>767.92</v>
      </c>
      <c r="R833" s="14">
        <f t="shared" si="4"/>
        <v>575.95</v>
      </c>
      <c r="S833" s="14">
        <f t="shared" si="5"/>
        <v>191.97</v>
      </c>
    </row>
    <row r="834">
      <c r="A834" s="12">
        <v>43267.0</v>
      </c>
      <c r="B834" s="12" t="s">
        <v>2374</v>
      </c>
      <c r="C834" s="2">
        <v>43272.0</v>
      </c>
      <c r="D834" s="15" t="str">
        <f t="shared" si="1"/>
        <v>Jun</v>
      </c>
      <c r="E834" s="2" t="str">
        <f t="shared" si="2"/>
        <v>2018</v>
      </c>
      <c r="F834" s="13" t="s">
        <v>20</v>
      </c>
      <c r="G834" s="13" t="s">
        <v>2392</v>
      </c>
      <c r="H834" s="13" t="s">
        <v>2393</v>
      </c>
      <c r="I834" s="13" t="s">
        <v>23</v>
      </c>
      <c r="J834" s="13" t="s">
        <v>1450</v>
      </c>
      <c r="K834" s="13" t="s">
        <v>25</v>
      </c>
      <c r="L834" s="13" t="s">
        <v>26</v>
      </c>
      <c r="M834" s="13" t="s">
        <v>51</v>
      </c>
      <c r="N834" s="14">
        <v>65.99</v>
      </c>
      <c r="O834" s="14">
        <v>65.98</v>
      </c>
      <c r="P834" s="13">
        <v>4.0</v>
      </c>
      <c r="Q834" s="14">
        <f t="shared" si="3"/>
        <v>263.96</v>
      </c>
      <c r="R834" s="14">
        <f t="shared" si="4"/>
        <v>197.98</v>
      </c>
      <c r="S834" s="14">
        <f t="shared" si="5"/>
        <v>65.98</v>
      </c>
    </row>
    <row r="835">
      <c r="A835" s="12">
        <v>42939.0</v>
      </c>
      <c r="B835" s="12" t="s">
        <v>2348</v>
      </c>
      <c r="C835" s="2">
        <v>42943.0</v>
      </c>
      <c r="D835" s="15" t="str">
        <f t="shared" si="1"/>
        <v>Jul</v>
      </c>
      <c r="E835" s="2" t="str">
        <f t="shared" si="2"/>
        <v>2017</v>
      </c>
      <c r="F835" s="13" t="s">
        <v>41</v>
      </c>
      <c r="G835" s="13" t="s">
        <v>2475</v>
      </c>
      <c r="H835" s="13" t="s">
        <v>2476</v>
      </c>
      <c r="I835" s="13" t="s">
        <v>34</v>
      </c>
      <c r="J835" s="13" t="s">
        <v>522</v>
      </c>
      <c r="K835" s="13" t="s">
        <v>145</v>
      </c>
      <c r="L835" s="13" t="s">
        <v>26</v>
      </c>
      <c r="M835" s="13" t="s">
        <v>38</v>
      </c>
      <c r="N835" s="14">
        <v>35.216</v>
      </c>
      <c r="O835" s="14">
        <v>34.32</v>
      </c>
      <c r="P835" s="13">
        <v>3.0</v>
      </c>
      <c r="Q835" s="14">
        <f t="shared" si="3"/>
        <v>105.648</v>
      </c>
      <c r="R835" s="14">
        <f t="shared" si="4"/>
        <v>71.328</v>
      </c>
      <c r="S835" s="14">
        <f t="shared" si="5"/>
        <v>34.32</v>
      </c>
    </row>
    <row r="836">
      <c r="A836" s="12">
        <v>42939.0</v>
      </c>
      <c r="B836" s="12" t="s">
        <v>2348</v>
      </c>
      <c r="C836" s="2">
        <v>42943.0</v>
      </c>
      <c r="D836" s="15" t="str">
        <f t="shared" si="1"/>
        <v>Jul</v>
      </c>
      <c r="E836" s="2" t="str">
        <f t="shared" si="2"/>
        <v>2017</v>
      </c>
      <c r="F836" s="13" t="s">
        <v>41</v>
      </c>
      <c r="G836" s="13" t="s">
        <v>2475</v>
      </c>
      <c r="H836" s="13" t="s">
        <v>2476</v>
      </c>
      <c r="I836" s="13" t="s">
        <v>34</v>
      </c>
      <c r="J836" s="13" t="s">
        <v>522</v>
      </c>
      <c r="K836" s="13" t="s">
        <v>145</v>
      </c>
      <c r="L836" s="13" t="s">
        <v>26</v>
      </c>
      <c r="M836" s="13" t="s">
        <v>38</v>
      </c>
      <c r="N836" s="14">
        <v>23.696</v>
      </c>
      <c r="O836" s="14">
        <v>23.08</v>
      </c>
      <c r="P836" s="13">
        <v>3.0</v>
      </c>
      <c r="Q836" s="14">
        <f t="shared" si="3"/>
        <v>71.088</v>
      </c>
      <c r="R836" s="14">
        <f t="shared" si="4"/>
        <v>48.008</v>
      </c>
      <c r="S836" s="14">
        <f t="shared" si="5"/>
        <v>23.08</v>
      </c>
    </row>
    <row r="837">
      <c r="A837" s="12">
        <v>42939.0</v>
      </c>
      <c r="B837" s="12" t="s">
        <v>2348</v>
      </c>
      <c r="C837" s="2">
        <v>42943.0</v>
      </c>
      <c r="D837" s="15" t="str">
        <f t="shared" si="1"/>
        <v>Jul</v>
      </c>
      <c r="E837" s="2" t="str">
        <f t="shared" si="2"/>
        <v>2017</v>
      </c>
      <c r="F837" s="13" t="s">
        <v>41</v>
      </c>
      <c r="G837" s="13" t="s">
        <v>2475</v>
      </c>
      <c r="H837" s="13" t="s">
        <v>2476</v>
      </c>
      <c r="I837" s="13" t="s">
        <v>34</v>
      </c>
      <c r="J837" s="13" t="s">
        <v>522</v>
      </c>
      <c r="K837" s="13" t="s">
        <v>145</v>
      </c>
      <c r="L837" s="13" t="s">
        <v>26</v>
      </c>
      <c r="M837" s="13" t="s">
        <v>51</v>
      </c>
      <c r="N837" s="14">
        <v>265.475</v>
      </c>
      <c r="O837" s="14">
        <v>265.15</v>
      </c>
      <c r="P837" s="13">
        <v>3.0</v>
      </c>
      <c r="Q837" s="14">
        <f t="shared" si="3"/>
        <v>796.425</v>
      </c>
      <c r="R837" s="14">
        <f t="shared" si="4"/>
        <v>531.275</v>
      </c>
      <c r="S837" s="14">
        <f t="shared" si="5"/>
        <v>265.15</v>
      </c>
    </row>
    <row r="838">
      <c r="A838" s="12">
        <v>42225.0</v>
      </c>
      <c r="B838" s="12" t="s">
        <v>2322</v>
      </c>
      <c r="C838" s="2">
        <v>42260.0</v>
      </c>
      <c r="D838" s="15" t="str">
        <f t="shared" si="1"/>
        <v>Sep</v>
      </c>
      <c r="E838" s="2" t="str">
        <f t="shared" si="2"/>
        <v>2015</v>
      </c>
      <c r="F838" s="13" t="s">
        <v>20</v>
      </c>
      <c r="G838" s="13" t="s">
        <v>2773</v>
      </c>
      <c r="H838" s="13" t="s">
        <v>2774</v>
      </c>
      <c r="I838" s="13" t="s">
        <v>23</v>
      </c>
      <c r="J838" s="13" t="s">
        <v>1230</v>
      </c>
      <c r="K838" s="13" t="s">
        <v>70</v>
      </c>
      <c r="L838" s="13" t="s">
        <v>71</v>
      </c>
      <c r="M838" s="13" t="s">
        <v>38</v>
      </c>
      <c r="N838" s="14">
        <v>51.184</v>
      </c>
      <c r="O838" s="14">
        <v>51.02</v>
      </c>
      <c r="P838" s="13">
        <v>7.0</v>
      </c>
      <c r="Q838" s="14">
        <f t="shared" si="3"/>
        <v>358.288</v>
      </c>
      <c r="R838" s="14">
        <f t="shared" si="4"/>
        <v>307.268</v>
      </c>
      <c r="S838" s="14">
        <f t="shared" si="5"/>
        <v>51.02</v>
      </c>
    </row>
    <row r="839">
      <c r="A839" s="12">
        <v>43201.0</v>
      </c>
      <c r="B839" s="12" t="s">
        <v>2332</v>
      </c>
      <c r="C839" s="2">
        <v>43415.0</v>
      </c>
      <c r="D839" s="15" t="str">
        <f t="shared" si="1"/>
        <v>Nov</v>
      </c>
      <c r="E839" s="2" t="str">
        <f t="shared" si="2"/>
        <v>2018</v>
      </c>
      <c r="F839" s="13" t="s">
        <v>41</v>
      </c>
      <c r="G839" s="13" t="s">
        <v>2797</v>
      </c>
      <c r="H839" s="13" t="s">
        <v>2798</v>
      </c>
      <c r="I839" s="13" t="s">
        <v>68</v>
      </c>
      <c r="J839" s="13" t="s">
        <v>235</v>
      </c>
      <c r="K839" s="13" t="s">
        <v>210</v>
      </c>
      <c r="L839" s="13" t="s">
        <v>26</v>
      </c>
      <c r="M839" s="13" t="s">
        <v>38</v>
      </c>
      <c r="N839" s="14">
        <v>9.664</v>
      </c>
      <c r="O839" s="14">
        <v>9.37</v>
      </c>
      <c r="P839" s="13">
        <v>3.0</v>
      </c>
      <c r="Q839" s="14">
        <f t="shared" si="3"/>
        <v>28.992</v>
      </c>
      <c r="R839" s="14">
        <f t="shared" si="4"/>
        <v>19.622</v>
      </c>
      <c r="S839" s="14">
        <f t="shared" si="5"/>
        <v>9.37</v>
      </c>
    </row>
    <row r="840">
      <c r="A840" s="12">
        <v>42919.0</v>
      </c>
      <c r="B840" s="12" t="s">
        <v>2348</v>
      </c>
      <c r="C840" s="2">
        <v>43072.0</v>
      </c>
      <c r="D840" s="15" t="str">
        <f t="shared" si="1"/>
        <v>Dec</v>
      </c>
      <c r="E840" s="2" t="str">
        <f t="shared" si="2"/>
        <v>2017</v>
      </c>
      <c r="F840" s="13" t="s">
        <v>41</v>
      </c>
      <c r="G840" s="13" t="s">
        <v>2626</v>
      </c>
      <c r="H840" s="13" t="s">
        <v>2476</v>
      </c>
      <c r="I840" s="13" t="s">
        <v>34</v>
      </c>
      <c r="J840" s="13" t="s">
        <v>69</v>
      </c>
      <c r="K840" s="13" t="s">
        <v>70</v>
      </c>
      <c r="L840" s="13" t="s">
        <v>71</v>
      </c>
      <c r="M840" s="13" t="s">
        <v>51</v>
      </c>
      <c r="N840" s="14">
        <v>21.072</v>
      </c>
      <c r="O840" s="14">
        <v>20.89</v>
      </c>
      <c r="P840" s="13">
        <v>7.0</v>
      </c>
      <c r="Q840" s="14">
        <f t="shared" si="3"/>
        <v>147.504</v>
      </c>
      <c r="R840" s="14">
        <f t="shared" si="4"/>
        <v>126.614</v>
      </c>
      <c r="S840" s="14">
        <f t="shared" si="5"/>
        <v>20.89</v>
      </c>
    </row>
    <row r="841">
      <c r="A841" s="12">
        <v>42694.0</v>
      </c>
      <c r="B841" s="12" t="s">
        <v>2326</v>
      </c>
      <c r="C841" s="2">
        <v>42699.0</v>
      </c>
      <c r="D841" s="15" t="str">
        <f t="shared" si="1"/>
        <v>Nov</v>
      </c>
      <c r="E841" s="2" t="str">
        <f t="shared" si="2"/>
        <v>2016</v>
      </c>
      <c r="F841" s="13" t="s">
        <v>41</v>
      </c>
      <c r="G841" s="13" t="s">
        <v>2655</v>
      </c>
      <c r="H841" s="13" t="s">
        <v>2799</v>
      </c>
      <c r="I841" s="13" t="s">
        <v>34</v>
      </c>
      <c r="J841" s="13" t="s">
        <v>174</v>
      </c>
      <c r="K841" s="13" t="s">
        <v>175</v>
      </c>
      <c r="L841" s="13" t="s">
        <v>100</v>
      </c>
      <c r="M841" s="13" t="s">
        <v>38</v>
      </c>
      <c r="N841" s="14">
        <v>60.45</v>
      </c>
      <c r="O841" s="14">
        <v>60.25</v>
      </c>
      <c r="P841" s="13">
        <v>1.0</v>
      </c>
      <c r="Q841" s="14">
        <f t="shared" si="3"/>
        <v>60.45</v>
      </c>
      <c r="R841" s="14">
        <f t="shared" si="4"/>
        <v>0.2</v>
      </c>
      <c r="S841" s="14">
        <f t="shared" si="5"/>
        <v>60.25</v>
      </c>
    </row>
    <row r="842">
      <c r="A842" s="12">
        <v>42694.0</v>
      </c>
      <c r="B842" s="12" t="s">
        <v>2326</v>
      </c>
      <c r="C842" s="2">
        <v>42699.0</v>
      </c>
      <c r="D842" s="15" t="str">
        <f t="shared" si="1"/>
        <v>Nov</v>
      </c>
      <c r="E842" s="2" t="str">
        <f t="shared" si="2"/>
        <v>2016</v>
      </c>
      <c r="F842" s="13" t="s">
        <v>41</v>
      </c>
      <c r="G842" s="13" t="s">
        <v>2655</v>
      </c>
      <c r="H842" s="13" t="s">
        <v>2799</v>
      </c>
      <c r="I842" s="13" t="s">
        <v>34</v>
      </c>
      <c r="J842" s="13" t="s">
        <v>174</v>
      </c>
      <c r="K842" s="13" t="s">
        <v>175</v>
      </c>
      <c r="L842" s="13" t="s">
        <v>100</v>
      </c>
      <c r="M842" s="13" t="s">
        <v>38</v>
      </c>
      <c r="N842" s="14">
        <v>11.52</v>
      </c>
      <c r="O842" s="14">
        <v>11.19</v>
      </c>
      <c r="P842" s="13">
        <v>1.0</v>
      </c>
      <c r="Q842" s="14">
        <f t="shared" si="3"/>
        <v>11.52</v>
      </c>
      <c r="R842" s="14">
        <f t="shared" si="4"/>
        <v>0.33</v>
      </c>
      <c r="S842" s="14">
        <f t="shared" si="5"/>
        <v>11.19</v>
      </c>
    </row>
    <row r="843">
      <c r="A843" s="12">
        <v>42694.0</v>
      </c>
      <c r="B843" s="12" t="s">
        <v>2326</v>
      </c>
      <c r="C843" s="2">
        <v>42699.0</v>
      </c>
      <c r="D843" s="15" t="str">
        <f t="shared" si="1"/>
        <v>Nov</v>
      </c>
      <c r="E843" s="2" t="str">
        <f t="shared" si="2"/>
        <v>2016</v>
      </c>
      <c r="F843" s="13" t="s">
        <v>41</v>
      </c>
      <c r="G843" s="13" t="s">
        <v>2655</v>
      </c>
      <c r="H843" s="13" t="s">
        <v>2799</v>
      </c>
      <c r="I843" s="13" t="s">
        <v>34</v>
      </c>
      <c r="J843" s="13" t="s">
        <v>174</v>
      </c>
      <c r="K843" s="13" t="s">
        <v>175</v>
      </c>
      <c r="L843" s="13" t="s">
        <v>100</v>
      </c>
      <c r="M843" s="13" t="s">
        <v>27</v>
      </c>
      <c r="N843" s="14">
        <v>186.048</v>
      </c>
      <c r="O843" s="14">
        <v>185.91</v>
      </c>
      <c r="P843" s="13">
        <v>1.0</v>
      </c>
      <c r="Q843" s="14">
        <f t="shared" si="3"/>
        <v>186.048</v>
      </c>
      <c r="R843" s="14">
        <f t="shared" si="4"/>
        <v>0.138</v>
      </c>
      <c r="S843" s="14">
        <f t="shared" si="5"/>
        <v>185.91</v>
      </c>
    </row>
    <row r="844">
      <c r="A844" s="12">
        <v>42927.0</v>
      </c>
      <c r="B844" s="12" t="s">
        <v>2348</v>
      </c>
      <c r="C844" s="2">
        <v>42989.0</v>
      </c>
      <c r="D844" s="15" t="str">
        <f t="shared" si="1"/>
        <v>Sep</v>
      </c>
      <c r="E844" s="2" t="str">
        <f t="shared" si="2"/>
        <v>2017</v>
      </c>
      <c r="F844" s="13" t="s">
        <v>121</v>
      </c>
      <c r="G844" s="13" t="s">
        <v>2800</v>
      </c>
      <c r="H844" s="13" t="s">
        <v>2423</v>
      </c>
      <c r="I844" s="13" t="s">
        <v>34</v>
      </c>
      <c r="J844" s="13" t="s">
        <v>35</v>
      </c>
      <c r="K844" s="13" t="s">
        <v>52</v>
      </c>
      <c r="L844" s="13" t="s">
        <v>37</v>
      </c>
      <c r="M844" s="13" t="s">
        <v>38</v>
      </c>
      <c r="N844" s="14">
        <v>37.44</v>
      </c>
      <c r="O844" s="14">
        <v>37.17</v>
      </c>
      <c r="P844" s="13">
        <v>9.0</v>
      </c>
      <c r="Q844" s="14">
        <f t="shared" si="3"/>
        <v>336.96</v>
      </c>
      <c r="R844" s="14">
        <f t="shared" si="4"/>
        <v>299.79</v>
      </c>
      <c r="S844" s="14">
        <f t="shared" si="5"/>
        <v>37.17</v>
      </c>
    </row>
    <row r="845">
      <c r="A845" s="12">
        <v>42927.0</v>
      </c>
      <c r="B845" s="12" t="s">
        <v>2348</v>
      </c>
      <c r="C845" s="2">
        <v>42989.0</v>
      </c>
      <c r="D845" s="15" t="str">
        <f t="shared" si="1"/>
        <v>Sep</v>
      </c>
      <c r="E845" s="2" t="str">
        <f t="shared" si="2"/>
        <v>2017</v>
      </c>
      <c r="F845" s="13" t="s">
        <v>121</v>
      </c>
      <c r="G845" s="13" t="s">
        <v>2800</v>
      </c>
      <c r="H845" s="13" t="s">
        <v>2423</v>
      </c>
      <c r="I845" s="13" t="s">
        <v>34</v>
      </c>
      <c r="J845" s="13" t="s">
        <v>35</v>
      </c>
      <c r="K845" s="13" t="s">
        <v>52</v>
      </c>
      <c r="L845" s="13" t="s">
        <v>37</v>
      </c>
      <c r="M845" s="13" t="s">
        <v>38</v>
      </c>
      <c r="N845" s="14">
        <v>26.976</v>
      </c>
      <c r="O845" s="14">
        <v>26.22</v>
      </c>
      <c r="P845" s="13">
        <v>9.0</v>
      </c>
      <c r="Q845" s="14">
        <f t="shared" si="3"/>
        <v>242.784</v>
      </c>
      <c r="R845" s="14">
        <f t="shared" si="4"/>
        <v>216.564</v>
      </c>
      <c r="S845" s="14">
        <f t="shared" si="5"/>
        <v>26.22</v>
      </c>
    </row>
    <row r="846">
      <c r="A846" s="12">
        <v>42927.0</v>
      </c>
      <c r="B846" s="12" t="s">
        <v>2348</v>
      </c>
      <c r="C846" s="2">
        <v>42989.0</v>
      </c>
      <c r="D846" s="15" t="str">
        <f t="shared" si="1"/>
        <v>Sep</v>
      </c>
      <c r="E846" s="2" t="str">
        <f t="shared" si="2"/>
        <v>2017</v>
      </c>
      <c r="F846" s="13" t="s">
        <v>121</v>
      </c>
      <c r="G846" s="13" t="s">
        <v>2800</v>
      </c>
      <c r="H846" s="13" t="s">
        <v>2423</v>
      </c>
      <c r="I846" s="13" t="s">
        <v>34</v>
      </c>
      <c r="J846" s="13" t="s">
        <v>35</v>
      </c>
      <c r="K846" s="13" t="s">
        <v>52</v>
      </c>
      <c r="L846" s="13" t="s">
        <v>37</v>
      </c>
      <c r="M846" s="13" t="s">
        <v>38</v>
      </c>
      <c r="N846" s="14">
        <v>11.36</v>
      </c>
      <c r="O846" s="14">
        <v>11.28</v>
      </c>
      <c r="P846" s="13">
        <v>9.0</v>
      </c>
      <c r="Q846" s="14">
        <f t="shared" si="3"/>
        <v>102.24</v>
      </c>
      <c r="R846" s="14">
        <f t="shared" si="4"/>
        <v>90.96</v>
      </c>
      <c r="S846" s="14">
        <f t="shared" si="5"/>
        <v>11.28</v>
      </c>
    </row>
    <row r="847">
      <c r="A847" s="12">
        <v>42927.0</v>
      </c>
      <c r="B847" s="12" t="s">
        <v>2348</v>
      </c>
      <c r="C847" s="2">
        <v>42989.0</v>
      </c>
      <c r="D847" s="15" t="str">
        <f t="shared" si="1"/>
        <v>Sep</v>
      </c>
      <c r="E847" s="2" t="str">
        <f t="shared" si="2"/>
        <v>2017</v>
      </c>
      <c r="F847" s="13" t="s">
        <v>121</v>
      </c>
      <c r="G847" s="13" t="s">
        <v>2800</v>
      </c>
      <c r="H847" s="13" t="s">
        <v>2423</v>
      </c>
      <c r="I847" s="13" t="s">
        <v>34</v>
      </c>
      <c r="J847" s="13" t="s">
        <v>35</v>
      </c>
      <c r="K847" s="13" t="s">
        <v>52</v>
      </c>
      <c r="L847" s="13" t="s">
        <v>37</v>
      </c>
      <c r="M847" s="13" t="s">
        <v>38</v>
      </c>
      <c r="N847" s="14">
        <v>14.62</v>
      </c>
      <c r="O847" s="14">
        <v>14.55</v>
      </c>
      <c r="P847" s="13">
        <v>9.0</v>
      </c>
      <c r="Q847" s="14">
        <f t="shared" si="3"/>
        <v>131.58</v>
      </c>
      <c r="R847" s="14">
        <f t="shared" si="4"/>
        <v>117.03</v>
      </c>
      <c r="S847" s="14">
        <f t="shared" si="5"/>
        <v>14.55</v>
      </c>
    </row>
    <row r="848">
      <c r="A848" s="12">
        <v>42656.0</v>
      </c>
      <c r="B848" s="12" t="s">
        <v>2358</v>
      </c>
      <c r="C848" s="2">
        <v>42660.0</v>
      </c>
      <c r="D848" s="15" t="str">
        <f t="shared" si="1"/>
        <v>Oct</v>
      </c>
      <c r="E848" s="2" t="str">
        <f t="shared" si="2"/>
        <v>2016</v>
      </c>
      <c r="F848" s="13" t="s">
        <v>41</v>
      </c>
      <c r="G848" s="13" t="s">
        <v>2801</v>
      </c>
      <c r="H848" s="13" t="s">
        <v>2605</v>
      </c>
      <c r="I848" s="13" t="s">
        <v>23</v>
      </c>
      <c r="J848" s="13" t="s">
        <v>818</v>
      </c>
      <c r="K848" s="13" t="s">
        <v>25</v>
      </c>
      <c r="L848" s="13" t="s">
        <v>26</v>
      </c>
      <c r="M848" s="13" t="s">
        <v>51</v>
      </c>
      <c r="N848" s="14">
        <v>83.72</v>
      </c>
      <c r="O848" s="14">
        <v>83.34</v>
      </c>
      <c r="P848" s="13">
        <v>4.0</v>
      </c>
      <c r="Q848" s="14">
        <f t="shared" si="3"/>
        <v>334.88</v>
      </c>
      <c r="R848" s="14">
        <f t="shared" si="4"/>
        <v>251.54</v>
      </c>
      <c r="S848" s="14">
        <f t="shared" si="5"/>
        <v>83.34</v>
      </c>
    </row>
    <row r="849">
      <c r="A849" s="12">
        <v>42656.0</v>
      </c>
      <c r="B849" s="12" t="s">
        <v>2358</v>
      </c>
      <c r="C849" s="2">
        <v>42660.0</v>
      </c>
      <c r="D849" s="15" t="str">
        <f t="shared" si="1"/>
        <v>Oct</v>
      </c>
      <c r="E849" s="2" t="str">
        <f t="shared" si="2"/>
        <v>2016</v>
      </c>
      <c r="F849" s="13" t="s">
        <v>41</v>
      </c>
      <c r="G849" s="13" t="s">
        <v>2801</v>
      </c>
      <c r="H849" s="13" t="s">
        <v>2605</v>
      </c>
      <c r="I849" s="13" t="s">
        <v>23</v>
      </c>
      <c r="J849" s="13" t="s">
        <v>818</v>
      </c>
      <c r="K849" s="13" t="s">
        <v>25</v>
      </c>
      <c r="L849" s="13" t="s">
        <v>26</v>
      </c>
      <c r="M849" s="13" t="s">
        <v>27</v>
      </c>
      <c r="N849" s="14">
        <v>287.94</v>
      </c>
      <c r="O849" s="14">
        <v>286.99</v>
      </c>
      <c r="P849" s="13">
        <v>4.0</v>
      </c>
      <c r="Q849" s="14">
        <f t="shared" si="3"/>
        <v>1151.76</v>
      </c>
      <c r="R849" s="14">
        <f t="shared" si="4"/>
        <v>864.77</v>
      </c>
      <c r="S849" s="14">
        <f t="shared" si="5"/>
        <v>286.99</v>
      </c>
    </row>
    <row r="850">
      <c r="A850" s="12">
        <v>43101.0</v>
      </c>
      <c r="B850" s="12" t="s">
        <v>2353</v>
      </c>
      <c r="C850" s="2">
        <v>43252.0</v>
      </c>
      <c r="D850" s="15" t="str">
        <f t="shared" si="1"/>
        <v>Jun</v>
      </c>
      <c r="E850" s="2" t="str">
        <f t="shared" si="2"/>
        <v>2018</v>
      </c>
      <c r="F850" s="13" t="s">
        <v>41</v>
      </c>
      <c r="G850" s="13" t="s">
        <v>2576</v>
      </c>
      <c r="H850" s="13" t="s">
        <v>2424</v>
      </c>
      <c r="I850" s="13" t="s">
        <v>23</v>
      </c>
      <c r="J850" s="13" t="s">
        <v>1472</v>
      </c>
      <c r="K850" s="13" t="s">
        <v>304</v>
      </c>
      <c r="L850" s="13" t="s">
        <v>100</v>
      </c>
      <c r="M850" s="13" t="s">
        <v>27</v>
      </c>
      <c r="N850" s="14">
        <v>48.896</v>
      </c>
      <c r="O850" s="14">
        <v>48.39</v>
      </c>
      <c r="P850" s="13">
        <v>4.0</v>
      </c>
      <c r="Q850" s="14">
        <f t="shared" si="3"/>
        <v>195.584</v>
      </c>
      <c r="R850" s="14">
        <f t="shared" si="4"/>
        <v>147.194</v>
      </c>
      <c r="S850" s="14">
        <f t="shared" si="5"/>
        <v>48.39</v>
      </c>
    </row>
    <row r="851">
      <c r="A851" s="12">
        <v>42187.0</v>
      </c>
      <c r="B851" s="12" t="s">
        <v>2348</v>
      </c>
      <c r="C851" s="2">
        <v>42340.0</v>
      </c>
      <c r="D851" s="15" t="str">
        <f t="shared" si="1"/>
        <v>Dec</v>
      </c>
      <c r="E851" s="2" t="str">
        <f t="shared" si="2"/>
        <v>2015</v>
      </c>
      <c r="F851" s="13" t="s">
        <v>41</v>
      </c>
      <c r="G851" s="13" t="s">
        <v>2802</v>
      </c>
      <c r="H851" s="13" t="s">
        <v>2803</v>
      </c>
      <c r="I851" s="13" t="s">
        <v>34</v>
      </c>
      <c r="J851" s="13" t="s">
        <v>1476</v>
      </c>
      <c r="K851" s="13" t="s">
        <v>462</v>
      </c>
      <c r="L851" s="13" t="s">
        <v>100</v>
      </c>
      <c r="M851" s="13" t="s">
        <v>51</v>
      </c>
      <c r="N851" s="14">
        <v>115.36</v>
      </c>
      <c r="O851" s="14">
        <v>114.77</v>
      </c>
      <c r="P851" s="13">
        <v>7.0</v>
      </c>
      <c r="Q851" s="14">
        <f t="shared" si="3"/>
        <v>807.52</v>
      </c>
      <c r="R851" s="14">
        <f t="shared" si="4"/>
        <v>692.75</v>
      </c>
      <c r="S851" s="14">
        <f t="shared" si="5"/>
        <v>114.77</v>
      </c>
    </row>
    <row r="852">
      <c r="A852" s="12">
        <v>42906.0</v>
      </c>
      <c r="B852" s="12" t="s">
        <v>2374</v>
      </c>
      <c r="C852" s="2">
        <v>42911.0</v>
      </c>
      <c r="D852" s="15" t="str">
        <f t="shared" si="1"/>
        <v>Jun</v>
      </c>
      <c r="E852" s="2" t="str">
        <f t="shared" si="2"/>
        <v>2017</v>
      </c>
      <c r="F852" s="13" t="s">
        <v>20</v>
      </c>
      <c r="G852" s="13" t="s">
        <v>2432</v>
      </c>
      <c r="H852" s="13" t="s">
        <v>2804</v>
      </c>
      <c r="I852" s="13" t="s">
        <v>34</v>
      </c>
      <c r="J852" s="13" t="s">
        <v>1480</v>
      </c>
      <c r="K852" s="13" t="s">
        <v>52</v>
      </c>
      <c r="L852" s="13" t="s">
        <v>37</v>
      </c>
      <c r="M852" s="13" t="s">
        <v>38</v>
      </c>
      <c r="N852" s="14">
        <v>5.16</v>
      </c>
      <c r="O852" s="14">
        <v>5.02</v>
      </c>
      <c r="P852" s="13">
        <v>9.0</v>
      </c>
      <c r="Q852" s="14">
        <f t="shared" si="3"/>
        <v>46.44</v>
      </c>
      <c r="R852" s="14">
        <f t="shared" si="4"/>
        <v>41.42</v>
      </c>
      <c r="S852" s="14">
        <f t="shared" si="5"/>
        <v>5.02</v>
      </c>
    </row>
    <row r="853">
      <c r="A853" s="12">
        <v>42906.0</v>
      </c>
      <c r="B853" s="12" t="s">
        <v>2374</v>
      </c>
      <c r="C853" s="2">
        <v>42911.0</v>
      </c>
      <c r="D853" s="15" t="str">
        <f t="shared" si="1"/>
        <v>Jun</v>
      </c>
      <c r="E853" s="2" t="str">
        <f t="shared" si="2"/>
        <v>2017</v>
      </c>
      <c r="F853" s="13" t="s">
        <v>20</v>
      </c>
      <c r="G853" s="13" t="s">
        <v>2432</v>
      </c>
      <c r="H853" s="13" t="s">
        <v>2804</v>
      </c>
      <c r="I853" s="13" t="s">
        <v>34</v>
      </c>
      <c r="J853" s="13" t="s">
        <v>1480</v>
      </c>
      <c r="K853" s="13" t="s">
        <v>52</v>
      </c>
      <c r="L853" s="13" t="s">
        <v>37</v>
      </c>
      <c r="M853" s="13" t="s">
        <v>38</v>
      </c>
      <c r="N853" s="14">
        <v>38.88</v>
      </c>
      <c r="O853" s="14">
        <v>38.86</v>
      </c>
      <c r="P853" s="13">
        <v>9.0</v>
      </c>
      <c r="Q853" s="14">
        <f t="shared" si="3"/>
        <v>349.92</v>
      </c>
      <c r="R853" s="14">
        <f t="shared" si="4"/>
        <v>311.06</v>
      </c>
      <c r="S853" s="14">
        <f t="shared" si="5"/>
        <v>38.86</v>
      </c>
    </row>
    <row r="854">
      <c r="A854" s="12">
        <v>42883.0</v>
      </c>
      <c r="B854" s="12" t="s">
        <v>2335</v>
      </c>
      <c r="C854" s="2">
        <v>42831.0</v>
      </c>
      <c r="D854" s="15" t="str">
        <f t="shared" si="1"/>
        <v>Apr</v>
      </c>
      <c r="E854" s="2" t="str">
        <f t="shared" si="2"/>
        <v>2017</v>
      </c>
      <c r="F854" s="13" t="s">
        <v>41</v>
      </c>
      <c r="G854" s="13" t="s">
        <v>2493</v>
      </c>
      <c r="H854" s="13" t="s">
        <v>2439</v>
      </c>
      <c r="I854" s="13" t="s">
        <v>23</v>
      </c>
      <c r="J854" s="13" t="s">
        <v>205</v>
      </c>
      <c r="K854" s="13" t="s">
        <v>827</v>
      </c>
      <c r="L854" s="13" t="s">
        <v>26</v>
      </c>
      <c r="M854" s="13" t="s">
        <v>38</v>
      </c>
      <c r="N854" s="14">
        <v>185.88</v>
      </c>
      <c r="O854" s="14">
        <v>185.07</v>
      </c>
      <c r="P854" s="13">
        <v>3.0</v>
      </c>
      <c r="Q854" s="14">
        <f t="shared" si="3"/>
        <v>557.64</v>
      </c>
      <c r="R854" s="14">
        <f t="shared" si="4"/>
        <v>372.57</v>
      </c>
      <c r="S854" s="14">
        <f t="shared" si="5"/>
        <v>185.07</v>
      </c>
    </row>
    <row r="855">
      <c r="A855" s="12">
        <v>42785.0</v>
      </c>
      <c r="B855" s="12" t="s">
        <v>2431</v>
      </c>
      <c r="C855" s="2">
        <v>42790.0</v>
      </c>
      <c r="D855" s="15" t="str">
        <f t="shared" si="1"/>
        <v>Feb</v>
      </c>
      <c r="E855" s="2" t="str">
        <f t="shared" si="2"/>
        <v>2017</v>
      </c>
      <c r="F855" s="13" t="s">
        <v>41</v>
      </c>
      <c r="G855" s="13" t="s">
        <v>2434</v>
      </c>
      <c r="H855" s="13" t="s">
        <v>2639</v>
      </c>
      <c r="I855" s="13" t="s">
        <v>23</v>
      </c>
      <c r="J855" s="13" t="s">
        <v>174</v>
      </c>
      <c r="K855" s="13" t="s">
        <v>175</v>
      </c>
      <c r="L855" s="13" t="s">
        <v>100</v>
      </c>
      <c r="M855" s="13" t="s">
        <v>27</v>
      </c>
      <c r="N855" s="14">
        <v>44.46</v>
      </c>
      <c r="O855" s="14">
        <v>44.26</v>
      </c>
      <c r="P855" s="13">
        <v>1.0</v>
      </c>
      <c r="Q855" s="14">
        <f t="shared" si="3"/>
        <v>44.46</v>
      </c>
      <c r="R855" s="14">
        <f t="shared" si="4"/>
        <v>0.2</v>
      </c>
      <c r="S855" s="14">
        <f t="shared" si="5"/>
        <v>44.26</v>
      </c>
    </row>
    <row r="856">
      <c r="A856" s="12">
        <v>42785.0</v>
      </c>
      <c r="B856" s="12" t="s">
        <v>2431</v>
      </c>
      <c r="C856" s="2">
        <v>42790.0</v>
      </c>
      <c r="D856" s="15" t="str">
        <f t="shared" si="1"/>
        <v>Feb</v>
      </c>
      <c r="E856" s="2" t="str">
        <f t="shared" si="2"/>
        <v>2017</v>
      </c>
      <c r="F856" s="13" t="s">
        <v>41</v>
      </c>
      <c r="G856" s="13" t="s">
        <v>2434</v>
      </c>
      <c r="H856" s="13" t="s">
        <v>2639</v>
      </c>
      <c r="I856" s="13" t="s">
        <v>23</v>
      </c>
      <c r="J856" s="13" t="s">
        <v>174</v>
      </c>
      <c r="K856" s="13" t="s">
        <v>175</v>
      </c>
      <c r="L856" s="13" t="s">
        <v>100</v>
      </c>
      <c r="M856" s="13" t="s">
        <v>38</v>
      </c>
      <c r="N856" s="14">
        <v>242.94</v>
      </c>
      <c r="O856" s="14">
        <v>242.33</v>
      </c>
      <c r="P856" s="13">
        <v>1.0</v>
      </c>
      <c r="Q856" s="14">
        <f t="shared" si="3"/>
        <v>242.94</v>
      </c>
      <c r="R856" s="14">
        <f t="shared" si="4"/>
        <v>0.61</v>
      </c>
      <c r="S856" s="14">
        <f t="shared" si="5"/>
        <v>242.33</v>
      </c>
    </row>
    <row r="857">
      <c r="A857" s="12">
        <v>42071.0</v>
      </c>
      <c r="B857" s="12" t="s">
        <v>2399</v>
      </c>
      <c r="C857" s="2">
        <v>42224.0</v>
      </c>
      <c r="D857" s="15" t="str">
        <f t="shared" si="1"/>
        <v>Aug</v>
      </c>
      <c r="E857" s="2" t="str">
        <f t="shared" si="2"/>
        <v>2015</v>
      </c>
      <c r="F857" s="13" t="s">
        <v>41</v>
      </c>
      <c r="G857" s="13" t="s">
        <v>2805</v>
      </c>
      <c r="H857" s="13" t="s">
        <v>2806</v>
      </c>
      <c r="I857" s="13" t="s">
        <v>23</v>
      </c>
      <c r="J857" s="13" t="s">
        <v>174</v>
      </c>
      <c r="K857" s="13" t="s">
        <v>175</v>
      </c>
      <c r="L857" s="13" t="s">
        <v>100</v>
      </c>
      <c r="M857" s="13" t="s">
        <v>38</v>
      </c>
      <c r="N857" s="14">
        <v>39.96</v>
      </c>
      <c r="O857" s="14">
        <v>39.21</v>
      </c>
      <c r="P857" s="13">
        <v>1.0</v>
      </c>
      <c r="Q857" s="14">
        <f t="shared" si="3"/>
        <v>39.96</v>
      </c>
      <c r="R857" s="14">
        <f t="shared" si="4"/>
        <v>0.75</v>
      </c>
      <c r="S857" s="14">
        <f t="shared" si="5"/>
        <v>39.21</v>
      </c>
    </row>
    <row r="858">
      <c r="A858" s="12">
        <v>42071.0</v>
      </c>
      <c r="B858" s="12" t="s">
        <v>2399</v>
      </c>
      <c r="C858" s="2">
        <v>42224.0</v>
      </c>
      <c r="D858" s="15" t="str">
        <f t="shared" si="1"/>
        <v>Aug</v>
      </c>
      <c r="E858" s="2" t="str">
        <f t="shared" si="2"/>
        <v>2015</v>
      </c>
      <c r="F858" s="13" t="s">
        <v>41</v>
      </c>
      <c r="G858" s="13" t="s">
        <v>2805</v>
      </c>
      <c r="H858" s="13" t="s">
        <v>2806</v>
      </c>
      <c r="I858" s="13" t="s">
        <v>23</v>
      </c>
      <c r="J858" s="13" t="s">
        <v>174</v>
      </c>
      <c r="K858" s="13" t="s">
        <v>175</v>
      </c>
      <c r="L858" s="13" t="s">
        <v>100</v>
      </c>
      <c r="M858" s="13" t="s">
        <v>38</v>
      </c>
      <c r="N858" s="14">
        <v>102.3</v>
      </c>
      <c r="O858" s="14">
        <v>102.1</v>
      </c>
      <c r="P858" s="13">
        <v>1.0</v>
      </c>
      <c r="Q858" s="14">
        <f t="shared" si="3"/>
        <v>102.3</v>
      </c>
      <c r="R858" s="14">
        <f t="shared" si="4"/>
        <v>0.2</v>
      </c>
      <c r="S858" s="14">
        <f t="shared" si="5"/>
        <v>102.1</v>
      </c>
    </row>
    <row r="859">
      <c r="A859" s="12">
        <v>42071.0</v>
      </c>
      <c r="B859" s="12" t="s">
        <v>2399</v>
      </c>
      <c r="C859" s="2">
        <v>42224.0</v>
      </c>
      <c r="D859" s="15" t="str">
        <f t="shared" si="1"/>
        <v>Aug</v>
      </c>
      <c r="E859" s="2" t="str">
        <f t="shared" si="2"/>
        <v>2015</v>
      </c>
      <c r="F859" s="13" t="s">
        <v>41</v>
      </c>
      <c r="G859" s="13" t="s">
        <v>2805</v>
      </c>
      <c r="H859" s="13" t="s">
        <v>2806</v>
      </c>
      <c r="I859" s="13" t="s">
        <v>23</v>
      </c>
      <c r="J859" s="13" t="s">
        <v>174</v>
      </c>
      <c r="K859" s="13" t="s">
        <v>175</v>
      </c>
      <c r="L859" s="13" t="s">
        <v>100</v>
      </c>
      <c r="M859" s="13" t="s">
        <v>38</v>
      </c>
      <c r="N859" s="14">
        <v>21.36</v>
      </c>
      <c r="O859" s="14">
        <v>20.84</v>
      </c>
      <c r="P859" s="13">
        <v>1.0</v>
      </c>
      <c r="Q859" s="14">
        <f t="shared" si="3"/>
        <v>21.36</v>
      </c>
      <c r="R859" s="14">
        <f t="shared" si="4"/>
        <v>0.52</v>
      </c>
      <c r="S859" s="14">
        <f t="shared" si="5"/>
        <v>20.84</v>
      </c>
    </row>
    <row r="860">
      <c r="A860" s="12">
        <v>43377.0</v>
      </c>
      <c r="B860" s="12" t="s">
        <v>2358</v>
      </c>
      <c r="C860" s="2">
        <v>43205.0</v>
      </c>
      <c r="D860" s="15" t="str">
        <f t="shared" si="1"/>
        <v>Apr</v>
      </c>
      <c r="E860" s="2" t="str">
        <f t="shared" si="2"/>
        <v>2018</v>
      </c>
      <c r="F860" s="13" t="s">
        <v>41</v>
      </c>
      <c r="G860" s="13" t="s">
        <v>2627</v>
      </c>
      <c r="H860" s="13" t="s">
        <v>2738</v>
      </c>
      <c r="I860" s="13" t="s">
        <v>68</v>
      </c>
      <c r="J860" s="13" t="s">
        <v>1491</v>
      </c>
      <c r="K860" s="13" t="s">
        <v>462</v>
      </c>
      <c r="L860" s="13" t="s">
        <v>100</v>
      </c>
      <c r="M860" s="13" t="s">
        <v>38</v>
      </c>
      <c r="N860" s="14">
        <v>7.61</v>
      </c>
      <c r="O860" s="14">
        <v>7.6</v>
      </c>
      <c r="P860" s="13">
        <v>8.0</v>
      </c>
      <c r="Q860" s="14">
        <f t="shared" si="3"/>
        <v>60.88</v>
      </c>
      <c r="R860" s="14">
        <f t="shared" si="4"/>
        <v>53.28</v>
      </c>
      <c r="S860" s="14">
        <f t="shared" si="5"/>
        <v>7.6</v>
      </c>
    </row>
    <row r="861">
      <c r="A861" s="12">
        <v>43377.0</v>
      </c>
      <c r="B861" s="12" t="s">
        <v>2358</v>
      </c>
      <c r="C861" s="2">
        <v>43205.0</v>
      </c>
      <c r="D861" s="15" t="str">
        <f t="shared" si="1"/>
        <v>Apr</v>
      </c>
      <c r="E861" s="2" t="str">
        <f t="shared" si="2"/>
        <v>2018</v>
      </c>
      <c r="F861" s="13" t="s">
        <v>41</v>
      </c>
      <c r="G861" s="13" t="s">
        <v>2627</v>
      </c>
      <c r="H861" s="13" t="s">
        <v>2738</v>
      </c>
      <c r="I861" s="13" t="s">
        <v>68</v>
      </c>
      <c r="J861" s="13" t="s">
        <v>1491</v>
      </c>
      <c r="K861" s="13" t="s">
        <v>462</v>
      </c>
      <c r="L861" s="13" t="s">
        <v>100</v>
      </c>
      <c r="M861" s="13" t="s">
        <v>38</v>
      </c>
      <c r="N861" s="14">
        <v>7.16</v>
      </c>
      <c r="O861" s="14">
        <v>6.82</v>
      </c>
      <c r="P861" s="13">
        <v>8.0</v>
      </c>
      <c r="Q861" s="14">
        <f t="shared" si="3"/>
        <v>57.28</v>
      </c>
      <c r="R861" s="14">
        <f t="shared" si="4"/>
        <v>50.46</v>
      </c>
      <c r="S861" s="14">
        <f t="shared" si="5"/>
        <v>6.82</v>
      </c>
    </row>
    <row r="862">
      <c r="A862" s="12">
        <v>42253.0</v>
      </c>
      <c r="B862" s="12" t="s">
        <v>2329</v>
      </c>
      <c r="C862" s="2">
        <v>42171.0</v>
      </c>
      <c r="D862" s="15" t="str">
        <f t="shared" si="1"/>
        <v>Jun</v>
      </c>
      <c r="E862" s="2" t="str">
        <f t="shared" si="2"/>
        <v>2015</v>
      </c>
      <c r="F862" s="13" t="s">
        <v>41</v>
      </c>
      <c r="G862" s="13" t="s">
        <v>2721</v>
      </c>
      <c r="H862" s="13" t="s">
        <v>2807</v>
      </c>
      <c r="I862" s="13" t="s">
        <v>23</v>
      </c>
      <c r="J862" s="13" t="s">
        <v>87</v>
      </c>
      <c r="K862" s="13" t="s">
        <v>52</v>
      </c>
      <c r="L862" s="13" t="s">
        <v>37</v>
      </c>
      <c r="M862" s="13" t="s">
        <v>38</v>
      </c>
      <c r="N862" s="14">
        <v>7.36</v>
      </c>
      <c r="O862" s="14">
        <v>6.7</v>
      </c>
      <c r="P862" s="13">
        <v>9.0</v>
      </c>
      <c r="Q862" s="14">
        <f t="shared" si="3"/>
        <v>66.24</v>
      </c>
      <c r="R862" s="14">
        <f t="shared" si="4"/>
        <v>59.54</v>
      </c>
      <c r="S862" s="14">
        <f t="shared" si="5"/>
        <v>6.7</v>
      </c>
    </row>
    <row r="863">
      <c r="A863" s="12">
        <v>42253.0</v>
      </c>
      <c r="B863" s="12" t="s">
        <v>2329</v>
      </c>
      <c r="C863" s="2">
        <v>42171.0</v>
      </c>
      <c r="D863" s="15" t="str">
        <f t="shared" si="1"/>
        <v>Jun</v>
      </c>
      <c r="E863" s="2" t="str">
        <f t="shared" si="2"/>
        <v>2015</v>
      </c>
      <c r="F863" s="13" t="s">
        <v>41</v>
      </c>
      <c r="G863" s="13" t="s">
        <v>2721</v>
      </c>
      <c r="H863" s="13" t="s">
        <v>2807</v>
      </c>
      <c r="I863" s="13" t="s">
        <v>23</v>
      </c>
      <c r="J863" s="13" t="s">
        <v>87</v>
      </c>
      <c r="K863" s="13" t="s">
        <v>52</v>
      </c>
      <c r="L863" s="13" t="s">
        <v>37</v>
      </c>
      <c r="M863" s="13" t="s">
        <v>38</v>
      </c>
      <c r="N863" s="14">
        <v>23.1</v>
      </c>
      <c r="O863" s="14">
        <v>22.15</v>
      </c>
      <c r="P863" s="13">
        <v>9.0</v>
      </c>
      <c r="Q863" s="14">
        <f t="shared" si="3"/>
        <v>207.9</v>
      </c>
      <c r="R863" s="14">
        <f t="shared" si="4"/>
        <v>185.75</v>
      </c>
      <c r="S863" s="14">
        <f t="shared" si="5"/>
        <v>22.15</v>
      </c>
    </row>
    <row r="864">
      <c r="A864" s="12">
        <v>42856.0</v>
      </c>
      <c r="B864" s="12" t="s">
        <v>2335</v>
      </c>
      <c r="C864" s="2">
        <v>42917.0</v>
      </c>
      <c r="D864" s="15" t="str">
        <f t="shared" si="1"/>
        <v>Jul</v>
      </c>
      <c r="E864" s="2" t="str">
        <f t="shared" si="2"/>
        <v>2017</v>
      </c>
      <c r="F864" s="13" t="s">
        <v>20</v>
      </c>
      <c r="G864" s="13" t="s">
        <v>2723</v>
      </c>
      <c r="H864" s="13" t="s">
        <v>2777</v>
      </c>
      <c r="I864" s="13" t="s">
        <v>34</v>
      </c>
      <c r="J864" s="13" t="s">
        <v>849</v>
      </c>
      <c r="K864" s="13" t="s">
        <v>145</v>
      </c>
      <c r="L864" s="13" t="s">
        <v>26</v>
      </c>
      <c r="M864" s="13" t="s">
        <v>51</v>
      </c>
      <c r="N864" s="14">
        <v>191.472</v>
      </c>
      <c r="O864" s="14">
        <v>190.66</v>
      </c>
      <c r="P864" s="13">
        <v>3.0</v>
      </c>
      <c r="Q864" s="14">
        <f t="shared" si="3"/>
        <v>574.416</v>
      </c>
      <c r="R864" s="14">
        <f t="shared" si="4"/>
        <v>383.756</v>
      </c>
      <c r="S864" s="14">
        <f t="shared" si="5"/>
        <v>190.66</v>
      </c>
    </row>
    <row r="865">
      <c r="A865" s="12">
        <v>42856.0</v>
      </c>
      <c r="B865" s="12" t="s">
        <v>2335</v>
      </c>
      <c r="C865" s="2">
        <v>42917.0</v>
      </c>
      <c r="D865" s="15" t="str">
        <f t="shared" si="1"/>
        <v>Jul</v>
      </c>
      <c r="E865" s="2" t="str">
        <f t="shared" si="2"/>
        <v>2017</v>
      </c>
      <c r="F865" s="13" t="s">
        <v>20</v>
      </c>
      <c r="G865" s="13" t="s">
        <v>2723</v>
      </c>
      <c r="H865" s="13" t="s">
        <v>2777</v>
      </c>
      <c r="I865" s="13" t="s">
        <v>34</v>
      </c>
      <c r="J865" s="13" t="s">
        <v>849</v>
      </c>
      <c r="K865" s="13" t="s">
        <v>145</v>
      </c>
      <c r="L865" s="13" t="s">
        <v>26</v>
      </c>
      <c r="M865" s="13" t="s">
        <v>38</v>
      </c>
      <c r="N865" s="14">
        <v>5.248</v>
      </c>
      <c r="O865" s="14">
        <v>4.47</v>
      </c>
      <c r="P865" s="13">
        <v>3.0</v>
      </c>
      <c r="Q865" s="14">
        <f t="shared" si="3"/>
        <v>15.744</v>
      </c>
      <c r="R865" s="14">
        <f t="shared" si="4"/>
        <v>11.274</v>
      </c>
      <c r="S865" s="14">
        <f t="shared" si="5"/>
        <v>4.47</v>
      </c>
    </row>
    <row r="866">
      <c r="A866" s="12">
        <v>42856.0</v>
      </c>
      <c r="B866" s="12" t="s">
        <v>2335</v>
      </c>
      <c r="C866" s="2">
        <v>42917.0</v>
      </c>
      <c r="D866" s="15" t="str">
        <f t="shared" si="1"/>
        <v>Jul</v>
      </c>
      <c r="E866" s="2" t="str">
        <f t="shared" si="2"/>
        <v>2017</v>
      </c>
      <c r="F866" s="13" t="s">
        <v>20</v>
      </c>
      <c r="G866" s="13" t="s">
        <v>2723</v>
      </c>
      <c r="H866" s="13" t="s">
        <v>2777</v>
      </c>
      <c r="I866" s="13" t="s">
        <v>34</v>
      </c>
      <c r="J866" s="13" t="s">
        <v>849</v>
      </c>
      <c r="K866" s="13" t="s">
        <v>145</v>
      </c>
      <c r="L866" s="13" t="s">
        <v>26</v>
      </c>
      <c r="M866" s="13" t="s">
        <v>51</v>
      </c>
      <c r="N866" s="14">
        <v>59.184</v>
      </c>
      <c r="O866" s="14">
        <v>59.09</v>
      </c>
      <c r="P866" s="13">
        <v>3.0</v>
      </c>
      <c r="Q866" s="14">
        <f t="shared" si="3"/>
        <v>177.552</v>
      </c>
      <c r="R866" s="14">
        <f t="shared" si="4"/>
        <v>118.462</v>
      </c>
      <c r="S866" s="14">
        <f t="shared" si="5"/>
        <v>59.09</v>
      </c>
    </row>
    <row r="867">
      <c r="A867" s="12">
        <v>42278.0</v>
      </c>
      <c r="B867" s="12" t="s">
        <v>2358</v>
      </c>
      <c r="C867" s="2">
        <v>42019.0</v>
      </c>
      <c r="D867" s="15" t="str">
        <f t="shared" si="1"/>
        <v>Jan</v>
      </c>
      <c r="E867" s="2" t="str">
        <f t="shared" si="2"/>
        <v>2015</v>
      </c>
      <c r="F867" s="13" t="s">
        <v>41</v>
      </c>
      <c r="G867" s="13" t="s">
        <v>2723</v>
      </c>
      <c r="H867" s="13" t="s">
        <v>2738</v>
      </c>
      <c r="I867" s="13" t="s">
        <v>34</v>
      </c>
      <c r="J867" s="13" t="s">
        <v>197</v>
      </c>
      <c r="K867" s="13" t="s">
        <v>198</v>
      </c>
      <c r="L867" s="13" t="s">
        <v>26</v>
      </c>
      <c r="M867" s="13" t="s">
        <v>38</v>
      </c>
      <c r="N867" s="14">
        <v>2.89</v>
      </c>
      <c r="O867" s="14">
        <v>2.46</v>
      </c>
      <c r="P867" s="13">
        <v>2.0</v>
      </c>
      <c r="Q867" s="14">
        <f t="shared" si="3"/>
        <v>5.78</v>
      </c>
      <c r="R867" s="14">
        <f t="shared" si="4"/>
        <v>3.32</v>
      </c>
      <c r="S867" s="14">
        <f t="shared" si="5"/>
        <v>2.46</v>
      </c>
    </row>
    <row r="868">
      <c r="A868" s="12">
        <v>42278.0</v>
      </c>
      <c r="B868" s="12" t="s">
        <v>2358</v>
      </c>
      <c r="C868" s="2">
        <v>42019.0</v>
      </c>
      <c r="D868" s="15" t="str">
        <f t="shared" si="1"/>
        <v>Jan</v>
      </c>
      <c r="E868" s="2" t="str">
        <f t="shared" si="2"/>
        <v>2015</v>
      </c>
      <c r="F868" s="13" t="s">
        <v>41</v>
      </c>
      <c r="G868" s="13" t="s">
        <v>2723</v>
      </c>
      <c r="H868" s="13" t="s">
        <v>2738</v>
      </c>
      <c r="I868" s="13" t="s">
        <v>34</v>
      </c>
      <c r="J868" s="13" t="s">
        <v>197</v>
      </c>
      <c r="K868" s="13" t="s">
        <v>198</v>
      </c>
      <c r="L868" s="13" t="s">
        <v>26</v>
      </c>
      <c r="M868" s="13" t="s">
        <v>27</v>
      </c>
      <c r="N868" s="14">
        <v>51.94</v>
      </c>
      <c r="O868" s="14">
        <v>51.29</v>
      </c>
      <c r="P868" s="13">
        <v>2.0</v>
      </c>
      <c r="Q868" s="14">
        <f t="shared" si="3"/>
        <v>103.88</v>
      </c>
      <c r="R868" s="14">
        <f t="shared" si="4"/>
        <v>52.59</v>
      </c>
      <c r="S868" s="14">
        <f t="shared" si="5"/>
        <v>51.29</v>
      </c>
    </row>
    <row r="869">
      <c r="A869" s="12">
        <v>43007.0</v>
      </c>
      <c r="B869" s="12" t="s">
        <v>2329</v>
      </c>
      <c r="C869" s="2">
        <v>42776.0</v>
      </c>
      <c r="D869" s="15" t="str">
        <f t="shared" si="1"/>
        <v>Feb</v>
      </c>
      <c r="E869" s="2" t="str">
        <f t="shared" si="2"/>
        <v>2017</v>
      </c>
      <c r="F869" s="13" t="s">
        <v>121</v>
      </c>
      <c r="G869" s="13" t="s">
        <v>2365</v>
      </c>
      <c r="H869" s="13" t="s">
        <v>2808</v>
      </c>
      <c r="I869" s="13" t="s">
        <v>34</v>
      </c>
      <c r="J869" s="13" t="s">
        <v>98</v>
      </c>
      <c r="K869" s="13" t="s">
        <v>99</v>
      </c>
      <c r="L869" s="13" t="s">
        <v>100</v>
      </c>
      <c r="M869" s="13" t="s">
        <v>38</v>
      </c>
      <c r="N869" s="14">
        <v>15.936</v>
      </c>
      <c r="O869" s="14">
        <v>15.64</v>
      </c>
      <c r="P869" s="13">
        <v>1.0</v>
      </c>
      <c r="Q869" s="14">
        <f t="shared" si="3"/>
        <v>15.936</v>
      </c>
      <c r="R869" s="14">
        <f t="shared" si="4"/>
        <v>0.296</v>
      </c>
      <c r="S869" s="14">
        <f t="shared" si="5"/>
        <v>15.64</v>
      </c>
    </row>
    <row r="870">
      <c r="A870" s="12">
        <v>42159.0</v>
      </c>
      <c r="B870" s="12" t="s">
        <v>2374</v>
      </c>
      <c r="C870" s="2">
        <v>42281.0</v>
      </c>
      <c r="D870" s="15" t="str">
        <f t="shared" si="1"/>
        <v>Oct</v>
      </c>
      <c r="E870" s="2" t="str">
        <f t="shared" si="2"/>
        <v>2015</v>
      </c>
      <c r="F870" s="13" t="s">
        <v>41</v>
      </c>
      <c r="G870" s="13" t="s">
        <v>2576</v>
      </c>
      <c r="H870" s="13" t="s">
        <v>2809</v>
      </c>
      <c r="I870" s="13" t="s">
        <v>34</v>
      </c>
      <c r="J870" s="13" t="s">
        <v>1382</v>
      </c>
      <c r="K870" s="13" t="s">
        <v>99</v>
      </c>
      <c r="L870" s="13" t="s">
        <v>100</v>
      </c>
      <c r="M870" s="13" t="s">
        <v>38</v>
      </c>
      <c r="N870" s="14">
        <v>44.91</v>
      </c>
      <c r="O870" s="14">
        <v>44.34</v>
      </c>
      <c r="P870" s="13">
        <v>1.0</v>
      </c>
      <c r="Q870" s="14">
        <f t="shared" si="3"/>
        <v>44.91</v>
      </c>
      <c r="R870" s="14">
        <f t="shared" si="4"/>
        <v>0.57</v>
      </c>
      <c r="S870" s="14">
        <f t="shared" si="5"/>
        <v>44.34</v>
      </c>
    </row>
    <row r="871">
      <c r="A871" s="12">
        <v>42803.0</v>
      </c>
      <c r="B871" s="12" t="s">
        <v>2399</v>
      </c>
      <c r="C871" s="2">
        <v>42864.0</v>
      </c>
      <c r="D871" s="15" t="str">
        <f t="shared" si="1"/>
        <v>May</v>
      </c>
      <c r="E871" s="2" t="str">
        <f t="shared" si="2"/>
        <v>2017</v>
      </c>
      <c r="F871" s="13" t="s">
        <v>121</v>
      </c>
      <c r="G871" s="13" t="s">
        <v>1839</v>
      </c>
      <c r="H871" s="13" t="s">
        <v>2482</v>
      </c>
      <c r="I871" s="13" t="s">
        <v>68</v>
      </c>
      <c r="J871" s="13" t="s">
        <v>98</v>
      </c>
      <c r="K871" s="13" t="s">
        <v>99</v>
      </c>
      <c r="L871" s="13" t="s">
        <v>100</v>
      </c>
      <c r="M871" s="13" t="s">
        <v>38</v>
      </c>
      <c r="N871" s="14">
        <v>1141.47</v>
      </c>
      <c r="O871" s="14">
        <v>1140.66</v>
      </c>
      <c r="P871" s="13">
        <v>1.0</v>
      </c>
      <c r="Q871" s="14">
        <f t="shared" si="3"/>
        <v>1141.47</v>
      </c>
      <c r="R871" s="14">
        <f t="shared" si="4"/>
        <v>0.81</v>
      </c>
      <c r="S871" s="14">
        <f t="shared" si="5"/>
        <v>1140.66</v>
      </c>
    </row>
    <row r="872">
      <c r="A872" s="12">
        <v>42803.0</v>
      </c>
      <c r="B872" s="12" t="s">
        <v>2399</v>
      </c>
      <c r="C872" s="2">
        <v>42864.0</v>
      </c>
      <c r="D872" s="15" t="str">
        <f t="shared" si="1"/>
        <v>May</v>
      </c>
      <c r="E872" s="2" t="str">
        <f t="shared" si="2"/>
        <v>2017</v>
      </c>
      <c r="F872" s="13" t="s">
        <v>121</v>
      </c>
      <c r="G872" s="13" t="s">
        <v>1839</v>
      </c>
      <c r="H872" s="13" t="s">
        <v>2482</v>
      </c>
      <c r="I872" s="13" t="s">
        <v>68</v>
      </c>
      <c r="J872" s="13" t="s">
        <v>98</v>
      </c>
      <c r="K872" s="13" t="s">
        <v>99</v>
      </c>
      <c r="L872" s="13" t="s">
        <v>100</v>
      </c>
      <c r="M872" s="13" t="s">
        <v>51</v>
      </c>
      <c r="N872" s="14">
        <v>280.782</v>
      </c>
      <c r="O872" s="14">
        <v>280.46</v>
      </c>
      <c r="P872" s="13">
        <v>1.0</v>
      </c>
      <c r="Q872" s="14">
        <f t="shared" si="3"/>
        <v>280.782</v>
      </c>
      <c r="R872" s="14">
        <f t="shared" si="4"/>
        <v>0.322</v>
      </c>
      <c r="S872" s="14">
        <f t="shared" si="5"/>
        <v>280.46</v>
      </c>
    </row>
    <row r="873">
      <c r="A873" s="12">
        <v>42662.0</v>
      </c>
      <c r="B873" s="12" t="s">
        <v>2358</v>
      </c>
      <c r="C873" s="2">
        <v>42663.0</v>
      </c>
      <c r="D873" s="15" t="str">
        <f t="shared" si="1"/>
        <v>Oct</v>
      </c>
      <c r="E873" s="2" t="str">
        <f t="shared" si="2"/>
        <v>2016</v>
      </c>
      <c r="F873" s="13" t="s">
        <v>121</v>
      </c>
      <c r="G873" s="13" t="s">
        <v>2356</v>
      </c>
      <c r="H873" s="13" t="s">
        <v>2357</v>
      </c>
      <c r="I873" s="13" t="s">
        <v>23</v>
      </c>
      <c r="J873" s="13" t="s">
        <v>57</v>
      </c>
      <c r="K873" s="13" t="s">
        <v>1510</v>
      </c>
      <c r="L873" s="13" t="s">
        <v>100</v>
      </c>
      <c r="M873" s="13" t="s">
        <v>38</v>
      </c>
      <c r="N873" s="14">
        <v>34.44</v>
      </c>
      <c r="O873" s="14">
        <v>33.61</v>
      </c>
      <c r="P873" s="13">
        <v>3.0</v>
      </c>
      <c r="Q873" s="14">
        <f t="shared" si="3"/>
        <v>103.32</v>
      </c>
      <c r="R873" s="14">
        <f t="shared" si="4"/>
        <v>69.71</v>
      </c>
      <c r="S873" s="14">
        <f t="shared" si="5"/>
        <v>33.61</v>
      </c>
    </row>
    <row r="874">
      <c r="A874" s="12">
        <v>42289.0</v>
      </c>
      <c r="B874" s="12" t="s">
        <v>2358</v>
      </c>
      <c r="C874" s="2">
        <v>42353.0</v>
      </c>
      <c r="D874" s="15" t="str">
        <f t="shared" si="1"/>
        <v>Dec</v>
      </c>
      <c r="E874" s="2" t="str">
        <f t="shared" si="2"/>
        <v>2015</v>
      </c>
      <c r="F874" s="13" t="s">
        <v>41</v>
      </c>
      <c r="G874" s="13" t="s">
        <v>2449</v>
      </c>
      <c r="H874" s="13" t="s">
        <v>2810</v>
      </c>
      <c r="I874" s="13" t="s">
        <v>23</v>
      </c>
      <c r="J874" s="13" t="s">
        <v>174</v>
      </c>
      <c r="K874" s="13" t="s">
        <v>175</v>
      </c>
      <c r="L874" s="13" t="s">
        <v>100</v>
      </c>
      <c r="M874" s="13" t="s">
        <v>38</v>
      </c>
      <c r="N874" s="14">
        <v>11.36</v>
      </c>
      <c r="O874" s="14">
        <v>10.48</v>
      </c>
      <c r="P874" s="13">
        <v>1.0</v>
      </c>
      <c r="Q874" s="14">
        <f t="shared" si="3"/>
        <v>11.36</v>
      </c>
      <c r="R874" s="14">
        <f t="shared" si="4"/>
        <v>0.88</v>
      </c>
      <c r="S874" s="14">
        <f t="shared" si="5"/>
        <v>10.48</v>
      </c>
    </row>
    <row r="875">
      <c r="A875" s="12">
        <v>42289.0</v>
      </c>
      <c r="B875" s="12" t="s">
        <v>2358</v>
      </c>
      <c r="C875" s="2">
        <v>42353.0</v>
      </c>
      <c r="D875" s="15" t="str">
        <f t="shared" si="1"/>
        <v>Dec</v>
      </c>
      <c r="E875" s="2" t="str">
        <f t="shared" si="2"/>
        <v>2015</v>
      </c>
      <c r="F875" s="13" t="s">
        <v>41</v>
      </c>
      <c r="G875" s="13" t="s">
        <v>2449</v>
      </c>
      <c r="H875" s="13" t="s">
        <v>2810</v>
      </c>
      <c r="I875" s="13" t="s">
        <v>23</v>
      </c>
      <c r="J875" s="13" t="s">
        <v>174</v>
      </c>
      <c r="K875" s="13" t="s">
        <v>175</v>
      </c>
      <c r="L875" s="13" t="s">
        <v>100</v>
      </c>
      <c r="M875" s="13" t="s">
        <v>38</v>
      </c>
      <c r="N875" s="14">
        <v>106.344</v>
      </c>
      <c r="O875" s="14">
        <v>105.77</v>
      </c>
      <c r="P875" s="13">
        <v>1.0</v>
      </c>
      <c r="Q875" s="14">
        <f t="shared" si="3"/>
        <v>106.344</v>
      </c>
      <c r="R875" s="14">
        <f t="shared" si="4"/>
        <v>0.574</v>
      </c>
      <c r="S875" s="14">
        <f t="shared" si="5"/>
        <v>105.77</v>
      </c>
    </row>
    <row r="876">
      <c r="A876" s="12">
        <v>43337.0</v>
      </c>
      <c r="B876" s="12" t="s">
        <v>2322</v>
      </c>
      <c r="C876" s="2">
        <v>43341.0</v>
      </c>
      <c r="D876" s="15" t="str">
        <f t="shared" si="1"/>
        <v>Aug</v>
      </c>
      <c r="E876" s="2" t="str">
        <f t="shared" si="2"/>
        <v>2018</v>
      </c>
      <c r="F876" s="13" t="s">
        <v>41</v>
      </c>
      <c r="G876" s="13" t="s">
        <v>2576</v>
      </c>
      <c r="H876" s="13" t="s">
        <v>2424</v>
      </c>
      <c r="I876" s="13" t="s">
        <v>23</v>
      </c>
      <c r="J876" s="13" t="s">
        <v>284</v>
      </c>
      <c r="K876" s="13" t="s">
        <v>58</v>
      </c>
      <c r="L876" s="13" t="s">
        <v>26</v>
      </c>
      <c r="M876" s="13" t="s">
        <v>38</v>
      </c>
      <c r="N876" s="14">
        <v>192.16</v>
      </c>
      <c r="O876" s="14">
        <v>191.21</v>
      </c>
      <c r="P876" s="13">
        <v>2.0</v>
      </c>
      <c r="Q876" s="14">
        <f t="shared" si="3"/>
        <v>384.32</v>
      </c>
      <c r="R876" s="14">
        <f t="shared" si="4"/>
        <v>193.11</v>
      </c>
      <c r="S876" s="14">
        <f t="shared" si="5"/>
        <v>191.21</v>
      </c>
    </row>
    <row r="877">
      <c r="A877" s="12">
        <v>42752.0</v>
      </c>
      <c r="B877" s="12" t="s">
        <v>2353</v>
      </c>
      <c r="C877" s="2">
        <v>42756.0</v>
      </c>
      <c r="D877" s="15" t="str">
        <f t="shared" si="1"/>
        <v>Jan</v>
      </c>
      <c r="E877" s="2" t="str">
        <f t="shared" si="2"/>
        <v>2017</v>
      </c>
      <c r="F877" s="13" t="s">
        <v>41</v>
      </c>
      <c r="G877" s="13" t="s">
        <v>2721</v>
      </c>
      <c r="H877" s="13" t="s">
        <v>2722</v>
      </c>
      <c r="I877" s="13" t="s">
        <v>68</v>
      </c>
      <c r="J877" s="13" t="s">
        <v>57</v>
      </c>
      <c r="K877" s="13" t="s">
        <v>1510</v>
      </c>
      <c r="L877" s="13" t="s">
        <v>100</v>
      </c>
      <c r="M877" s="13" t="s">
        <v>27</v>
      </c>
      <c r="N877" s="14">
        <v>322.59</v>
      </c>
      <c r="O877" s="14">
        <v>322.4</v>
      </c>
      <c r="P877" s="13">
        <v>3.0</v>
      </c>
      <c r="Q877" s="14">
        <f t="shared" si="3"/>
        <v>967.77</v>
      </c>
      <c r="R877" s="14">
        <f t="shared" si="4"/>
        <v>645.37</v>
      </c>
      <c r="S877" s="14">
        <f t="shared" si="5"/>
        <v>322.4</v>
      </c>
    </row>
    <row r="878">
      <c r="A878" s="12">
        <v>42752.0</v>
      </c>
      <c r="B878" s="12" t="s">
        <v>2353</v>
      </c>
      <c r="C878" s="2">
        <v>42756.0</v>
      </c>
      <c r="D878" s="15" t="str">
        <f t="shared" si="1"/>
        <v>Jan</v>
      </c>
      <c r="E878" s="2" t="str">
        <f t="shared" si="2"/>
        <v>2017</v>
      </c>
      <c r="F878" s="13" t="s">
        <v>41</v>
      </c>
      <c r="G878" s="13" t="s">
        <v>2721</v>
      </c>
      <c r="H878" s="13" t="s">
        <v>2722</v>
      </c>
      <c r="I878" s="13" t="s">
        <v>68</v>
      </c>
      <c r="J878" s="13" t="s">
        <v>57</v>
      </c>
      <c r="K878" s="13" t="s">
        <v>1510</v>
      </c>
      <c r="L878" s="13" t="s">
        <v>100</v>
      </c>
      <c r="M878" s="13" t="s">
        <v>51</v>
      </c>
      <c r="N878" s="14">
        <v>29.99</v>
      </c>
      <c r="O878" s="14">
        <v>29.34</v>
      </c>
      <c r="P878" s="13">
        <v>3.0</v>
      </c>
      <c r="Q878" s="14">
        <f t="shared" si="3"/>
        <v>89.97</v>
      </c>
      <c r="R878" s="14">
        <f t="shared" si="4"/>
        <v>60.63</v>
      </c>
      <c r="S878" s="14">
        <f t="shared" si="5"/>
        <v>29.34</v>
      </c>
    </row>
    <row r="879">
      <c r="A879" s="12">
        <v>42752.0</v>
      </c>
      <c r="B879" s="12" t="s">
        <v>2353</v>
      </c>
      <c r="C879" s="2">
        <v>42756.0</v>
      </c>
      <c r="D879" s="15" t="str">
        <f t="shared" si="1"/>
        <v>Jan</v>
      </c>
      <c r="E879" s="2" t="str">
        <f t="shared" si="2"/>
        <v>2017</v>
      </c>
      <c r="F879" s="13" t="s">
        <v>41</v>
      </c>
      <c r="G879" s="13" t="s">
        <v>2721</v>
      </c>
      <c r="H879" s="13" t="s">
        <v>2722</v>
      </c>
      <c r="I879" s="13" t="s">
        <v>68</v>
      </c>
      <c r="J879" s="13" t="s">
        <v>57</v>
      </c>
      <c r="K879" s="13" t="s">
        <v>1510</v>
      </c>
      <c r="L879" s="13" t="s">
        <v>100</v>
      </c>
      <c r="M879" s="13" t="s">
        <v>51</v>
      </c>
      <c r="N879" s="14">
        <v>371.97</v>
      </c>
      <c r="O879" s="14">
        <v>371.37</v>
      </c>
      <c r="P879" s="13">
        <v>3.0</v>
      </c>
      <c r="Q879" s="14">
        <f t="shared" si="3"/>
        <v>1115.91</v>
      </c>
      <c r="R879" s="14">
        <f t="shared" si="4"/>
        <v>744.54</v>
      </c>
      <c r="S879" s="14">
        <f t="shared" si="5"/>
        <v>371.37</v>
      </c>
    </row>
    <row r="880">
      <c r="A880" s="12">
        <v>42264.0</v>
      </c>
      <c r="B880" s="12" t="s">
        <v>2329</v>
      </c>
      <c r="C880" s="2">
        <v>42268.0</v>
      </c>
      <c r="D880" s="15" t="str">
        <f t="shared" si="1"/>
        <v>Sep</v>
      </c>
      <c r="E880" s="2" t="str">
        <f t="shared" si="2"/>
        <v>2015</v>
      </c>
      <c r="F880" s="13" t="s">
        <v>41</v>
      </c>
      <c r="G880" s="13" t="s">
        <v>2723</v>
      </c>
      <c r="H880" s="13" t="s">
        <v>2811</v>
      </c>
      <c r="I880" s="13" t="s">
        <v>68</v>
      </c>
      <c r="J880" s="13" t="s">
        <v>98</v>
      </c>
      <c r="K880" s="13" t="s">
        <v>99</v>
      </c>
      <c r="L880" s="13" t="s">
        <v>100</v>
      </c>
      <c r="M880" s="13" t="s">
        <v>38</v>
      </c>
      <c r="N880" s="14">
        <v>5.892</v>
      </c>
      <c r="O880" s="14">
        <v>5.78</v>
      </c>
      <c r="P880" s="13">
        <v>1.0</v>
      </c>
      <c r="Q880" s="14">
        <f t="shared" si="3"/>
        <v>5.892</v>
      </c>
      <c r="R880" s="14">
        <f t="shared" si="4"/>
        <v>0.112</v>
      </c>
      <c r="S880" s="14">
        <f t="shared" si="5"/>
        <v>5.78</v>
      </c>
    </row>
    <row r="881">
      <c r="A881" s="12">
        <v>43434.0</v>
      </c>
      <c r="B881" s="12" t="s">
        <v>2326</v>
      </c>
      <c r="C881" s="2">
        <v>43143.0</v>
      </c>
      <c r="D881" s="15" t="str">
        <f t="shared" si="1"/>
        <v>Feb</v>
      </c>
      <c r="E881" s="2" t="str">
        <f t="shared" si="2"/>
        <v>2018</v>
      </c>
      <c r="F881" s="13" t="s">
        <v>20</v>
      </c>
      <c r="G881" s="13" t="s">
        <v>2338</v>
      </c>
      <c r="H881" s="13" t="s">
        <v>2339</v>
      </c>
      <c r="I881" s="13" t="s">
        <v>68</v>
      </c>
      <c r="J881" s="13" t="s">
        <v>174</v>
      </c>
      <c r="K881" s="13" t="s">
        <v>175</v>
      </c>
      <c r="L881" s="13" t="s">
        <v>100</v>
      </c>
      <c r="M881" s="13" t="s">
        <v>38</v>
      </c>
      <c r="N881" s="14">
        <v>68.472</v>
      </c>
      <c r="O881" s="14">
        <v>68.14</v>
      </c>
      <c r="P881" s="13">
        <v>1.0</v>
      </c>
      <c r="Q881" s="14">
        <f t="shared" si="3"/>
        <v>68.472</v>
      </c>
      <c r="R881" s="14">
        <f t="shared" si="4"/>
        <v>0.332</v>
      </c>
      <c r="S881" s="14">
        <f t="shared" si="5"/>
        <v>68.14</v>
      </c>
    </row>
    <row r="882">
      <c r="A882" s="12">
        <v>43434.0</v>
      </c>
      <c r="B882" s="12" t="s">
        <v>2326</v>
      </c>
      <c r="C882" s="2">
        <v>43143.0</v>
      </c>
      <c r="D882" s="15" t="str">
        <f t="shared" si="1"/>
        <v>Feb</v>
      </c>
      <c r="E882" s="2" t="str">
        <f t="shared" si="2"/>
        <v>2018</v>
      </c>
      <c r="F882" s="13" t="s">
        <v>20</v>
      </c>
      <c r="G882" s="13" t="s">
        <v>2338</v>
      </c>
      <c r="H882" s="13" t="s">
        <v>2339</v>
      </c>
      <c r="I882" s="13" t="s">
        <v>68</v>
      </c>
      <c r="J882" s="13" t="s">
        <v>174</v>
      </c>
      <c r="K882" s="13" t="s">
        <v>175</v>
      </c>
      <c r="L882" s="13" t="s">
        <v>100</v>
      </c>
      <c r="M882" s="13" t="s">
        <v>27</v>
      </c>
      <c r="N882" s="14">
        <v>1242.9</v>
      </c>
      <c r="O882" s="14">
        <v>1242.58</v>
      </c>
      <c r="P882" s="13">
        <v>1.0</v>
      </c>
      <c r="Q882" s="14">
        <f t="shared" si="3"/>
        <v>1242.9</v>
      </c>
      <c r="R882" s="14">
        <f t="shared" si="4"/>
        <v>0.32</v>
      </c>
      <c r="S882" s="14">
        <f t="shared" si="5"/>
        <v>1242.58</v>
      </c>
    </row>
    <row r="883">
      <c r="A883" s="12">
        <v>42623.0</v>
      </c>
      <c r="B883" s="12" t="s">
        <v>2329</v>
      </c>
      <c r="C883" s="2">
        <v>42656.0</v>
      </c>
      <c r="D883" s="15" t="str">
        <f t="shared" si="1"/>
        <v>Oct</v>
      </c>
      <c r="E883" s="2" t="str">
        <f t="shared" si="2"/>
        <v>2016</v>
      </c>
      <c r="F883" s="13" t="s">
        <v>41</v>
      </c>
      <c r="G883" s="13" t="s">
        <v>2432</v>
      </c>
      <c r="H883" s="13" t="s">
        <v>2433</v>
      </c>
      <c r="I883" s="13" t="s">
        <v>23</v>
      </c>
      <c r="J883" s="13" t="s">
        <v>197</v>
      </c>
      <c r="K883" s="13" t="s">
        <v>198</v>
      </c>
      <c r="L883" s="13" t="s">
        <v>26</v>
      </c>
      <c r="M883" s="13" t="s">
        <v>38</v>
      </c>
      <c r="N883" s="14">
        <v>30.84</v>
      </c>
      <c r="O883" s="14">
        <v>30.29</v>
      </c>
      <c r="P883" s="13">
        <v>2.0</v>
      </c>
      <c r="Q883" s="14">
        <f t="shared" si="3"/>
        <v>61.68</v>
      </c>
      <c r="R883" s="14">
        <f t="shared" si="4"/>
        <v>31.39</v>
      </c>
      <c r="S883" s="14">
        <f t="shared" si="5"/>
        <v>30.29</v>
      </c>
    </row>
    <row r="884">
      <c r="A884" s="12">
        <v>43457.0</v>
      </c>
      <c r="B884" s="12" t="s">
        <v>2325</v>
      </c>
      <c r="C884" s="2">
        <v>43457.0</v>
      </c>
      <c r="D884" s="15" t="str">
        <f t="shared" si="1"/>
        <v>Dec</v>
      </c>
      <c r="E884" s="2" t="str">
        <f t="shared" si="2"/>
        <v>2018</v>
      </c>
      <c r="F884" s="13" t="s">
        <v>717</v>
      </c>
      <c r="G884" s="13" t="s">
        <v>2405</v>
      </c>
      <c r="H884" s="13" t="s">
        <v>2421</v>
      </c>
      <c r="I884" s="13" t="s">
        <v>23</v>
      </c>
      <c r="J884" s="13" t="s">
        <v>87</v>
      </c>
      <c r="K884" s="13" t="s">
        <v>52</v>
      </c>
      <c r="L884" s="13" t="s">
        <v>37</v>
      </c>
      <c r="M884" s="13" t="s">
        <v>38</v>
      </c>
      <c r="N884" s="14">
        <v>13.48</v>
      </c>
      <c r="O884" s="14">
        <v>12.5</v>
      </c>
      <c r="P884" s="13">
        <v>9.0</v>
      </c>
      <c r="Q884" s="14">
        <f t="shared" si="3"/>
        <v>121.32</v>
      </c>
      <c r="R884" s="14">
        <f t="shared" si="4"/>
        <v>108.82</v>
      </c>
      <c r="S884" s="14">
        <f t="shared" si="5"/>
        <v>12.5</v>
      </c>
    </row>
    <row r="885">
      <c r="A885" s="12">
        <v>43030.0</v>
      </c>
      <c r="B885" s="12" t="s">
        <v>2358</v>
      </c>
      <c r="C885" s="2">
        <v>43032.0</v>
      </c>
      <c r="D885" s="15" t="str">
        <f t="shared" si="1"/>
        <v>Oct</v>
      </c>
      <c r="E885" s="2" t="str">
        <f t="shared" si="2"/>
        <v>2017</v>
      </c>
      <c r="F885" s="13" t="s">
        <v>121</v>
      </c>
      <c r="G885" s="13" t="s">
        <v>2767</v>
      </c>
      <c r="H885" s="13" t="s">
        <v>2812</v>
      </c>
      <c r="I885" s="13" t="s">
        <v>68</v>
      </c>
      <c r="J885" s="13" t="s">
        <v>513</v>
      </c>
      <c r="K885" s="13" t="s">
        <v>157</v>
      </c>
      <c r="L885" s="13" t="s">
        <v>71</v>
      </c>
      <c r="M885" s="13" t="s">
        <v>27</v>
      </c>
      <c r="N885" s="14">
        <v>31.4</v>
      </c>
      <c r="O885" s="14">
        <v>31.38</v>
      </c>
      <c r="P885" s="13">
        <v>4.0</v>
      </c>
      <c r="Q885" s="14">
        <f t="shared" si="3"/>
        <v>125.6</v>
      </c>
      <c r="R885" s="14">
        <f t="shared" si="4"/>
        <v>94.22</v>
      </c>
      <c r="S885" s="14">
        <f t="shared" si="5"/>
        <v>31.38</v>
      </c>
    </row>
    <row r="886">
      <c r="A886" s="12">
        <v>42123.0</v>
      </c>
      <c r="B886" s="12" t="s">
        <v>2332</v>
      </c>
      <c r="C886" s="2">
        <v>42099.0</v>
      </c>
      <c r="D886" s="15" t="str">
        <f t="shared" si="1"/>
        <v>Apr</v>
      </c>
      <c r="E886" s="2" t="str">
        <f t="shared" si="2"/>
        <v>2015</v>
      </c>
      <c r="F886" s="13" t="s">
        <v>41</v>
      </c>
      <c r="G886" s="13" t="s">
        <v>2813</v>
      </c>
      <c r="H886" s="13" t="s">
        <v>2814</v>
      </c>
      <c r="I886" s="13" t="s">
        <v>23</v>
      </c>
      <c r="J886" s="13" t="s">
        <v>240</v>
      </c>
      <c r="K886" s="13" t="s">
        <v>175</v>
      </c>
      <c r="L886" s="13" t="s">
        <v>100</v>
      </c>
      <c r="M886" s="13" t="s">
        <v>27</v>
      </c>
      <c r="N886" s="14">
        <v>17.46</v>
      </c>
      <c r="O886" s="14">
        <v>16.59</v>
      </c>
      <c r="P886" s="13">
        <v>1.0</v>
      </c>
      <c r="Q886" s="14">
        <f t="shared" si="3"/>
        <v>17.46</v>
      </c>
      <c r="R886" s="14">
        <f t="shared" si="4"/>
        <v>0.87</v>
      </c>
      <c r="S886" s="14">
        <f t="shared" si="5"/>
        <v>16.59</v>
      </c>
    </row>
    <row r="887">
      <c r="A887" s="12">
        <v>42485.0</v>
      </c>
      <c r="B887" s="12" t="s">
        <v>2332</v>
      </c>
      <c r="C887" s="2">
        <v>42488.0</v>
      </c>
      <c r="D887" s="15" t="str">
        <f t="shared" si="1"/>
        <v>Apr</v>
      </c>
      <c r="E887" s="2" t="str">
        <f t="shared" si="2"/>
        <v>2016</v>
      </c>
      <c r="F887" s="13" t="s">
        <v>20</v>
      </c>
      <c r="G887" s="13" t="s">
        <v>2815</v>
      </c>
      <c r="H887" s="13" t="s">
        <v>2385</v>
      </c>
      <c r="I887" s="13" t="s">
        <v>34</v>
      </c>
      <c r="J887" s="13" t="s">
        <v>35</v>
      </c>
      <c r="K887" s="13" t="s">
        <v>52</v>
      </c>
      <c r="L887" s="13" t="s">
        <v>37</v>
      </c>
      <c r="M887" s="13" t="s">
        <v>38</v>
      </c>
      <c r="N887" s="14">
        <v>13.944</v>
      </c>
      <c r="O887" s="14">
        <v>13.63</v>
      </c>
      <c r="P887" s="13">
        <v>9.0</v>
      </c>
      <c r="Q887" s="14">
        <f t="shared" si="3"/>
        <v>125.496</v>
      </c>
      <c r="R887" s="14">
        <f t="shared" si="4"/>
        <v>111.866</v>
      </c>
      <c r="S887" s="14">
        <f t="shared" si="5"/>
        <v>13.63</v>
      </c>
    </row>
    <row r="888">
      <c r="A888" s="12">
        <v>43277.0</v>
      </c>
      <c r="B888" s="12" t="s">
        <v>2374</v>
      </c>
      <c r="C888" s="2">
        <v>43138.0</v>
      </c>
      <c r="D888" s="15" t="str">
        <f t="shared" si="1"/>
        <v>Feb</v>
      </c>
      <c r="E888" s="2" t="str">
        <f t="shared" si="2"/>
        <v>2018</v>
      </c>
      <c r="F888" s="13" t="s">
        <v>41</v>
      </c>
      <c r="G888" s="13" t="s">
        <v>2673</v>
      </c>
      <c r="H888" s="13" t="s">
        <v>2674</v>
      </c>
      <c r="I888" s="13" t="s">
        <v>23</v>
      </c>
      <c r="J888" s="13" t="s">
        <v>542</v>
      </c>
      <c r="K888" s="13" t="s">
        <v>52</v>
      </c>
      <c r="L888" s="13" t="s">
        <v>37</v>
      </c>
      <c r="M888" s="13" t="s">
        <v>38</v>
      </c>
      <c r="N888" s="14">
        <v>83.76</v>
      </c>
      <c r="O888" s="14">
        <v>83.49</v>
      </c>
      <c r="P888" s="13">
        <v>9.0</v>
      </c>
      <c r="Q888" s="14">
        <f t="shared" si="3"/>
        <v>753.84</v>
      </c>
      <c r="R888" s="14">
        <f t="shared" si="4"/>
        <v>670.35</v>
      </c>
      <c r="S888" s="14">
        <f t="shared" si="5"/>
        <v>83.49</v>
      </c>
    </row>
    <row r="889">
      <c r="A889" s="12">
        <v>43387.0</v>
      </c>
      <c r="B889" s="12" t="s">
        <v>2358</v>
      </c>
      <c r="C889" s="2">
        <v>43392.0</v>
      </c>
      <c r="D889" s="15" t="str">
        <f t="shared" si="1"/>
        <v>Oct</v>
      </c>
      <c r="E889" s="2" t="str">
        <f t="shared" si="2"/>
        <v>2018</v>
      </c>
      <c r="F889" s="13" t="s">
        <v>41</v>
      </c>
      <c r="G889" s="13" t="s">
        <v>2626</v>
      </c>
      <c r="H889" s="13" t="s">
        <v>2816</v>
      </c>
      <c r="I889" s="13" t="s">
        <v>68</v>
      </c>
      <c r="J889" s="13" t="s">
        <v>235</v>
      </c>
      <c r="K889" s="13" t="s">
        <v>1542</v>
      </c>
      <c r="L889" s="13" t="s">
        <v>100</v>
      </c>
      <c r="M889" s="13" t="s">
        <v>38</v>
      </c>
      <c r="N889" s="14">
        <v>37.66</v>
      </c>
      <c r="O889" s="14">
        <v>37.21</v>
      </c>
      <c r="P889" s="13">
        <v>2.0</v>
      </c>
      <c r="Q889" s="14">
        <f t="shared" si="3"/>
        <v>75.32</v>
      </c>
      <c r="R889" s="14">
        <f t="shared" si="4"/>
        <v>38.11</v>
      </c>
      <c r="S889" s="14">
        <f t="shared" si="5"/>
        <v>37.21</v>
      </c>
    </row>
    <row r="890">
      <c r="A890" s="12">
        <v>42259.0</v>
      </c>
      <c r="B890" s="12" t="s">
        <v>2329</v>
      </c>
      <c r="C890" s="2">
        <v>42354.0</v>
      </c>
      <c r="D890" s="15" t="str">
        <f t="shared" si="1"/>
        <v>Dec</v>
      </c>
      <c r="E890" s="2" t="str">
        <f t="shared" si="2"/>
        <v>2015</v>
      </c>
      <c r="F890" s="13" t="s">
        <v>41</v>
      </c>
      <c r="G890" s="13" t="s">
        <v>2802</v>
      </c>
      <c r="H890" s="13" t="s">
        <v>2803</v>
      </c>
      <c r="I890" s="13" t="s">
        <v>34</v>
      </c>
      <c r="J890" s="13" t="s">
        <v>87</v>
      </c>
      <c r="K890" s="13" t="s">
        <v>52</v>
      </c>
      <c r="L890" s="13" t="s">
        <v>37</v>
      </c>
      <c r="M890" s="13" t="s">
        <v>38</v>
      </c>
      <c r="N890" s="14">
        <v>34.68</v>
      </c>
      <c r="O890" s="14">
        <v>33.87</v>
      </c>
      <c r="P890" s="13">
        <v>9.0</v>
      </c>
      <c r="Q890" s="14">
        <f t="shared" si="3"/>
        <v>312.12</v>
      </c>
      <c r="R890" s="14">
        <f t="shared" si="4"/>
        <v>278.25</v>
      </c>
      <c r="S890" s="14">
        <f t="shared" si="5"/>
        <v>33.87</v>
      </c>
    </row>
    <row r="891">
      <c r="A891" s="12">
        <v>43271.0</v>
      </c>
      <c r="B891" s="12" t="s">
        <v>2374</v>
      </c>
      <c r="C891" s="2">
        <v>43277.0</v>
      </c>
      <c r="D891" s="15" t="str">
        <f t="shared" si="1"/>
        <v>Jun</v>
      </c>
      <c r="E891" s="2" t="str">
        <f t="shared" si="2"/>
        <v>2018</v>
      </c>
      <c r="F891" s="13" t="s">
        <v>41</v>
      </c>
      <c r="G891" s="13" t="s">
        <v>2570</v>
      </c>
      <c r="H891" s="13" t="s">
        <v>2457</v>
      </c>
      <c r="I891" s="13" t="s">
        <v>23</v>
      </c>
      <c r="J891" s="13" t="s">
        <v>835</v>
      </c>
      <c r="K891" s="13" t="s">
        <v>175</v>
      </c>
      <c r="L891" s="13" t="s">
        <v>100</v>
      </c>
      <c r="M891" s="13" t="s">
        <v>51</v>
      </c>
      <c r="N891" s="14">
        <v>149.95</v>
      </c>
      <c r="O891" s="14">
        <v>149.13</v>
      </c>
      <c r="P891" s="13">
        <v>1.0</v>
      </c>
      <c r="Q891" s="14">
        <f t="shared" si="3"/>
        <v>149.95</v>
      </c>
      <c r="R891" s="14">
        <f t="shared" si="4"/>
        <v>0.82</v>
      </c>
      <c r="S891" s="14">
        <f t="shared" si="5"/>
        <v>149.13</v>
      </c>
    </row>
    <row r="892">
      <c r="A892" s="12">
        <v>43271.0</v>
      </c>
      <c r="B892" s="12" t="s">
        <v>2374</v>
      </c>
      <c r="C892" s="2">
        <v>43277.0</v>
      </c>
      <c r="D892" s="15" t="str">
        <f t="shared" si="1"/>
        <v>Jun</v>
      </c>
      <c r="E892" s="2" t="str">
        <f t="shared" si="2"/>
        <v>2018</v>
      </c>
      <c r="F892" s="13" t="s">
        <v>41</v>
      </c>
      <c r="G892" s="13" t="s">
        <v>2570</v>
      </c>
      <c r="H892" s="13" t="s">
        <v>2457</v>
      </c>
      <c r="I892" s="13" t="s">
        <v>23</v>
      </c>
      <c r="J892" s="13" t="s">
        <v>835</v>
      </c>
      <c r="K892" s="13" t="s">
        <v>175</v>
      </c>
      <c r="L892" s="13" t="s">
        <v>100</v>
      </c>
      <c r="M892" s="13" t="s">
        <v>38</v>
      </c>
      <c r="N892" s="14">
        <v>51.312</v>
      </c>
      <c r="O892" s="14">
        <v>50.91</v>
      </c>
      <c r="P892" s="13">
        <v>1.0</v>
      </c>
      <c r="Q892" s="14">
        <f t="shared" si="3"/>
        <v>51.312</v>
      </c>
      <c r="R892" s="14">
        <f t="shared" si="4"/>
        <v>0.402</v>
      </c>
      <c r="S892" s="14">
        <f t="shared" si="5"/>
        <v>50.91</v>
      </c>
    </row>
    <row r="893">
      <c r="A893" s="12">
        <v>43277.0</v>
      </c>
      <c r="B893" s="12" t="s">
        <v>2374</v>
      </c>
      <c r="C893" s="2">
        <v>43278.0</v>
      </c>
      <c r="D893" s="15" t="str">
        <f t="shared" si="1"/>
        <v>Jun</v>
      </c>
      <c r="E893" s="2" t="str">
        <f t="shared" si="2"/>
        <v>2018</v>
      </c>
      <c r="F893" s="13" t="s">
        <v>121</v>
      </c>
      <c r="G893" s="13" t="s">
        <v>2356</v>
      </c>
      <c r="H893" s="13" t="s">
        <v>2495</v>
      </c>
      <c r="I893" s="13" t="s">
        <v>68</v>
      </c>
      <c r="J893" s="13" t="s">
        <v>513</v>
      </c>
      <c r="K893" s="13" t="s">
        <v>157</v>
      </c>
      <c r="L893" s="13" t="s">
        <v>71</v>
      </c>
      <c r="M893" s="13" t="s">
        <v>38</v>
      </c>
      <c r="N893" s="14">
        <v>4.54</v>
      </c>
      <c r="O893" s="14">
        <v>4.38</v>
      </c>
      <c r="P893" s="13">
        <v>4.0</v>
      </c>
      <c r="Q893" s="14">
        <f t="shared" si="3"/>
        <v>18.16</v>
      </c>
      <c r="R893" s="14">
        <f t="shared" si="4"/>
        <v>13.78</v>
      </c>
      <c r="S893" s="14">
        <f t="shared" si="5"/>
        <v>4.38</v>
      </c>
    </row>
    <row r="894">
      <c r="A894" s="12">
        <v>43277.0</v>
      </c>
      <c r="B894" s="12" t="s">
        <v>2374</v>
      </c>
      <c r="C894" s="2">
        <v>43278.0</v>
      </c>
      <c r="D894" s="15" t="str">
        <f t="shared" si="1"/>
        <v>Jun</v>
      </c>
      <c r="E894" s="2" t="str">
        <f t="shared" si="2"/>
        <v>2018</v>
      </c>
      <c r="F894" s="13" t="s">
        <v>121</v>
      </c>
      <c r="G894" s="13" t="s">
        <v>2356</v>
      </c>
      <c r="H894" s="13" t="s">
        <v>2495</v>
      </c>
      <c r="I894" s="13" t="s">
        <v>68</v>
      </c>
      <c r="J894" s="13" t="s">
        <v>513</v>
      </c>
      <c r="K894" s="13" t="s">
        <v>157</v>
      </c>
      <c r="L894" s="13" t="s">
        <v>71</v>
      </c>
      <c r="M894" s="13" t="s">
        <v>38</v>
      </c>
      <c r="N894" s="14">
        <v>15.92</v>
      </c>
      <c r="O894" s="14">
        <v>15.36</v>
      </c>
      <c r="P894" s="13">
        <v>4.0</v>
      </c>
      <c r="Q894" s="14">
        <f t="shared" si="3"/>
        <v>63.68</v>
      </c>
      <c r="R894" s="14">
        <f t="shared" si="4"/>
        <v>48.32</v>
      </c>
      <c r="S894" s="14">
        <f t="shared" si="5"/>
        <v>15.36</v>
      </c>
    </row>
    <row r="895">
      <c r="A895" s="12">
        <v>43277.0</v>
      </c>
      <c r="B895" s="12" t="s">
        <v>2374</v>
      </c>
      <c r="C895" s="2">
        <v>43278.0</v>
      </c>
      <c r="D895" s="15" t="str">
        <f t="shared" si="1"/>
        <v>Jun</v>
      </c>
      <c r="E895" s="2" t="str">
        <f t="shared" si="2"/>
        <v>2018</v>
      </c>
      <c r="F895" s="13" t="s">
        <v>121</v>
      </c>
      <c r="G895" s="13" t="s">
        <v>2356</v>
      </c>
      <c r="H895" s="13" t="s">
        <v>2495</v>
      </c>
      <c r="I895" s="13" t="s">
        <v>68</v>
      </c>
      <c r="J895" s="13" t="s">
        <v>513</v>
      </c>
      <c r="K895" s="13" t="s">
        <v>157</v>
      </c>
      <c r="L895" s="13" t="s">
        <v>71</v>
      </c>
      <c r="M895" s="13" t="s">
        <v>51</v>
      </c>
      <c r="N895" s="14">
        <v>543.92</v>
      </c>
      <c r="O895" s="14">
        <v>543.77</v>
      </c>
      <c r="P895" s="13">
        <v>4.0</v>
      </c>
      <c r="Q895" s="14">
        <f t="shared" si="3"/>
        <v>2175.68</v>
      </c>
      <c r="R895" s="14">
        <f t="shared" si="4"/>
        <v>1631.91</v>
      </c>
      <c r="S895" s="14">
        <f t="shared" si="5"/>
        <v>543.77</v>
      </c>
    </row>
    <row r="896">
      <c r="A896" s="12">
        <v>43019.0</v>
      </c>
      <c r="B896" s="12" t="s">
        <v>2358</v>
      </c>
      <c r="C896" s="2">
        <v>43080.0</v>
      </c>
      <c r="D896" s="15" t="str">
        <f t="shared" si="1"/>
        <v>Dec</v>
      </c>
      <c r="E896" s="2" t="str">
        <f t="shared" si="2"/>
        <v>2017</v>
      </c>
      <c r="F896" s="13" t="s">
        <v>121</v>
      </c>
      <c r="G896" s="13" t="s">
        <v>2817</v>
      </c>
      <c r="H896" s="13" t="s">
        <v>2818</v>
      </c>
      <c r="I896" s="13" t="s">
        <v>34</v>
      </c>
      <c r="J896" s="13" t="s">
        <v>87</v>
      </c>
      <c r="K896" s="13" t="s">
        <v>52</v>
      </c>
      <c r="L896" s="13" t="s">
        <v>37</v>
      </c>
      <c r="M896" s="13" t="s">
        <v>38</v>
      </c>
      <c r="N896" s="14">
        <v>155.82</v>
      </c>
      <c r="O896" s="14">
        <v>155.11</v>
      </c>
      <c r="P896" s="13">
        <v>9.0</v>
      </c>
      <c r="Q896" s="14">
        <f t="shared" si="3"/>
        <v>1402.38</v>
      </c>
      <c r="R896" s="14">
        <f t="shared" si="4"/>
        <v>1247.27</v>
      </c>
      <c r="S896" s="14">
        <f t="shared" si="5"/>
        <v>155.11</v>
      </c>
    </row>
    <row r="897">
      <c r="A897" s="12">
        <v>43019.0</v>
      </c>
      <c r="B897" s="12" t="s">
        <v>2358</v>
      </c>
      <c r="C897" s="2">
        <v>43080.0</v>
      </c>
      <c r="D897" s="15" t="str">
        <f t="shared" si="1"/>
        <v>Dec</v>
      </c>
      <c r="E897" s="2" t="str">
        <f t="shared" si="2"/>
        <v>2017</v>
      </c>
      <c r="F897" s="13" t="s">
        <v>121</v>
      </c>
      <c r="G897" s="13" t="s">
        <v>2817</v>
      </c>
      <c r="H897" s="13" t="s">
        <v>2818</v>
      </c>
      <c r="I897" s="13" t="s">
        <v>34</v>
      </c>
      <c r="J897" s="13" t="s">
        <v>87</v>
      </c>
      <c r="K897" s="13" t="s">
        <v>52</v>
      </c>
      <c r="L897" s="13" t="s">
        <v>37</v>
      </c>
      <c r="M897" s="13" t="s">
        <v>38</v>
      </c>
      <c r="N897" s="14">
        <v>70.008</v>
      </c>
      <c r="O897" s="14">
        <v>70.0</v>
      </c>
      <c r="P897" s="13">
        <v>9.0</v>
      </c>
      <c r="Q897" s="14">
        <f t="shared" si="3"/>
        <v>630.072</v>
      </c>
      <c r="R897" s="14">
        <f t="shared" si="4"/>
        <v>560.072</v>
      </c>
      <c r="S897" s="14">
        <f t="shared" si="5"/>
        <v>70</v>
      </c>
    </row>
    <row r="898">
      <c r="A898" s="12">
        <v>42804.0</v>
      </c>
      <c r="B898" s="12" t="s">
        <v>2399</v>
      </c>
      <c r="C898" s="2">
        <v>42896.0</v>
      </c>
      <c r="D898" s="15" t="str">
        <f t="shared" si="1"/>
        <v>Jun</v>
      </c>
      <c r="E898" s="2" t="str">
        <f t="shared" si="2"/>
        <v>2017</v>
      </c>
      <c r="F898" s="13" t="s">
        <v>20</v>
      </c>
      <c r="G898" s="13" t="s">
        <v>2819</v>
      </c>
      <c r="H898" s="13" t="s">
        <v>2820</v>
      </c>
      <c r="I898" s="13" t="s">
        <v>23</v>
      </c>
      <c r="J898" s="13" t="s">
        <v>129</v>
      </c>
      <c r="K898" s="13" t="s">
        <v>70</v>
      </c>
      <c r="L898" s="13" t="s">
        <v>71</v>
      </c>
      <c r="M898" s="13" t="s">
        <v>38</v>
      </c>
      <c r="N898" s="14">
        <v>15.648</v>
      </c>
      <c r="O898" s="14">
        <v>14.69</v>
      </c>
      <c r="P898" s="13">
        <v>7.0</v>
      </c>
      <c r="Q898" s="14">
        <f t="shared" si="3"/>
        <v>109.536</v>
      </c>
      <c r="R898" s="14">
        <f t="shared" si="4"/>
        <v>94.846</v>
      </c>
      <c r="S898" s="14">
        <f t="shared" si="5"/>
        <v>14.69</v>
      </c>
    </row>
    <row r="899">
      <c r="A899" s="12">
        <v>42256.0</v>
      </c>
      <c r="B899" s="12" t="s">
        <v>2329</v>
      </c>
      <c r="C899" s="2">
        <v>42262.0</v>
      </c>
      <c r="D899" s="15" t="str">
        <f t="shared" si="1"/>
        <v>Sep</v>
      </c>
      <c r="E899" s="2" t="str">
        <f t="shared" si="2"/>
        <v>2015</v>
      </c>
      <c r="F899" s="13" t="s">
        <v>41</v>
      </c>
      <c r="G899" s="13" t="s">
        <v>2647</v>
      </c>
      <c r="H899" s="13" t="s">
        <v>2821</v>
      </c>
      <c r="I899" s="13" t="s">
        <v>23</v>
      </c>
      <c r="J899" s="13" t="s">
        <v>513</v>
      </c>
      <c r="K899" s="13" t="s">
        <v>157</v>
      </c>
      <c r="L899" s="13" t="s">
        <v>71</v>
      </c>
      <c r="M899" s="13" t="s">
        <v>38</v>
      </c>
      <c r="N899" s="14">
        <v>103.6</v>
      </c>
      <c r="O899" s="14">
        <v>103.15</v>
      </c>
      <c r="P899" s="13">
        <v>4.0</v>
      </c>
      <c r="Q899" s="14">
        <f t="shared" si="3"/>
        <v>414.4</v>
      </c>
      <c r="R899" s="14">
        <f t="shared" si="4"/>
        <v>311.25</v>
      </c>
      <c r="S899" s="14">
        <f t="shared" si="5"/>
        <v>103.15</v>
      </c>
    </row>
    <row r="900">
      <c r="A900" s="12">
        <v>43402.0</v>
      </c>
      <c r="B900" s="12" t="s">
        <v>2358</v>
      </c>
      <c r="C900" s="2">
        <v>43404.0</v>
      </c>
      <c r="D900" s="15" t="str">
        <f t="shared" si="1"/>
        <v>Oct</v>
      </c>
      <c r="E900" s="2" t="str">
        <f t="shared" si="2"/>
        <v>2018</v>
      </c>
      <c r="F900" s="13" t="s">
        <v>20</v>
      </c>
      <c r="G900" s="13" t="s">
        <v>2822</v>
      </c>
      <c r="H900" s="13" t="s">
        <v>2823</v>
      </c>
      <c r="I900" s="13" t="s">
        <v>34</v>
      </c>
      <c r="J900" s="13" t="s">
        <v>868</v>
      </c>
      <c r="K900" s="13" t="s">
        <v>175</v>
      </c>
      <c r="L900" s="13" t="s">
        <v>100</v>
      </c>
      <c r="M900" s="13" t="s">
        <v>38</v>
      </c>
      <c r="N900" s="14">
        <v>46.96</v>
      </c>
      <c r="O900" s="14">
        <v>46.9</v>
      </c>
      <c r="P900" s="13">
        <v>1.0</v>
      </c>
      <c r="Q900" s="14">
        <f t="shared" si="3"/>
        <v>46.96</v>
      </c>
      <c r="R900" s="14">
        <f t="shared" si="4"/>
        <v>0.06</v>
      </c>
      <c r="S900" s="14">
        <f t="shared" si="5"/>
        <v>46.9</v>
      </c>
    </row>
    <row r="901">
      <c r="A901" s="12">
        <v>43012.0</v>
      </c>
      <c r="B901" s="12" t="s">
        <v>2358</v>
      </c>
      <c r="C901" s="2">
        <v>43073.0</v>
      </c>
      <c r="D901" s="15" t="str">
        <f t="shared" si="1"/>
        <v>Dec</v>
      </c>
      <c r="E901" s="2" t="str">
        <f t="shared" si="2"/>
        <v>2017</v>
      </c>
      <c r="F901" s="13" t="s">
        <v>121</v>
      </c>
      <c r="G901" s="13" t="s">
        <v>2456</v>
      </c>
      <c r="H901" s="13" t="s">
        <v>2795</v>
      </c>
      <c r="I901" s="13" t="s">
        <v>34</v>
      </c>
      <c r="J901" s="13" t="s">
        <v>197</v>
      </c>
      <c r="K901" s="13" t="s">
        <v>304</v>
      </c>
      <c r="L901" s="13" t="s">
        <v>100</v>
      </c>
      <c r="M901" s="13" t="s">
        <v>38</v>
      </c>
      <c r="N901" s="14">
        <v>8.904</v>
      </c>
      <c r="O901" s="14">
        <v>8.04</v>
      </c>
      <c r="P901" s="13">
        <v>4.0</v>
      </c>
      <c r="Q901" s="14">
        <f t="shared" si="3"/>
        <v>35.616</v>
      </c>
      <c r="R901" s="14">
        <f t="shared" si="4"/>
        <v>27.576</v>
      </c>
      <c r="S901" s="14">
        <f t="shared" si="5"/>
        <v>8.04</v>
      </c>
    </row>
    <row r="902">
      <c r="A902" s="12">
        <v>43415.0</v>
      </c>
      <c r="B902" s="12" t="s">
        <v>2326</v>
      </c>
      <c r="C902" s="2">
        <v>43417.0</v>
      </c>
      <c r="D902" s="15" t="str">
        <f t="shared" si="1"/>
        <v>Nov</v>
      </c>
      <c r="E902" s="2" t="str">
        <f t="shared" si="2"/>
        <v>2018</v>
      </c>
      <c r="F902" s="13" t="s">
        <v>121</v>
      </c>
      <c r="G902" s="13" t="s">
        <v>2458</v>
      </c>
      <c r="H902" s="13" t="s">
        <v>2567</v>
      </c>
      <c r="I902" s="13" t="s">
        <v>23</v>
      </c>
      <c r="J902" s="13" t="s">
        <v>1566</v>
      </c>
      <c r="K902" s="13" t="s">
        <v>70</v>
      </c>
      <c r="L902" s="13" t="s">
        <v>71</v>
      </c>
      <c r="M902" s="13" t="s">
        <v>38</v>
      </c>
      <c r="N902" s="14">
        <v>10.44</v>
      </c>
      <c r="O902" s="14">
        <v>9.91</v>
      </c>
      <c r="P902" s="13">
        <v>7.0</v>
      </c>
      <c r="Q902" s="14">
        <f t="shared" si="3"/>
        <v>73.08</v>
      </c>
      <c r="R902" s="14">
        <f t="shared" si="4"/>
        <v>63.17</v>
      </c>
      <c r="S902" s="14">
        <f t="shared" si="5"/>
        <v>9.91</v>
      </c>
    </row>
    <row r="903">
      <c r="A903" s="12">
        <v>43415.0</v>
      </c>
      <c r="B903" s="12" t="s">
        <v>2326</v>
      </c>
      <c r="C903" s="2">
        <v>43417.0</v>
      </c>
      <c r="D903" s="15" t="str">
        <f t="shared" si="1"/>
        <v>Nov</v>
      </c>
      <c r="E903" s="2" t="str">
        <f t="shared" si="2"/>
        <v>2018</v>
      </c>
      <c r="F903" s="13" t="s">
        <v>121</v>
      </c>
      <c r="G903" s="13" t="s">
        <v>2458</v>
      </c>
      <c r="H903" s="13" t="s">
        <v>2567</v>
      </c>
      <c r="I903" s="13" t="s">
        <v>23</v>
      </c>
      <c r="J903" s="13" t="s">
        <v>1566</v>
      </c>
      <c r="K903" s="13" t="s">
        <v>70</v>
      </c>
      <c r="L903" s="13" t="s">
        <v>71</v>
      </c>
      <c r="M903" s="13" t="s">
        <v>38</v>
      </c>
      <c r="N903" s="14">
        <v>18.336</v>
      </c>
      <c r="O903" s="14">
        <v>17.69</v>
      </c>
      <c r="P903" s="13">
        <v>7.0</v>
      </c>
      <c r="Q903" s="14">
        <f t="shared" si="3"/>
        <v>128.352</v>
      </c>
      <c r="R903" s="14">
        <f t="shared" si="4"/>
        <v>110.662</v>
      </c>
      <c r="S903" s="14">
        <f t="shared" si="5"/>
        <v>17.69</v>
      </c>
    </row>
    <row r="904">
      <c r="A904" s="12">
        <v>43358.0</v>
      </c>
      <c r="B904" s="12" t="s">
        <v>2329</v>
      </c>
      <c r="C904" s="2">
        <v>43360.0</v>
      </c>
      <c r="D904" s="15" t="str">
        <f t="shared" si="1"/>
        <v>Sep</v>
      </c>
      <c r="E904" s="2" t="str">
        <f t="shared" si="2"/>
        <v>2018</v>
      </c>
      <c r="F904" s="13" t="s">
        <v>121</v>
      </c>
      <c r="G904" s="13" t="s">
        <v>2432</v>
      </c>
      <c r="H904" s="13" t="s">
        <v>2464</v>
      </c>
      <c r="I904" s="13" t="s">
        <v>23</v>
      </c>
      <c r="J904" s="13" t="s">
        <v>188</v>
      </c>
      <c r="K904" s="13" t="s">
        <v>135</v>
      </c>
      <c r="L904" s="13" t="s">
        <v>71</v>
      </c>
      <c r="M904" s="13" t="s">
        <v>51</v>
      </c>
      <c r="N904" s="14">
        <v>323.976</v>
      </c>
      <c r="O904" s="14">
        <v>323.14</v>
      </c>
      <c r="P904" s="13">
        <v>6.0</v>
      </c>
      <c r="Q904" s="14">
        <f t="shared" si="3"/>
        <v>1943.856</v>
      </c>
      <c r="R904" s="14">
        <f t="shared" si="4"/>
        <v>1620.716</v>
      </c>
      <c r="S904" s="14">
        <f t="shared" si="5"/>
        <v>323.14</v>
      </c>
    </row>
    <row r="905">
      <c r="A905" s="12">
        <v>42951.0</v>
      </c>
      <c r="B905" s="12" t="s">
        <v>2322</v>
      </c>
      <c r="C905" s="2">
        <v>43073.0</v>
      </c>
      <c r="D905" s="15" t="str">
        <f t="shared" si="1"/>
        <v>Dec</v>
      </c>
      <c r="E905" s="2" t="str">
        <f t="shared" si="2"/>
        <v>2017</v>
      </c>
      <c r="F905" s="13" t="s">
        <v>41</v>
      </c>
      <c r="G905" s="13" t="s">
        <v>2499</v>
      </c>
      <c r="H905" s="13" t="s">
        <v>2500</v>
      </c>
      <c r="I905" s="13" t="s">
        <v>23</v>
      </c>
      <c r="J905" s="13" t="s">
        <v>35</v>
      </c>
      <c r="K905" s="13" t="s">
        <v>52</v>
      </c>
      <c r="L905" s="13" t="s">
        <v>37</v>
      </c>
      <c r="M905" s="13" t="s">
        <v>38</v>
      </c>
      <c r="N905" s="14">
        <v>20.04</v>
      </c>
      <c r="O905" s="14">
        <v>19.88</v>
      </c>
      <c r="P905" s="13">
        <v>9.0</v>
      </c>
      <c r="Q905" s="14">
        <f t="shared" si="3"/>
        <v>180.36</v>
      </c>
      <c r="R905" s="14">
        <f t="shared" si="4"/>
        <v>160.48</v>
      </c>
      <c r="S905" s="14">
        <f t="shared" si="5"/>
        <v>19.88</v>
      </c>
    </row>
    <row r="906">
      <c r="A906" s="12">
        <v>42951.0</v>
      </c>
      <c r="B906" s="12" t="s">
        <v>2322</v>
      </c>
      <c r="C906" s="2">
        <v>43073.0</v>
      </c>
      <c r="D906" s="15" t="str">
        <f t="shared" si="1"/>
        <v>Dec</v>
      </c>
      <c r="E906" s="2" t="str">
        <f t="shared" si="2"/>
        <v>2017</v>
      </c>
      <c r="F906" s="13" t="s">
        <v>41</v>
      </c>
      <c r="G906" s="13" t="s">
        <v>2499</v>
      </c>
      <c r="H906" s="13" t="s">
        <v>2500</v>
      </c>
      <c r="I906" s="13" t="s">
        <v>23</v>
      </c>
      <c r="J906" s="13" t="s">
        <v>35</v>
      </c>
      <c r="K906" s="13" t="s">
        <v>52</v>
      </c>
      <c r="L906" s="13" t="s">
        <v>37</v>
      </c>
      <c r="M906" s="13" t="s">
        <v>38</v>
      </c>
      <c r="N906" s="14">
        <v>64.96</v>
      </c>
      <c r="O906" s="14">
        <v>64.81</v>
      </c>
      <c r="P906" s="13">
        <v>9.0</v>
      </c>
      <c r="Q906" s="14">
        <f t="shared" si="3"/>
        <v>584.64</v>
      </c>
      <c r="R906" s="14">
        <f t="shared" si="4"/>
        <v>519.83</v>
      </c>
      <c r="S906" s="14">
        <f t="shared" si="5"/>
        <v>64.81</v>
      </c>
    </row>
    <row r="907">
      <c r="A907" s="12">
        <v>42951.0</v>
      </c>
      <c r="B907" s="12" t="s">
        <v>2322</v>
      </c>
      <c r="C907" s="2">
        <v>43073.0</v>
      </c>
      <c r="D907" s="15" t="str">
        <f t="shared" si="1"/>
        <v>Dec</v>
      </c>
      <c r="E907" s="2" t="str">
        <f t="shared" si="2"/>
        <v>2017</v>
      </c>
      <c r="F907" s="13" t="s">
        <v>41</v>
      </c>
      <c r="G907" s="13" t="s">
        <v>2499</v>
      </c>
      <c r="H907" s="13" t="s">
        <v>2500</v>
      </c>
      <c r="I907" s="13" t="s">
        <v>23</v>
      </c>
      <c r="J907" s="13" t="s">
        <v>35</v>
      </c>
      <c r="K907" s="13" t="s">
        <v>52</v>
      </c>
      <c r="L907" s="13" t="s">
        <v>37</v>
      </c>
      <c r="M907" s="13" t="s">
        <v>38</v>
      </c>
      <c r="N907" s="14">
        <v>12.96</v>
      </c>
      <c r="O907" s="14">
        <v>12.63</v>
      </c>
      <c r="P907" s="13">
        <v>9.0</v>
      </c>
      <c r="Q907" s="14">
        <f t="shared" si="3"/>
        <v>116.64</v>
      </c>
      <c r="R907" s="14">
        <f t="shared" si="4"/>
        <v>104.01</v>
      </c>
      <c r="S907" s="14">
        <f t="shared" si="5"/>
        <v>12.63</v>
      </c>
    </row>
    <row r="908">
      <c r="A908" s="12">
        <v>43464.0</v>
      </c>
      <c r="B908" s="12" t="s">
        <v>2325</v>
      </c>
      <c r="C908" s="2">
        <v>43525.0</v>
      </c>
      <c r="D908" s="15" t="str">
        <f t="shared" si="1"/>
        <v>Mar</v>
      </c>
      <c r="E908" s="2" t="str">
        <f t="shared" si="2"/>
        <v>2019</v>
      </c>
      <c r="F908" s="13" t="s">
        <v>41</v>
      </c>
      <c r="G908" s="13" t="s">
        <v>2373</v>
      </c>
      <c r="H908" s="13" t="s">
        <v>2328</v>
      </c>
      <c r="I908" s="13" t="s">
        <v>23</v>
      </c>
      <c r="J908" s="13" t="s">
        <v>174</v>
      </c>
      <c r="K908" s="13" t="s">
        <v>175</v>
      </c>
      <c r="L908" s="13" t="s">
        <v>100</v>
      </c>
      <c r="M908" s="13" t="s">
        <v>27</v>
      </c>
      <c r="N908" s="14">
        <v>323.136</v>
      </c>
      <c r="O908" s="14">
        <v>322.23</v>
      </c>
      <c r="P908" s="13">
        <v>1.0</v>
      </c>
      <c r="Q908" s="14">
        <f t="shared" si="3"/>
        <v>323.136</v>
      </c>
      <c r="R908" s="14">
        <f t="shared" si="4"/>
        <v>0.906</v>
      </c>
      <c r="S908" s="14">
        <f t="shared" si="5"/>
        <v>322.23</v>
      </c>
    </row>
    <row r="909">
      <c r="A909" s="12">
        <v>43464.0</v>
      </c>
      <c r="B909" s="12" t="s">
        <v>2325</v>
      </c>
      <c r="C909" s="2">
        <v>43525.0</v>
      </c>
      <c r="D909" s="15" t="str">
        <f t="shared" si="1"/>
        <v>Mar</v>
      </c>
      <c r="E909" s="2" t="str">
        <f t="shared" si="2"/>
        <v>2019</v>
      </c>
      <c r="F909" s="13" t="s">
        <v>41</v>
      </c>
      <c r="G909" s="13" t="s">
        <v>2373</v>
      </c>
      <c r="H909" s="13" t="s">
        <v>2328</v>
      </c>
      <c r="I909" s="13" t="s">
        <v>23</v>
      </c>
      <c r="J909" s="13" t="s">
        <v>174</v>
      </c>
      <c r="K909" s="13" t="s">
        <v>175</v>
      </c>
      <c r="L909" s="13" t="s">
        <v>100</v>
      </c>
      <c r="M909" s="13" t="s">
        <v>51</v>
      </c>
      <c r="N909" s="14">
        <v>90.93</v>
      </c>
      <c r="O909" s="14">
        <v>90.18</v>
      </c>
      <c r="P909" s="13">
        <v>1.0</v>
      </c>
      <c r="Q909" s="14">
        <f t="shared" si="3"/>
        <v>90.93</v>
      </c>
      <c r="R909" s="14">
        <f t="shared" si="4"/>
        <v>0.75</v>
      </c>
      <c r="S909" s="14">
        <f t="shared" si="5"/>
        <v>90.18</v>
      </c>
    </row>
    <row r="910">
      <c r="A910" s="12">
        <v>43464.0</v>
      </c>
      <c r="B910" s="12" t="s">
        <v>2325</v>
      </c>
      <c r="C910" s="2">
        <v>43525.0</v>
      </c>
      <c r="D910" s="15" t="str">
        <f t="shared" si="1"/>
        <v>Mar</v>
      </c>
      <c r="E910" s="2" t="str">
        <f t="shared" si="2"/>
        <v>2019</v>
      </c>
      <c r="F910" s="13" t="s">
        <v>41</v>
      </c>
      <c r="G910" s="13" t="s">
        <v>2373</v>
      </c>
      <c r="H910" s="13" t="s">
        <v>2328</v>
      </c>
      <c r="I910" s="13" t="s">
        <v>23</v>
      </c>
      <c r="J910" s="13" t="s">
        <v>174</v>
      </c>
      <c r="K910" s="13" t="s">
        <v>175</v>
      </c>
      <c r="L910" s="13" t="s">
        <v>100</v>
      </c>
      <c r="M910" s="13" t="s">
        <v>38</v>
      </c>
      <c r="N910" s="14">
        <v>52.776</v>
      </c>
      <c r="O910" s="14">
        <v>52.06</v>
      </c>
      <c r="P910" s="13">
        <v>1.0</v>
      </c>
      <c r="Q910" s="14">
        <f t="shared" si="3"/>
        <v>52.776</v>
      </c>
      <c r="R910" s="14">
        <f t="shared" si="4"/>
        <v>0.716</v>
      </c>
      <c r="S910" s="14">
        <f t="shared" si="5"/>
        <v>52.06</v>
      </c>
    </row>
    <row r="911">
      <c r="A911" s="12">
        <v>43140.0</v>
      </c>
      <c r="B911" s="12" t="s">
        <v>2431</v>
      </c>
      <c r="C911" s="2">
        <v>43290.0</v>
      </c>
      <c r="D911" s="15" t="str">
        <f t="shared" si="1"/>
        <v>Jul</v>
      </c>
      <c r="E911" s="2" t="str">
        <f t="shared" si="2"/>
        <v>2018</v>
      </c>
      <c r="F911" s="13" t="s">
        <v>41</v>
      </c>
      <c r="G911" s="13" t="s">
        <v>2670</v>
      </c>
      <c r="H911" s="13" t="s">
        <v>2824</v>
      </c>
      <c r="I911" s="13" t="s">
        <v>68</v>
      </c>
      <c r="J911" s="13" t="s">
        <v>205</v>
      </c>
      <c r="K911" s="13" t="s">
        <v>157</v>
      </c>
      <c r="L911" s="13" t="s">
        <v>71</v>
      </c>
      <c r="M911" s="13" t="s">
        <v>51</v>
      </c>
      <c r="N911" s="14">
        <v>1199.8</v>
      </c>
      <c r="O911" s="14">
        <v>1199.52</v>
      </c>
      <c r="P911" s="13">
        <v>4.0</v>
      </c>
      <c r="Q911" s="14">
        <f t="shared" si="3"/>
        <v>4799.2</v>
      </c>
      <c r="R911" s="14">
        <f t="shared" si="4"/>
        <v>3599.68</v>
      </c>
      <c r="S911" s="14">
        <f t="shared" si="5"/>
        <v>1199.52</v>
      </c>
    </row>
    <row r="912">
      <c r="A912" s="12">
        <v>43140.0</v>
      </c>
      <c r="B912" s="12" t="s">
        <v>2431</v>
      </c>
      <c r="C912" s="2">
        <v>43290.0</v>
      </c>
      <c r="D912" s="15" t="str">
        <f t="shared" si="1"/>
        <v>Jul</v>
      </c>
      <c r="E912" s="2" t="str">
        <f t="shared" si="2"/>
        <v>2018</v>
      </c>
      <c r="F912" s="13" t="s">
        <v>41</v>
      </c>
      <c r="G912" s="13" t="s">
        <v>2670</v>
      </c>
      <c r="H912" s="13" t="s">
        <v>2824</v>
      </c>
      <c r="I912" s="13" t="s">
        <v>68</v>
      </c>
      <c r="J912" s="13" t="s">
        <v>205</v>
      </c>
      <c r="K912" s="13" t="s">
        <v>157</v>
      </c>
      <c r="L912" s="13" t="s">
        <v>71</v>
      </c>
      <c r="M912" s="13" t="s">
        <v>51</v>
      </c>
      <c r="N912" s="14">
        <v>1928.78</v>
      </c>
      <c r="O912" s="14">
        <v>1928.37</v>
      </c>
      <c r="P912" s="13">
        <v>4.0</v>
      </c>
      <c r="Q912" s="14">
        <f t="shared" si="3"/>
        <v>7715.12</v>
      </c>
      <c r="R912" s="14">
        <f t="shared" si="4"/>
        <v>5786.75</v>
      </c>
      <c r="S912" s="14">
        <f t="shared" si="5"/>
        <v>1928.37</v>
      </c>
    </row>
    <row r="913">
      <c r="A913" s="12">
        <v>43140.0</v>
      </c>
      <c r="B913" s="12" t="s">
        <v>2431</v>
      </c>
      <c r="C913" s="2">
        <v>43290.0</v>
      </c>
      <c r="D913" s="15" t="str">
        <f t="shared" si="1"/>
        <v>Jul</v>
      </c>
      <c r="E913" s="2" t="str">
        <f t="shared" si="2"/>
        <v>2018</v>
      </c>
      <c r="F913" s="13" t="s">
        <v>41</v>
      </c>
      <c r="G913" s="13" t="s">
        <v>2670</v>
      </c>
      <c r="H913" s="13" t="s">
        <v>2824</v>
      </c>
      <c r="I913" s="13" t="s">
        <v>68</v>
      </c>
      <c r="J913" s="13" t="s">
        <v>205</v>
      </c>
      <c r="K913" s="13" t="s">
        <v>157</v>
      </c>
      <c r="L913" s="13" t="s">
        <v>71</v>
      </c>
      <c r="M913" s="13" t="s">
        <v>38</v>
      </c>
      <c r="N913" s="14">
        <v>352.38</v>
      </c>
      <c r="O913" s="14">
        <v>352.29</v>
      </c>
      <c r="P913" s="13">
        <v>4.0</v>
      </c>
      <c r="Q913" s="14">
        <f t="shared" si="3"/>
        <v>1409.52</v>
      </c>
      <c r="R913" s="14">
        <f t="shared" si="4"/>
        <v>1057.23</v>
      </c>
      <c r="S913" s="14">
        <f t="shared" si="5"/>
        <v>352.29</v>
      </c>
    </row>
    <row r="914">
      <c r="A914" s="12">
        <v>43431.0</v>
      </c>
      <c r="B914" s="12" t="s">
        <v>2326</v>
      </c>
      <c r="C914" s="2">
        <v>43433.0</v>
      </c>
      <c r="D914" s="15" t="str">
        <f t="shared" si="1"/>
        <v>Nov</v>
      </c>
      <c r="E914" s="2" t="str">
        <f t="shared" si="2"/>
        <v>2018</v>
      </c>
      <c r="F914" s="13" t="s">
        <v>121</v>
      </c>
      <c r="G914" s="13" t="s">
        <v>2655</v>
      </c>
      <c r="H914" s="13" t="s">
        <v>2799</v>
      </c>
      <c r="I914" s="13" t="s">
        <v>34</v>
      </c>
      <c r="J914" s="13" t="s">
        <v>1436</v>
      </c>
      <c r="K914" s="13" t="s">
        <v>77</v>
      </c>
      <c r="L914" s="13" t="s">
        <v>71</v>
      </c>
      <c r="M914" s="13" t="s">
        <v>27</v>
      </c>
      <c r="N914" s="14">
        <v>46.94</v>
      </c>
      <c r="O914" s="14">
        <v>46.19</v>
      </c>
      <c r="P914" s="13">
        <v>5.0</v>
      </c>
      <c r="Q914" s="14">
        <f t="shared" si="3"/>
        <v>234.7</v>
      </c>
      <c r="R914" s="14">
        <f t="shared" si="4"/>
        <v>188.51</v>
      </c>
      <c r="S914" s="14">
        <f t="shared" si="5"/>
        <v>46.19</v>
      </c>
    </row>
    <row r="915">
      <c r="A915" s="12">
        <v>43431.0</v>
      </c>
      <c r="B915" s="12" t="s">
        <v>2326</v>
      </c>
      <c r="C915" s="2">
        <v>43433.0</v>
      </c>
      <c r="D915" s="15" t="str">
        <f t="shared" si="1"/>
        <v>Nov</v>
      </c>
      <c r="E915" s="2" t="str">
        <f t="shared" si="2"/>
        <v>2018</v>
      </c>
      <c r="F915" s="13" t="s">
        <v>121</v>
      </c>
      <c r="G915" s="13" t="s">
        <v>2655</v>
      </c>
      <c r="H915" s="13" t="s">
        <v>2799</v>
      </c>
      <c r="I915" s="13" t="s">
        <v>34</v>
      </c>
      <c r="J915" s="13" t="s">
        <v>1436</v>
      </c>
      <c r="K915" s="13" t="s">
        <v>77</v>
      </c>
      <c r="L915" s="13" t="s">
        <v>71</v>
      </c>
      <c r="M915" s="13" t="s">
        <v>51</v>
      </c>
      <c r="N915" s="14">
        <v>143.73</v>
      </c>
      <c r="O915" s="14">
        <v>143.67</v>
      </c>
      <c r="P915" s="13">
        <v>5.0</v>
      </c>
      <c r="Q915" s="14">
        <f t="shared" si="3"/>
        <v>718.65</v>
      </c>
      <c r="R915" s="14">
        <f t="shared" si="4"/>
        <v>574.98</v>
      </c>
      <c r="S915" s="14">
        <f t="shared" si="5"/>
        <v>143.67</v>
      </c>
    </row>
    <row r="916">
      <c r="A916" s="12">
        <v>42170.0</v>
      </c>
      <c r="B916" s="12" t="s">
        <v>2374</v>
      </c>
      <c r="C916" s="2">
        <v>42176.0</v>
      </c>
      <c r="D916" s="15" t="str">
        <f t="shared" si="1"/>
        <v>Jun</v>
      </c>
      <c r="E916" s="2" t="str">
        <f t="shared" si="2"/>
        <v>2015</v>
      </c>
      <c r="F916" s="13" t="s">
        <v>41</v>
      </c>
      <c r="G916" s="13" t="s">
        <v>2517</v>
      </c>
      <c r="H916" s="13" t="s">
        <v>2541</v>
      </c>
      <c r="I916" s="13" t="s">
        <v>34</v>
      </c>
      <c r="J916" s="13" t="s">
        <v>404</v>
      </c>
      <c r="K916" s="13" t="s">
        <v>70</v>
      </c>
      <c r="L916" s="13" t="s">
        <v>71</v>
      </c>
      <c r="M916" s="13" t="s">
        <v>27</v>
      </c>
      <c r="N916" s="14">
        <v>99.918</v>
      </c>
      <c r="O916" s="14">
        <v>99.41</v>
      </c>
      <c r="P916" s="13">
        <v>7.0</v>
      </c>
      <c r="Q916" s="14">
        <f t="shared" si="3"/>
        <v>699.426</v>
      </c>
      <c r="R916" s="14">
        <f t="shared" si="4"/>
        <v>600.016</v>
      </c>
      <c r="S916" s="14">
        <f t="shared" si="5"/>
        <v>99.41</v>
      </c>
    </row>
    <row r="917">
      <c r="A917" s="12">
        <v>42170.0</v>
      </c>
      <c r="B917" s="12" t="s">
        <v>2374</v>
      </c>
      <c r="C917" s="2">
        <v>42176.0</v>
      </c>
      <c r="D917" s="15" t="str">
        <f t="shared" si="1"/>
        <v>Jun</v>
      </c>
      <c r="E917" s="2" t="str">
        <f t="shared" si="2"/>
        <v>2015</v>
      </c>
      <c r="F917" s="13" t="s">
        <v>41</v>
      </c>
      <c r="G917" s="13" t="s">
        <v>2517</v>
      </c>
      <c r="H917" s="13" t="s">
        <v>2541</v>
      </c>
      <c r="I917" s="13" t="s">
        <v>34</v>
      </c>
      <c r="J917" s="13" t="s">
        <v>404</v>
      </c>
      <c r="K917" s="13" t="s">
        <v>70</v>
      </c>
      <c r="L917" s="13" t="s">
        <v>71</v>
      </c>
      <c r="M917" s="13" t="s">
        <v>27</v>
      </c>
      <c r="N917" s="14">
        <v>797.944</v>
      </c>
      <c r="O917" s="14">
        <v>797.92</v>
      </c>
      <c r="P917" s="13">
        <v>7.0</v>
      </c>
      <c r="Q917" s="14">
        <f t="shared" si="3"/>
        <v>5585.608</v>
      </c>
      <c r="R917" s="14">
        <f t="shared" si="4"/>
        <v>4787.688</v>
      </c>
      <c r="S917" s="14">
        <f t="shared" si="5"/>
        <v>797.92</v>
      </c>
    </row>
    <row r="918">
      <c r="A918" s="12">
        <v>42170.0</v>
      </c>
      <c r="B918" s="12" t="s">
        <v>2374</v>
      </c>
      <c r="C918" s="2">
        <v>42176.0</v>
      </c>
      <c r="D918" s="15" t="str">
        <f t="shared" si="1"/>
        <v>Jun</v>
      </c>
      <c r="E918" s="2" t="str">
        <f t="shared" si="2"/>
        <v>2015</v>
      </c>
      <c r="F918" s="13" t="s">
        <v>41</v>
      </c>
      <c r="G918" s="13" t="s">
        <v>2517</v>
      </c>
      <c r="H918" s="13" t="s">
        <v>2541</v>
      </c>
      <c r="I918" s="13" t="s">
        <v>34</v>
      </c>
      <c r="J918" s="13" t="s">
        <v>404</v>
      </c>
      <c r="K918" s="13" t="s">
        <v>70</v>
      </c>
      <c r="L918" s="13" t="s">
        <v>71</v>
      </c>
      <c r="M918" s="13" t="s">
        <v>38</v>
      </c>
      <c r="N918" s="14">
        <v>8.568</v>
      </c>
      <c r="O918" s="14">
        <v>8.44</v>
      </c>
      <c r="P918" s="13">
        <v>7.0</v>
      </c>
      <c r="Q918" s="14">
        <f t="shared" si="3"/>
        <v>59.976</v>
      </c>
      <c r="R918" s="14">
        <f t="shared" si="4"/>
        <v>51.536</v>
      </c>
      <c r="S918" s="14">
        <f t="shared" si="5"/>
        <v>8.44</v>
      </c>
    </row>
    <row r="919">
      <c r="A919" s="12">
        <v>42858.0</v>
      </c>
      <c r="B919" s="12" t="s">
        <v>2335</v>
      </c>
      <c r="C919" s="2">
        <v>43042.0</v>
      </c>
      <c r="D919" s="15" t="str">
        <f t="shared" si="1"/>
        <v>Nov</v>
      </c>
      <c r="E919" s="2" t="str">
        <f t="shared" si="2"/>
        <v>2017</v>
      </c>
      <c r="F919" s="13" t="s">
        <v>41</v>
      </c>
      <c r="G919" s="13" t="s">
        <v>2661</v>
      </c>
      <c r="H919" s="13" t="s">
        <v>2825</v>
      </c>
      <c r="I919" s="13" t="s">
        <v>34</v>
      </c>
      <c r="J919" s="13" t="s">
        <v>480</v>
      </c>
      <c r="K919" s="13" t="s">
        <v>70</v>
      </c>
      <c r="L919" s="13" t="s">
        <v>71</v>
      </c>
      <c r="M919" s="13" t="s">
        <v>38</v>
      </c>
      <c r="N919" s="14">
        <v>149.352</v>
      </c>
      <c r="O919" s="14">
        <v>148.95</v>
      </c>
      <c r="P919" s="13">
        <v>7.0</v>
      </c>
      <c r="Q919" s="14">
        <f t="shared" si="3"/>
        <v>1045.464</v>
      </c>
      <c r="R919" s="14">
        <f t="shared" si="4"/>
        <v>896.514</v>
      </c>
      <c r="S919" s="14">
        <f t="shared" si="5"/>
        <v>148.95</v>
      </c>
    </row>
    <row r="920">
      <c r="A920" s="12">
        <v>42858.0</v>
      </c>
      <c r="B920" s="12" t="s">
        <v>2335</v>
      </c>
      <c r="C920" s="2">
        <v>43042.0</v>
      </c>
      <c r="D920" s="15" t="str">
        <f t="shared" si="1"/>
        <v>Nov</v>
      </c>
      <c r="E920" s="2" t="str">
        <f t="shared" si="2"/>
        <v>2017</v>
      </c>
      <c r="F920" s="13" t="s">
        <v>41</v>
      </c>
      <c r="G920" s="13" t="s">
        <v>2661</v>
      </c>
      <c r="H920" s="13" t="s">
        <v>2825</v>
      </c>
      <c r="I920" s="13" t="s">
        <v>34</v>
      </c>
      <c r="J920" s="13" t="s">
        <v>480</v>
      </c>
      <c r="K920" s="13" t="s">
        <v>70</v>
      </c>
      <c r="L920" s="13" t="s">
        <v>71</v>
      </c>
      <c r="M920" s="13" t="s">
        <v>38</v>
      </c>
      <c r="N920" s="14">
        <v>12.992</v>
      </c>
      <c r="O920" s="14">
        <v>12.26</v>
      </c>
      <c r="P920" s="13">
        <v>7.0</v>
      </c>
      <c r="Q920" s="14">
        <f t="shared" si="3"/>
        <v>90.944</v>
      </c>
      <c r="R920" s="14">
        <f t="shared" si="4"/>
        <v>78.684</v>
      </c>
      <c r="S920" s="14">
        <f t="shared" si="5"/>
        <v>12.26</v>
      </c>
    </row>
    <row r="921">
      <c r="A921" s="12">
        <v>42136.0</v>
      </c>
      <c r="B921" s="12" t="s">
        <v>2335</v>
      </c>
      <c r="C921" s="2">
        <v>42350.0</v>
      </c>
      <c r="D921" s="15" t="str">
        <f t="shared" si="1"/>
        <v>Dec</v>
      </c>
      <c r="E921" s="2" t="str">
        <f t="shared" si="2"/>
        <v>2015</v>
      </c>
      <c r="F921" s="13" t="s">
        <v>41</v>
      </c>
      <c r="G921" s="13" t="s">
        <v>2527</v>
      </c>
      <c r="H921" s="13" t="s">
        <v>2528</v>
      </c>
      <c r="I921" s="13" t="s">
        <v>23</v>
      </c>
      <c r="J921" s="13" t="s">
        <v>1581</v>
      </c>
      <c r="K921" s="13" t="s">
        <v>198</v>
      </c>
      <c r="L921" s="13" t="s">
        <v>26</v>
      </c>
      <c r="M921" s="13" t="s">
        <v>38</v>
      </c>
      <c r="N921" s="14">
        <v>24.56</v>
      </c>
      <c r="O921" s="14">
        <v>24.01</v>
      </c>
      <c r="P921" s="13">
        <v>2.0</v>
      </c>
      <c r="Q921" s="14">
        <f t="shared" si="3"/>
        <v>49.12</v>
      </c>
      <c r="R921" s="14">
        <f t="shared" si="4"/>
        <v>25.11</v>
      </c>
      <c r="S921" s="14">
        <f t="shared" si="5"/>
        <v>24.01</v>
      </c>
    </row>
    <row r="922">
      <c r="A922" s="12">
        <v>42678.0</v>
      </c>
      <c r="B922" s="12" t="s">
        <v>2326</v>
      </c>
      <c r="C922" s="2">
        <v>42475.0</v>
      </c>
      <c r="D922" s="15" t="str">
        <f t="shared" si="1"/>
        <v>Apr</v>
      </c>
      <c r="E922" s="2" t="str">
        <f t="shared" si="2"/>
        <v>2016</v>
      </c>
      <c r="F922" s="13" t="s">
        <v>41</v>
      </c>
      <c r="G922" s="13" t="s">
        <v>2627</v>
      </c>
      <c r="H922" s="13" t="s">
        <v>2717</v>
      </c>
      <c r="I922" s="13" t="s">
        <v>23</v>
      </c>
      <c r="J922" s="13" t="s">
        <v>174</v>
      </c>
      <c r="K922" s="13" t="s">
        <v>175</v>
      </c>
      <c r="L922" s="13" t="s">
        <v>100</v>
      </c>
      <c r="M922" s="13" t="s">
        <v>51</v>
      </c>
      <c r="N922" s="14">
        <v>85.14</v>
      </c>
      <c r="O922" s="14">
        <v>85.04</v>
      </c>
      <c r="P922" s="13">
        <v>1.0</v>
      </c>
      <c r="Q922" s="14">
        <f t="shared" si="3"/>
        <v>85.14</v>
      </c>
      <c r="R922" s="14">
        <f t="shared" si="4"/>
        <v>0.1</v>
      </c>
      <c r="S922" s="14">
        <f t="shared" si="5"/>
        <v>85.04</v>
      </c>
    </row>
    <row r="923">
      <c r="A923" s="12">
        <v>42678.0</v>
      </c>
      <c r="B923" s="12" t="s">
        <v>2326</v>
      </c>
      <c r="C923" s="2">
        <v>42475.0</v>
      </c>
      <c r="D923" s="15" t="str">
        <f t="shared" si="1"/>
        <v>Apr</v>
      </c>
      <c r="E923" s="2" t="str">
        <f t="shared" si="2"/>
        <v>2016</v>
      </c>
      <c r="F923" s="13" t="s">
        <v>41</v>
      </c>
      <c r="G923" s="13" t="s">
        <v>2627</v>
      </c>
      <c r="H923" s="13" t="s">
        <v>2717</v>
      </c>
      <c r="I923" s="13" t="s">
        <v>23</v>
      </c>
      <c r="J923" s="13" t="s">
        <v>174</v>
      </c>
      <c r="K923" s="13" t="s">
        <v>175</v>
      </c>
      <c r="L923" s="13" t="s">
        <v>100</v>
      </c>
      <c r="M923" s="13" t="s">
        <v>51</v>
      </c>
      <c r="N923" s="14">
        <v>21.99</v>
      </c>
      <c r="O923" s="14">
        <v>21.1</v>
      </c>
      <c r="P923" s="13">
        <v>1.0</v>
      </c>
      <c r="Q923" s="14">
        <f t="shared" si="3"/>
        <v>21.99</v>
      </c>
      <c r="R923" s="14">
        <f t="shared" si="4"/>
        <v>0.89</v>
      </c>
      <c r="S923" s="14">
        <f t="shared" si="5"/>
        <v>21.1</v>
      </c>
    </row>
    <row r="924">
      <c r="A924" s="12">
        <v>42678.0</v>
      </c>
      <c r="B924" s="12" t="s">
        <v>2326</v>
      </c>
      <c r="C924" s="2">
        <v>42475.0</v>
      </c>
      <c r="D924" s="15" t="str">
        <f t="shared" si="1"/>
        <v>Apr</v>
      </c>
      <c r="E924" s="2" t="str">
        <f t="shared" si="2"/>
        <v>2016</v>
      </c>
      <c r="F924" s="13" t="s">
        <v>41</v>
      </c>
      <c r="G924" s="13" t="s">
        <v>2627</v>
      </c>
      <c r="H924" s="13" t="s">
        <v>2717</v>
      </c>
      <c r="I924" s="13" t="s">
        <v>23</v>
      </c>
      <c r="J924" s="13" t="s">
        <v>174</v>
      </c>
      <c r="K924" s="13" t="s">
        <v>175</v>
      </c>
      <c r="L924" s="13" t="s">
        <v>100</v>
      </c>
      <c r="M924" s="13" t="s">
        <v>38</v>
      </c>
      <c r="N924" s="14">
        <v>406.6</v>
      </c>
      <c r="O924" s="14">
        <v>405.67</v>
      </c>
      <c r="P924" s="13">
        <v>1.0</v>
      </c>
      <c r="Q924" s="14">
        <f t="shared" si="3"/>
        <v>406.6</v>
      </c>
      <c r="R924" s="14">
        <f t="shared" si="4"/>
        <v>0.93</v>
      </c>
      <c r="S924" s="14">
        <f t="shared" si="5"/>
        <v>405.67</v>
      </c>
    </row>
    <row r="925">
      <c r="A925" s="12">
        <v>42993.0</v>
      </c>
      <c r="B925" s="12" t="s">
        <v>2329</v>
      </c>
      <c r="C925" s="2">
        <v>42998.0</v>
      </c>
      <c r="D925" s="15" t="str">
        <f t="shared" si="1"/>
        <v>Sep</v>
      </c>
      <c r="E925" s="2" t="str">
        <f t="shared" si="2"/>
        <v>2017</v>
      </c>
      <c r="F925" s="13" t="s">
        <v>41</v>
      </c>
      <c r="G925" s="13" t="s">
        <v>2568</v>
      </c>
      <c r="H925" s="13" t="s">
        <v>2826</v>
      </c>
      <c r="I925" s="13" t="s">
        <v>34</v>
      </c>
      <c r="J925" s="13" t="s">
        <v>174</v>
      </c>
      <c r="K925" s="13" t="s">
        <v>175</v>
      </c>
      <c r="L925" s="13" t="s">
        <v>100</v>
      </c>
      <c r="M925" s="13" t="s">
        <v>38</v>
      </c>
      <c r="N925" s="14">
        <v>841.568</v>
      </c>
      <c r="O925" s="14">
        <v>841.57</v>
      </c>
      <c r="P925" s="13">
        <v>1.0</v>
      </c>
      <c r="Q925" s="14">
        <f t="shared" si="3"/>
        <v>841.568</v>
      </c>
      <c r="R925" s="14">
        <f t="shared" si="4"/>
        <v>-0.002</v>
      </c>
      <c r="S925" s="14">
        <f t="shared" si="5"/>
        <v>841.57</v>
      </c>
    </row>
    <row r="926">
      <c r="A926" s="12">
        <v>42260.0</v>
      </c>
      <c r="B926" s="12" t="s">
        <v>2329</v>
      </c>
      <c r="C926" s="2">
        <v>42263.0</v>
      </c>
      <c r="D926" s="15" t="str">
        <f t="shared" si="1"/>
        <v>Sep</v>
      </c>
      <c r="E926" s="2" t="str">
        <f t="shared" si="2"/>
        <v>2015</v>
      </c>
      <c r="F926" s="13" t="s">
        <v>121</v>
      </c>
      <c r="G926" s="13" t="s">
        <v>2827</v>
      </c>
      <c r="H926" s="13" t="s">
        <v>2828</v>
      </c>
      <c r="I926" s="13" t="s">
        <v>23</v>
      </c>
      <c r="J926" s="13" t="s">
        <v>98</v>
      </c>
      <c r="K926" s="13" t="s">
        <v>99</v>
      </c>
      <c r="L926" s="13" t="s">
        <v>100</v>
      </c>
      <c r="M926" s="13" t="s">
        <v>38</v>
      </c>
      <c r="N926" s="14">
        <v>15.552</v>
      </c>
      <c r="O926" s="14">
        <v>14.8</v>
      </c>
      <c r="P926" s="13">
        <v>1.0</v>
      </c>
      <c r="Q926" s="14">
        <f t="shared" si="3"/>
        <v>15.552</v>
      </c>
      <c r="R926" s="14">
        <f t="shared" si="4"/>
        <v>0.752</v>
      </c>
      <c r="S926" s="14">
        <f t="shared" si="5"/>
        <v>14.8</v>
      </c>
    </row>
    <row r="927">
      <c r="A927" s="12">
        <v>42260.0</v>
      </c>
      <c r="B927" s="12" t="s">
        <v>2329</v>
      </c>
      <c r="C927" s="2">
        <v>42263.0</v>
      </c>
      <c r="D927" s="15" t="str">
        <f t="shared" si="1"/>
        <v>Sep</v>
      </c>
      <c r="E927" s="2" t="str">
        <f t="shared" si="2"/>
        <v>2015</v>
      </c>
      <c r="F927" s="13" t="s">
        <v>121</v>
      </c>
      <c r="G927" s="13" t="s">
        <v>2827</v>
      </c>
      <c r="H927" s="13" t="s">
        <v>2828</v>
      </c>
      <c r="I927" s="13" t="s">
        <v>23</v>
      </c>
      <c r="J927" s="13" t="s">
        <v>98</v>
      </c>
      <c r="K927" s="13" t="s">
        <v>99</v>
      </c>
      <c r="L927" s="13" t="s">
        <v>100</v>
      </c>
      <c r="M927" s="13" t="s">
        <v>51</v>
      </c>
      <c r="N927" s="14">
        <v>252.0</v>
      </c>
      <c r="O927" s="14">
        <v>251.41</v>
      </c>
      <c r="P927" s="13">
        <v>1.0</v>
      </c>
      <c r="Q927" s="14">
        <f t="shared" si="3"/>
        <v>252</v>
      </c>
      <c r="R927" s="14">
        <f t="shared" si="4"/>
        <v>0.59</v>
      </c>
      <c r="S927" s="14">
        <f t="shared" si="5"/>
        <v>251.41</v>
      </c>
    </row>
    <row r="928">
      <c r="A928" s="12">
        <v>42500.0</v>
      </c>
      <c r="B928" s="12" t="s">
        <v>2335</v>
      </c>
      <c r="C928" s="2">
        <v>42623.0</v>
      </c>
      <c r="D928" s="15" t="str">
        <f t="shared" si="1"/>
        <v>Sep</v>
      </c>
      <c r="E928" s="2" t="str">
        <f t="shared" si="2"/>
        <v>2016</v>
      </c>
      <c r="F928" s="13" t="s">
        <v>41</v>
      </c>
      <c r="G928" s="13" t="s">
        <v>2392</v>
      </c>
      <c r="H928" s="13" t="s">
        <v>2829</v>
      </c>
      <c r="I928" s="13" t="s">
        <v>68</v>
      </c>
      <c r="J928" s="13" t="s">
        <v>197</v>
      </c>
      <c r="K928" s="13" t="s">
        <v>198</v>
      </c>
      <c r="L928" s="13" t="s">
        <v>26</v>
      </c>
      <c r="M928" s="13" t="s">
        <v>38</v>
      </c>
      <c r="N928" s="14">
        <v>46.2</v>
      </c>
      <c r="O928" s="14">
        <v>45.48</v>
      </c>
      <c r="P928" s="13">
        <v>2.0</v>
      </c>
      <c r="Q928" s="14">
        <f t="shared" si="3"/>
        <v>92.4</v>
      </c>
      <c r="R928" s="14">
        <f t="shared" si="4"/>
        <v>46.92</v>
      </c>
      <c r="S928" s="14">
        <f t="shared" si="5"/>
        <v>45.48</v>
      </c>
    </row>
    <row r="929">
      <c r="A929" s="12">
        <v>42500.0</v>
      </c>
      <c r="B929" s="12" t="s">
        <v>2335</v>
      </c>
      <c r="C929" s="2">
        <v>42623.0</v>
      </c>
      <c r="D929" s="15" t="str">
        <f t="shared" si="1"/>
        <v>Sep</v>
      </c>
      <c r="E929" s="2" t="str">
        <f t="shared" si="2"/>
        <v>2016</v>
      </c>
      <c r="F929" s="13" t="s">
        <v>41</v>
      </c>
      <c r="G929" s="13" t="s">
        <v>2392</v>
      </c>
      <c r="H929" s="13" t="s">
        <v>2829</v>
      </c>
      <c r="I929" s="13" t="s">
        <v>68</v>
      </c>
      <c r="J929" s="13" t="s">
        <v>197</v>
      </c>
      <c r="K929" s="13" t="s">
        <v>198</v>
      </c>
      <c r="L929" s="13" t="s">
        <v>26</v>
      </c>
      <c r="M929" s="13" t="s">
        <v>38</v>
      </c>
      <c r="N929" s="14">
        <v>28.84</v>
      </c>
      <c r="O929" s="14">
        <v>28.67</v>
      </c>
      <c r="P929" s="13">
        <v>2.0</v>
      </c>
      <c r="Q929" s="14">
        <f t="shared" si="3"/>
        <v>57.68</v>
      </c>
      <c r="R929" s="14">
        <f t="shared" si="4"/>
        <v>29.01</v>
      </c>
      <c r="S929" s="14">
        <f t="shared" si="5"/>
        <v>28.67</v>
      </c>
    </row>
    <row r="930">
      <c r="A930" s="12">
        <v>43204.0</v>
      </c>
      <c r="B930" s="12" t="s">
        <v>2332</v>
      </c>
      <c r="C930" s="2">
        <v>43207.0</v>
      </c>
      <c r="D930" s="15" t="str">
        <f t="shared" si="1"/>
        <v>Apr</v>
      </c>
      <c r="E930" s="2" t="str">
        <f t="shared" si="2"/>
        <v>2018</v>
      </c>
      <c r="F930" s="13" t="s">
        <v>121</v>
      </c>
      <c r="G930" s="13" t="s">
        <v>2438</v>
      </c>
      <c r="H930" s="13" t="s">
        <v>2745</v>
      </c>
      <c r="I930" s="13" t="s">
        <v>23</v>
      </c>
      <c r="J930" s="13" t="s">
        <v>1598</v>
      </c>
      <c r="K930" s="13" t="s">
        <v>304</v>
      </c>
      <c r="L930" s="13" t="s">
        <v>100</v>
      </c>
      <c r="M930" s="13" t="s">
        <v>38</v>
      </c>
      <c r="N930" s="14">
        <v>14.592</v>
      </c>
      <c r="O930" s="14">
        <v>13.71</v>
      </c>
      <c r="P930" s="13">
        <v>4.0</v>
      </c>
      <c r="Q930" s="14">
        <f t="shared" si="3"/>
        <v>58.368</v>
      </c>
      <c r="R930" s="14">
        <f t="shared" si="4"/>
        <v>44.658</v>
      </c>
      <c r="S930" s="14">
        <f t="shared" si="5"/>
        <v>13.71</v>
      </c>
    </row>
    <row r="931">
      <c r="A931" s="12">
        <v>43204.0</v>
      </c>
      <c r="B931" s="12" t="s">
        <v>2332</v>
      </c>
      <c r="C931" s="2">
        <v>43207.0</v>
      </c>
      <c r="D931" s="15" t="str">
        <f t="shared" si="1"/>
        <v>Apr</v>
      </c>
      <c r="E931" s="2" t="str">
        <f t="shared" si="2"/>
        <v>2018</v>
      </c>
      <c r="F931" s="13" t="s">
        <v>121</v>
      </c>
      <c r="G931" s="13" t="s">
        <v>2438</v>
      </c>
      <c r="H931" s="13" t="s">
        <v>2745</v>
      </c>
      <c r="I931" s="13" t="s">
        <v>23</v>
      </c>
      <c r="J931" s="13" t="s">
        <v>1598</v>
      </c>
      <c r="K931" s="13" t="s">
        <v>304</v>
      </c>
      <c r="L931" s="13" t="s">
        <v>100</v>
      </c>
      <c r="M931" s="13" t="s">
        <v>38</v>
      </c>
      <c r="N931" s="14">
        <v>89.856</v>
      </c>
      <c r="O931" s="14">
        <v>88.89</v>
      </c>
      <c r="P931" s="13">
        <v>4.0</v>
      </c>
      <c r="Q931" s="14">
        <f t="shared" si="3"/>
        <v>359.424</v>
      </c>
      <c r="R931" s="14">
        <f t="shared" si="4"/>
        <v>270.534</v>
      </c>
      <c r="S931" s="14">
        <f t="shared" si="5"/>
        <v>88.89</v>
      </c>
    </row>
    <row r="932">
      <c r="A932" s="12">
        <v>43204.0</v>
      </c>
      <c r="B932" s="12" t="s">
        <v>2332</v>
      </c>
      <c r="C932" s="2">
        <v>43207.0</v>
      </c>
      <c r="D932" s="15" t="str">
        <f t="shared" si="1"/>
        <v>Apr</v>
      </c>
      <c r="E932" s="2" t="str">
        <f t="shared" si="2"/>
        <v>2018</v>
      </c>
      <c r="F932" s="13" t="s">
        <v>121</v>
      </c>
      <c r="G932" s="13" t="s">
        <v>2438</v>
      </c>
      <c r="H932" s="13" t="s">
        <v>2745</v>
      </c>
      <c r="I932" s="13" t="s">
        <v>23</v>
      </c>
      <c r="J932" s="13" t="s">
        <v>1598</v>
      </c>
      <c r="K932" s="13" t="s">
        <v>304</v>
      </c>
      <c r="L932" s="13" t="s">
        <v>100</v>
      </c>
      <c r="M932" s="13" t="s">
        <v>38</v>
      </c>
      <c r="N932" s="14">
        <v>13.872</v>
      </c>
      <c r="O932" s="14">
        <v>13.46</v>
      </c>
      <c r="P932" s="13">
        <v>4.0</v>
      </c>
      <c r="Q932" s="14">
        <f t="shared" si="3"/>
        <v>55.488</v>
      </c>
      <c r="R932" s="14">
        <f t="shared" si="4"/>
        <v>42.028</v>
      </c>
      <c r="S932" s="14">
        <f t="shared" si="5"/>
        <v>13.46</v>
      </c>
    </row>
    <row r="933">
      <c r="A933" s="12">
        <v>43140.0</v>
      </c>
      <c r="B933" s="12" t="s">
        <v>2431</v>
      </c>
      <c r="C933" s="2">
        <v>43260.0</v>
      </c>
      <c r="D933" s="15" t="str">
        <f t="shared" si="1"/>
        <v>Jun</v>
      </c>
      <c r="E933" s="2" t="str">
        <f t="shared" si="2"/>
        <v>2018</v>
      </c>
      <c r="F933" s="13" t="s">
        <v>41</v>
      </c>
      <c r="G933" s="13" t="s">
        <v>2741</v>
      </c>
      <c r="H933" s="13" t="s">
        <v>2575</v>
      </c>
      <c r="I933" s="13" t="s">
        <v>23</v>
      </c>
      <c r="J933" s="13" t="s">
        <v>98</v>
      </c>
      <c r="K933" s="13" t="s">
        <v>99</v>
      </c>
      <c r="L933" s="13" t="s">
        <v>100</v>
      </c>
      <c r="M933" s="13" t="s">
        <v>38</v>
      </c>
      <c r="N933" s="14">
        <v>12.192</v>
      </c>
      <c r="O933" s="14">
        <v>11.44</v>
      </c>
      <c r="P933" s="13">
        <v>1.0</v>
      </c>
      <c r="Q933" s="14">
        <f t="shared" si="3"/>
        <v>12.192</v>
      </c>
      <c r="R933" s="14">
        <f t="shared" si="4"/>
        <v>0.752</v>
      </c>
      <c r="S933" s="14">
        <f t="shared" si="5"/>
        <v>11.44</v>
      </c>
    </row>
    <row r="934">
      <c r="A934" s="12">
        <v>42906.0</v>
      </c>
      <c r="B934" s="12" t="s">
        <v>2374</v>
      </c>
      <c r="C934" s="2">
        <v>42910.0</v>
      </c>
      <c r="D934" s="15" t="str">
        <f t="shared" si="1"/>
        <v>Jun</v>
      </c>
      <c r="E934" s="2" t="str">
        <f t="shared" si="2"/>
        <v>2017</v>
      </c>
      <c r="F934" s="13" t="s">
        <v>41</v>
      </c>
      <c r="G934" s="13" t="s">
        <v>2830</v>
      </c>
      <c r="H934" s="13" t="s">
        <v>2831</v>
      </c>
      <c r="I934" s="13" t="s">
        <v>68</v>
      </c>
      <c r="J934" s="13" t="s">
        <v>98</v>
      </c>
      <c r="K934" s="13" t="s">
        <v>99</v>
      </c>
      <c r="L934" s="13" t="s">
        <v>100</v>
      </c>
      <c r="M934" s="13" t="s">
        <v>38</v>
      </c>
      <c r="N934" s="14">
        <v>45.056</v>
      </c>
      <c r="O934" s="14">
        <v>44.63</v>
      </c>
      <c r="P934" s="13">
        <v>1.0</v>
      </c>
      <c r="Q934" s="14">
        <f t="shared" si="3"/>
        <v>45.056</v>
      </c>
      <c r="R934" s="14">
        <f t="shared" si="4"/>
        <v>0.426</v>
      </c>
      <c r="S934" s="14">
        <f t="shared" si="5"/>
        <v>44.63</v>
      </c>
    </row>
    <row r="935">
      <c r="A935" s="12">
        <v>42906.0</v>
      </c>
      <c r="B935" s="12" t="s">
        <v>2374</v>
      </c>
      <c r="C935" s="2">
        <v>42910.0</v>
      </c>
      <c r="D935" s="15" t="str">
        <f t="shared" si="1"/>
        <v>Jun</v>
      </c>
      <c r="E935" s="2" t="str">
        <f t="shared" si="2"/>
        <v>2017</v>
      </c>
      <c r="F935" s="13" t="s">
        <v>41</v>
      </c>
      <c r="G935" s="13" t="s">
        <v>2830</v>
      </c>
      <c r="H935" s="13" t="s">
        <v>2831</v>
      </c>
      <c r="I935" s="13" t="s">
        <v>68</v>
      </c>
      <c r="J935" s="13" t="s">
        <v>98</v>
      </c>
      <c r="K935" s="13" t="s">
        <v>99</v>
      </c>
      <c r="L935" s="13" t="s">
        <v>100</v>
      </c>
      <c r="M935" s="13" t="s">
        <v>38</v>
      </c>
      <c r="N935" s="14">
        <v>29.718</v>
      </c>
      <c r="O935" s="14">
        <v>29.25</v>
      </c>
      <c r="P935" s="13">
        <v>1.0</v>
      </c>
      <c r="Q935" s="14">
        <f t="shared" si="3"/>
        <v>29.718</v>
      </c>
      <c r="R935" s="14">
        <f t="shared" si="4"/>
        <v>0.468</v>
      </c>
      <c r="S935" s="14">
        <f t="shared" si="5"/>
        <v>29.25</v>
      </c>
    </row>
    <row r="936">
      <c r="A936" s="12">
        <v>42906.0</v>
      </c>
      <c r="B936" s="12" t="s">
        <v>2374</v>
      </c>
      <c r="C936" s="2">
        <v>42910.0</v>
      </c>
      <c r="D936" s="15" t="str">
        <f t="shared" si="1"/>
        <v>Jun</v>
      </c>
      <c r="E936" s="2" t="str">
        <f t="shared" si="2"/>
        <v>2017</v>
      </c>
      <c r="F936" s="13" t="s">
        <v>41</v>
      </c>
      <c r="G936" s="13" t="s">
        <v>2830</v>
      </c>
      <c r="H936" s="13" t="s">
        <v>2831</v>
      </c>
      <c r="I936" s="13" t="s">
        <v>68</v>
      </c>
      <c r="J936" s="13" t="s">
        <v>98</v>
      </c>
      <c r="K936" s="13" t="s">
        <v>99</v>
      </c>
      <c r="L936" s="13" t="s">
        <v>100</v>
      </c>
      <c r="M936" s="13" t="s">
        <v>38</v>
      </c>
      <c r="N936" s="14">
        <v>15.552</v>
      </c>
      <c r="O936" s="14">
        <v>14.89</v>
      </c>
      <c r="P936" s="13">
        <v>1.0</v>
      </c>
      <c r="Q936" s="14">
        <f t="shared" si="3"/>
        <v>15.552</v>
      </c>
      <c r="R936" s="14">
        <f t="shared" si="4"/>
        <v>0.662</v>
      </c>
      <c r="S936" s="14">
        <f t="shared" si="5"/>
        <v>14.89</v>
      </c>
    </row>
    <row r="937">
      <c r="A937" s="12">
        <v>42906.0</v>
      </c>
      <c r="B937" s="12" t="s">
        <v>2374</v>
      </c>
      <c r="C937" s="2">
        <v>42910.0</v>
      </c>
      <c r="D937" s="15" t="str">
        <f t="shared" si="1"/>
        <v>Jun</v>
      </c>
      <c r="E937" s="2" t="str">
        <f t="shared" si="2"/>
        <v>2017</v>
      </c>
      <c r="F937" s="13" t="s">
        <v>41</v>
      </c>
      <c r="G937" s="13" t="s">
        <v>2830</v>
      </c>
      <c r="H937" s="13" t="s">
        <v>2831</v>
      </c>
      <c r="I937" s="13" t="s">
        <v>68</v>
      </c>
      <c r="J937" s="13" t="s">
        <v>98</v>
      </c>
      <c r="K937" s="13" t="s">
        <v>99</v>
      </c>
      <c r="L937" s="13" t="s">
        <v>100</v>
      </c>
      <c r="M937" s="13" t="s">
        <v>38</v>
      </c>
      <c r="N937" s="14">
        <v>447.696</v>
      </c>
      <c r="O937" s="14">
        <v>446.88</v>
      </c>
      <c r="P937" s="13">
        <v>1.0</v>
      </c>
      <c r="Q937" s="14">
        <f t="shared" si="3"/>
        <v>447.696</v>
      </c>
      <c r="R937" s="14">
        <f t="shared" si="4"/>
        <v>0.816</v>
      </c>
      <c r="S937" s="14">
        <f t="shared" si="5"/>
        <v>446.88</v>
      </c>
    </row>
    <row r="938">
      <c r="A938" s="12">
        <v>43231.0</v>
      </c>
      <c r="B938" s="12" t="s">
        <v>2335</v>
      </c>
      <c r="C938" s="2">
        <v>43262.0</v>
      </c>
      <c r="D938" s="15" t="str">
        <f t="shared" si="1"/>
        <v>Jun</v>
      </c>
      <c r="E938" s="2" t="str">
        <f t="shared" si="2"/>
        <v>2018</v>
      </c>
      <c r="F938" s="13" t="s">
        <v>121</v>
      </c>
      <c r="G938" s="13" t="s">
        <v>2367</v>
      </c>
      <c r="H938" s="13" t="s">
        <v>2368</v>
      </c>
      <c r="I938" s="13" t="s">
        <v>34</v>
      </c>
      <c r="J938" s="13" t="s">
        <v>1607</v>
      </c>
      <c r="K938" s="13" t="s">
        <v>397</v>
      </c>
      <c r="L938" s="13" t="s">
        <v>37</v>
      </c>
      <c r="M938" s="13" t="s">
        <v>51</v>
      </c>
      <c r="N938" s="14">
        <v>159.99</v>
      </c>
      <c r="O938" s="14">
        <v>159.36</v>
      </c>
      <c r="P938" s="13">
        <v>8.0</v>
      </c>
      <c r="Q938" s="14">
        <f t="shared" si="3"/>
        <v>1279.92</v>
      </c>
      <c r="R938" s="14">
        <f t="shared" si="4"/>
        <v>1120.56</v>
      </c>
      <c r="S938" s="14">
        <f t="shared" si="5"/>
        <v>159.36</v>
      </c>
    </row>
    <row r="939">
      <c r="A939" s="12">
        <v>42717.0</v>
      </c>
      <c r="B939" s="12" t="s">
        <v>2325</v>
      </c>
      <c r="C939" s="2">
        <v>42721.0</v>
      </c>
      <c r="D939" s="15" t="str">
        <f t="shared" si="1"/>
        <v>Dec</v>
      </c>
      <c r="E939" s="2" t="str">
        <f t="shared" si="2"/>
        <v>2016</v>
      </c>
      <c r="F939" s="13" t="s">
        <v>41</v>
      </c>
      <c r="G939" s="13" t="s">
        <v>2832</v>
      </c>
      <c r="H939" s="13" t="s">
        <v>2833</v>
      </c>
      <c r="I939" s="13" t="s">
        <v>34</v>
      </c>
      <c r="J939" s="13" t="s">
        <v>1612</v>
      </c>
      <c r="K939" s="13" t="s">
        <v>52</v>
      </c>
      <c r="L939" s="13" t="s">
        <v>37</v>
      </c>
      <c r="M939" s="13" t="s">
        <v>38</v>
      </c>
      <c r="N939" s="14">
        <v>12.96</v>
      </c>
      <c r="O939" s="14">
        <v>12.37</v>
      </c>
      <c r="P939" s="13">
        <v>9.0</v>
      </c>
      <c r="Q939" s="14">
        <f t="shared" si="3"/>
        <v>116.64</v>
      </c>
      <c r="R939" s="14">
        <f t="shared" si="4"/>
        <v>104.27</v>
      </c>
      <c r="S939" s="14">
        <f t="shared" si="5"/>
        <v>12.37</v>
      </c>
    </row>
    <row r="940">
      <c r="A940" s="12">
        <v>42717.0</v>
      </c>
      <c r="B940" s="12" t="s">
        <v>2325</v>
      </c>
      <c r="C940" s="2">
        <v>42721.0</v>
      </c>
      <c r="D940" s="15" t="str">
        <f t="shared" si="1"/>
        <v>Dec</v>
      </c>
      <c r="E940" s="2" t="str">
        <f t="shared" si="2"/>
        <v>2016</v>
      </c>
      <c r="F940" s="13" t="s">
        <v>41</v>
      </c>
      <c r="G940" s="13" t="s">
        <v>2832</v>
      </c>
      <c r="H940" s="13" t="s">
        <v>2833</v>
      </c>
      <c r="I940" s="13" t="s">
        <v>34</v>
      </c>
      <c r="J940" s="13" t="s">
        <v>1612</v>
      </c>
      <c r="K940" s="13" t="s">
        <v>52</v>
      </c>
      <c r="L940" s="13" t="s">
        <v>37</v>
      </c>
      <c r="M940" s="13" t="s">
        <v>38</v>
      </c>
      <c r="N940" s="14">
        <v>134.48</v>
      </c>
      <c r="O940" s="14">
        <v>134.18</v>
      </c>
      <c r="P940" s="13">
        <v>9.0</v>
      </c>
      <c r="Q940" s="14">
        <f t="shared" si="3"/>
        <v>1210.32</v>
      </c>
      <c r="R940" s="14">
        <f t="shared" si="4"/>
        <v>1076.14</v>
      </c>
      <c r="S940" s="14">
        <f t="shared" si="5"/>
        <v>134.18</v>
      </c>
    </row>
    <row r="941">
      <c r="A941" s="12">
        <v>42905.0</v>
      </c>
      <c r="B941" s="12" t="s">
        <v>2374</v>
      </c>
      <c r="C941" s="2">
        <v>42906.0</v>
      </c>
      <c r="D941" s="15" t="str">
        <f t="shared" si="1"/>
        <v>Jun</v>
      </c>
      <c r="E941" s="2" t="str">
        <f t="shared" si="2"/>
        <v>2017</v>
      </c>
      <c r="F941" s="13" t="s">
        <v>121</v>
      </c>
      <c r="G941" s="13" t="s">
        <v>2388</v>
      </c>
      <c r="H941" s="13" t="s">
        <v>2834</v>
      </c>
      <c r="I941" s="13" t="s">
        <v>34</v>
      </c>
      <c r="J941" s="13" t="s">
        <v>87</v>
      </c>
      <c r="K941" s="13" t="s">
        <v>52</v>
      </c>
      <c r="L941" s="13" t="s">
        <v>37</v>
      </c>
      <c r="M941" s="13" t="s">
        <v>38</v>
      </c>
      <c r="N941" s="14">
        <v>17.12</v>
      </c>
      <c r="O941" s="14">
        <v>17.11</v>
      </c>
      <c r="P941" s="13">
        <v>9.0</v>
      </c>
      <c r="Q941" s="14">
        <f t="shared" si="3"/>
        <v>154.08</v>
      </c>
      <c r="R941" s="14">
        <f t="shared" si="4"/>
        <v>136.97</v>
      </c>
      <c r="S941" s="14">
        <f t="shared" si="5"/>
        <v>17.11</v>
      </c>
    </row>
    <row r="942">
      <c r="A942" s="12">
        <v>43082.0</v>
      </c>
      <c r="B942" s="12" t="s">
        <v>2325</v>
      </c>
      <c r="C942" s="2">
        <v>43089.0</v>
      </c>
      <c r="D942" s="15" t="str">
        <f t="shared" si="1"/>
        <v>Dec</v>
      </c>
      <c r="E942" s="2" t="str">
        <f t="shared" si="2"/>
        <v>2017</v>
      </c>
      <c r="F942" s="13" t="s">
        <v>41</v>
      </c>
      <c r="G942" s="13" t="s">
        <v>2661</v>
      </c>
      <c r="H942" s="13" t="s">
        <v>2825</v>
      </c>
      <c r="I942" s="13" t="s">
        <v>34</v>
      </c>
      <c r="J942" s="13" t="s">
        <v>1618</v>
      </c>
      <c r="K942" s="13" t="s">
        <v>52</v>
      </c>
      <c r="L942" s="13" t="s">
        <v>37</v>
      </c>
      <c r="M942" s="13" t="s">
        <v>38</v>
      </c>
      <c r="N942" s="14">
        <v>6.096</v>
      </c>
      <c r="O942" s="14">
        <v>5.43</v>
      </c>
      <c r="P942" s="13">
        <v>9.0</v>
      </c>
      <c r="Q942" s="14">
        <f t="shared" si="3"/>
        <v>54.864</v>
      </c>
      <c r="R942" s="14">
        <f t="shared" si="4"/>
        <v>49.434</v>
      </c>
      <c r="S942" s="14">
        <f t="shared" si="5"/>
        <v>5.43</v>
      </c>
    </row>
    <row r="943">
      <c r="A943" s="12">
        <v>43082.0</v>
      </c>
      <c r="B943" s="12" t="s">
        <v>2325</v>
      </c>
      <c r="C943" s="2">
        <v>43089.0</v>
      </c>
      <c r="D943" s="15" t="str">
        <f t="shared" si="1"/>
        <v>Dec</v>
      </c>
      <c r="E943" s="2" t="str">
        <f t="shared" si="2"/>
        <v>2017</v>
      </c>
      <c r="F943" s="13" t="s">
        <v>41</v>
      </c>
      <c r="G943" s="13" t="s">
        <v>2661</v>
      </c>
      <c r="H943" s="13" t="s">
        <v>2825</v>
      </c>
      <c r="I943" s="13" t="s">
        <v>34</v>
      </c>
      <c r="J943" s="13" t="s">
        <v>1618</v>
      </c>
      <c r="K943" s="13" t="s">
        <v>52</v>
      </c>
      <c r="L943" s="13" t="s">
        <v>37</v>
      </c>
      <c r="M943" s="13" t="s">
        <v>27</v>
      </c>
      <c r="N943" s="14">
        <v>1114.272</v>
      </c>
      <c r="O943" s="14">
        <v>1113.48</v>
      </c>
      <c r="P943" s="13">
        <v>9.0</v>
      </c>
      <c r="Q943" s="14">
        <f t="shared" si="3"/>
        <v>10028.448</v>
      </c>
      <c r="R943" s="14">
        <f t="shared" si="4"/>
        <v>8914.968</v>
      </c>
      <c r="S943" s="14">
        <f t="shared" si="5"/>
        <v>1113.48</v>
      </c>
    </row>
    <row r="944">
      <c r="A944" s="12">
        <v>42519.0</v>
      </c>
      <c r="B944" s="12" t="s">
        <v>2335</v>
      </c>
      <c r="C944" s="2">
        <v>42435.0</v>
      </c>
      <c r="D944" s="15" t="str">
        <f t="shared" si="1"/>
        <v>Mar</v>
      </c>
      <c r="E944" s="2" t="str">
        <f t="shared" si="2"/>
        <v>2016</v>
      </c>
      <c r="F944" s="13" t="s">
        <v>41</v>
      </c>
      <c r="G944" s="13" t="s">
        <v>2560</v>
      </c>
      <c r="H944" s="13" t="s">
        <v>2561</v>
      </c>
      <c r="I944" s="13" t="s">
        <v>23</v>
      </c>
      <c r="J944" s="13" t="s">
        <v>62</v>
      </c>
      <c r="K944" s="13" t="s">
        <v>63</v>
      </c>
      <c r="L944" s="13" t="s">
        <v>37</v>
      </c>
      <c r="M944" s="13" t="s">
        <v>38</v>
      </c>
      <c r="N944" s="14">
        <v>32.4</v>
      </c>
      <c r="O944" s="14">
        <v>32.32</v>
      </c>
      <c r="P944" s="13">
        <v>9.0</v>
      </c>
      <c r="Q944" s="14">
        <f t="shared" si="3"/>
        <v>291.6</v>
      </c>
      <c r="R944" s="14">
        <f t="shared" si="4"/>
        <v>259.28</v>
      </c>
      <c r="S944" s="14">
        <f t="shared" si="5"/>
        <v>32.32</v>
      </c>
    </row>
    <row r="945">
      <c r="A945" s="12">
        <v>42519.0</v>
      </c>
      <c r="B945" s="12" t="s">
        <v>2335</v>
      </c>
      <c r="C945" s="2">
        <v>42435.0</v>
      </c>
      <c r="D945" s="15" t="str">
        <f t="shared" si="1"/>
        <v>Mar</v>
      </c>
      <c r="E945" s="2" t="str">
        <f t="shared" si="2"/>
        <v>2016</v>
      </c>
      <c r="F945" s="13" t="s">
        <v>41</v>
      </c>
      <c r="G945" s="13" t="s">
        <v>2560</v>
      </c>
      <c r="H945" s="13" t="s">
        <v>2561</v>
      </c>
      <c r="I945" s="13" t="s">
        <v>23</v>
      </c>
      <c r="J945" s="13" t="s">
        <v>62</v>
      </c>
      <c r="K945" s="13" t="s">
        <v>63</v>
      </c>
      <c r="L945" s="13" t="s">
        <v>37</v>
      </c>
      <c r="M945" s="13" t="s">
        <v>38</v>
      </c>
      <c r="N945" s="14">
        <v>540.57</v>
      </c>
      <c r="O945" s="14">
        <v>539.8</v>
      </c>
      <c r="P945" s="13">
        <v>9.0</v>
      </c>
      <c r="Q945" s="14">
        <f t="shared" si="3"/>
        <v>4865.13</v>
      </c>
      <c r="R945" s="14">
        <f t="shared" si="4"/>
        <v>4325.33</v>
      </c>
      <c r="S945" s="14">
        <f t="shared" si="5"/>
        <v>539.8</v>
      </c>
    </row>
    <row r="946">
      <c r="A946" s="12">
        <v>42519.0</v>
      </c>
      <c r="B946" s="12" t="s">
        <v>2335</v>
      </c>
      <c r="C946" s="2">
        <v>42435.0</v>
      </c>
      <c r="D946" s="15" t="str">
        <f t="shared" si="1"/>
        <v>Mar</v>
      </c>
      <c r="E946" s="2" t="str">
        <f t="shared" si="2"/>
        <v>2016</v>
      </c>
      <c r="F946" s="13" t="s">
        <v>41</v>
      </c>
      <c r="G946" s="13" t="s">
        <v>2560</v>
      </c>
      <c r="H946" s="13" t="s">
        <v>2561</v>
      </c>
      <c r="I946" s="13" t="s">
        <v>23</v>
      </c>
      <c r="J946" s="13" t="s">
        <v>62</v>
      </c>
      <c r="K946" s="13" t="s">
        <v>63</v>
      </c>
      <c r="L946" s="13" t="s">
        <v>37</v>
      </c>
      <c r="M946" s="13" t="s">
        <v>38</v>
      </c>
      <c r="N946" s="14">
        <v>167.76</v>
      </c>
      <c r="O946" s="14">
        <v>167.02</v>
      </c>
      <c r="P946" s="13">
        <v>9.0</v>
      </c>
      <c r="Q946" s="14">
        <f t="shared" si="3"/>
        <v>1509.84</v>
      </c>
      <c r="R946" s="14">
        <f t="shared" si="4"/>
        <v>1342.82</v>
      </c>
      <c r="S946" s="14">
        <f t="shared" si="5"/>
        <v>167.02</v>
      </c>
    </row>
    <row r="947">
      <c r="A947" s="12">
        <v>42577.0</v>
      </c>
      <c r="B947" s="12" t="s">
        <v>2348</v>
      </c>
      <c r="C947" s="2">
        <v>42579.0</v>
      </c>
      <c r="D947" s="15" t="str">
        <f t="shared" si="1"/>
        <v>Jul</v>
      </c>
      <c r="E947" s="2" t="str">
        <f t="shared" si="2"/>
        <v>2016</v>
      </c>
      <c r="F947" s="13" t="s">
        <v>121</v>
      </c>
      <c r="G947" s="13" t="s">
        <v>2425</v>
      </c>
      <c r="H947" s="13" t="s">
        <v>2676</v>
      </c>
      <c r="I947" s="13" t="s">
        <v>23</v>
      </c>
      <c r="J947" s="13" t="s">
        <v>1009</v>
      </c>
      <c r="K947" s="13" t="s">
        <v>193</v>
      </c>
      <c r="L947" s="13" t="s">
        <v>37</v>
      </c>
      <c r="M947" s="13" t="s">
        <v>27</v>
      </c>
      <c r="N947" s="14">
        <v>393.165</v>
      </c>
      <c r="O947" s="14">
        <v>392.86</v>
      </c>
      <c r="P947" s="13">
        <v>8.0</v>
      </c>
      <c r="Q947" s="14">
        <f t="shared" si="3"/>
        <v>3145.32</v>
      </c>
      <c r="R947" s="14">
        <f t="shared" si="4"/>
        <v>2752.46</v>
      </c>
      <c r="S947" s="14">
        <f t="shared" si="5"/>
        <v>392.86</v>
      </c>
    </row>
    <row r="948">
      <c r="A948" s="12">
        <v>43432.0</v>
      </c>
      <c r="B948" s="12" t="s">
        <v>2326</v>
      </c>
      <c r="C948" s="2">
        <v>43143.0</v>
      </c>
      <c r="D948" s="15" t="str">
        <f t="shared" si="1"/>
        <v>Feb</v>
      </c>
      <c r="E948" s="2" t="str">
        <f t="shared" si="2"/>
        <v>2018</v>
      </c>
      <c r="F948" s="13" t="s">
        <v>41</v>
      </c>
      <c r="G948" s="13" t="s">
        <v>2617</v>
      </c>
      <c r="H948" s="13" t="s">
        <v>2618</v>
      </c>
      <c r="I948" s="13" t="s">
        <v>68</v>
      </c>
      <c r="J948" s="13" t="s">
        <v>98</v>
      </c>
      <c r="K948" s="13" t="s">
        <v>99</v>
      </c>
      <c r="L948" s="13" t="s">
        <v>100</v>
      </c>
      <c r="M948" s="13" t="s">
        <v>27</v>
      </c>
      <c r="N948" s="14">
        <v>516.488</v>
      </c>
      <c r="O948" s="14">
        <v>516.14</v>
      </c>
      <c r="P948" s="13">
        <v>1.0</v>
      </c>
      <c r="Q948" s="14">
        <f t="shared" si="3"/>
        <v>516.488</v>
      </c>
      <c r="R948" s="14">
        <f t="shared" si="4"/>
        <v>0.348</v>
      </c>
      <c r="S948" s="14">
        <f t="shared" si="5"/>
        <v>516.14</v>
      </c>
    </row>
    <row r="949">
      <c r="A949" s="12">
        <v>43432.0</v>
      </c>
      <c r="B949" s="12" t="s">
        <v>2326</v>
      </c>
      <c r="C949" s="2">
        <v>43143.0</v>
      </c>
      <c r="D949" s="15" t="str">
        <f t="shared" si="1"/>
        <v>Feb</v>
      </c>
      <c r="E949" s="2" t="str">
        <f t="shared" si="2"/>
        <v>2018</v>
      </c>
      <c r="F949" s="13" t="s">
        <v>41</v>
      </c>
      <c r="G949" s="13" t="s">
        <v>2617</v>
      </c>
      <c r="H949" s="13" t="s">
        <v>2618</v>
      </c>
      <c r="I949" s="13" t="s">
        <v>68</v>
      </c>
      <c r="J949" s="13" t="s">
        <v>98</v>
      </c>
      <c r="K949" s="13" t="s">
        <v>99</v>
      </c>
      <c r="L949" s="13" t="s">
        <v>100</v>
      </c>
      <c r="M949" s="13" t="s">
        <v>27</v>
      </c>
      <c r="N949" s="14">
        <v>1007.232</v>
      </c>
      <c r="O949" s="14">
        <v>1006.41</v>
      </c>
      <c r="P949" s="13">
        <v>1.0</v>
      </c>
      <c r="Q949" s="14">
        <f t="shared" si="3"/>
        <v>1007.232</v>
      </c>
      <c r="R949" s="14">
        <f t="shared" si="4"/>
        <v>0.822</v>
      </c>
      <c r="S949" s="14">
        <f t="shared" si="5"/>
        <v>1006.41</v>
      </c>
    </row>
    <row r="950">
      <c r="A950" s="12">
        <v>43432.0</v>
      </c>
      <c r="B950" s="12" t="s">
        <v>2326</v>
      </c>
      <c r="C950" s="2">
        <v>43143.0</v>
      </c>
      <c r="D950" s="15" t="str">
        <f t="shared" si="1"/>
        <v>Feb</v>
      </c>
      <c r="E950" s="2" t="str">
        <f t="shared" si="2"/>
        <v>2018</v>
      </c>
      <c r="F950" s="13" t="s">
        <v>41</v>
      </c>
      <c r="G950" s="13" t="s">
        <v>2617</v>
      </c>
      <c r="H950" s="13" t="s">
        <v>2618</v>
      </c>
      <c r="I950" s="13" t="s">
        <v>68</v>
      </c>
      <c r="J950" s="13" t="s">
        <v>98</v>
      </c>
      <c r="K950" s="13" t="s">
        <v>99</v>
      </c>
      <c r="L950" s="13" t="s">
        <v>100</v>
      </c>
      <c r="M950" s="13" t="s">
        <v>27</v>
      </c>
      <c r="N950" s="14">
        <v>2065.32</v>
      </c>
      <c r="O950" s="14">
        <v>2065.16</v>
      </c>
      <c r="P950" s="13">
        <v>1.0</v>
      </c>
      <c r="Q950" s="14">
        <f t="shared" si="3"/>
        <v>2065.32</v>
      </c>
      <c r="R950" s="14">
        <f t="shared" si="4"/>
        <v>0.16</v>
      </c>
      <c r="S950" s="14">
        <f t="shared" si="5"/>
        <v>2065.16</v>
      </c>
    </row>
    <row r="951">
      <c r="A951" s="12">
        <v>43432.0</v>
      </c>
      <c r="B951" s="12" t="s">
        <v>2326</v>
      </c>
      <c r="C951" s="2">
        <v>43143.0</v>
      </c>
      <c r="D951" s="15" t="str">
        <f t="shared" si="1"/>
        <v>Feb</v>
      </c>
      <c r="E951" s="2" t="str">
        <f t="shared" si="2"/>
        <v>2018</v>
      </c>
      <c r="F951" s="13" t="s">
        <v>41</v>
      </c>
      <c r="G951" s="13" t="s">
        <v>2617</v>
      </c>
      <c r="H951" s="13" t="s">
        <v>2618</v>
      </c>
      <c r="I951" s="13" t="s">
        <v>68</v>
      </c>
      <c r="J951" s="13" t="s">
        <v>98</v>
      </c>
      <c r="K951" s="13" t="s">
        <v>99</v>
      </c>
      <c r="L951" s="13" t="s">
        <v>100</v>
      </c>
      <c r="M951" s="13" t="s">
        <v>38</v>
      </c>
      <c r="N951" s="14">
        <v>15.552</v>
      </c>
      <c r="O951" s="14">
        <v>15.27</v>
      </c>
      <c r="P951" s="13">
        <v>1.0</v>
      </c>
      <c r="Q951" s="14">
        <f t="shared" si="3"/>
        <v>15.552</v>
      </c>
      <c r="R951" s="14">
        <f t="shared" si="4"/>
        <v>0.282</v>
      </c>
      <c r="S951" s="14">
        <f t="shared" si="5"/>
        <v>15.27</v>
      </c>
    </row>
    <row r="952">
      <c r="A952" s="12">
        <v>43432.0</v>
      </c>
      <c r="B952" s="12" t="s">
        <v>2326</v>
      </c>
      <c r="C952" s="2">
        <v>43143.0</v>
      </c>
      <c r="D952" s="15" t="str">
        <f t="shared" si="1"/>
        <v>Feb</v>
      </c>
      <c r="E952" s="2" t="str">
        <f t="shared" si="2"/>
        <v>2018</v>
      </c>
      <c r="F952" s="13" t="s">
        <v>41</v>
      </c>
      <c r="G952" s="13" t="s">
        <v>2617</v>
      </c>
      <c r="H952" s="13" t="s">
        <v>2618</v>
      </c>
      <c r="I952" s="13" t="s">
        <v>68</v>
      </c>
      <c r="J952" s="13" t="s">
        <v>98</v>
      </c>
      <c r="K952" s="13" t="s">
        <v>99</v>
      </c>
      <c r="L952" s="13" t="s">
        <v>100</v>
      </c>
      <c r="M952" s="13" t="s">
        <v>38</v>
      </c>
      <c r="N952" s="14">
        <v>25.344</v>
      </c>
      <c r="O952" s="14">
        <v>24.98</v>
      </c>
      <c r="P952" s="13">
        <v>1.0</v>
      </c>
      <c r="Q952" s="14">
        <f t="shared" si="3"/>
        <v>25.344</v>
      </c>
      <c r="R952" s="14">
        <f t="shared" si="4"/>
        <v>0.364</v>
      </c>
      <c r="S952" s="14">
        <f t="shared" si="5"/>
        <v>24.98</v>
      </c>
    </row>
    <row r="953">
      <c r="A953" s="12">
        <v>43163.0</v>
      </c>
      <c r="B953" s="12" t="s">
        <v>2399</v>
      </c>
      <c r="C953" s="2">
        <v>43285.0</v>
      </c>
      <c r="D953" s="15" t="str">
        <f t="shared" si="1"/>
        <v>Jul</v>
      </c>
      <c r="E953" s="2" t="str">
        <f t="shared" si="2"/>
        <v>2018</v>
      </c>
      <c r="F953" s="13" t="s">
        <v>41</v>
      </c>
      <c r="G953" s="13" t="s">
        <v>2415</v>
      </c>
      <c r="H953" s="13" t="s">
        <v>2835</v>
      </c>
      <c r="I953" s="13" t="s">
        <v>23</v>
      </c>
      <c r="J953" s="13" t="s">
        <v>98</v>
      </c>
      <c r="K953" s="13" t="s">
        <v>99</v>
      </c>
      <c r="L953" s="13" t="s">
        <v>100</v>
      </c>
      <c r="M953" s="13" t="s">
        <v>27</v>
      </c>
      <c r="N953" s="14">
        <v>25.472</v>
      </c>
      <c r="O953" s="14">
        <v>24.85</v>
      </c>
      <c r="P953" s="13">
        <v>1.0</v>
      </c>
      <c r="Q953" s="14">
        <f t="shared" si="3"/>
        <v>25.472</v>
      </c>
      <c r="R953" s="14">
        <f t="shared" si="4"/>
        <v>0.622</v>
      </c>
      <c r="S953" s="14">
        <f t="shared" si="5"/>
        <v>24.85</v>
      </c>
    </row>
    <row r="954">
      <c r="A954" s="12">
        <v>43462.0</v>
      </c>
      <c r="B954" s="12" t="s">
        <v>2325</v>
      </c>
      <c r="C954" s="2">
        <v>43466.0</v>
      </c>
      <c r="D954" s="15" t="str">
        <f t="shared" si="1"/>
        <v>Jan</v>
      </c>
      <c r="E954" s="2" t="str">
        <f t="shared" si="2"/>
        <v>2019</v>
      </c>
      <c r="F954" s="13" t="s">
        <v>41</v>
      </c>
      <c r="G954" s="13" t="s">
        <v>2434</v>
      </c>
      <c r="H954" s="13" t="s">
        <v>2787</v>
      </c>
      <c r="I954" s="13" t="s">
        <v>23</v>
      </c>
      <c r="J954" s="13" t="s">
        <v>1629</v>
      </c>
      <c r="K954" s="13" t="s">
        <v>70</v>
      </c>
      <c r="L954" s="13" t="s">
        <v>71</v>
      </c>
      <c r="M954" s="13" t="s">
        <v>38</v>
      </c>
      <c r="N954" s="14">
        <v>27.168</v>
      </c>
      <c r="O954" s="14">
        <v>27.06</v>
      </c>
      <c r="P954" s="13">
        <v>7.0</v>
      </c>
      <c r="Q954" s="14">
        <f t="shared" si="3"/>
        <v>190.176</v>
      </c>
      <c r="R954" s="14">
        <f t="shared" si="4"/>
        <v>163.116</v>
      </c>
      <c r="S954" s="14">
        <f t="shared" si="5"/>
        <v>27.06</v>
      </c>
    </row>
    <row r="955">
      <c r="A955" s="12">
        <v>43462.0</v>
      </c>
      <c r="B955" s="12" t="s">
        <v>2325</v>
      </c>
      <c r="C955" s="2">
        <v>43466.0</v>
      </c>
      <c r="D955" s="15" t="str">
        <f t="shared" si="1"/>
        <v>Jan</v>
      </c>
      <c r="E955" s="2" t="str">
        <f t="shared" si="2"/>
        <v>2019</v>
      </c>
      <c r="F955" s="13" t="s">
        <v>41</v>
      </c>
      <c r="G955" s="13" t="s">
        <v>2434</v>
      </c>
      <c r="H955" s="13" t="s">
        <v>2787</v>
      </c>
      <c r="I955" s="13" t="s">
        <v>23</v>
      </c>
      <c r="J955" s="13" t="s">
        <v>1629</v>
      </c>
      <c r="K955" s="13" t="s">
        <v>70</v>
      </c>
      <c r="L955" s="13" t="s">
        <v>71</v>
      </c>
      <c r="M955" s="13" t="s">
        <v>27</v>
      </c>
      <c r="N955" s="14">
        <v>78.8528</v>
      </c>
      <c r="O955" s="14">
        <v>78.51</v>
      </c>
      <c r="P955" s="13">
        <v>7.0</v>
      </c>
      <c r="Q955" s="14">
        <f t="shared" si="3"/>
        <v>551.9696</v>
      </c>
      <c r="R955" s="14">
        <f t="shared" si="4"/>
        <v>473.4596</v>
      </c>
      <c r="S955" s="14">
        <f t="shared" si="5"/>
        <v>78.51</v>
      </c>
    </row>
    <row r="956">
      <c r="A956" s="12">
        <v>43434.0</v>
      </c>
      <c r="B956" s="12" t="s">
        <v>2326</v>
      </c>
      <c r="C956" s="2">
        <v>43202.0</v>
      </c>
      <c r="D956" s="15" t="str">
        <f t="shared" si="1"/>
        <v>Apr</v>
      </c>
      <c r="E956" s="2" t="str">
        <f t="shared" si="2"/>
        <v>2018</v>
      </c>
      <c r="F956" s="13" t="s">
        <v>41</v>
      </c>
      <c r="G956" s="13" t="s">
        <v>2836</v>
      </c>
      <c r="H956" s="13" t="s">
        <v>2837</v>
      </c>
      <c r="I956" s="13" t="s">
        <v>23</v>
      </c>
      <c r="J956" s="13" t="s">
        <v>205</v>
      </c>
      <c r="K956" s="13" t="s">
        <v>827</v>
      </c>
      <c r="L956" s="13" t="s">
        <v>26</v>
      </c>
      <c r="M956" s="13" t="s">
        <v>38</v>
      </c>
      <c r="N956" s="14">
        <v>173.8</v>
      </c>
      <c r="O956" s="14">
        <v>173.33</v>
      </c>
      <c r="P956" s="13">
        <v>3.0</v>
      </c>
      <c r="Q956" s="14">
        <f t="shared" si="3"/>
        <v>521.4</v>
      </c>
      <c r="R956" s="14">
        <f t="shared" si="4"/>
        <v>348.07</v>
      </c>
      <c r="S956" s="14">
        <f t="shared" si="5"/>
        <v>173.33</v>
      </c>
    </row>
    <row r="957">
      <c r="A957" s="12">
        <v>43235.0</v>
      </c>
      <c r="B957" s="12" t="s">
        <v>2335</v>
      </c>
      <c r="C957" s="2">
        <v>43238.0</v>
      </c>
      <c r="D957" s="15" t="str">
        <f t="shared" si="1"/>
        <v>May</v>
      </c>
      <c r="E957" s="2" t="str">
        <f t="shared" si="2"/>
        <v>2018</v>
      </c>
      <c r="F957" s="13" t="s">
        <v>20</v>
      </c>
      <c r="G957" s="13" t="s">
        <v>2505</v>
      </c>
      <c r="H957" s="13" t="s">
        <v>2838</v>
      </c>
      <c r="I957" s="13" t="s">
        <v>23</v>
      </c>
      <c r="J957" s="13" t="s">
        <v>328</v>
      </c>
      <c r="K957" s="13" t="s">
        <v>193</v>
      </c>
      <c r="L957" s="13" t="s">
        <v>37</v>
      </c>
      <c r="M957" s="13" t="s">
        <v>51</v>
      </c>
      <c r="N957" s="14">
        <v>29.592</v>
      </c>
      <c r="O957" s="14">
        <v>28.89</v>
      </c>
      <c r="P957" s="13">
        <v>8.0</v>
      </c>
      <c r="Q957" s="14">
        <f t="shared" si="3"/>
        <v>236.736</v>
      </c>
      <c r="R957" s="14">
        <f t="shared" si="4"/>
        <v>207.846</v>
      </c>
      <c r="S957" s="14">
        <f t="shared" si="5"/>
        <v>28.89</v>
      </c>
    </row>
    <row r="958">
      <c r="A958" s="12">
        <v>43235.0</v>
      </c>
      <c r="B958" s="12" t="s">
        <v>2335</v>
      </c>
      <c r="C958" s="2">
        <v>43238.0</v>
      </c>
      <c r="D958" s="15" t="str">
        <f t="shared" si="1"/>
        <v>May</v>
      </c>
      <c r="E958" s="2" t="str">
        <f t="shared" si="2"/>
        <v>2018</v>
      </c>
      <c r="F958" s="13" t="s">
        <v>20</v>
      </c>
      <c r="G958" s="13" t="s">
        <v>2505</v>
      </c>
      <c r="H958" s="13" t="s">
        <v>2838</v>
      </c>
      <c r="I958" s="13" t="s">
        <v>23</v>
      </c>
      <c r="J958" s="13" t="s">
        <v>328</v>
      </c>
      <c r="K958" s="13" t="s">
        <v>193</v>
      </c>
      <c r="L958" s="13" t="s">
        <v>37</v>
      </c>
      <c r="M958" s="13" t="s">
        <v>38</v>
      </c>
      <c r="N958" s="14">
        <v>4.752</v>
      </c>
      <c r="O958" s="14">
        <v>3.8</v>
      </c>
      <c r="P958" s="13">
        <v>8.0</v>
      </c>
      <c r="Q958" s="14">
        <f t="shared" si="3"/>
        <v>38.016</v>
      </c>
      <c r="R958" s="14">
        <f t="shared" si="4"/>
        <v>34.216</v>
      </c>
      <c r="S958" s="14">
        <f t="shared" si="5"/>
        <v>3.8</v>
      </c>
    </row>
    <row r="959">
      <c r="A959" s="12">
        <v>43235.0</v>
      </c>
      <c r="B959" s="12" t="s">
        <v>2335</v>
      </c>
      <c r="C959" s="2">
        <v>43238.0</v>
      </c>
      <c r="D959" s="15" t="str">
        <f t="shared" si="1"/>
        <v>May</v>
      </c>
      <c r="E959" s="2" t="str">
        <f t="shared" si="2"/>
        <v>2018</v>
      </c>
      <c r="F959" s="13" t="s">
        <v>20</v>
      </c>
      <c r="G959" s="13" t="s">
        <v>2505</v>
      </c>
      <c r="H959" s="13" t="s">
        <v>2838</v>
      </c>
      <c r="I959" s="13" t="s">
        <v>23</v>
      </c>
      <c r="J959" s="13" t="s">
        <v>328</v>
      </c>
      <c r="K959" s="13" t="s">
        <v>193</v>
      </c>
      <c r="L959" s="13" t="s">
        <v>37</v>
      </c>
      <c r="M959" s="13" t="s">
        <v>38</v>
      </c>
      <c r="N959" s="14">
        <v>15.552</v>
      </c>
      <c r="O959" s="14">
        <v>15.55</v>
      </c>
      <c r="P959" s="13">
        <v>8.0</v>
      </c>
      <c r="Q959" s="14">
        <f t="shared" si="3"/>
        <v>124.416</v>
      </c>
      <c r="R959" s="14">
        <f t="shared" si="4"/>
        <v>108.866</v>
      </c>
      <c r="S959" s="14">
        <f t="shared" si="5"/>
        <v>15.55</v>
      </c>
    </row>
    <row r="960">
      <c r="A960" s="12">
        <v>42635.0</v>
      </c>
      <c r="B960" s="12" t="s">
        <v>2329</v>
      </c>
      <c r="C960" s="2">
        <v>42635.0</v>
      </c>
      <c r="D960" s="15" t="str">
        <f t="shared" si="1"/>
        <v>Sep</v>
      </c>
      <c r="E960" s="2" t="str">
        <f t="shared" si="2"/>
        <v>2016</v>
      </c>
      <c r="F960" s="13" t="s">
        <v>717</v>
      </c>
      <c r="G960" s="13" t="s">
        <v>2839</v>
      </c>
      <c r="H960" s="13" t="s">
        <v>2840</v>
      </c>
      <c r="I960" s="13" t="s">
        <v>23</v>
      </c>
      <c r="J960" s="13" t="s">
        <v>1313</v>
      </c>
      <c r="K960" s="13" t="s">
        <v>52</v>
      </c>
      <c r="L960" s="13" t="s">
        <v>37</v>
      </c>
      <c r="M960" s="13" t="s">
        <v>27</v>
      </c>
      <c r="N960" s="14">
        <v>204.6</v>
      </c>
      <c r="O960" s="14">
        <v>204.29</v>
      </c>
      <c r="P960" s="13">
        <v>9.0</v>
      </c>
      <c r="Q960" s="14">
        <f t="shared" si="3"/>
        <v>1841.4</v>
      </c>
      <c r="R960" s="14">
        <f t="shared" si="4"/>
        <v>1637.11</v>
      </c>
      <c r="S960" s="14">
        <f t="shared" si="5"/>
        <v>204.29</v>
      </c>
    </row>
    <row r="961">
      <c r="A961" s="12">
        <v>43418.0</v>
      </c>
      <c r="B961" s="12" t="s">
        <v>2326</v>
      </c>
      <c r="C961" s="2">
        <v>43423.0</v>
      </c>
      <c r="D961" s="15" t="str">
        <f t="shared" si="1"/>
        <v>Nov</v>
      </c>
      <c r="E961" s="2" t="str">
        <f t="shared" si="2"/>
        <v>2018</v>
      </c>
      <c r="F961" s="13" t="s">
        <v>41</v>
      </c>
      <c r="G961" s="13" t="s">
        <v>2443</v>
      </c>
      <c r="H961" s="13" t="s">
        <v>2825</v>
      </c>
      <c r="I961" s="13" t="s">
        <v>34</v>
      </c>
      <c r="J961" s="13" t="s">
        <v>87</v>
      </c>
      <c r="K961" s="13" t="s">
        <v>52</v>
      </c>
      <c r="L961" s="13" t="s">
        <v>37</v>
      </c>
      <c r="M961" s="13" t="s">
        <v>27</v>
      </c>
      <c r="N961" s="14">
        <v>321.568</v>
      </c>
      <c r="O961" s="14">
        <v>321.44</v>
      </c>
      <c r="P961" s="13">
        <v>9.0</v>
      </c>
      <c r="Q961" s="14">
        <f t="shared" si="3"/>
        <v>2894.112</v>
      </c>
      <c r="R961" s="14">
        <f t="shared" si="4"/>
        <v>2572.672</v>
      </c>
      <c r="S961" s="14">
        <f t="shared" si="5"/>
        <v>321.44</v>
      </c>
    </row>
    <row r="962">
      <c r="A962" s="12">
        <v>42701.0</v>
      </c>
      <c r="B962" s="12" t="s">
        <v>2326</v>
      </c>
      <c r="C962" s="2">
        <v>42381.0</v>
      </c>
      <c r="D962" s="15" t="str">
        <f t="shared" si="1"/>
        <v>Jan</v>
      </c>
      <c r="E962" s="2" t="str">
        <f t="shared" si="2"/>
        <v>2016</v>
      </c>
      <c r="F962" s="13" t="s">
        <v>41</v>
      </c>
      <c r="G962" s="13" t="s">
        <v>2548</v>
      </c>
      <c r="H962" s="13" t="s">
        <v>2841</v>
      </c>
      <c r="I962" s="13" t="s">
        <v>68</v>
      </c>
      <c r="J962" s="13" t="s">
        <v>943</v>
      </c>
      <c r="K962" s="13" t="s">
        <v>944</v>
      </c>
      <c r="L962" s="13" t="s">
        <v>26</v>
      </c>
      <c r="M962" s="13" t="s">
        <v>38</v>
      </c>
      <c r="N962" s="14">
        <v>6.24</v>
      </c>
      <c r="O962" s="14">
        <v>6.13</v>
      </c>
      <c r="P962" s="13">
        <v>7.0</v>
      </c>
      <c r="Q962" s="14">
        <f t="shared" si="3"/>
        <v>43.68</v>
      </c>
      <c r="R962" s="14">
        <f t="shared" si="4"/>
        <v>37.55</v>
      </c>
      <c r="S962" s="14">
        <f t="shared" si="5"/>
        <v>6.13</v>
      </c>
    </row>
    <row r="963">
      <c r="A963" s="12">
        <v>42744.0</v>
      </c>
      <c r="B963" s="12" t="s">
        <v>2353</v>
      </c>
      <c r="C963" s="2">
        <v>42834.0</v>
      </c>
      <c r="D963" s="15" t="str">
        <f t="shared" si="1"/>
        <v>Apr</v>
      </c>
      <c r="E963" s="2" t="str">
        <f t="shared" si="2"/>
        <v>2017</v>
      </c>
      <c r="F963" s="13" t="s">
        <v>121</v>
      </c>
      <c r="G963" s="13" t="s">
        <v>2425</v>
      </c>
      <c r="H963" s="13" t="s">
        <v>2426</v>
      </c>
      <c r="I963" s="13" t="s">
        <v>34</v>
      </c>
      <c r="J963" s="13" t="s">
        <v>87</v>
      </c>
      <c r="K963" s="13" t="s">
        <v>52</v>
      </c>
      <c r="L963" s="13" t="s">
        <v>37</v>
      </c>
      <c r="M963" s="13" t="s">
        <v>38</v>
      </c>
      <c r="N963" s="14">
        <v>21.88</v>
      </c>
      <c r="O963" s="14">
        <v>21.28</v>
      </c>
      <c r="P963" s="13">
        <v>9.0</v>
      </c>
      <c r="Q963" s="14">
        <f t="shared" si="3"/>
        <v>196.92</v>
      </c>
      <c r="R963" s="14">
        <f t="shared" si="4"/>
        <v>175.64</v>
      </c>
      <c r="S963" s="14">
        <f t="shared" si="5"/>
        <v>21.28</v>
      </c>
    </row>
    <row r="964">
      <c r="A964" s="12">
        <v>42269.0</v>
      </c>
      <c r="B964" s="12" t="s">
        <v>2329</v>
      </c>
      <c r="C964" s="2">
        <v>42271.0</v>
      </c>
      <c r="D964" s="15" t="str">
        <f t="shared" si="1"/>
        <v>Sep</v>
      </c>
      <c r="E964" s="2" t="str">
        <f t="shared" si="2"/>
        <v>2015</v>
      </c>
      <c r="F964" s="13" t="s">
        <v>20</v>
      </c>
      <c r="G964" s="13" t="s">
        <v>2647</v>
      </c>
      <c r="H964" s="13" t="s">
        <v>2821</v>
      </c>
      <c r="I964" s="13" t="s">
        <v>23</v>
      </c>
      <c r="J964" s="13" t="s">
        <v>1649</v>
      </c>
      <c r="K964" s="13" t="s">
        <v>145</v>
      </c>
      <c r="L964" s="13" t="s">
        <v>26</v>
      </c>
      <c r="M964" s="13" t="s">
        <v>38</v>
      </c>
      <c r="N964" s="14">
        <v>4.608</v>
      </c>
      <c r="O964" s="14">
        <v>3.7</v>
      </c>
      <c r="P964" s="13">
        <v>3.0</v>
      </c>
      <c r="Q964" s="14">
        <f t="shared" si="3"/>
        <v>13.824</v>
      </c>
      <c r="R964" s="14">
        <f t="shared" si="4"/>
        <v>10.124</v>
      </c>
      <c r="S964" s="14">
        <f t="shared" si="5"/>
        <v>3.7</v>
      </c>
    </row>
    <row r="965">
      <c r="A965" s="12">
        <v>43347.0</v>
      </c>
      <c r="B965" s="12" t="s">
        <v>2329</v>
      </c>
      <c r="C965" s="2">
        <v>43408.0</v>
      </c>
      <c r="D965" s="15" t="str">
        <f t="shared" si="1"/>
        <v>Nov</v>
      </c>
      <c r="E965" s="2" t="str">
        <f t="shared" si="2"/>
        <v>2018</v>
      </c>
      <c r="F965" s="13" t="s">
        <v>121</v>
      </c>
      <c r="G965" s="13" t="s">
        <v>2781</v>
      </c>
      <c r="H965" s="13" t="s">
        <v>2842</v>
      </c>
      <c r="I965" s="13" t="s">
        <v>68</v>
      </c>
      <c r="J965" s="13" t="s">
        <v>174</v>
      </c>
      <c r="K965" s="13" t="s">
        <v>175</v>
      </c>
      <c r="L965" s="13" t="s">
        <v>100</v>
      </c>
      <c r="M965" s="13" t="s">
        <v>38</v>
      </c>
      <c r="N965" s="14">
        <v>9.82</v>
      </c>
      <c r="O965" s="14">
        <v>9.0</v>
      </c>
      <c r="P965" s="13">
        <v>1.0</v>
      </c>
      <c r="Q965" s="14">
        <f t="shared" si="3"/>
        <v>9.82</v>
      </c>
      <c r="R965" s="14">
        <f t="shared" si="4"/>
        <v>0.82</v>
      </c>
      <c r="S965" s="14">
        <f t="shared" si="5"/>
        <v>9</v>
      </c>
    </row>
    <row r="966">
      <c r="A966" s="12">
        <v>43347.0</v>
      </c>
      <c r="B966" s="12" t="s">
        <v>2329</v>
      </c>
      <c r="C966" s="2">
        <v>43408.0</v>
      </c>
      <c r="D966" s="15" t="str">
        <f t="shared" si="1"/>
        <v>Nov</v>
      </c>
      <c r="E966" s="2" t="str">
        <f t="shared" si="2"/>
        <v>2018</v>
      </c>
      <c r="F966" s="13" t="s">
        <v>121</v>
      </c>
      <c r="G966" s="13" t="s">
        <v>2781</v>
      </c>
      <c r="H966" s="13" t="s">
        <v>2842</v>
      </c>
      <c r="I966" s="13" t="s">
        <v>68</v>
      </c>
      <c r="J966" s="13" t="s">
        <v>174</v>
      </c>
      <c r="K966" s="13" t="s">
        <v>175</v>
      </c>
      <c r="L966" s="13" t="s">
        <v>100</v>
      </c>
      <c r="M966" s="13" t="s">
        <v>38</v>
      </c>
      <c r="N966" s="14">
        <v>35.97</v>
      </c>
      <c r="O966" s="14">
        <v>35.61</v>
      </c>
      <c r="P966" s="13">
        <v>1.0</v>
      </c>
      <c r="Q966" s="14">
        <f t="shared" si="3"/>
        <v>35.97</v>
      </c>
      <c r="R966" s="14">
        <f t="shared" si="4"/>
        <v>0.36</v>
      </c>
      <c r="S966" s="14">
        <f t="shared" si="5"/>
        <v>35.61</v>
      </c>
    </row>
    <row r="967">
      <c r="A967" s="12">
        <v>43347.0</v>
      </c>
      <c r="B967" s="12" t="s">
        <v>2329</v>
      </c>
      <c r="C967" s="2">
        <v>43408.0</v>
      </c>
      <c r="D967" s="15" t="str">
        <f t="shared" si="1"/>
        <v>Nov</v>
      </c>
      <c r="E967" s="2" t="str">
        <f t="shared" si="2"/>
        <v>2018</v>
      </c>
      <c r="F967" s="13" t="s">
        <v>121</v>
      </c>
      <c r="G967" s="13" t="s">
        <v>2781</v>
      </c>
      <c r="H967" s="13" t="s">
        <v>2842</v>
      </c>
      <c r="I967" s="13" t="s">
        <v>68</v>
      </c>
      <c r="J967" s="13" t="s">
        <v>174</v>
      </c>
      <c r="K967" s="13" t="s">
        <v>175</v>
      </c>
      <c r="L967" s="13" t="s">
        <v>100</v>
      </c>
      <c r="M967" s="13" t="s">
        <v>38</v>
      </c>
      <c r="N967" s="14">
        <v>12.96</v>
      </c>
      <c r="O967" s="14">
        <v>12.91</v>
      </c>
      <c r="P967" s="13">
        <v>1.0</v>
      </c>
      <c r="Q967" s="14">
        <f t="shared" si="3"/>
        <v>12.96</v>
      </c>
      <c r="R967" s="14">
        <f t="shared" si="4"/>
        <v>0.05</v>
      </c>
      <c r="S967" s="14">
        <f t="shared" si="5"/>
        <v>12.91</v>
      </c>
    </row>
    <row r="968">
      <c r="A968" s="12">
        <v>43347.0</v>
      </c>
      <c r="B968" s="12" t="s">
        <v>2329</v>
      </c>
      <c r="C968" s="2">
        <v>43408.0</v>
      </c>
      <c r="D968" s="15" t="str">
        <f t="shared" si="1"/>
        <v>Nov</v>
      </c>
      <c r="E968" s="2" t="str">
        <f t="shared" si="2"/>
        <v>2018</v>
      </c>
      <c r="F968" s="13" t="s">
        <v>121</v>
      </c>
      <c r="G968" s="13" t="s">
        <v>2781</v>
      </c>
      <c r="H968" s="13" t="s">
        <v>2842</v>
      </c>
      <c r="I968" s="13" t="s">
        <v>68</v>
      </c>
      <c r="J968" s="13" t="s">
        <v>174</v>
      </c>
      <c r="K968" s="13" t="s">
        <v>175</v>
      </c>
      <c r="L968" s="13" t="s">
        <v>100</v>
      </c>
      <c r="M968" s="13" t="s">
        <v>38</v>
      </c>
      <c r="N968" s="14">
        <v>191.6</v>
      </c>
      <c r="O968" s="14">
        <v>191.09</v>
      </c>
      <c r="P968" s="13">
        <v>1.0</v>
      </c>
      <c r="Q968" s="14">
        <f t="shared" si="3"/>
        <v>191.6</v>
      </c>
      <c r="R968" s="14">
        <f t="shared" si="4"/>
        <v>0.51</v>
      </c>
      <c r="S968" s="14">
        <f t="shared" si="5"/>
        <v>191.09</v>
      </c>
    </row>
    <row r="969">
      <c r="A969" s="12">
        <v>43347.0</v>
      </c>
      <c r="B969" s="12" t="s">
        <v>2329</v>
      </c>
      <c r="C969" s="2">
        <v>43408.0</v>
      </c>
      <c r="D969" s="15" t="str">
        <f t="shared" si="1"/>
        <v>Nov</v>
      </c>
      <c r="E969" s="2" t="str">
        <f t="shared" si="2"/>
        <v>2018</v>
      </c>
      <c r="F969" s="13" t="s">
        <v>121</v>
      </c>
      <c r="G969" s="13" t="s">
        <v>2781</v>
      </c>
      <c r="H969" s="13" t="s">
        <v>2842</v>
      </c>
      <c r="I969" s="13" t="s">
        <v>68</v>
      </c>
      <c r="J969" s="13" t="s">
        <v>174</v>
      </c>
      <c r="K969" s="13" t="s">
        <v>175</v>
      </c>
      <c r="L969" s="13" t="s">
        <v>100</v>
      </c>
      <c r="M969" s="13" t="s">
        <v>38</v>
      </c>
      <c r="N969" s="14">
        <v>8.64</v>
      </c>
      <c r="O969" s="14">
        <v>7.67</v>
      </c>
      <c r="P969" s="13">
        <v>1.0</v>
      </c>
      <c r="Q969" s="14">
        <f t="shared" si="3"/>
        <v>8.64</v>
      </c>
      <c r="R969" s="14">
        <f t="shared" si="4"/>
        <v>0.97</v>
      </c>
      <c r="S969" s="14">
        <f t="shared" si="5"/>
        <v>7.67</v>
      </c>
    </row>
    <row r="970">
      <c r="A970" s="12">
        <v>43347.0</v>
      </c>
      <c r="B970" s="12" t="s">
        <v>2329</v>
      </c>
      <c r="C970" s="2">
        <v>43408.0</v>
      </c>
      <c r="D970" s="15" t="str">
        <f t="shared" si="1"/>
        <v>Nov</v>
      </c>
      <c r="E970" s="2" t="str">
        <f t="shared" si="2"/>
        <v>2018</v>
      </c>
      <c r="F970" s="13" t="s">
        <v>121</v>
      </c>
      <c r="G970" s="13" t="s">
        <v>2781</v>
      </c>
      <c r="H970" s="13" t="s">
        <v>2842</v>
      </c>
      <c r="I970" s="13" t="s">
        <v>68</v>
      </c>
      <c r="J970" s="13" t="s">
        <v>174</v>
      </c>
      <c r="K970" s="13" t="s">
        <v>175</v>
      </c>
      <c r="L970" s="13" t="s">
        <v>100</v>
      </c>
      <c r="M970" s="13" t="s">
        <v>38</v>
      </c>
      <c r="N970" s="14">
        <v>501.81</v>
      </c>
      <c r="O970" s="14">
        <v>501.68</v>
      </c>
      <c r="P970" s="13">
        <v>1.0</v>
      </c>
      <c r="Q970" s="14">
        <f t="shared" si="3"/>
        <v>501.81</v>
      </c>
      <c r="R970" s="14">
        <f t="shared" si="4"/>
        <v>0.13</v>
      </c>
      <c r="S970" s="14">
        <f t="shared" si="5"/>
        <v>501.68</v>
      </c>
    </row>
    <row r="971">
      <c r="A971" s="12">
        <v>42020.0</v>
      </c>
      <c r="B971" s="12" t="s">
        <v>2353</v>
      </c>
      <c r="C971" s="2">
        <v>42022.0</v>
      </c>
      <c r="D971" s="15" t="str">
        <f t="shared" si="1"/>
        <v>Jan</v>
      </c>
      <c r="E971" s="2" t="str">
        <f t="shared" si="2"/>
        <v>2015</v>
      </c>
      <c r="F971" s="13" t="s">
        <v>20</v>
      </c>
      <c r="G971" s="13" t="s">
        <v>2519</v>
      </c>
      <c r="H971" s="13" t="s">
        <v>2520</v>
      </c>
      <c r="I971" s="13" t="s">
        <v>23</v>
      </c>
      <c r="J971" s="13" t="s">
        <v>98</v>
      </c>
      <c r="K971" s="13" t="s">
        <v>99</v>
      </c>
      <c r="L971" s="13" t="s">
        <v>100</v>
      </c>
      <c r="M971" s="13" t="s">
        <v>27</v>
      </c>
      <c r="N971" s="14">
        <v>127.104</v>
      </c>
      <c r="O971" s="14">
        <v>126.74</v>
      </c>
      <c r="P971" s="13">
        <v>1.0</v>
      </c>
      <c r="Q971" s="14">
        <f t="shared" si="3"/>
        <v>127.104</v>
      </c>
      <c r="R971" s="14">
        <f t="shared" si="4"/>
        <v>0.364</v>
      </c>
      <c r="S971" s="14">
        <f t="shared" si="5"/>
        <v>126.74</v>
      </c>
    </row>
    <row r="972">
      <c r="A972" s="12">
        <v>42020.0</v>
      </c>
      <c r="B972" s="12" t="s">
        <v>2353</v>
      </c>
      <c r="C972" s="2">
        <v>42022.0</v>
      </c>
      <c r="D972" s="15" t="str">
        <f t="shared" si="1"/>
        <v>Jan</v>
      </c>
      <c r="E972" s="2" t="str">
        <f t="shared" si="2"/>
        <v>2015</v>
      </c>
      <c r="F972" s="13" t="s">
        <v>20</v>
      </c>
      <c r="G972" s="13" t="s">
        <v>2519</v>
      </c>
      <c r="H972" s="13" t="s">
        <v>2520</v>
      </c>
      <c r="I972" s="13" t="s">
        <v>23</v>
      </c>
      <c r="J972" s="13" t="s">
        <v>98</v>
      </c>
      <c r="K972" s="13" t="s">
        <v>99</v>
      </c>
      <c r="L972" s="13" t="s">
        <v>100</v>
      </c>
      <c r="M972" s="13" t="s">
        <v>51</v>
      </c>
      <c r="N972" s="14">
        <v>124.2</v>
      </c>
      <c r="O972" s="14">
        <v>123.49</v>
      </c>
      <c r="P972" s="13">
        <v>1.0</v>
      </c>
      <c r="Q972" s="14">
        <f t="shared" si="3"/>
        <v>124.2</v>
      </c>
      <c r="R972" s="14">
        <f t="shared" si="4"/>
        <v>0.71</v>
      </c>
      <c r="S972" s="14">
        <f t="shared" si="5"/>
        <v>123.49</v>
      </c>
    </row>
    <row r="973">
      <c r="A973" s="12">
        <v>42020.0</v>
      </c>
      <c r="B973" s="12" t="s">
        <v>2353</v>
      </c>
      <c r="C973" s="2">
        <v>42022.0</v>
      </c>
      <c r="D973" s="15" t="str">
        <f t="shared" si="1"/>
        <v>Jan</v>
      </c>
      <c r="E973" s="2" t="str">
        <f t="shared" si="2"/>
        <v>2015</v>
      </c>
      <c r="F973" s="13" t="s">
        <v>20</v>
      </c>
      <c r="G973" s="13" t="s">
        <v>2519</v>
      </c>
      <c r="H973" s="13" t="s">
        <v>2520</v>
      </c>
      <c r="I973" s="13" t="s">
        <v>23</v>
      </c>
      <c r="J973" s="13" t="s">
        <v>98</v>
      </c>
      <c r="K973" s="13" t="s">
        <v>99</v>
      </c>
      <c r="L973" s="13" t="s">
        <v>100</v>
      </c>
      <c r="M973" s="13" t="s">
        <v>38</v>
      </c>
      <c r="N973" s="14">
        <v>18.588</v>
      </c>
      <c r="O973" s="14">
        <v>18.21</v>
      </c>
      <c r="P973" s="13">
        <v>1.0</v>
      </c>
      <c r="Q973" s="14">
        <f t="shared" si="3"/>
        <v>18.588</v>
      </c>
      <c r="R973" s="14">
        <f t="shared" si="4"/>
        <v>0.378</v>
      </c>
      <c r="S973" s="14">
        <f t="shared" si="5"/>
        <v>18.21</v>
      </c>
    </row>
    <row r="974">
      <c r="A974" s="12">
        <v>42020.0</v>
      </c>
      <c r="B974" s="12" t="s">
        <v>2353</v>
      </c>
      <c r="C974" s="2">
        <v>42022.0</v>
      </c>
      <c r="D974" s="15" t="str">
        <f t="shared" si="1"/>
        <v>Jan</v>
      </c>
      <c r="E974" s="2" t="str">
        <f t="shared" si="2"/>
        <v>2015</v>
      </c>
      <c r="F974" s="13" t="s">
        <v>20</v>
      </c>
      <c r="G974" s="13" t="s">
        <v>2519</v>
      </c>
      <c r="H974" s="13" t="s">
        <v>2520</v>
      </c>
      <c r="I974" s="13" t="s">
        <v>23</v>
      </c>
      <c r="J974" s="13" t="s">
        <v>98</v>
      </c>
      <c r="K974" s="13" t="s">
        <v>99</v>
      </c>
      <c r="L974" s="13" t="s">
        <v>100</v>
      </c>
      <c r="M974" s="13" t="s">
        <v>38</v>
      </c>
      <c r="N974" s="14">
        <v>30.072</v>
      </c>
      <c r="O974" s="14">
        <v>29.51</v>
      </c>
      <c r="P974" s="13">
        <v>1.0</v>
      </c>
      <c r="Q974" s="14">
        <f t="shared" si="3"/>
        <v>30.072</v>
      </c>
      <c r="R974" s="14">
        <f t="shared" si="4"/>
        <v>0.562</v>
      </c>
      <c r="S974" s="14">
        <f t="shared" si="5"/>
        <v>29.51</v>
      </c>
    </row>
    <row r="975">
      <c r="A975" s="12">
        <v>43230.0</v>
      </c>
      <c r="B975" s="12" t="s">
        <v>2335</v>
      </c>
      <c r="C975" s="2">
        <v>43322.0</v>
      </c>
      <c r="D975" s="15" t="str">
        <f t="shared" si="1"/>
        <v>Aug</v>
      </c>
      <c r="E975" s="2" t="str">
        <f t="shared" si="2"/>
        <v>2018</v>
      </c>
      <c r="F975" s="13" t="s">
        <v>20</v>
      </c>
      <c r="G975" s="13" t="s">
        <v>2764</v>
      </c>
      <c r="H975" s="13" t="s">
        <v>2765</v>
      </c>
      <c r="I975" s="13" t="s">
        <v>68</v>
      </c>
      <c r="J975" s="13" t="s">
        <v>174</v>
      </c>
      <c r="K975" s="13" t="s">
        <v>175</v>
      </c>
      <c r="L975" s="13" t="s">
        <v>100</v>
      </c>
      <c r="M975" s="13" t="s">
        <v>51</v>
      </c>
      <c r="N975" s="14">
        <v>160.93</v>
      </c>
      <c r="O975" s="14">
        <v>160.25</v>
      </c>
      <c r="P975" s="13">
        <v>1.0</v>
      </c>
      <c r="Q975" s="14">
        <f t="shared" si="3"/>
        <v>160.93</v>
      </c>
      <c r="R975" s="14">
        <f t="shared" si="4"/>
        <v>0.68</v>
      </c>
      <c r="S975" s="14">
        <f t="shared" si="5"/>
        <v>160.25</v>
      </c>
    </row>
    <row r="976">
      <c r="A976" s="12">
        <v>43230.0</v>
      </c>
      <c r="B976" s="12" t="s">
        <v>2335</v>
      </c>
      <c r="C976" s="2">
        <v>43322.0</v>
      </c>
      <c r="D976" s="15" t="str">
        <f t="shared" si="1"/>
        <v>Aug</v>
      </c>
      <c r="E976" s="2" t="str">
        <f t="shared" si="2"/>
        <v>2018</v>
      </c>
      <c r="F976" s="13" t="s">
        <v>20</v>
      </c>
      <c r="G976" s="13" t="s">
        <v>2764</v>
      </c>
      <c r="H976" s="13" t="s">
        <v>2765</v>
      </c>
      <c r="I976" s="13" t="s">
        <v>68</v>
      </c>
      <c r="J976" s="13" t="s">
        <v>174</v>
      </c>
      <c r="K976" s="13" t="s">
        <v>175</v>
      </c>
      <c r="L976" s="13" t="s">
        <v>100</v>
      </c>
      <c r="M976" s="13" t="s">
        <v>38</v>
      </c>
      <c r="N976" s="14">
        <v>75.792</v>
      </c>
      <c r="O976" s="14">
        <v>75.6</v>
      </c>
      <c r="P976" s="13">
        <v>1.0</v>
      </c>
      <c r="Q976" s="14">
        <f t="shared" si="3"/>
        <v>75.792</v>
      </c>
      <c r="R976" s="14">
        <f t="shared" si="4"/>
        <v>0.192</v>
      </c>
      <c r="S976" s="14">
        <f t="shared" si="5"/>
        <v>75.6</v>
      </c>
    </row>
    <row r="977">
      <c r="A977" s="12">
        <v>43350.0</v>
      </c>
      <c r="B977" s="12" t="s">
        <v>2329</v>
      </c>
      <c r="C977" s="2">
        <v>43296.0</v>
      </c>
      <c r="D977" s="15" t="str">
        <f t="shared" si="1"/>
        <v>Jul</v>
      </c>
      <c r="E977" s="2" t="str">
        <f t="shared" si="2"/>
        <v>2018</v>
      </c>
      <c r="F977" s="13" t="s">
        <v>41</v>
      </c>
      <c r="G977" s="13" t="s">
        <v>2458</v>
      </c>
      <c r="H977" s="13" t="s">
        <v>2567</v>
      </c>
      <c r="I977" s="13" t="s">
        <v>23</v>
      </c>
      <c r="J977" s="13" t="s">
        <v>255</v>
      </c>
      <c r="K977" s="13" t="s">
        <v>256</v>
      </c>
      <c r="L977" s="13" t="s">
        <v>37</v>
      </c>
      <c r="M977" s="13" t="s">
        <v>38</v>
      </c>
      <c r="N977" s="14">
        <v>1.08</v>
      </c>
      <c r="O977" s="14">
        <v>0.62</v>
      </c>
      <c r="P977" s="13">
        <v>9.0</v>
      </c>
      <c r="Q977" s="14">
        <f t="shared" si="3"/>
        <v>9.72</v>
      </c>
      <c r="R977" s="14">
        <f t="shared" si="4"/>
        <v>9.1</v>
      </c>
      <c r="S977" s="14">
        <f t="shared" si="5"/>
        <v>0.62</v>
      </c>
    </row>
    <row r="978">
      <c r="A978" s="12">
        <v>43282.0</v>
      </c>
      <c r="B978" s="12" t="s">
        <v>2348</v>
      </c>
      <c r="C978" s="2">
        <v>43374.0</v>
      </c>
      <c r="D978" s="15" t="str">
        <f t="shared" si="1"/>
        <v>Oct</v>
      </c>
      <c r="E978" s="2" t="str">
        <f t="shared" si="2"/>
        <v>2018</v>
      </c>
      <c r="F978" s="13" t="s">
        <v>121</v>
      </c>
      <c r="G978" s="13" t="s">
        <v>2596</v>
      </c>
      <c r="H978" s="13" t="s">
        <v>2793</v>
      </c>
      <c r="I978" s="13" t="s">
        <v>34</v>
      </c>
      <c r="J978" s="13" t="s">
        <v>513</v>
      </c>
      <c r="K978" s="13" t="s">
        <v>157</v>
      </c>
      <c r="L978" s="13" t="s">
        <v>71</v>
      </c>
      <c r="M978" s="13" t="s">
        <v>51</v>
      </c>
      <c r="N978" s="14">
        <v>3059.982</v>
      </c>
      <c r="O978" s="14">
        <v>3059.46</v>
      </c>
      <c r="P978" s="13">
        <v>4.0</v>
      </c>
      <c r="Q978" s="14">
        <f t="shared" si="3"/>
        <v>12239.928</v>
      </c>
      <c r="R978" s="14">
        <f t="shared" si="4"/>
        <v>9180.468</v>
      </c>
      <c r="S978" s="14">
        <f t="shared" si="5"/>
        <v>3059.46</v>
      </c>
    </row>
    <row r="979">
      <c r="A979" s="12">
        <v>42885.0</v>
      </c>
      <c r="B979" s="12" t="s">
        <v>2335</v>
      </c>
      <c r="C979" s="2">
        <v>42886.0</v>
      </c>
      <c r="D979" s="15" t="str">
        <f t="shared" si="1"/>
        <v>May</v>
      </c>
      <c r="E979" s="2" t="str">
        <f t="shared" si="2"/>
        <v>2017</v>
      </c>
      <c r="F979" s="13" t="s">
        <v>121</v>
      </c>
      <c r="G979" s="13" t="s">
        <v>2480</v>
      </c>
      <c r="H979" s="13" t="s">
        <v>2843</v>
      </c>
      <c r="I979" s="13" t="s">
        <v>23</v>
      </c>
      <c r="J979" s="13" t="s">
        <v>315</v>
      </c>
      <c r="K979" s="13" t="s">
        <v>58</v>
      </c>
      <c r="L979" s="13" t="s">
        <v>26</v>
      </c>
      <c r="M979" s="13" t="s">
        <v>38</v>
      </c>
      <c r="N979" s="14">
        <v>3.282</v>
      </c>
      <c r="O979" s="14">
        <v>2.42</v>
      </c>
      <c r="P979" s="13">
        <v>2.0</v>
      </c>
      <c r="Q979" s="14">
        <f t="shared" si="3"/>
        <v>6.564</v>
      </c>
      <c r="R979" s="14">
        <f t="shared" si="4"/>
        <v>4.144</v>
      </c>
      <c r="S979" s="14">
        <f t="shared" si="5"/>
        <v>2.42</v>
      </c>
    </row>
    <row r="980">
      <c r="A980" s="12">
        <v>42625.0</v>
      </c>
      <c r="B980" s="12" t="s">
        <v>2329</v>
      </c>
      <c r="C980" s="2">
        <v>42716.0</v>
      </c>
      <c r="D980" s="15" t="str">
        <f t="shared" si="1"/>
        <v>Dec</v>
      </c>
      <c r="E980" s="2" t="str">
        <f t="shared" si="2"/>
        <v>2016</v>
      </c>
      <c r="F980" s="13" t="s">
        <v>121</v>
      </c>
      <c r="G980" s="13" t="s">
        <v>2346</v>
      </c>
      <c r="H980" s="13" t="s">
        <v>2394</v>
      </c>
      <c r="I980" s="13" t="s">
        <v>34</v>
      </c>
      <c r="J980" s="13" t="s">
        <v>303</v>
      </c>
      <c r="K980" s="13" t="s">
        <v>169</v>
      </c>
      <c r="L980" s="13" t="s">
        <v>71</v>
      </c>
      <c r="M980" s="13" t="s">
        <v>38</v>
      </c>
      <c r="N980" s="14">
        <v>34.02</v>
      </c>
      <c r="O980" s="14">
        <v>33.18</v>
      </c>
      <c r="P980" s="13">
        <v>4.0</v>
      </c>
      <c r="Q980" s="14">
        <f t="shared" si="3"/>
        <v>136.08</v>
      </c>
      <c r="R980" s="14">
        <f t="shared" si="4"/>
        <v>102.9</v>
      </c>
      <c r="S980" s="14">
        <f t="shared" si="5"/>
        <v>33.18</v>
      </c>
    </row>
    <row r="981">
      <c r="A981" s="12">
        <v>42804.0</v>
      </c>
      <c r="B981" s="12" t="s">
        <v>2399</v>
      </c>
      <c r="C981" s="2">
        <v>42957.0</v>
      </c>
      <c r="D981" s="15" t="str">
        <f t="shared" si="1"/>
        <v>Aug</v>
      </c>
      <c r="E981" s="2" t="str">
        <f t="shared" si="2"/>
        <v>2017</v>
      </c>
      <c r="F981" s="13" t="s">
        <v>41</v>
      </c>
      <c r="G981" s="13" t="s">
        <v>2351</v>
      </c>
      <c r="H981" s="13" t="s">
        <v>2352</v>
      </c>
      <c r="I981" s="13" t="s">
        <v>23</v>
      </c>
      <c r="J981" s="13" t="s">
        <v>174</v>
      </c>
      <c r="K981" s="13" t="s">
        <v>175</v>
      </c>
      <c r="L981" s="13" t="s">
        <v>100</v>
      </c>
      <c r="M981" s="13" t="s">
        <v>27</v>
      </c>
      <c r="N981" s="14">
        <v>599.292</v>
      </c>
      <c r="O981" s="14">
        <v>599.26</v>
      </c>
      <c r="P981" s="13">
        <v>1.0</v>
      </c>
      <c r="Q981" s="14">
        <f t="shared" si="3"/>
        <v>599.292</v>
      </c>
      <c r="R981" s="14">
        <f t="shared" si="4"/>
        <v>0.032</v>
      </c>
      <c r="S981" s="14">
        <f t="shared" si="5"/>
        <v>599.26</v>
      </c>
    </row>
    <row r="982">
      <c r="A982" s="12">
        <v>42319.0</v>
      </c>
      <c r="B982" s="12" t="s">
        <v>2326</v>
      </c>
      <c r="C982" s="2">
        <v>42322.0</v>
      </c>
      <c r="D982" s="15" t="str">
        <f t="shared" si="1"/>
        <v>Nov</v>
      </c>
      <c r="E982" s="2" t="str">
        <f t="shared" si="2"/>
        <v>2015</v>
      </c>
      <c r="F982" s="13" t="s">
        <v>20</v>
      </c>
      <c r="G982" s="13" t="s">
        <v>2356</v>
      </c>
      <c r="H982" s="13" t="s">
        <v>2844</v>
      </c>
      <c r="I982" s="13" t="s">
        <v>23</v>
      </c>
      <c r="J982" s="13" t="s">
        <v>818</v>
      </c>
      <c r="K982" s="13" t="s">
        <v>279</v>
      </c>
      <c r="L982" s="13" t="s">
        <v>37</v>
      </c>
      <c r="M982" s="13" t="s">
        <v>38</v>
      </c>
      <c r="N982" s="14">
        <v>3.392</v>
      </c>
      <c r="O982" s="14">
        <v>3.21</v>
      </c>
      <c r="P982" s="13">
        <v>8.0</v>
      </c>
      <c r="Q982" s="14">
        <f t="shared" si="3"/>
        <v>27.136</v>
      </c>
      <c r="R982" s="14">
        <f t="shared" si="4"/>
        <v>23.926</v>
      </c>
      <c r="S982" s="14">
        <f t="shared" si="5"/>
        <v>3.21</v>
      </c>
    </row>
    <row r="983">
      <c r="A983" s="12">
        <v>42319.0</v>
      </c>
      <c r="B983" s="12" t="s">
        <v>2326</v>
      </c>
      <c r="C983" s="2">
        <v>42322.0</v>
      </c>
      <c r="D983" s="15" t="str">
        <f t="shared" si="1"/>
        <v>Nov</v>
      </c>
      <c r="E983" s="2" t="str">
        <f t="shared" si="2"/>
        <v>2015</v>
      </c>
      <c r="F983" s="13" t="s">
        <v>20</v>
      </c>
      <c r="G983" s="13" t="s">
        <v>2356</v>
      </c>
      <c r="H983" s="13" t="s">
        <v>2844</v>
      </c>
      <c r="I983" s="13" t="s">
        <v>23</v>
      </c>
      <c r="J983" s="13" t="s">
        <v>818</v>
      </c>
      <c r="K983" s="13" t="s">
        <v>279</v>
      </c>
      <c r="L983" s="13" t="s">
        <v>37</v>
      </c>
      <c r="M983" s="13" t="s">
        <v>51</v>
      </c>
      <c r="N983" s="14">
        <v>559.984</v>
      </c>
      <c r="O983" s="14">
        <v>559.5</v>
      </c>
      <c r="P983" s="13">
        <v>8.0</v>
      </c>
      <c r="Q983" s="14">
        <f t="shared" si="3"/>
        <v>4479.872</v>
      </c>
      <c r="R983" s="14">
        <f t="shared" si="4"/>
        <v>3920.372</v>
      </c>
      <c r="S983" s="14">
        <f t="shared" si="5"/>
        <v>559.5</v>
      </c>
    </row>
    <row r="984">
      <c r="A984" s="12">
        <v>42319.0</v>
      </c>
      <c r="B984" s="12" t="s">
        <v>2326</v>
      </c>
      <c r="C984" s="2">
        <v>42322.0</v>
      </c>
      <c r="D984" s="15" t="str">
        <f t="shared" si="1"/>
        <v>Nov</v>
      </c>
      <c r="E984" s="2" t="str">
        <f t="shared" si="2"/>
        <v>2015</v>
      </c>
      <c r="F984" s="13" t="s">
        <v>20</v>
      </c>
      <c r="G984" s="13" t="s">
        <v>2356</v>
      </c>
      <c r="H984" s="13" t="s">
        <v>2844</v>
      </c>
      <c r="I984" s="13" t="s">
        <v>23</v>
      </c>
      <c r="J984" s="13" t="s">
        <v>818</v>
      </c>
      <c r="K984" s="13" t="s">
        <v>279</v>
      </c>
      <c r="L984" s="13" t="s">
        <v>37</v>
      </c>
      <c r="M984" s="13" t="s">
        <v>27</v>
      </c>
      <c r="N984" s="14">
        <v>603.92</v>
      </c>
      <c r="O984" s="14">
        <v>603.59</v>
      </c>
      <c r="P984" s="13">
        <v>8.0</v>
      </c>
      <c r="Q984" s="14">
        <f t="shared" si="3"/>
        <v>4831.36</v>
      </c>
      <c r="R984" s="14">
        <f t="shared" si="4"/>
        <v>4227.77</v>
      </c>
      <c r="S984" s="14">
        <f t="shared" si="5"/>
        <v>603.59</v>
      </c>
    </row>
    <row r="985">
      <c r="A985" s="12">
        <v>43372.0</v>
      </c>
      <c r="B985" s="12" t="s">
        <v>2329</v>
      </c>
      <c r="C985" s="2">
        <v>43230.0</v>
      </c>
      <c r="D985" s="15" t="str">
        <f t="shared" si="1"/>
        <v>May</v>
      </c>
      <c r="E985" s="2" t="str">
        <f t="shared" si="2"/>
        <v>2018</v>
      </c>
      <c r="F985" s="13" t="s">
        <v>41</v>
      </c>
      <c r="G985" s="13" t="s">
        <v>2845</v>
      </c>
      <c r="H985" s="13" t="s">
        <v>2846</v>
      </c>
      <c r="I985" s="13" t="s">
        <v>68</v>
      </c>
      <c r="J985" s="13" t="s">
        <v>355</v>
      </c>
      <c r="K985" s="13" t="s">
        <v>70</v>
      </c>
      <c r="L985" s="13" t="s">
        <v>71</v>
      </c>
      <c r="M985" s="13" t="s">
        <v>38</v>
      </c>
      <c r="N985" s="14">
        <v>7.968</v>
      </c>
      <c r="O985" s="14">
        <v>7.61</v>
      </c>
      <c r="P985" s="13">
        <v>7.0</v>
      </c>
      <c r="Q985" s="14">
        <f t="shared" si="3"/>
        <v>55.776</v>
      </c>
      <c r="R985" s="14">
        <f t="shared" si="4"/>
        <v>48.166</v>
      </c>
      <c r="S985" s="14">
        <f t="shared" si="5"/>
        <v>7.61</v>
      </c>
    </row>
    <row r="986">
      <c r="A986" s="12">
        <v>43372.0</v>
      </c>
      <c r="B986" s="12" t="s">
        <v>2329</v>
      </c>
      <c r="C986" s="2">
        <v>43230.0</v>
      </c>
      <c r="D986" s="15" t="str">
        <f t="shared" si="1"/>
        <v>May</v>
      </c>
      <c r="E986" s="2" t="str">
        <f t="shared" si="2"/>
        <v>2018</v>
      </c>
      <c r="F986" s="13" t="s">
        <v>41</v>
      </c>
      <c r="G986" s="13" t="s">
        <v>2845</v>
      </c>
      <c r="H986" s="13" t="s">
        <v>2846</v>
      </c>
      <c r="I986" s="13" t="s">
        <v>68</v>
      </c>
      <c r="J986" s="13" t="s">
        <v>355</v>
      </c>
      <c r="K986" s="13" t="s">
        <v>70</v>
      </c>
      <c r="L986" s="13" t="s">
        <v>71</v>
      </c>
      <c r="M986" s="13" t="s">
        <v>38</v>
      </c>
      <c r="N986" s="14">
        <v>27.968</v>
      </c>
      <c r="O986" s="14">
        <v>27.75</v>
      </c>
      <c r="P986" s="13">
        <v>7.0</v>
      </c>
      <c r="Q986" s="14">
        <f t="shared" si="3"/>
        <v>195.776</v>
      </c>
      <c r="R986" s="14">
        <f t="shared" si="4"/>
        <v>168.026</v>
      </c>
      <c r="S986" s="14">
        <f t="shared" si="5"/>
        <v>27.75</v>
      </c>
    </row>
    <row r="987">
      <c r="A987" s="12">
        <v>43372.0</v>
      </c>
      <c r="B987" s="12" t="s">
        <v>2329</v>
      </c>
      <c r="C987" s="2">
        <v>43230.0</v>
      </c>
      <c r="D987" s="15" t="str">
        <f t="shared" si="1"/>
        <v>May</v>
      </c>
      <c r="E987" s="2" t="str">
        <f t="shared" si="2"/>
        <v>2018</v>
      </c>
      <c r="F987" s="13" t="s">
        <v>41</v>
      </c>
      <c r="G987" s="13" t="s">
        <v>2845</v>
      </c>
      <c r="H987" s="13" t="s">
        <v>2846</v>
      </c>
      <c r="I987" s="13" t="s">
        <v>68</v>
      </c>
      <c r="J987" s="13" t="s">
        <v>355</v>
      </c>
      <c r="K987" s="13" t="s">
        <v>70</v>
      </c>
      <c r="L987" s="13" t="s">
        <v>71</v>
      </c>
      <c r="M987" s="13" t="s">
        <v>51</v>
      </c>
      <c r="N987" s="14">
        <v>336.51</v>
      </c>
      <c r="O987" s="14">
        <v>336.1</v>
      </c>
      <c r="P987" s="13">
        <v>7.0</v>
      </c>
      <c r="Q987" s="14">
        <f t="shared" si="3"/>
        <v>2355.57</v>
      </c>
      <c r="R987" s="14">
        <f t="shared" si="4"/>
        <v>2019.47</v>
      </c>
      <c r="S987" s="14">
        <f t="shared" si="5"/>
        <v>336.1</v>
      </c>
    </row>
    <row r="988">
      <c r="A988" s="12">
        <v>42646.0</v>
      </c>
      <c r="B988" s="12" t="s">
        <v>2358</v>
      </c>
      <c r="C988" s="2">
        <v>42646.0</v>
      </c>
      <c r="D988" s="15" t="str">
        <f t="shared" si="1"/>
        <v>Oct</v>
      </c>
      <c r="E988" s="2" t="str">
        <f t="shared" si="2"/>
        <v>2016</v>
      </c>
      <c r="F988" s="13" t="s">
        <v>717</v>
      </c>
      <c r="G988" s="13" t="s">
        <v>2794</v>
      </c>
      <c r="H988" s="13" t="s">
        <v>2847</v>
      </c>
      <c r="I988" s="13" t="s">
        <v>23</v>
      </c>
      <c r="J988" s="13" t="s">
        <v>129</v>
      </c>
      <c r="K988" s="13" t="s">
        <v>70</v>
      </c>
      <c r="L988" s="13" t="s">
        <v>71</v>
      </c>
      <c r="M988" s="13" t="s">
        <v>38</v>
      </c>
      <c r="N988" s="14">
        <v>1.112</v>
      </c>
      <c r="O988" s="14">
        <v>0.28</v>
      </c>
      <c r="P988" s="13">
        <v>7.0</v>
      </c>
      <c r="Q988" s="14">
        <f t="shared" si="3"/>
        <v>7.784</v>
      </c>
      <c r="R988" s="14">
        <f t="shared" si="4"/>
        <v>7.504</v>
      </c>
      <c r="S988" s="14">
        <f t="shared" si="5"/>
        <v>0.28</v>
      </c>
    </row>
    <row r="989">
      <c r="A989" s="12">
        <v>43241.0</v>
      </c>
      <c r="B989" s="12" t="s">
        <v>2335</v>
      </c>
      <c r="C989" s="2">
        <v>43246.0</v>
      </c>
      <c r="D989" s="15" t="str">
        <f t="shared" si="1"/>
        <v>May</v>
      </c>
      <c r="E989" s="2" t="str">
        <f t="shared" si="2"/>
        <v>2018</v>
      </c>
      <c r="F989" s="13" t="s">
        <v>41</v>
      </c>
      <c r="G989" s="13" t="s">
        <v>2560</v>
      </c>
      <c r="H989" s="13" t="s">
        <v>2635</v>
      </c>
      <c r="I989" s="13" t="s">
        <v>34</v>
      </c>
      <c r="J989" s="13" t="s">
        <v>868</v>
      </c>
      <c r="K989" s="13" t="s">
        <v>175</v>
      </c>
      <c r="L989" s="13" t="s">
        <v>100</v>
      </c>
      <c r="M989" s="13" t="s">
        <v>27</v>
      </c>
      <c r="N989" s="14">
        <v>520.05</v>
      </c>
      <c r="O989" s="14">
        <v>519.68</v>
      </c>
      <c r="P989" s="13">
        <v>1.0</v>
      </c>
      <c r="Q989" s="14">
        <f t="shared" si="3"/>
        <v>520.05</v>
      </c>
      <c r="R989" s="14">
        <f t="shared" si="4"/>
        <v>0.37</v>
      </c>
      <c r="S989" s="14">
        <f t="shared" si="5"/>
        <v>519.68</v>
      </c>
    </row>
    <row r="990">
      <c r="A990" s="12">
        <v>43241.0</v>
      </c>
      <c r="B990" s="12" t="s">
        <v>2335</v>
      </c>
      <c r="C990" s="2">
        <v>43246.0</v>
      </c>
      <c r="D990" s="15" t="str">
        <f t="shared" si="1"/>
        <v>May</v>
      </c>
      <c r="E990" s="2" t="str">
        <f t="shared" si="2"/>
        <v>2018</v>
      </c>
      <c r="F990" s="13" t="s">
        <v>41</v>
      </c>
      <c r="G990" s="13" t="s">
        <v>2560</v>
      </c>
      <c r="H990" s="13" t="s">
        <v>2635</v>
      </c>
      <c r="I990" s="13" t="s">
        <v>34</v>
      </c>
      <c r="J990" s="13" t="s">
        <v>868</v>
      </c>
      <c r="K990" s="13" t="s">
        <v>175</v>
      </c>
      <c r="L990" s="13" t="s">
        <v>100</v>
      </c>
      <c r="M990" s="13" t="s">
        <v>38</v>
      </c>
      <c r="N990" s="14">
        <v>17.97</v>
      </c>
      <c r="O990" s="14">
        <v>17.52</v>
      </c>
      <c r="P990" s="13">
        <v>1.0</v>
      </c>
      <c r="Q990" s="14">
        <f t="shared" si="3"/>
        <v>17.97</v>
      </c>
      <c r="R990" s="14">
        <f t="shared" si="4"/>
        <v>0.45</v>
      </c>
      <c r="S990" s="14">
        <f t="shared" si="5"/>
        <v>17.52</v>
      </c>
    </row>
    <row r="991">
      <c r="A991" s="12">
        <v>42458.0</v>
      </c>
      <c r="B991" s="12" t="s">
        <v>2399</v>
      </c>
      <c r="C991" s="2">
        <v>42460.0</v>
      </c>
      <c r="D991" s="15" t="str">
        <f t="shared" si="1"/>
        <v>Mar</v>
      </c>
      <c r="E991" s="2" t="str">
        <f t="shared" si="2"/>
        <v>2016</v>
      </c>
      <c r="F991" s="13" t="s">
        <v>20</v>
      </c>
      <c r="G991" s="13" t="s">
        <v>2848</v>
      </c>
      <c r="H991" s="13" t="s">
        <v>2849</v>
      </c>
      <c r="I991" s="13" t="s">
        <v>68</v>
      </c>
      <c r="J991" s="13" t="s">
        <v>849</v>
      </c>
      <c r="K991" s="13" t="s">
        <v>145</v>
      </c>
      <c r="L991" s="13" t="s">
        <v>26</v>
      </c>
      <c r="M991" s="13" t="s">
        <v>27</v>
      </c>
      <c r="N991" s="14">
        <v>1166.92</v>
      </c>
      <c r="O991" s="14">
        <v>1166.52</v>
      </c>
      <c r="P991" s="13">
        <v>3.0</v>
      </c>
      <c r="Q991" s="14">
        <f t="shared" si="3"/>
        <v>3500.76</v>
      </c>
      <c r="R991" s="14">
        <f t="shared" si="4"/>
        <v>2334.24</v>
      </c>
      <c r="S991" s="14">
        <f t="shared" si="5"/>
        <v>1166.52</v>
      </c>
    </row>
    <row r="992">
      <c r="A992" s="12">
        <v>42987.0</v>
      </c>
      <c r="B992" s="12" t="s">
        <v>2329</v>
      </c>
      <c r="C992" s="2">
        <v>43048.0</v>
      </c>
      <c r="D992" s="15" t="str">
        <f t="shared" si="1"/>
        <v>Nov</v>
      </c>
      <c r="E992" s="2" t="str">
        <f t="shared" si="2"/>
        <v>2017</v>
      </c>
      <c r="F992" s="13" t="s">
        <v>121</v>
      </c>
      <c r="G992" s="13" t="s">
        <v>180</v>
      </c>
      <c r="H992" s="13" t="s">
        <v>2442</v>
      </c>
      <c r="I992" s="13" t="s">
        <v>23</v>
      </c>
      <c r="J992" s="13" t="s">
        <v>174</v>
      </c>
      <c r="K992" s="13" t="s">
        <v>175</v>
      </c>
      <c r="L992" s="13" t="s">
        <v>100</v>
      </c>
      <c r="M992" s="13" t="s">
        <v>38</v>
      </c>
      <c r="N992" s="14">
        <v>14.624</v>
      </c>
      <c r="O992" s="14">
        <v>14.58</v>
      </c>
      <c r="P992" s="13">
        <v>1.0</v>
      </c>
      <c r="Q992" s="14">
        <f t="shared" si="3"/>
        <v>14.624</v>
      </c>
      <c r="R992" s="14">
        <f t="shared" si="4"/>
        <v>0.044</v>
      </c>
      <c r="S992" s="14">
        <f t="shared" si="5"/>
        <v>14.58</v>
      </c>
    </row>
    <row r="993">
      <c r="A993" s="12">
        <v>42973.0</v>
      </c>
      <c r="B993" s="12" t="s">
        <v>2322</v>
      </c>
      <c r="C993" s="2">
        <v>42974.0</v>
      </c>
      <c r="D993" s="15" t="str">
        <f t="shared" si="1"/>
        <v>Aug</v>
      </c>
      <c r="E993" s="2" t="str">
        <f t="shared" si="2"/>
        <v>2017</v>
      </c>
      <c r="F993" s="13" t="s">
        <v>121</v>
      </c>
      <c r="G993" s="13" t="s">
        <v>2753</v>
      </c>
      <c r="H993" s="13" t="s">
        <v>2769</v>
      </c>
      <c r="I993" s="13" t="s">
        <v>23</v>
      </c>
      <c r="J993" s="13" t="s">
        <v>373</v>
      </c>
      <c r="K993" s="13" t="s">
        <v>52</v>
      </c>
      <c r="L993" s="13" t="s">
        <v>37</v>
      </c>
      <c r="M993" s="13" t="s">
        <v>38</v>
      </c>
      <c r="N993" s="14">
        <v>10.23</v>
      </c>
      <c r="O993" s="14">
        <v>9.92</v>
      </c>
      <c r="P993" s="13">
        <v>9.0</v>
      </c>
      <c r="Q993" s="14">
        <f t="shared" si="3"/>
        <v>92.07</v>
      </c>
      <c r="R993" s="14">
        <f t="shared" si="4"/>
        <v>82.15</v>
      </c>
      <c r="S993" s="14">
        <f t="shared" si="5"/>
        <v>9.92</v>
      </c>
    </row>
    <row r="994">
      <c r="A994" s="12">
        <v>42973.0</v>
      </c>
      <c r="B994" s="12" t="s">
        <v>2322</v>
      </c>
      <c r="C994" s="2">
        <v>42974.0</v>
      </c>
      <c r="D994" s="15" t="str">
        <f t="shared" si="1"/>
        <v>Aug</v>
      </c>
      <c r="E994" s="2" t="str">
        <f t="shared" si="2"/>
        <v>2017</v>
      </c>
      <c r="F994" s="13" t="s">
        <v>121</v>
      </c>
      <c r="G994" s="13" t="s">
        <v>2753</v>
      </c>
      <c r="H994" s="13" t="s">
        <v>2769</v>
      </c>
      <c r="I994" s="13" t="s">
        <v>23</v>
      </c>
      <c r="J994" s="13" t="s">
        <v>373</v>
      </c>
      <c r="K994" s="13" t="s">
        <v>52</v>
      </c>
      <c r="L994" s="13" t="s">
        <v>37</v>
      </c>
      <c r="M994" s="13" t="s">
        <v>38</v>
      </c>
      <c r="N994" s="14">
        <v>154.9</v>
      </c>
      <c r="O994" s="14">
        <v>154.33</v>
      </c>
      <c r="P994" s="13">
        <v>9.0</v>
      </c>
      <c r="Q994" s="14">
        <f t="shared" si="3"/>
        <v>1394.1</v>
      </c>
      <c r="R994" s="14">
        <f t="shared" si="4"/>
        <v>1239.77</v>
      </c>
      <c r="S994" s="14">
        <f t="shared" si="5"/>
        <v>154.33</v>
      </c>
    </row>
    <row r="995">
      <c r="A995" s="12">
        <v>42145.0</v>
      </c>
      <c r="B995" s="12" t="s">
        <v>2335</v>
      </c>
      <c r="C995" s="2">
        <v>42149.0</v>
      </c>
      <c r="D995" s="15" t="str">
        <f t="shared" si="1"/>
        <v>May</v>
      </c>
      <c r="E995" s="2" t="str">
        <f t="shared" si="2"/>
        <v>2015</v>
      </c>
      <c r="F995" s="13" t="s">
        <v>41</v>
      </c>
      <c r="G995" s="13" t="s">
        <v>2850</v>
      </c>
      <c r="H995" s="13" t="s">
        <v>2459</v>
      </c>
      <c r="I995" s="13" t="s">
        <v>34</v>
      </c>
      <c r="J995" s="13" t="s">
        <v>1688</v>
      </c>
      <c r="K995" s="13" t="s">
        <v>198</v>
      </c>
      <c r="L995" s="13" t="s">
        <v>26</v>
      </c>
      <c r="M995" s="13" t="s">
        <v>38</v>
      </c>
      <c r="N995" s="14">
        <v>2715.93</v>
      </c>
      <c r="O995" s="14">
        <v>2715.43</v>
      </c>
      <c r="P995" s="13">
        <v>2.0</v>
      </c>
      <c r="Q995" s="14">
        <f t="shared" si="3"/>
        <v>5431.86</v>
      </c>
      <c r="R995" s="14">
        <f t="shared" si="4"/>
        <v>2716.43</v>
      </c>
      <c r="S995" s="14">
        <f t="shared" si="5"/>
        <v>2715.43</v>
      </c>
    </row>
    <row r="996">
      <c r="A996" s="12">
        <v>42145.0</v>
      </c>
      <c r="B996" s="12" t="s">
        <v>2335</v>
      </c>
      <c r="C996" s="2">
        <v>42149.0</v>
      </c>
      <c r="D996" s="15" t="str">
        <f t="shared" si="1"/>
        <v>May</v>
      </c>
      <c r="E996" s="2" t="str">
        <f t="shared" si="2"/>
        <v>2015</v>
      </c>
      <c r="F996" s="13" t="s">
        <v>41</v>
      </c>
      <c r="G996" s="13" t="s">
        <v>2850</v>
      </c>
      <c r="H996" s="13" t="s">
        <v>2459</v>
      </c>
      <c r="I996" s="13" t="s">
        <v>34</v>
      </c>
      <c r="J996" s="13" t="s">
        <v>1688</v>
      </c>
      <c r="K996" s="13" t="s">
        <v>198</v>
      </c>
      <c r="L996" s="13" t="s">
        <v>26</v>
      </c>
      <c r="M996" s="13" t="s">
        <v>51</v>
      </c>
      <c r="N996" s="14">
        <v>617.97</v>
      </c>
      <c r="O996" s="14">
        <v>617.11</v>
      </c>
      <c r="P996" s="13">
        <v>2.0</v>
      </c>
      <c r="Q996" s="14">
        <f t="shared" si="3"/>
        <v>1235.94</v>
      </c>
      <c r="R996" s="14">
        <f t="shared" si="4"/>
        <v>618.83</v>
      </c>
      <c r="S996" s="14">
        <f t="shared" si="5"/>
        <v>617.11</v>
      </c>
    </row>
    <row r="997">
      <c r="A997" s="12">
        <v>42671.0</v>
      </c>
      <c r="B997" s="12" t="s">
        <v>2358</v>
      </c>
      <c r="C997" s="2">
        <v>42440.0</v>
      </c>
      <c r="D997" s="15" t="str">
        <f t="shared" si="1"/>
        <v>Mar</v>
      </c>
      <c r="E997" s="2" t="str">
        <f t="shared" si="2"/>
        <v>2016</v>
      </c>
      <c r="F997" s="13" t="s">
        <v>41</v>
      </c>
      <c r="G997" s="13" t="s">
        <v>2661</v>
      </c>
      <c r="H997" s="13" t="s">
        <v>2851</v>
      </c>
      <c r="I997" s="13" t="s">
        <v>23</v>
      </c>
      <c r="J997" s="13" t="s">
        <v>24</v>
      </c>
      <c r="K997" s="13" t="s">
        <v>25</v>
      </c>
      <c r="L997" s="13" t="s">
        <v>26</v>
      </c>
      <c r="M997" s="13" t="s">
        <v>38</v>
      </c>
      <c r="N997" s="14">
        <v>10.67</v>
      </c>
      <c r="O997" s="14">
        <v>10.0</v>
      </c>
      <c r="P997" s="13">
        <v>4.0</v>
      </c>
      <c r="Q997" s="14">
        <f t="shared" si="3"/>
        <v>42.68</v>
      </c>
      <c r="R997" s="14">
        <f t="shared" si="4"/>
        <v>32.68</v>
      </c>
      <c r="S997" s="14">
        <f t="shared" si="5"/>
        <v>10</v>
      </c>
    </row>
    <row r="998">
      <c r="A998" s="12">
        <v>42671.0</v>
      </c>
      <c r="B998" s="12" t="s">
        <v>2358</v>
      </c>
      <c r="C998" s="2">
        <v>42440.0</v>
      </c>
      <c r="D998" s="15" t="str">
        <f t="shared" si="1"/>
        <v>Mar</v>
      </c>
      <c r="E998" s="2" t="str">
        <f t="shared" si="2"/>
        <v>2016</v>
      </c>
      <c r="F998" s="13" t="s">
        <v>41</v>
      </c>
      <c r="G998" s="13" t="s">
        <v>2661</v>
      </c>
      <c r="H998" s="13" t="s">
        <v>2851</v>
      </c>
      <c r="I998" s="13" t="s">
        <v>23</v>
      </c>
      <c r="J998" s="13" t="s">
        <v>24</v>
      </c>
      <c r="K998" s="13" t="s">
        <v>25</v>
      </c>
      <c r="L998" s="13" t="s">
        <v>26</v>
      </c>
      <c r="M998" s="13" t="s">
        <v>38</v>
      </c>
      <c r="N998" s="14">
        <v>36.63</v>
      </c>
      <c r="O998" s="14">
        <v>36.44</v>
      </c>
      <c r="P998" s="13">
        <v>4.0</v>
      </c>
      <c r="Q998" s="14">
        <f t="shared" si="3"/>
        <v>146.52</v>
      </c>
      <c r="R998" s="14">
        <f t="shared" si="4"/>
        <v>110.08</v>
      </c>
      <c r="S998" s="14">
        <f t="shared" si="5"/>
        <v>36.44</v>
      </c>
    </row>
    <row r="999">
      <c r="A999" s="12">
        <v>42671.0</v>
      </c>
      <c r="B999" s="12" t="s">
        <v>2358</v>
      </c>
      <c r="C999" s="2">
        <v>42440.0</v>
      </c>
      <c r="D999" s="15" t="str">
        <f t="shared" si="1"/>
        <v>Mar</v>
      </c>
      <c r="E999" s="2" t="str">
        <f t="shared" si="2"/>
        <v>2016</v>
      </c>
      <c r="F999" s="13" t="s">
        <v>41</v>
      </c>
      <c r="G999" s="13" t="s">
        <v>2661</v>
      </c>
      <c r="H999" s="13" t="s">
        <v>2851</v>
      </c>
      <c r="I999" s="13" t="s">
        <v>23</v>
      </c>
      <c r="J999" s="13" t="s">
        <v>24</v>
      </c>
      <c r="K999" s="13" t="s">
        <v>25</v>
      </c>
      <c r="L999" s="13" t="s">
        <v>26</v>
      </c>
      <c r="M999" s="13" t="s">
        <v>27</v>
      </c>
      <c r="N999" s="14">
        <v>24.1</v>
      </c>
      <c r="O999" s="14">
        <v>23.4</v>
      </c>
      <c r="P999" s="13">
        <v>4.0</v>
      </c>
      <c r="Q999" s="14">
        <f t="shared" si="3"/>
        <v>96.4</v>
      </c>
      <c r="R999" s="14">
        <f t="shared" si="4"/>
        <v>73</v>
      </c>
      <c r="S999" s="14">
        <f t="shared" si="5"/>
        <v>23.4</v>
      </c>
    </row>
    <row r="1000">
      <c r="A1000" s="12">
        <v>42671.0</v>
      </c>
      <c r="B1000" s="12" t="s">
        <v>2358</v>
      </c>
      <c r="C1000" s="2">
        <v>42440.0</v>
      </c>
      <c r="D1000" s="15" t="str">
        <f t="shared" si="1"/>
        <v>Mar</v>
      </c>
      <c r="E1000" s="2" t="str">
        <f t="shared" si="2"/>
        <v>2016</v>
      </c>
      <c r="F1000" s="13" t="s">
        <v>41</v>
      </c>
      <c r="G1000" s="13" t="s">
        <v>2661</v>
      </c>
      <c r="H1000" s="13" t="s">
        <v>2851</v>
      </c>
      <c r="I1000" s="13" t="s">
        <v>23</v>
      </c>
      <c r="J1000" s="13" t="s">
        <v>24</v>
      </c>
      <c r="K1000" s="13" t="s">
        <v>25</v>
      </c>
      <c r="L1000" s="13" t="s">
        <v>26</v>
      </c>
      <c r="M1000" s="13" t="s">
        <v>27</v>
      </c>
      <c r="N1000" s="14">
        <v>33.11</v>
      </c>
      <c r="O1000" s="14">
        <v>32.61</v>
      </c>
      <c r="P1000" s="13">
        <v>4.0</v>
      </c>
      <c r="Q1000" s="14">
        <f t="shared" si="3"/>
        <v>132.44</v>
      </c>
      <c r="R1000" s="14">
        <f t="shared" si="4"/>
        <v>99.83</v>
      </c>
      <c r="S1000" s="14">
        <f t="shared" si="5"/>
        <v>32.61</v>
      </c>
    </row>
    <row r="1001">
      <c r="A1001" s="12">
        <v>43052.0</v>
      </c>
      <c r="B1001" s="12" t="s">
        <v>2326</v>
      </c>
      <c r="C1001" s="2">
        <v>43056.0</v>
      </c>
      <c r="D1001" s="15" t="str">
        <f t="shared" si="1"/>
        <v>Nov</v>
      </c>
      <c r="E1001" s="2" t="str">
        <f t="shared" si="2"/>
        <v>2017</v>
      </c>
      <c r="F1001" s="13" t="s">
        <v>41</v>
      </c>
      <c r="G1001" s="13" t="s">
        <v>2483</v>
      </c>
      <c r="H1001" s="13" t="s">
        <v>2484</v>
      </c>
      <c r="I1001" s="13" t="s">
        <v>68</v>
      </c>
      <c r="J1001" s="13" t="s">
        <v>1192</v>
      </c>
      <c r="K1001" s="13" t="s">
        <v>63</v>
      </c>
      <c r="L1001" s="13" t="s">
        <v>37</v>
      </c>
      <c r="M1001" s="13" t="s">
        <v>38</v>
      </c>
      <c r="N1001" s="14">
        <v>44.02</v>
      </c>
      <c r="O1001" s="14">
        <v>43.34</v>
      </c>
      <c r="P1001" s="13">
        <v>9.0</v>
      </c>
      <c r="Q1001" s="14">
        <f t="shared" si="3"/>
        <v>396.18</v>
      </c>
      <c r="R1001" s="14">
        <f t="shared" si="4"/>
        <v>352.84</v>
      </c>
      <c r="S1001" s="14">
        <f t="shared" si="5"/>
        <v>43.34</v>
      </c>
    </row>
    <row r="1002">
      <c r="A1002" s="12">
        <v>42582.0</v>
      </c>
      <c r="B1002" s="12" t="s">
        <v>2348</v>
      </c>
      <c r="C1002" s="2">
        <v>42582.0</v>
      </c>
      <c r="D1002" s="15" t="str">
        <f t="shared" si="1"/>
        <v>Jul</v>
      </c>
      <c r="E1002" s="2" t="str">
        <f t="shared" si="2"/>
        <v>2016</v>
      </c>
      <c r="F1002" s="13" t="s">
        <v>717</v>
      </c>
      <c r="G1002" s="13" t="s">
        <v>2419</v>
      </c>
      <c r="H1002" s="13" t="s">
        <v>2787</v>
      </c>
      <c r="I1002" s="13" t="s">
        <v>23</v>
      </c>
      <c r="J1002" s="13" t="s">
        <v>174</v>
      </c>
      <c r="K1002" s="13" t="s">
        <v>175</v>
      </c>
      <c r="L1002" s="13" t="s">
        <v>100</v>
      </c>
      <c r="M1002" s="13" t="s">
        <v>51</v>
      </c>
      <c r="N1002" s="14">
        <v>2309.65</v>
      </c>
      <c r="O1002" s="14">
        <v>2308.89</v>
      </c>
      <c r="P1002" s="13">
        <v>1.0</v>
      </c>
      <c r="Q1002" s="14">
        <f t="shared" si="3"/>
        <v>2309.65</v>
      </c>
      <c r="R1002" s="14">
        <f t="shared" si="4"/>
        <v>0.76</v>
      </c>
      <c r="S1002" s="14">
        <f t="shared" si="5"/>
        <v>2308.89</v>
      </c>
    </row>
    <row r="1003">
      <c r="A1003" s="12">
        <v>42582.0</v>
      </c>
      <c r="B1003" s="12" t="s">
        <v>2348</v>
      </c>
      <c r="C1003" s="2">
        <v>42582.0</v>
      </c>
      <c r="D1003" s="15" t="str">
        <f t="shared" si="1"/>
        <v>Jul</v>
      </c>
      <c r="E1003" s="2" t="str">
        <f t="shared" si="2"/>
        <v>2016</v>
      </c>
      <c r="F1003" s="13" t="s">
        <v>717</v>
      </c>
      <c r="G1003" s="13" t="s">
        <v>2419</v>
      </c>
      <c r="H1003" s="13" t="s">
        <v>2787</v>
      </c>
      <c r="I1003" s="13" t="s">
        <v>23</v>
      </c>
      <c r="J1003" s="13" t="s">
        <v>174</v>
      </c>
      <c r="K1003" s="13" t="s">
        <v>175</v>
      </c>
      <c r="L1003" s="13" t="s">
        <v>100</v>
      </c>
      <c r="M1003" s="13" t="s">
        <v>27</v>
      </c>
      <c r="N1003" s="14">
        <v>1090.782</v>
      </c>
      <c r="O1003" s="14">
        <v>1090.27</v>
      </c>
      <c r="P1003" s="13">
        <v>1.0</v>
      </c>
      <c r="Q1003" s="14">
        <f t="shared" si="3"/>
        <v>1090.782</v>
      </c>
      <c r="R1003" s="14">
        <f t="shared" si="4"/>
        <v>0.512</v>
      </c>
      <c r="S1003" s="14">
        <f t="shared" si="5"/>
        <v>1090.27</v>
      </c>
    </row>
    <row r="1004">
      <c r="A1004" s="12">
        <v>42582.0</v>
      </c>
      <c r="B1004" s="12" t="s">
        <v>2348</v>
      </c>
      <c r="C1004" s="2">
        <v>42582.0</v>
      </c>
      <c r="D1004" s="15" t="str">
        <f t="shared" si="1"/>
        <v>Jul</v>
      </c>
      <c r="E1004" s="2" t="str">
        <f t="shared" si="2"/>
        <v>2016</v>
      </c>
      <c r="F1004" s="13" t="s">
        <v>717</v>
      </c>
      <c r="G1004" s="13" t="s">
        <v>2419</v>
      </c>
      <c r="H1004" s="13" t="s">
        <v>2787</v>
      </c>
      <c r="I1004" s="13" t="s">
        <v>23</v>
      </c>
      <c r="J1004" s="13" t="s">
        <v>174</v>
      </c>
      <c r="K1004" s="13" t="s">
        <v>175</v>
      </c>
      <c r="L1004" s="13" t="s">
        <v>100</v>
      </c>
      <c r="M1004" s="13" t="s">
        <v>38</v>
      </c>
      <c r="N1004" s="14">
        <v>19.44</v>
      </c>
      <c r="O1004" s="14">
        <v>18.98</v>
      </c>
      <c r="P1004" s="13">
        <v>1.0</v>
      </c>
      <c r="Q1004" s="14">
        <f t="shared" si="3"/>
        <v>19.44</v>
      </c>
      <c r="R1004" s="14">
        <f t="shared" si="4"/>
        <v>0.46</v>
      </c>
      <c r="S1004" s="14">
        <f t="shared" si="5"/>
        <v>18.98</v>
      </c>
    </row>
    <row r="1005">
      <c r="A1005" s="12">
        <v>42609.0</v>
      </c>
      <c r="B1005" s="12" t="s">
        <v>2322</v>
      </c>
      <c r="C1005" s="2">
        <v>42613.0</v>
      </c>
      <c r="D1005" s="15" t="str">
        <f t="shared" si="1"/>
        <v>Aug</v>
      </c>
      <c r="E1005" s="2" t="str">
        <f t="shared" si="2"/>
        <v>2016</v>
      </c>
      <c r="F1005" s="13" t="s">
        <v>41</v>
      </c>
      <c r="G1005" s="13" t="s">
        <v>2429</v>
      </c>
      <c r="H1005" s="13" t="s">
        <v>2852</v>
      </c>
      <c r="I1005" s="13" t="s">
        <v>23</v>
      </c>
      <c r="J1005" s="13" t="s">
        <v>1699</v>
      </c>
      <c r="K1005" s="13" t="s">
        <v>52</v>
      </c>
      <c r="L1005" s="13" t="s">
        <v>37</v>
      </c>
      <c r="M1005" s="13" t="s">
        <v>38</v>
      </c>
      <c r="N1005" s="14">
        <v>484.65</v>
      </c>
      <c r="O1005" s="14">
        <v>484.04</v>
      </c>
      <c r="P1005" s="13">
        <v>9.0</v>
      </c>
      <c r="Q1005" s="14">
        <f t="shared" si="3"/>
        <v>4361.85</v>
      </c>
      <c r="R1005" s="14">
        <f t="shared" si="4"/>
        <v>3877.81</v>
      </c>
      <c r="S1005" s="14">
        <f t="shared" si="5"/>
        <v>484.04</v>
      </c>
    </row>
    <row r="1006">
      <c r="A1006" s="12">
        <v>42687.0</v>
      </c>
      <c r="B1006" s="12" t="s">
        <v>2326</v>
      </c>
      <c r="C1006" s="2">
        <v>42691.0</v>
      </c>
      <c r="D1006" s="15" t="str">
        <f t="shared" si="1"/>
        <v>Nov</v>
      </c>
      <c r="E1006" s="2" t="str">
        <f t="shared" si="2"/>
        <v>2016</v>
      </c>
      <c r="F1006" s="13" t="s">
        <v>41</v>
      </c>
      <c r="G1006" s="13" t="s">
        <v>2784</v>
      </c>
      <c r="H1006" s="13" t="s">
        <v>2785</v>
      </c>
      <c r="I1006" s="13" t="s">
        <v>23</v>
      </c>
      <c r="J1006" s="13" t="s">
        <v>849</v>
      </c>
      <c r="K1006" s="13" t="s">
        <v>58</v>
      </c>
      <c r="L1006" s="13" t="s">
        <v>26</v>
      </c>
      <c r="M1006" s="13" t="s">
        <v>38</v>
      </c>
      <c r="N1006" s="14">
        <v>115.296</v>
      </c>
      <c r="O1006" s="14">
        <v>114.51</v>
      </c>
      <c r="P1006" s="13">
        <v>2.0</v>
      </c>
      <c r="Q1006" s="14">
        <f t="shared" si="3"/>
        <v>230.592</v>
      </c>
      <c r="R1006" s="14">
        <f t="shared" si="4"/>
        <v>116.082</v>
      </c>
      <c r="S1006" s="14">
        <f t="shared" si="5"/>
        <v>114.51</v>
      </c>
    </row>
    <row r="1007">
      <c r="A1007" s="12">
        <v>42532.0</v>
      </c>
      <c r="B1007" s="12" t="s">
        <v>2374</v>
      </c>
      <c r="C1007" s="2">
        <v>42624.0</v>
      </c>
      <c r="D1007" s="15" t="str">
        <f t="shared" si="1"/>
        <v>Sep</v>
      </c>
      <c r="E1007" s="2" t="str">
        <f t="shared" si="2"/>
        <v>2016</v>
      </c>
      <c r="F1007" s="13" t="s">
        <v>121</v>
      </c>
      <c r="G1007" s="13" t="s">
        <v>2711</v>
      </c>
      <c r="H1007" s="13" t="s">
        <v>2853</v>
      </c>
      <c r="I1007" s="13" t="s">
        <v>23</v>
      </c>
      <c r="J1007" s="13" t="s">
        <v>369</v>
      </c>
      <c r="K1007" s="13" t="s">
        <v>193</v>
      </c>
      <c r="L1007" s="13" t="s">
        <v>37</v>
      </c>
      <c r="M1007" s="13" t="s">
        <v>38</v>
      </c>
      <c r="N1007" s="14">
        <v>7.08</v>
      </c>
      <c r="O1007" s="14">
        <v>6.22</v>
      </c>
      <c r="P1007" s="13">
        <v>8.0</v>
      </c>
      <c r="Q1007" s="14">
        <f t="shared" si="3"/>
        <v>56.64</v>
      </c>
      <c r="R1007" s="14">
        <f t="shared" si="4"/>
        <v>50.42</v>
      </c>
      <c r="S1007" s="14">
        <f t="shared" si="5"/>
        <v>6.22</v>
      </c>
    </row>
    <row r="1008">
      <c r="A1008" s="12">
        <v>42532.0</v>
      </c>
      <c r="B1008" s="12" t="s">
        <v>2374</v>
      </c>
      <c r="C1008" s="2">
        <v>42624.0</v>
      </c>
      <c r="D1008" s="15" t="str">
        <f t="shared" si="1"/>
        <v>Sep</v>
      </c>
      <c r="E1008" s="2" t="str">
        <f t="shared" si="2"/>
        <v>2016</v>
      </c>
      <c r="F1008" s="13" t="s">
        <v>121</v>
      </c>
      <c r="G1008" s="13" t="s">
        <v>2711</v>
      </c>
      <c r="H1008" s="13" t="s">
        <v>2853</v>
      </c>
      <c r="I1008" s="13" t="s">
        <v>23</v>
      </c>
      <c r="J1008" s="13" t="s">
        <v>369</v>
      </c>
      <c r="K1008" s="13" t="s">
        <v>193</v>
      </c>
      <c r="L1008" s="13" t="s">
        <v>37</v>
      </c>
      <c r="M1008" s="13" t="s">
        <v>38</v>
      </c>
      <c r="N1008" s="14">
        <v>4.401</v>
      </c>
      <c r="O1008" s="14">
        <v>4.01</v>
      </c>
      <c r="P1008" s="13">
        <v>8.0</v>
      </c>
      <c r="Q1008" s="14">
        <f t="shared" si="3"/>
        <v>35.208</v>
      </c>
      <c r="R1008" s="14">
        <f t="shared" si="4"/>
        <v>31.198</v>
      </c>
      <c r="S1008" s="14">
        <f t="shared" si="5"/>
        <v>4.01</v>
      </c>
    </row>
    <row r="1009">
      <c r="A1009" s="12">
        <v>43460.0</v>
      </c>
      <c r="B1009" s="12" t="s">
        <v>2325</v>
      </c>
      <c r="C1009" s="2">
        <v>43466.0</v>
      </c>
      <c r="D1009" s="15" t="str">
        <f t="shared" si="1"/>
        <v>Jan</v>
      </c>
      <c r="E1009" s="2" t="str">
        <f t="shared" si="2"/>
        <v>2019</v>
      </c>
      <c r="F1009" s="13" t="s">
        <v>41</v>
      </c>
      <c r="G1009" s="13" t="s">
        <v>2373</v>
      </c>
      <c r="H1009" s="13" t="s">
        <v>2559</v>
      </c>
      <c r="I1009" s="13" t="s">
        <v>23</v>
      </c>
      <c r="J1009" s="13" t="s">
        <v>1237</v>
      </c>
      <c r="K1009" s="13" t="s">
        <v>298</v>
      </c>
      <c r="L1009" s="13" t="s">
        <v>71</v>
      </c>
      <c r="M1009" s="13" t="s">
        <v>38</v>
      </c>
      <c r="N1009" s="14">
        <v>44.75</v>
      </c>
      <c r="O1009" s="14">
        <v>44.31</v>
      </c>
      <c r="P1009" s="13">
        <v>5.0</v>
      </c>
      <c r="Q1009" s="14">
        <f t="shared" si="3"/>
        <v>223.75</v>
      </c>
      <c r="R1009" s="14">
        <f t="shared" si="4"/>
        <v>179.44</v>
      </c>
      <c r="S1009" s="14">
        <f t="shared" si="5"/>
        <v>44.31</v>
      </c>
    </row>
    <row r="1010">
      <c r="A1010" s="12">
        <v>43108.0</v>
      </c>
      <c r="B1010" s="12" t="s">
        <v>2353</v>
      </c>
      <c r="C1010" s="2">
        <v>43167.0</v>
      </c>
      <c r="D1010" s="15" t="str">
        <f t="shared" si="1"/>
        <v>Mar</v>
      </c>
      <c r="E1010" s="2" t="str">
        <f t="shared" si="2"/>
        <v>2018</v>
      </c>
      <c r="F1010" s="13" t="s">
        <v>121</v>
      </c>
      <c r="G1010" s="13" t="s">
        <v>2713</v>
      </c>
      <c r="H1010" s="13" t="s">
        <v>2714</v>
      </c>
      <c r="I1010" s="13" t="s">
        <v>23</v>
      </c>
      <c r="J1010" s="13" t="s">
        <v>188</v>
      </c>
      <c r="K1010" s="13" t="s">
        <v>135</v>
      </c>
      <c r="L1010" s="13" t="s">
        <v>71</v>
      </c>
      <c r="M1010" s="13" t="s">
        <v>51</v>
      </c>
      <c r="N1010" s="14">
        <v>95.984</v>
      </c>
      <c r="O1010" s="14">
        <v>95.29</v>
      </c>
      <c r="P1010" s="13">
        <v>6.0</v>
      </c>
      <c r="Q1010" s="14">
        <f t="shared" si="3"/>
        <v>575.904</v>
      </c>
      <c r="R1010" s="14">
        <f t="shared" si="4"/>
        <v>480.614</v>
      </c>
      <c r="S1010" s="14">
        <f t="shared" si="5"/>
        <v>95.29</v>
      </c>
    </row>
    <row r="1011">
      <c r="A1011" s="12">
        <v>42332.0</v>
      </c>
      <c r="B1011" s="12" t="s">
        <v>2326</v>
      </c>
      <c r="C1011" s="2">
        <v>42334.0</v>
      </c>
      <c r="D1011" s="15" t="str">
        <f t="shared" si="1"/>
        <v>Nov</v>
      </c>
      <c r="E1011" s="2" t="str">
        <f t="shared" si="2"/>
        <v>2015</v>
      </c>
      <c r="F1011" s="13" t="s">
        <v>121</v>
      </c>
      <c r="G1011" s="13" t="s">
        <v>2854</v>
      </c>
      <c r="H1011" s="13" t="s">
        <v>2404</v>
      </c>
      <c r="I1011" s="13" t="s">
        <v>23</v>
      </c>
      <c r="J1011" s="13" t="s">
        <v>542</v>
      </c>
      <c r="K1011" s="13" t="s">
        <v>52</v>
      </c>
      <c r="L1011" s="13" t="s">
        <v>37</v>
      </c>
      <c r="M1011" s="13" t="s">
        <v>27</v>
      </c>
      <c r="N1011" s="14">
        <v>151.72</v>
      </c>
      <c r="O1011" s="14">
        <v>151.56</v>
      </c>
      <c r="P1011" s="13">
        <v>9.0</v>
      </c>
      <c r="Q1011" s="14">
        <f t="shared" si="3"/>
        <v>1365.48</v>
      </c>
      <c r="R1011" s="14">
        <f t="shared" si="4"/>
        <v>1213.92</v>
      </c>
      <c r="S1011" s="14">
        <f t="shared" si="5"/>
        <v>151.56</v>
      </c>
    </row>
    <row r="1012">
      <c r="A1012" s="12">
        <v>43268.0</v>
      </c>
      <c r="B1012" s="12" t="s">
        <v>2374</v>
      </c>
      <c r="C1012" s="2">
        <v>43272.0</v>
      </c>
      <c r="D1012" s="15" t="str">
        <f t="shared" si="1"/>
        <v>Jun</v>
      </c>
      <c r="E1012" s="2" t="str">
        <f t="shared" si="2"/>
        <v>2018</v>
      </c>
      <c r="F1012" s="13" t="s">
        <v>20</v>
      </c>
      <c r="G1012" s="13" t="s">
        <v>2440</v>
      </c>
      <c r="H1012" s="13" t="s">
        <v>2441</v>
      </c>
      <c r="I1012" s="13" t="s">
        <v>23</v>
      </c>
      <c r="J1012" s="13" t="s">
        <v>1710</v>
      </c>
      <c r="K1012" s="13" t="s">
        <v>63</v>
      </c>
      <c r="L1012" s="13" t="s">
        <v>37</v>
      </c>
      <c r="M1012" s="13" t="s">
        <v>27</v>
      </c>
      <c r="N1012" s="14">
        <v>155.25</v>
      </c>
      <c r="O1012" s="14">
        <v>155.14</v>
      </c>
      <c r="P1012" s="13">
        <v>9.0</v>
      </c>
      <c r="Q1012" s="14">
        <f t="shared" si="3"/>
        <v>1397.25</v>
      </c>
      <c r="R1012" s="14">
        <f t="shared" si="4"/>
        <v>1242.11</v>
      </c>
      <c r="S1012" s="14">
        <f t="shared" si="5"/>
        <v>155.14</v>
      </c>
    </row>
    <row r="1013">
      <c r="A1013" s="12">
        <v>43268.0</v>
      </c>
      <c r="B1013" s="12" t="s">
        <v>2374</v>
      </c>
      <c r="C1013" s="2">
        <v>43272.0</v>
      </c>
      <c r="D1013" s="15" t="str">
        <f t="shared" si="1"/>
        <v>Jun</v>
      </c>
      <c r="E1013" s="2" t="str">
        <f t="shared" si="2"/>
        <v>2018</v>
      </c>
      <c r="F1013" s="13" t="s">
        <v>20</v>
      </c>
      <c r="G1013" s="13" t="s">
        <v>2440</v>
      </c>
      <c r="H1013" s="13" t="s">
        <v>2441</v>
      </c>
      <c r="I1013" s="13" t="s">
        <v>23</v>
      </c>
      <c r="J1013" s="13" t="s">
        <v>1710</v>
      </c>
      <c r="K1013" s="13" t="s">
        <v>63</v>
      </c>
      <c r="L1013" s="13" t="s">
        <v>37</v>
      </c>
      <c r="M1013" s="13" t="s">
        <v>38</v>
      </c>
      <c r="N1013" s="14">
        <v>14.03</v>
      </c>
      <c r="O1013" s="14">
        <v>13.25</v>
      </c>
      <c r="P1013" s="13">
        <v>9.0</v>
      </c>
      <c r="Q1013" s="14">
        <f t="shared" si="3"/>
        <v>126.27</v>
      </c>
      <c r="R1013" s="14">
        <f t="shared" si="4"/>
        <v>113.02</v>
      </c>
      <c r="S1013" s="14">
        <f t="shared" si="5"/>
        <v>13.25</v>
      </c>
    </row>
    <row r="1014">
      <c r="A1014" s="12">
        <v>42725.0</v>
      </c>
      <c r="B1014" s="12" t="s">
        <v>2325</v>
      </c>
      <c r="C1014" s="2">
        <v>42728.0</v>
      </c>
      <c r="D1014" s="15" t="str">
        <f t="shared" si="1"/>
        <v>Dec</v>
      </c>
      <c r="E1014" s="2" t="str">
        <f t="shared" si="2"/>
        <v>2016</v>
      </c>
      <c r="F1014" s="13" t="s">
        <v>20</v>
      </c>
      <c r="G1014" s="13" t="s">
        <v>2560</v>
      </c>
      <c r="H1014" s="13" t="s">
        <v>2385</v>
      </c>
      <c r="I1014" s="13" t="s">
        <v>23</v>
      </c>
      <c r="J1014" s="13" t="s">
        <v>62</v>
      </c>
      <c r="K1014" s="13" t="s">
        <v>63</v>
      </c>
      <c r="L1014" s="13" t="s">
        <v>37</v>
      </c>
      <c r="M1014" s="13" t="s">
        <v>27</v>
      </c>
      <c r="N1014" s="14">
        <v>1618.37</v>
      </c>
      <c r="O1014" s="14">
        <v>1618.18</v>
      </c>
      <c r="P1014" s="13">
        <v>9.0</v>
      </c>
      <c r="Q1014" s="14">
        <f t="shared" si="3"/>
        <v>14565.33</v>
      </c>
      <c r="R1014" s="14">
        <f t="shared" si="4"/>
        <v>12947.15</v>
      </c>
      <c r="S1014" s="14">
        <f t="shared" si="5"/>
        <v>1618.18</v>
      </c>
    </row>
    <row r="1015">
      <c r="A1015" s="12">
        <v>42725.0</v>
      </c>
      <c r="B1015" s="12" t="s">
        <v>2325</v>
      </c>
      <c r="C1015" s="2">
        <v>42728.0</v>
      </c>
      <c r="D1015" s="15" t="str">
        <f t="shared" si="1"/>
        <v>Dec</v>
      </c>
      <c r="E1015" s="2" t="str">
        <f t="shared" si="2"/>
        <v>2016</v>
      </c>
      <c r="F1015" s="13" t="s">
        <v>20</v>
      </c>
      <c r="G1015" s="13" t="s">
        <v>2560</v>
      </c>
      <c r="H1015" s="13" t="s">
        <v>2385</v>
      </c>
      <c r="I1015" s="13" t="s">
        <v>23</v>
      </c>
      <c r="J1015" s="13" t="s">
        <v>62</v>
      </c>
      <c r="K1015" s="13" t="s">
        <v>63</v>
      </c>
      <c r="L1015" s="13" t="s">
        <v>37</v>
      </c>
      <c r="M1015" s="13" t="s">
        <v>51</v>
      </c>
      <c r="N1015" s="14">
        <v>99.6</v>
      </c>
      <c r="O1015" s="14">
        <v>98.63</v>
      </c>
      <c r="P1015" s="13">
        <v>9.0</v>
      </c>
      <c r="Q1015" s="14">
        <f t="shared" si="3"/>
        <v>896.4</v>
      </c>
      <c r="R1015" s="14">
        <f t="shared" si="4"/>
        <v>797.77</v>
      </c>
      <c r="S1015" s="14">
        <f t="shared" si="5"/>
        <v>98.63</v>
      </c>
    </row>
    <row r="1016">
      <c r="A1016" s="12">
        <v>42630.0</v>
      </c>
      <c r="B1016" s="12" t="s">
        <v>2329</v>
      </c>
      <c r="C1016" s="2">
        <v>42632.0</v>
      </c>
      <c r="D1016" s="15" t="str">
        <f t="shared" si="1"/>
        <v>Sep</v>
      </c>
      <c r="E1016" s="2" t="str">
        <f t="shared" si="2"/>
        <v>2016</v>
      </c>
      <c r="F1016" s="13" t="s">
        <v>20</v>
      </c>
      <c r="G1016" s="13" t="s">
        <v>2711</v>
      </c>
      <c r="H1016" s="13" t="s">
        <v>2712</v>
      </c>
      <c r="I1016" s="13" t="s">
        <v>68</v>
      </c>
      <c r="J1016" s="13" t="s">
        <v>35</v>
      </c>
      <c r="K1016" s="13" t="s">
        <v>52</v>
      </c>
      <c r="L1016" s="13" t="s">
        <v>37</v>
      </c>
      <c r="M1016" s="13" t="s">
        <v>38</v>
      </c>
      <c r="N1016" s="14">
        <v>32.4</v>
      </c>
      <c r="O1016" s="14">
        <v>31.92</v>
      </c>
      <c r="P1016" s="13">
        <v>9.0</v>
      </c>
      <c r="Q1016" s="14">
        <f t="shared" si="3"/>
        <v>291.6</v>
      </c>
      <c r="R1016" s="14">
        <f t="shared" si="4"/>
        <v>259.68</v>
      </c>
      <c r="S1016" s="14">
        <f t="shared" si="5"/>
        <v>31.92</v>
      </c>
    </row>
    <row r="1017">
      <c r="A1017" s="12">
        <v>42528.0</v>
      </c>
      <c r="B1017" s="12" t="s">
        <v>2374</v>
      </c>
      <c r="C1017" s="2">
        <v>42650.0</v>
      </c>
      <c r="D1017" s="15" t="str">
        <f t="shared" si="1"/>
        <v>Oct</v>
      </c>
      <c r="E1017" s="2" t="str">
        <f t="shared" si="2"/>
        <v>2016</v>
      </c>
      <c r="F1017" s="13" t="s">
        <v>41</v>
      </c>
      <c r="G1017" s="13" t="s">
        <v>2855</v>
      </c>
      <c r="H1017" s="13" t="s">
        <v>2856</v>
      </c>
      <c r="I1017" s="13" t="s">
        <v>34</v>
      </c>
      <c r="J1017" s="13" t="s">
        <v>174</v>
      </c>
      <c r="K1017" s="13" t="s">
        <v>175</v>
      </c>
      <c r="L1017" s="13" t="s">
        <v>100</v>
      </c>
      <c r="M1017" s="13" t="s">
        <v>27</v>
      </c>
      <c r="N1017" s="14">
        <v>13.96</v>
      </c>
      <c r="O1017" s="14">
        <v>13.03</v>
      </c>
      <c r="P1017" s="13">
        <v>1.0</v>
      </c>
      <c r="Q1017" s="14">
        <f t="shared" si="3"/>
        <v>13.96</v>
      </c>
      <c r="R1017" s="14">
        <f t="shared" si="4"/>
        <v>0.93</v>
      </c>
      <c r="S1017" s="14">
        <f t="shared" si="5"/>
        <v>13.03</v>
      </c>
    </row>
    <row r="1018">
      <c r="A1018" s="12">
        <v>42528.0</v>
      </c>
      <c r="B1018" s="12" t="s">
        <v>2374</v>
      </c>
      <c r="C1018" s="2">
        <v>42650.0</v>
      </c>
      <c r="D1018" s="15" t="str">
        <f t="shared" si="1"/>
        <v>Oct</v>
      </c>
      <c r="E1018" s="2" t="str">
        <f t="shared" si="2"/>
        <v>2016</v>
      </c>
      <c r="F1018" s="13" t="s">
        <v>41</v>
      </c>
      <c r="G1018" s="13" t="s">
        <v>2855</v>
      </c>
      <c r="H1018" s="13" t="s">
        <v>2856</v>
      </c>
      <c r="I1018" s="13" t="s">
        <v>34</v>
      </c>
      <c r="J1018" s="13" t="s">
        <v>174</v>
      </c>
      <c r="K1018" s="13" t="s">
        <v>175</v>
      </c>
      <c r="L1018" s="13" t="s">
        <v>100</v>
      </c>
      <c r="M1018" s="13" t="s">
        <v>27</v>
      </c>
      <c r="N1018" s="14">
        <v>155.82</v>
      </c>
      <c r="O1018" s="14">
        <v>155.71</v>
      </c>
      <c r="P1018" s="13">
        <v>1.0</v>
      </c>
      <c r="Q1018" s="14">
        <f t="shared" si="3"/>
        <v>155.82</v>
      </c>
      <c r="R1018" s="14">
        <f t="shared" si="4"/>
        <v>0.11</v>
      </c>
      <c r="S1018" s="14">
        <f t="shared" si="5"/>
        <v>155.71</v>
      </c>
    </row>
    <row r="1019">
      <c r="A1019" s="12">
        <v>42528.0</v>
      </c>
      <c r="B1019" s="12" t="s">
        <v>2374</v>
      </c>
      <c r="C1019" s="2">
        <v>42650.0</v>
      </c>
      <c r="D1019" s="15" t="str">
        <f t="shared" si="1"/>
        <v>Oct</v>
      </c>
      <c r="E1019" s="2" t="str">
        <f t="shared" si="2"/>
        <v>2016</v>
      </c>
      <c r="F1019" s="13" t="s">
        <v>41</v>
      </c>
      <c r="G1019" s="13" t="s">
        <v>2855</v>
      </c>
      <c r="H1019" s="13" t="s">
        <v>2856</v>
      </c>
      <c r="I1019" s="13" t="s">
        <v>34</v>
      </c>
      <c r="J1019" s="13" t="s">
        <v>174</v>
      </c>
      <c r="K1019" s="13" t="s">
        <v>175</v>
      </c>
      <c r="L1019" s="13" t="s">
        <v>100</v>
      </c>
      <c r="M1019" s="13" t="s">
        <v>51</v>
      </c>
      <c r="N1019" s="14">
        <v>124.95</v>
      </c>
      <c r="O1019" s="14">
        <v>124.66</v>
      </c>
      <c r="P1019" s="13">
        <v>1.0</v>
      </c>
      <c r="Q1019" s="14">
        <f t="shared" si="3"/>
        <v>124.95</v>
      </c>
      <c r="R1019" s="14">
        <f t="shared" si="4"/>
        <v>0.29</v>
      </c>
      <c r="S1019" s="14">
        <f t="shared" si="5"/>
        <v>124.66</v>
      </c>
    </row>
    <row r="1020">
      <c r="A1020" s="12">
        <v>42528.0</v>
      </c>
      <c r="B1020" s="12" t="s">
        <v>2374</v>
      </c>
      <c r="C1020" s="2">
        <v>42650.0</v>
      </c>
      <c r="D1020" s="15" t="str">
        <f t="shared" si="1"/>
        <v>Oct</v>
      </c>
      <c r="E1020" s="2" t="str">
        <f t="shared" si="2"/>
        <v>2016</v>
      </c>
      <c r="F1020" s="13" t="s">
        <v>41</v>
      </c>
      <c r="G1020" s="13" t="s">
        <v>2855</v>
      </c>
      <c r="H1020" s="13" t="s">
        <v>2856</v>
      </c>
      <c r="I1020" s="13" t="s">
        <v>34</v>
      </c>
      <c r="J1020" s="13" t="s">
        <v>174</v>
      </c>
      <c r="K1020" s="13" t="s">
        <v>175</v>
      </c>
      <c r="L1020" s="13" t="s">
        <v>100</v>
      </c>
      <c r="M1020" s="13" t="s">
        <v>38</v>
      </c>
      <c r="N1020" s="14">
        <v>601.65</v>
      </c>
      <c r="O1020" s="14">
        <v>601.55</v>
      </c>
      <c r="P1020" s="13">
        <v>1.0</v>
      </c>
      <c r="Q1020" s="14">
        <f t="shared" si="3"/>
        <v>601.65</v>
      </c>
      <c r="R1020" s="14">
        <f t="shared" si="4"/>
        <v>0.1</v>
      </c>
      <c r="S1020" s="14">
        <f t="shared" si="5"/>
        <v>601.55</v>
      </c>
    </row>
    <row r="1021">
      <c r="A1021" s="12">
        <v>42487.0</v>
      </c>
      <c r="B1021" s="12" t="s">
        <v>2332</v>
      </c>
      <c r="C1021" s="2">
        <v>42434.0</v>
      </c>
      <c r="D1021" s="15" t="str">
        <f t="shared" si="1"/>
        <v>Mar</v>
      </c>
      <c r="E1021" s="2" t="str">
        <f t="shared" si="2"/>
        <v>2016</v>
      </c>
      <c r="F1021" s="13" t="s">
        <v>41</v>
      </c>
      <c r="G1021" s="13" t="s">
        <v>2434</v>
      </c>
      <c r="H1021" s="13" t="s">
        <v>2639</v>
      </c>
      <c r="I1021" s="13" t="s">
        <v>23</v>
      </c>
      <c r="J1021" s="13" t="s">
        <v>63</v>
      </c>
      <c r="K1021" s="13" t="s">
        <v>2857</v>
      </c>
      <c r="L1021" s="13" t="s">
        <v>100</v>
      </c>
      <c r="M1021" s="13" t="s">
        <v>38</v>
      </c>
      <c r="N1021" s="14">
        <v>22.74</v>
      </c>
      <c r="O1021" s="14">
        <v>22.15</v>
      </c>
      <c r="P1021" s="13">
        <v>2.0</v>
      </c>
      <c r="Q1021" s="14">
        <f t="shared" si="3"/>
        <v>45.48</v>
      </c>
      <c r="R1021" s="14">
        <f t="shared" si="4"/>
        <v>23.33</v>
      </c>
      <c r="S1021" s="14">
        <f t="shared" si="5"/>
        <v>22.15</v>
      </c>
    </row>
    <row r="1022">
      <c r="A1022" s="12">
        <v>42487.0</v>
      </c>
      <c r="B1022" s="12" t="s">
        <v>2332</v>
      </c>
      <c r="C1022" s="2">
        <v>42434.0</v>
      </c>
      <c r="D1022" s="15" t="str">
        <f t="shared" si="1"/>
        <v>Mar</v>
      </c>
      <c r="E1022" s="2" t="str">
        <f t="shared" si="2"/>
        <v>2016</v>
      </c>
      <c r="F1022" s="13" t="s">
        <v>41</v>
      </c>
      <c r="G1022" s="13" t="s">
        <v>2434</v>
      </c>
      <c r="H1022" s="13" t="s">
        <v>2639</v>
      </c>
      <c r="I1022" s="13" t="s">
        <v>23</v>
      </c>
      <c r="J1022" s="13" t="s">
        <v>63</v>
      </c>
      <c r="K1022" s="13" t="s">
        <v>2857</v>
      </c>
      <c r="L1022" s="13" t="s">
        <v>100</v>
      </c>
      <c r="M1022" s="13" t="s">
        <v>27</v>
      </c>
      <c r="N1022" s="14">
        <v>1267.53</v>
      </c>
      <c r="O1022" s="14">
        <v>1267.26</v>
      </c>
      <c r="P1022" s="13">
        <v>2.0</v>
      </c>
      <c r="Q1022" s="14">
        <f t="shared" si="3"/>
        <v>2535.06</v>
      </c>
      <c r="R1022" s="14">
        <f t="shared" si="4"/>
        <v>1267.8</v>
      </c>
      <c r="S1022" s="14">
        <f t="shared" si="5"/>
        <v>1267.26</v>
      </c>
    </row>
    <row r="1023">
      <c r="A1023" s="12">
        <v>42487.0</v>
      </c>
      <c r="B1023" s="12" t="s">
        <v>2332</v>
      </c>
      <c r="C1023" s="2">
        <v>42434.0</v>
      </c>
      <c r="D1023" s="15" t="str">
        <f t="shared" si="1"/>
        <v>Mar</v>
      </c>
      <c r="E1023" s="2" t="str">
        <f t="shared" si="2"/>
        <v>2016</v>
      </c>
      <c r="F1023" s="13" t="s">
        <v>41</v>
      </c>
      <c r="G1023" s="13" t="s">
        <v>2434</v>
      </c>
      <c r="H1023" s="13" t="s">
        <v>2639</v>
      </c>
      <c r="I1023" s="13" t="s">
        <v>23</v>
      </c>
      <c r="J1023" s="13" t="s">
        <v>63</v>
      </c>
      <c r="K1023" s="13" t="s">
        <v>2857</v>
      </c>
      <c r="L1023" s="13" t="s">
        <v>100</v>
      </c>
      <c r="M1023" s="13" t="s">
        <v>51</v>
      </c>
      <c r="N1023" s="14">
        <v>1379.92</v>
      </c>
      <c r="O1023" s="14">
        <v>1379.42</v>
      </c>
      <c r="P1023" s="13">
        <v>2.0</v>
      </c>
      <c r="Q1023" s="14">
        <f t="shared" si="3"/>
        <v>2759.84</v>
      </c>
      <c r="R1023" s="14">
        <f t="shared" si="4"/>
        <v>1380.42</v>
      </c>
      <c r="S1023" s="14">
        <f t="shared" si="5"/>
        <v>1379.42</v>
      </c>
    </row>
    <row r="1024">
      <c r="A1024" s="12">
        <v>42537.0</v>
      </c>
      <c r="B1024" s="12" t="s">
        <v>2374</v>
      </c>
      <c r="C1024" s="2">
        <v>42541.0</v>
      </c>
      <c r="D1024" s="15" t="str">
        <f t="shared" si="1"/>
        <v>Jun</v>
      </c>
      <c r="E1024" s="2" t="str">
        <f t="shared" si="2"/>
        <v>2016</v>
      </c>
      <c r="F1024" s="13" t="s">
        <v>41</v>
      </c>
      <c r="G1024" s="13" t="s">
        <v>2440</v>
      </c>
      <c r="H1024" s="13" t="s">
        <v>2613</v>
      </c>
      <c r="I1024" s="13" t="s">
        <v>23</v>
      </c>
      <c r="J1024" s="13" t="s">
        <v>98</v>
      </c>
      <c r="K1024" s="13" t="s">
        <v>99</v>
      </c>
      <c r="L1024" s="13" t="s">
        <v>100</v>
      </c>
      <c r="M1024" s="13" t="s">
        <v>38</v>
      </c>
      <c r="N1024" s="14">
        <v>6.208</v>
      </c>
      <c r="O1024" s="14">
        <v>6.04</v>
      </c>
      <c r="P1024" s="13">
        <v>1.0</v>
      </c>
      <c r="Q1024" s="14">
        <f t="shared" si="3"/>
        <v>6.208</v>
      </c>
      <c r="R1024" s="14">
        <f t="shared" si="4"/>
        <v>0.168</v>
      </c>
      <c r="S1024" s="14">
        <f t="shared" si="5"/>
        <v>6.04</v>
      </c>
    </row>
    <row r="1025">
      <c r="A1025" s="12">
        <v>43451.0</v>
      </c>
      <c r="B1025" s="12" t="s">
        <v>2325</v>
      </c>
      <c r="C1025" s="2">
        <v>43454.0</v>
      </c>
      <c r="D1025" s="15" t="str">
        <f t="shared" si="1"/>
        <v>Dec</v>
      </c>
      <c r="E1025" s="2" t="str">
        <f t="shared" si="2"/>
        <v>2018</v>
      </c>
      <c r="F1025" s="13" t="s">
        <v>121</v>
      </c>
      <c r="G1025" s="13" t="s">
        <v>2858</v>
      </c>
      <c r="H1025" s="13" t="s">
        <v>2859</v>
      </c>
      <c r="I1025" s="13" t="s">
        <v>68</v>
      </c>
      <c r="J1025" s="13" t="s">
        <v>35</v>
      </c>
      <c r="K1025" s="13" t="s">
        <v>52</v>
      </c>
      <c r="L1025" s="13" t="s">
        <v>37</v>
      </c>
      <c r="M1025" s="13" t="s">
        <v>38</v>
      </c>
      <c r="N1025" s="14">
        <v>11.808</v>
      </c>
      <c r="O1025" s="14">
        <v>11.56</v>
      </c>
      <c r="P1025" s="13">
        <v>9.0</v>
      </c>
      <c r="Q1025" s="14">
        <f t="shared" si="3"/>
        <v>106.272</v>
      </c>
      <c r="R1025" s="14">
        <f t="shared" si="4"/>
        <v>94.712</v>
      </c>
      <c r="S1025" s="14">
        <f t="shared" si="5"/>
        <v>11.56</v>
      </c>
    </row>
    <row r="1026">
      <c r="A1026" s="12">
        <v>43040.0</v>
      </c>
      <c r="B1026" s="12" t="s">
        <v>2326</v>
      </c>
      <c r="C1026" s="2">
        <v>42748.0</v>
      </c>
      <c r="D1026" s="15" t="str">
        <f t="shared" si="1"/>
        <v>Jan</v>
      </c>
      <c r="E1026" s="2" t="str">
        <f t="shared" si="2"/>
        <v>2017</v>
      </c>
      <c r="F1026" s="13" t="s">
        <v>20</v>
      </c>
      <c r="G1026" s="13" t="s">
        <v>2860</v>
      </c>
      <c r="H1026" s="13" t="s">
        <v>2861</v>
      </c>
      <c r="I1026" s="13" t="s">
        <v>68</v>
      </c>
      <c r="J1026" s="13" t="s">
        <v>197</v>
      </c>
      <c r="K1026" s="13" t="s">
        <v>304</v>
      </c>
      <c r="L1026" s="13" t="s">
        <v>100</v>
      </c>
      <c r="M1026" s="13" t="s">
        <v>38</v>
      </c>
      <c r="N1026" s="14">
        <v>15.552</v>
      </c>
      <c r="O1026" s="14">
        <v>15.04</v>
      </c>
      <c r="P1026" s="13">
        <v>4.0</v>
      </c>
      <c r="Q1026" s="14">
        <f t="shared" si="3"/>
        <v>62.208</v>
      </c>
      <c r="R1026" s="14">
        <f t="shared" si="4"/>
        <v>47.168</v>
      </c>
      <c r="S1026" s="14">
        <f t="shared" si="5"/>
        <v>15.04</v>
      </c>
    </row>
    <row r="1027">
      <c r="A1027" s="12">
        <v>43040.0</v>
      </c>
      <c r="B1027" s="12" t="s">
        <v>2326</v>
      </c>
      <c r="C1027" s="2">
        <v>42748.0</v>
      </c>
      <c r="D1027" s="15" t="str">
        <f t="shared" si="1"/>
        <v>Jan</v>
      </c>
      <c r="E1027" s="2" t="str">
        <f t="shared" si="2"/>
        <v>2017</v>
      </c>
      <c r="F1027" s="13" t="s">
        <v>20</v>
      </c>
      <c r="G1027" s="13" t="s">
        <v>2860</v>
      </c>
      <c r="H1027" s="13" t="s">
        <v>2861</v>
      </c>
      <c r="I1027" s="13" t="s">
        <v>68</v>
      </c>
      <c r="J1027" s="13" t="s">
        <v>197</v>
      </c>
      <c r="K1027" s="13" t="s">
        <v>304</v>
      </c>
      <c r="L1027" s="13" t="s">
        <v>100</v>
      </c>
      <c r="M1027" s="13" t="s">
        <v>38</v>
      </c>
      <c r="N1027" s="14">
        <v>63.312</v>
      </c>
      <c r="O1027" s="14">
        <v>63.23</v>
      </c>
      <c r="P1027" s="13">
        <v>4.0</v>
      </c>
      <c r="Q1027" s="14">
        <f t="shared" si="3"/>
        <v>253.248</v>
      </c>
      <c r="R1027" s="14">
        <f t="shared" si="4"/>
        <v>190.018</v>
      </c>
      <c r="S1027" s="14">
        <f t="shared" si="5"/>
        <v>63.23</v>
      </c>
    </row>
    <row r="1028">
      <c r="A1028" s="12">
        <v>43040.0</v>
      </c>
      <c r="B1028" s="12" t="s">
        <v>2326</v>
      </c>
      <c r="C1028" s="2">
        <v>42748.0</v>
      </c>
      <c r="D1028" s="15" t="str">
        <f t="shared" si="1"/>
        <v>Jan</v>
      </c>
      <c r="E1028" s="2" t="str">
        <f t="shared" si="2"/>
        <v>2017</v>
      </c>
      <c r="F1028" s="13" t="s">
        <v>20</v>
      </c>
      <c r="G1028" s="13" t="s">
        <v>2860</v>
      </c>
      <c r="H1028" s="13" t="s">
        <v>2861</v>
      </c>
      <c r="I1028" s="13" t="s">
        <v>68</v>
      </c>
      <c r="J1028" s="13" t="s">
        <v>197</v>
      </c>
      <c r="K1028" s="13" t="s">
        <v>304</v>
      </c>
      <c r="L1028" s="13" t="s">
        <v>100</v>
      </c>
      <c r="M1028" s="13" t="s">
        <v>51</v>
      </c>
      <c r="N1028" s="14">
        <v>15.588</v>
      </c>
      <c r="O1028" s="14">
        <v>15.5</v>
      </c>
      <c r="P1028" s="13">
        <v>4.0</v>
      </c>
      <c r="Q1028" s="14">
        <f t="shared" si="3"/>
        <v>62.352</v>
      </c>
      <c r="R1028" s="14">
        <f t="shared" si="4"/>
        <v>46.852</v>
      </c>
      <c r="S1028" s="14">
        <f t="shared" si="5"/>
        <v>15.5</v>
      </c>
    </row>
    <row r="1029">
      <c r="A1029" s="12">
        <v>42315.0</v>
      </c>
      <c r="B1029" s="12" t="s">
        <v>2326</v>
      </c>
      <c r="C1029" s="2">
        <v>42200.0</v>
      </c>
      <c r="D1029" s="15" t="str">
        <f t="shared" si="1"/>
        <v>Jul</v>
      </c>
      <c r="E1029" s="2" t="str">
        <f t="shared" si="2"/>
        <v>2015</v>
      </c>
      <c r="F1029" s="13" t="s">
        <v>41</v>
      </c>
      <c r="G1029" s="13" t="s">
        <v>2586</v>
      </c>
      <c r="H1029" s="13" t="s">
        <v>2424</v>
      </c>
      <c r="I1029" s="13" t="s">
        <v>34</v>
      </c>
      <c r="J1029" s="13" t="s">
        <v>637</v>
      </c>
      <c r="K1029" s="13" t="s">
        <v>462</v>
      </c>
      <c r="L1029" s="13" t="s">
        <v>100</v>
      </c>
      <c r="M1029" s="13" t="s">
        <v>38</v>
      </c>
      <c r="N1029" s="14">
        <v>177.2</v>
      </c>
      <c r="O1029" s="14">
        <v>176.99</v>
      </c>
      <c r="P1029" s="13">
        <v>7.0</v>
      </c>
      <c r="Q1029" s="14">
        <f t="shared" si="3"/>
        <v>1240.4</v>
      </c>
      <c r="R1029" s="14">
        <f t="shared" si="4"/>
        <v>1063.41</v>
      </c>
      <c r="S1029" s="14">
        <f t="shared" si="5"/>
        <v>176.99</v>
      </c>
    </row>
    <row r="1030">
      <c r="A1030" s="12">
        <v>42315.0</v>
      </c>
      <c r="B1030" s="12" t="s">
        <v>2326</v>
      </c>
      <c r="C1030" s="2">
        <v>42200.0</v>
      </c>
      <c r="D1030" s="15" t="str">
        <f t="shared" si="1"/>
        <v>Jul</v>
      </c>
      <c r="E1030" s="2" t="str">
        <f t="shared" si="2"/>
        <v>2015</v>
      </c>
      <c r="F1030" s="13" t="s">
        <v>41</v>
      </c>
      <c r="G1030" s="13" t="s">
        <v>2586</v>
      </c>
      <c r="H1030" s="13" t="s">
        <v>2424</v>
      </c>
      <c r="I1030" s="13" t="s">
        <v>34</v>
      </c>
      <c r="J1030" s="13" t="s">
        <v>637</v>
      </c>
      <c r="K1030" s="13" t="s">
        <v>462</v>
      </c>
      <c r="L1030" s="13" t="s">
        <v>100</v>
      </c>
      <c r="M1030" s="13" t="s">
        <v>51</v>
      </c>
      <c r="N1030" s="14">
        <v>197.97</v>
      </c>
      <c r="O1030" s="14">
        <v>197.65</v>
      </c>
      <c r="P1030" s="13">
        <v>7.0</v>
      </c>
      <c r="Q1030" s="14">
        <f t="shared" si="3"/>
        <v>1385.79</v>
      </c>
      <c r="R1030" s="14">
        <f t="shared" si="4"/>
        <v>1188.14</v>
      </c>
      <c r="S1030" s="14">
        <f t="shared" si="5"/>
        <v>197.65</v>
      </c>
    </row>
    <row r="1031">
      <c r="A1031" s="12">
        <v>42315.0</v>
      </c>
      <c r="B1031" s="12" t="s">
        <v>2326</v>
      </c>
      <c r="C1031" s="2">
        <v>42200.0</v>
      </c>
      <c r="D1031" s="15" t="str">
        <f t="shared" si="1"/>
        <v>Jul</v>
      </c>
      <c r="E1031" s="2" t="str">
        <f t="shared" si="2"/>
        <v>2015</v>
      </c>
      <c r="F1031" s="13" t="s">
        <v>41</v>
      </c>
      <c r="G1031" s="13" t="s">
        <v>2586</v>
      </c>
      <c r="H1031" s="13" t="s">
        <v>2424</v>
      </c>
      <c r="I1031" s="13" t="s">
        <v>34</v>
      </c>
      <c r="J1031" s="13" t="s">
        <v>637</v>
      </c>
      <c r="K1031" s="13" t="s">
        <v>462</v>
      </c>
      <c r="L1031" s="13" t="s">
        <v>100</v>
      </c>
      <c r="M1031" s="13" t="s">
        <v>27</v>
      </c>
      <c r="N1031" s="14">
        <v>854.94</v>
      </c>
      <c r="O1031" s="14">
        <v>854.7</v>
      </c>
      <c r="P1031" s="13">
        <v>7.0</v>
      </c>
      <c r="Q1031" s="14">
        <f t="shared" si="3"/>
        <v>5984.58</v>
      </c>
      <c r="R1031" s="14">
        <f t="shared" si="4"/>
        <v>5129.88</v>
      </c>
      <c r="S1031" s="14">
        <f t="shared" si="5"/>
        <v>854.7</v>
      </c>
    </row>
    <row r="1032">
      <c r="A1032" s="12">
        <v>42315.0</v>
      </c>
      <c r="B1032" s="12" t="s">
        <v>2326</v>
      </c>
      <c r="C1032" s="2">
        <v>42200.0</v>
      </c>
      <c r="D1032" s="15" t="str">
        <f t="shared" si="1"/>
        <v>Jul</v>
      </c>
      <c r="E1032" s="2" t="str">
        <f t="shared" si="2"/>
        <v>2015</v>
      </c>
      <c r="F1032" s="13" t="s">
        <v>41</v>
      </c>
      <c r="G1032" s="13" t="s">
        <v>2586</v>
      </c>
      <c r="H1032" s="13" t="s">
        <v>2424</v>
      </c>
      <c r="I1032" s="13" t="s">
        <v>34</v>
      </c>
      <c r="J1032" s="13" t="s">
        <v>637</v>
      </c>
      <c r="K1032" s="13" t="s">
        <v>462</v>
      </c>
      <c r="L1032" s="13" t="s">
        <v>100</v>
      </c>
      <c r="M1032" s="13" t="s">
        <v>27</v>
      </c>
      <c r="N1032" s="14">
        <v>124.11</v>
      </c>
      <c r="O1032" s="14">
        <v>123.48</v>
      </c>
      <c r="P1032" s="13">
        <v>7.0</v>
      </c>
      <c r="Q1032" s="14">
        <f t="shared" si="3"/>
        <v>868.77</v>
      </c>
      <c r="R1032" s="14">
        <f t="shared" si="4"/>
        <v>745.29</v>
      </c>
      <c r="S1032" s="14">
        <f t="shared" si="5"/>
        <v>123.48</v>
      </c>
    </row>
    <row r="1033">
      <c r="A1033" s="12">
        <v>42315.0</v>
      </c>
      <c r="B1033" s="12" t="s">
        <v>2326</v>
      </c>
      <c r="C1033" s="2">
        <v>42200.0</v>
      </c>
      <c r="D1033" s="15" t="str">
        <f t="shared" si="1"/>
        <v>Jul</v>
      </c>
      <c r="E1033" s="2" t="str">
        <f t="shared" si="2"/>
        <v>2015</v>
      </c>
      <c r="F1033" s="13" t="s">
        <v>41</v>
      </c>
      <c r="G1033" s="13" t="s">
        <v>2586</v>
      </c>
      <c r="H1033" s="13" t="s">
        <v>2424</v>
      </c>
      <c r="I1033" s="13" t="s">
        <v>34</v>
      </c>
      <c r="J1033" s="13" t="s">
        <v>637</v>
      </c>
      <c r="K1033" s="13" t="s">
        <v>462</v>
      </c>
      <c r="L1033" s="13" t="s">
        <v>100</v>
      </c>
      <c r="M1033" s="13" t="s">
        <v>38</v>
      </c>
      <c r="N1033" s="14">
        <v>14.4</v>
      </c>
      <c r="O1033" s="14">
        <v>13.61</v>
      </c>
      <c r="P1033" s="13">
        <v>7.0</v>
      </c>
      <c r="Q1033" s="14">
        <f t="shared" si="3"/>
        <v>100.8</v>
      </c>
      <c r="R1033" s="14">
        <f t="shared" si="4"/>
        <v>87.19</v>
      </c>
      <c r="S1033" s="14">
        <f t="shared" si="5"/>
        <v>13.61</v>
      </c>
    </row>
    <row r="1034">
      <c r="A1034" s="12">
        <v>43059.0</v>
      </c>
      <c r="B1034" s="12" t="s">
        <v>2326</v>
      </c>
      <c r="C1034" s="2">
        <v>43061.0</v>
      </c>
      <c r="D1034" s="15" t="str">
        <f t="shared" si="1"/>
        <v>Nov</v>
      </c>
      <c r="E1034" s="2" t="str">
        <f t="shared" si="2"/>
        <v>2017</v>
      </c>
      <c r="F1034" s="13" t="s">
        <v>121</v>
      </c>
      <c r="G1034" s="13" t="s">
        <v>2334</v>
      </c>
      <c r="H1034" s="13" t="s">
        <v>2862</v>
      </c>
      <c r="I1034" s="13" t="s">
        <v>23</v>
      </c>
      <c r="J1034" s="13" t="s">
        <v>579</v>
      </c>
      <c r="K1034" s="13" t="s">
        <v>304</v>
      </c>
      <c r="L1034" s="13" t="s">
        <v>100</v>
      </c>
      <c r="M1034" s="13" t="s">
        <v>38</v>
      </c>
      <c r="N1034" s="14">
        <v>15.696</v>
      </c>
      <c r="O1034" s="14">
        <v>15.49</v>
      </c>
      <c r="P1034" s="13">
        <v>4.0</v>
      </c>
      <c r="Q1034" s="14">
        <f t="shared" si="3"/>
        <v>62.784</v>
      </c>
      <c r="R1034" s="14">
        <f t="shared" si="4"/>
        <v>47.294</v>
      </c>
      <c r="S1034" s="14">
        <f t="shared" si="5"/>
        <v>15.49</v>
      </c>
    </row>
    <row r="1035">
      <c r="A1035" s="12">
        <v>43059.0</v>
      </c>
      <c r="B1035" s="12" t="s">
        <v>2326</v>
      </c>
      <c r="C1035" s="2">
        <v>43061.0</v>
      </c>
      <c r="D1035" s="15" t="str">
        <f t="shared" si="1"/>
        <v>Nov</v>
      </c>
      <c r="E1035" s="2" t="str">
        <f t="shared" si="2"/>
        <v>2017</v>
      </c>
      <c r="F1035" s="13" t="s">
        <v>121</v>
      </c>
      <c r="G1035" s="13" t="s">
        <v>2334</v>
      </c>
      <c r="H1035" s="13" t="s">
        <v>2862</v>
      </c>
      <c r="I1035" s="13" t="s">
        <v>23</v>
      </c>
      <c r="J1035" s="13" t="s">
        <v>579</v>
      </c>
      <c r="K1035" s="13" t="s">
        <v>304</v>
      </c>
      <c r="L1035" s="13" t="s">
        <v>100</v>
      </c>
      <c r="M1035" s="13" t="s">
        <v>38</v>
      </c>
      <c r="N1035" s="14">
        <v>2.628</v>
      </c>
      <c r="O1035" s="14">
        <v>2.43</v>
      </c>
      <c r="P1035" s="13">
        <v>4.0</v>
      </c>
      <c r="Q1035" s="14">
        <f t="shared" si="3"/>
        <v>10.512</v>
      </c>
      <c r="R1035" s="14">
        <f t="shared" si="4"/>
        <v>8.082</v>
      </c>
      <c r="S1035" s="14">
        <f t="shared" si="5"/>
        <v>2.43</v>
      </c>
    </row>
    <row r="1036">
      <c r="A1036" s="12">
        <v>43059.0</v>
      </c>
      <c r="B1036" s="12" t="s">
        <v>2326</v>
      </c>
      <c r="C1036" s="2">
        <v>43061.0</v>
      </c>
      <c r="D1036" s="15" t="str">
        <f t="shared" si="1"/>
        <v>Nov</v>
      </c>
      <c r="E1036" s="2" t="str">
        <f t="shared" si="2"/>
        <v>2017</v>
      </c>
      <c r="F1036" s="13" t="s">
        <v>121</v>
      </c>
      <c r="G1036" s="13" t="s">
        <v>2334</v>
      </c>
      <c r="H1036" s="13" t="s">
        <v>2862</v>
      </c>
      <c r="I1036" s="13" t="s">
        <v>23</v>
      </c>
      <c r="J1036" s="13" t="s">
        <v>579</v>
      </c>
      <c r="K1036" s="13" t="s">
        <v>304</v>
      </c>
      <c r="L1036" s="13" t="s">
        <v>100</v>
      </c>
      <c r="M1036" s="13" t="s">
        <v>38</v>
      </c>
      <c r="N1036" s="14">
        <v>14.427</v>
      </c>
      <c r="O1036" s="14">
        <v>13.89</v>
      </c>
      <c r="P1036" s="13">
        <v>4.0</v>
      </c>
      <c r="Q1036" s="14">
        <f t="shared" si="3"/>
        <v>57.708</v>
      </c>
      <c r="R1036" s="14">
        <f t="shared" si="4"/>
        <v>43.818</v>
      </c>
      <c r="S1036" s="14">
        <f t="shared" si="5"/>
        <v>13.89</v>
      </c>
    </row>
    <row r="1037">
      <c r="A1037" s="12">
        <v>42847.0</v>
      </c>
      <c r="B1037" s="12" t="s">
        <v>2332</v>
      </c>
      <c r="C1037" s="2">
        <v>42851.0</v>
      </c>
      <c r="D1037" s="15" t="str">
        <f t="shared" si="1"/>
        <v>Apr</v>
      </c>
      <c r="E1037" s="2" t="str">
        <f t="shared" si="2"/>
        <v>2017</v>
      </c>
      <c r="F1037" s="13" t="s">
        <v>41</v>
      </c>
      <c r="G1037" s="13" t="s">
        <v>2626</v>
      </c>
      <c r="H1037" s="13" t="s">
        <v>2816</v>
      </c>
      <c r="I1037" s="13" t="s">
        <v>68</v>
      </c>
      <c r="J1037" s="13" t="s">
        <v>1739</v>
      </c>
      <c r="K1037" s="13" t="s">
        <v>351</v>
      </c>
      <c r="L1037" s="13" t="s">
        <v>71</v>
      </c>
      <c r="M1037" s="13" t="s">
        <v>27</v>
      </c>
      <c r="N1037" s="14">
        <v>86.62</v>
      </c>
      <c r="O1037" s="14">
        <v>86.12</v>
      </c>
      <c r="P1037" s="13">
        <v>6.0</v>
      </c>
      <c r="Q1037" s="14">
        <f t="shared" si="3"/>
        <v>519.72</v>
      </c>
      <c r="R1037" s="14">
        <f t="shared" si="4"/>
        <v>433.6</v>
      </c>
      <c r="S1037" s="14">
        <f t="shared" si="5"/>
        <v>86.12</v>
      </c>
    </row>
    <row r="1038">
      <c r="A1038" s="12">
        <v>42534.0</v>
      </c>
      <c r="B1038" s="12" t="s">
        <v>2374</v>
      </c>
      <c r="C1038" s="2">
        <v>42535.0</v>
      </c>
      <c r="D1038" s="15" t="str">
        <f t="shared" si="1"/>
        <v>Jun</v>
      </c>
      <c r="E1038" s="2" t="str">
        <f t="shared" si="2"/>
        <v>2016</v>
      </c>
      <c r="F1038" s="13" t="s">
        <v>121</v>
      </c>
      <c r="G1038" s="13" t="s">
        <v>2475</v>
      </c>
      <c r="H1038" s="13" t="s">
        <v>205</v>
      </c>
      <c r="I1038" s="13" t="s">
        <v>23</v>
      </c>
      <c r="J1038" s="13" t="s">
        <v>35</v>
      </c>
      <c r="K1038" s="13" t="s">
        <v>52</v>
      </c>
      <c r="L1038" s="13" t="s">
        <v>37</v>
      </c>
      <c r="M1038" s="13" t="s">
        <v>38</v>
      </c>
      <c r="N1038" s="14">
        <v>36.624</v>
      </c>
      <c r="O1038" s="14">
        <v>35.71</v>
      </c>
      <c r="P1038" s="13">
        <v>9.0</v>
      </c>
      <c r="Q1038" s="14">
        <f t="shared" si="3"/>
        <v>329.616</v>
      </c>
      <c r="R1038" s="14">
        <f t="shared" si="4"/>
        <v>293.906</v>
      </c>
      <c r="S1038" s="14">
        <f t="shared" si="5"/>
        <v>35.71</v>
      </c>
    </row>
    <row r="1039">
      <c r="A1039" s="12">
        <v>43424.0</v>
      </c>
      <c r="B1039" s="12" t="s">
        <v>2326</v>
      </c>
      <c r="C1039" s="2">
        <v>43425.0</v>
      </c>
      <c r="D1039" s="15" t="str">
        <f t="shared" si="1"/>
        <v>Nov</v>
      </c>
      <c r="E1039" s="2" t="str">
        <f t="shared" si="2"/>
        <v>2018</v>
      </c>
      <c r="F1039" s="13" t="s">
        <v>121</v>
      </c>
      <c r="G1039" s="13" t="s">
        <v>2475</v>
      </c>
      <c r="H1039" s="13" t="s">
        <v>2863</v>
      </c>
      <c r="I1039" s="13" t="s">
        <v>23</v>
      </c>
      <c r="J1039" s="13" t="s">
        <v>1237</v>
      </c>
      <c r="K1039" s="13" t="s">
        <v>58</v>
      </c>
      <c r="L1039" s="13" t="s">
        <v>26</v>
      </c>
      <c r="M1039" s="13" t="s">
        <v>38</v>
      </c>
      <c r="N1039" s="14">
        <v>23.968</v>
      </c>
      <c r="O1039" s="14">
        <v>23.57</v>
      </c>
      <c r="P1039" s="13">
        <v>2.0</v>
      </c>
      <c r="Q1039" s="14">
        <f t="shared" si="3"/>
        <v>47.936</v>
      </c>
      <c r="R1039" s="14">
        <f t="shared" si="4"/>
        <v>24.366</v>
      </c>
      <c r="S1039" s="14">
        <f t="shared" si="5"/>
        <v>23.57</v>
      </c>
    </row>
    <row r="1040">
      <c r="A1040" s="12">
        <v>43424.0</v>
      </c>
      <c r="B1040" s="12" t="s">
        <v>2326</v>
      </c>
      <c r="C1040" s="2">
        <v>43425.0</v>
      </c>
      <c r="D1040" s="15" t="str">
        <f t="shared" si="1"/>
        <v>Nov</v>
      </c>
      <c r="E1040" s="2" t="str">
        <f t="shared" si="2"/>
        <v>2018</v>
      </c>
      <c r="F1040" s="13" t="s">
        <v>121</v>
      </c>
      <c r="G1040" s="13" t="s">
        <v>2475</v>
      </c>
      <c r="H1040" s="13" t="s">
        <v>2863</v>
      </c>
      <c r="I1040" s="13" t="s">
        <v>23</v>
      </c>
      <c r="J1040" s="13" t="s">
        <v>1237</v>
      </c>
      <c r="K1040" s="13" t="s">
        <v>58</v>
      </c>
      <c r="L1040" s="13" t="s">
        <v>26</v>
      </c>
      <c r="M1040" s="13" t="s">
        <v>38</v>
      </c>
      <c r="N1040" s="14">
        <v>28.728</v>
      </c>
      <c r="O1040" s="14">
        <v>28.47</v>
      </c>
      <c r="P1040" s="13">
        <v>2.0</v>
      </c>
      <c r="Q1040" s="14">
        <f t="shared" si="3"/>
        <v>57.456</v>
      </c>
      <c r="R1040" s="14">
        <f t="shared" si="4"/>
        <v>28.986</v>
      </c>
      <c r="S1040" s="14">
        <f t="shared" si="5"/>
        <v>28.47</v>
      </c>
    </row>
    <row r="1041">
      <c r="A1041" s="12">
        <v>42814.0</v>
      </c>
      <c r="B1041" s="12" t="s">
        <v>2399</v>
      </c>
      <c r="C1041" s="2">
        <v>42818.0</v>
      </c>
      <c r="D1041" s="15" t="str">
        <f t="shared" si="1"/>
        <v>Mar</v>
      </c>
      <c r="E1041" s="2" t="str">
        <f t="shared" si="2"/>
        <v>2017</v>
      </c>
      <c r="F1041" s="13" t="s">
        <v>41</v>
      </c>
      <c r="G1041" s="13" t="s">
        <v>2480</v>
      </c>
      <c r="H1041" s="13" t="s">
        <v>2864</v>
      </c>
      <c r="I1041" s="13" t="s">
        <v>68</v>
      </c>
      <c r="J1041" s="13" t="s">
        <v>1751</v>
      </c>
      <c r="K1041" s="13" t="s">
        <v>351</v>
      </c>
      <c r="L1041" s="13" t="s">
        <v>71</v>
      </c>
      <c r="M1041" s="13" t="s">
        <v>27</v>
      </c>
      <c r="N1041" s="14">
        <v>697.16</v>
      </c>
      <c r="O1041" s="14">
        <v>697.14</v>
      </c>
      <c r="P1041" s="13">
        <v>6.0</v>
      </c>
      <c r="Q1041" s="14">
        <f t="shared" si="3"/>
        <v>4182.96</v>
      </c>
      <c r="R1041" s="14">
        <f t="shared" si="4"/>
        <v>3485.82</v>
      </c>
      <c r="S1041" s="14">
        <f t="shared" si="5"/>
        <v>697.14</v>
      </c>
    </row>
    <row r="1042">
      <c r="A1042" s="12">
        <v>42895.0</v>
      </c>
      <c r="B1042" s="12" t="s">
        <v>2374</v>
      </c>
      <c r="C1042" s="2">
        <v>42987.0</v>
      </c>
      <c r="D1042" s="15" t="str">
        <f t="shared" si="1"/>
        <v>Sep</v>
      </c>
      <c r="E1042" s="2" t="str">
        <f t="shared" si="2"/>
        <v>2017</v>
      </c>
      <c r="F1042" s="13" t="s">
        <v>20</v>
      </c>
      <c r="G1042" s="13" t="s">
        <v>2489</v>
      </c>
      <c r="H1042" s="13" t="s">
        <v>2865</v>
      </c>
      <c r="I1042" s="13" t="s">
        <v>23</v>
      </c>
      <c r="J1042" s="13" t="s">
        <v>174</v>
      </c>
      <c r="K1042" s="13" t="s">
        <v>175</v>
      </c>
      <c r="L1042" s="13" t="s">
        <v>100</v>
      </c>
      <c r="M1042" s="13" t="s">
        <v>51</v>
      </c>
      <c r="N1042" s="14">
        <v>31.86</v>
      </c>
      <c r="O1042" s="14">
        <v>31.06</v>
      </c>
      <c r="P1042" s="13">
        <v>1.0</v>
      </c>
      <c r="Q1042" s="14">
        <f t="shared" si="3"/>
        <v>31.86</v>
      </c>
      <c r="R1042" s="14">
        <f t="shared" si="4"/>
        <v>0.8</v>
      </c>
      <c r="S1042" s="14">
        <f t="shared" si="5"/>
        <v>31.06</v>
      </c>
    </row>
    <row r="1043">
      <c r="A1043" s="12">
        <v>42895.0</v>
      </c>
      <c r="B1043" s="12" t="s">
        <v>2374</v>
      </c>
      <c r="C1043" s="2">
        <v>42987.0</v>
      </c>
      <c r="D1043" s="15" t="str">
        <f t="shared" si="1"/>
        <v>Sep</v>
      </c>
      <c r="E1043" s="2" t="str">
        <f t="shared" si="2"/>
        <v>2017</v>
      </c>
      <c r="F1043" s="13" t="s">
        <v>20</v>
      </c>
      <c r="G1043" s="13" t="s">
        <v>2489</v>
      </c>
      <c r="H1043" s="13" t="s">
        <v>2865</v>
      </c>
      <c r="I1043" s="13" t="s">
        <v>23</v>
      </c>
      <c r="J1043" s="13" t="s">
        <v>174</v>
      </c>
      <c r="K1043" s="13" t="s">
        <v>175</v>
      </c>
      <c r="L1043" s="13" t="s">
        <v>100</v>
      </c>
      <c r="M1043" s="13" t="s">
        <v>27</v>
      </c>
      <c r="N1043" s="14">
        <v>722.352</v>
      </c>
      <c r="O1043" s="14">
        <v>721.86</v>
      </c>
      <c r="P1043" s="13">
        <v>1.0</v>
      </c>
      <c r="Q1043" s="14">
        <f t="shared" si="3"/>
        <v>722.352</v>
      </c>
      <c r="R1043" s="14">
        <f t="shared" si="4"/>
        <v>0.492</v>
      </c>
      <c r="S1043" s="14">
        <f t="shared" si="5"/>
        <v>721.86</v>
      </c>
    </row>
    <row r="1044">
      <c r="A1044" s="12">
        <v>43350.0</v>
      </c>
      <c r="B1044" s="12" t="s">
        <v>2329</v>
      </c>
      <c r="C1044" s="2">
        <v>43441.0</v>
      </c>
      <c r="D1044" s="15" t="str">
        <f t="shared" si="1"/>
        <v>Dec</v>
      </c>
      <c r="E1044" s="2" t="str">
        <f t="shared" si="2"/>
        <v>2018</v>
      </c>
      <c r="F1044" s="13" t="s">
        <v>121</v>
      </c>
      <c r="G1044" s="13" t="s">
        <v>2866</v>
      </c>
      <c r="H1044" s="13" t="s">
        <v>2867</v>
      </c>
      <c r="I1044" s="13" t="s">
        <v>34</v>
      </c>
      <c r="J1044" s="13" t="s">
        <v>188</v>
      </c>
      <c r="K1044" s="13" t="s">
        <v>135</v>
      </c>
      <c r="L1044" s="13" t="s">
        <v>71</v>
      </c>
      <c r="M1044" s="13" t="s">
        <v>38</v>
      </c>
      <c r="N1044" s="14">
        <v>8.84</v>
      </c>
      <c r="O1044" s="14">
        <v>8.27</v>
      </c>
      <c r="P1044" s="13">
        <v>6.0</v>
      </c>
      <c r="Q1044" s="14">
        <f t="shared" si="3"/>
        <v>53.04</v>
      </c>
      <c r="R1044" s="14">
        <f t="shared" si="4"/>
        <v>44.77</v>
      </c>
      <c r="S1044" s="14">
        <f t="shared" si="5"/>
        <v>8.27</v>
      </c>
    </row>
    <row r="1045">
      <c r="A1045" s="12">
        <v>43350.0</v>
      </c>
      <c r="B1045" s="12" t="s">
        <v>2329</v>
      </c>
      <c r="C1045" s="2">
        <v>43441.0</v>
      </c>
      <c r="D1045" s="15" t="str">
        <f t="shared" si="1"/>
        <v>Dec</v>
      </c>
      <c r="E1045" s="2" t="str">
        <f t="shared" si="2"/>
        <v>2018</v>
      </c>
      <c r="F1045" s="13" t="s">
        <v>121</v>
      </c>
      <c r="G1045" s="13" t="s">
        <v>2866</v>
      </c>
      <c r="H1045" s="13" t="s">
        <v>2867</v>
      </c>
      <c r="I1045" s="13" t="s">
        <v>34</v>
      </c>
      <c r="J1045" s="13" t="s">
        <v>188</v>
      </c>
      <c r="K1045" s="13" t="s">
        <v>135</v>
      </c>
      <c r="L1045" s="13" t="s">
        <v>71</v>
      </c>
      <c r="M1045" s="13" t="s">
        <v>38</v>
      </c>
      <c r="N1045" s="14">
        <v>58.464</v>
      </c>
      <c r="O1045" s="14">
        <v>58.24</v>
      </c>
      <c r="P1045" s="13">
        <v>6.0</v>
      </c>
      <c r="Q1045" s="14">
        <f t="shared" si="3"/>
        <v>350.784</v>
      </c>
      <c r="R1045" s="14">
        <f t="shared" si="4"/>
        <v>292.544</v>
      </c>
      <c r="S1045" s="14">
        <f t="shared" si="5"/>
        <v>58.24</v>
      </c>
    </row>
    <row r="1046">
      <c r="A1046" s="12">
        <v>43444.0</v>
      </c>
      <c r="B1046" s="12" t="s">
        <v>2325</v>
      </c>
      <c r="C1046" s="2">
        <v>43389.0</v>
      </c>
      <c r="D1046" s="15" t="str">
        <f t="shared" si="1"/>
        <v>Oct</v>
      </c>
      <c r="E1046" s="2" t="str">
        <f t="shared" si="2"/>
        <v>2018</v>
      </c>
      <c r="F1046" s="13" t="s">
        <v>41</v>
      </c>
      <c r="G1046" s="13" t="s">
        <v>2363</v>
      </c>
      <c r="H1046" s="13" t="s">
        <v>2364</v>
      </c>
      <c r="I1046" s="13" t="s">
        <v>68</v>
      </c>
      <c r="J1046" s="13" t="s">
        <v>1760</v>
      </c>
      <c r="K1046" s="13" t="s">
        <v>135</v>
      </c>
      <c r="L1046" s="13" t="s">
        <v>71</v>
      </c>
      <c r="M1046" s="13" t="s">
        <v>27</v>
      </c>
      <c r="N1046" s="14">
        <v>254.604</v>
      </c>
      <c r="O1046" s="14">
        <v>254.22</v>
      </c>
      <c r="P1046" s="13">
        <v>6.0</v>
      </c>
      <c r="Q1046" s="14">
        <f t="shared" si="3"/>
        <v>1527.624</v>
      </c>
      <c r="R1046" s="14">
        <f t="shared" si="4"/>
        <v>1273.404</v>
      </c>
      <c r="S1046" s="14">
        <f t="shared" si="5"/>
        <v>254.22</v>
      </c>
    </row>
    <row r="1047">
      <c r="A1047" s="12">
        <v>42950.0</v>
      </c>
      <c r="B1047" s="12" t="s">
        <v>2322</v>
      </c>
      <c r="C1047" s="2">
        <v>42807.0</v>
      </c>
      <c r="D1047" s="15" t="str">
        <f t="shared" si="1"/>
        <v>Mar</v>
      </c>
      <c r="E1047" s="2" t="str">
        <f t="shared" si="2"/>
        <v>2017</v>
      </c>
      <c r="F1047" s="13" t="s">
        <v>41</v>
      </c>
      <c r="G1047" s="13" t="s">
        <v>2344</v>
      </c>
      <c r="H1047" s="13" t="s">
        <v>2689</v>
      </c>
      <c r="I1047" s="13" t="s">
        <v>23</v>
      </c>
      <c r="J1047" s="13" t="s">
        <v>791</v>
      </c>
      <c r="K1047" s="13" t="s">
        <v>145</v>
      </c>
      <c r="L1047" s="13" t="s">
        <v>26</v>
      </c>
      <c r="M1047" s="13" t="s">
        <v>51</v>
      </c>
      <c r="N1047" s="14">
        <v>1363.96</v>
      </c>
      <c r="O1047" s="14">
        <v>1363.84</v>
      </c>
      <c r="P1047" s="13">
        <v>3.0</v>
      </c>
      <c r="Q1047" s="14">
        <f t="shared" si="3"/>
        <v>4091.88</v>
      </c>
      <c r="R1047" s="14">
        <f t="shared" si="4"/>
        <v>2728.04</v>
      </c>
      <c r="S1047" s="14">
        <f t="shared" si="5"/>
        <v>1363.84</v>
      </c>
    </row>
    <row r="1048">
      <c r="A1048" s="12">
        <v>42950.0</v>
      </c>
      <c r="B1048" s="12" t="s">
        <v>2322</v>
      </c>
      <c r="C1048" s="2">
        <v>42807.0</v>
      </c>
      <c r="D1048" s="15" t="str">
        <f t="shared" si="1"/>
        <v>Mar</v>
      </c>
      <c r="E1048" s="2" t="str">
        <f t="shared" si="2"/>
        <v>2017</v>
      </c>
      <c r="F1048" s="13" t="s">
        <v>41</v>
      </c>
      <c r="G1048" s="13" t="s">
        <v>2344</v>
      </c>
      <c r="H1048" s="13" t="s">
        <v>2689</v>
      </c>
      <c r="I1048" s="13" t="s">
        <v>23</v>
      </c>
      <c r="J1048" s="13" t="s">
        <v>791</v>
      </c>
      <c r="K1048" s="13" t="s">
        <v>145</v>
      </c>
      <c r="L1048" s="13" t="s">
        <v>26</v>
      </c>
      <c r="M1048" s="13" t="s">
        <v>27</v>
      </c>
      <c r="N1048" s="14">
        <v>102.36</v>
      </c>
      <c r="O1048" s="14">
        <v>101.47</v>
      </c>
      <c r="P1048" s="13">
        <v>3.0</v>
      </c>
      <c r="Q1048" s="14">
        <f t="shared" si="3"/>
        <v>307.08</v>
      </c>
      <c r="R1048" s="14">
        <f t="shared" si="4"/>
        <v>205.61</v>
      </c>
      <c r="S1048" s="14">
        <f t="shared" si="5"/>
        <v>101.47</v>
      </c>
    </row>
    <row r="1049">
      <c r="A1049" s="12">
        <v>42151.0</v>
      </c>
      <c r="B1049" s="12" t="s">
        <v>2335</v>
      </c>
      <c r="C1049" s="2">
        <v>42010.0</v>
      </c>
      <c r="D1049" s="15" t="str">
        <f t="shared" si="1"/>
        <v>Jan</v>
      </c>
      <c r="E1049" s="2" t="str">
        <f t="shared" si="2"/>
        <v>2015</v>
      </c>
      <c r="F1049" s="13" t="s">
        <v>20</v>
      </c>
      <c r="G1049" s="13" t="s">
        <v>2375</v>
      </c>
      <c r="H1049" s="13" t="s">
        <v>2401</v>
      </c>
      <c r="I1049" s="13" t="s">
        <v>23</v>
      </c>
      <c r="J1049" s="13" t="s">
        <v>87</v>
      </c>
      <c r="K1049" s="13" t="s">
        <v>52</v>
      </c>
      <c r="L1049" s="13" t="s">
        <v>37</v>
      </c>
      <c r="M1049" s="13" t="s">
        <v>51</v>
      </c>
      <c r="N1049" s="14">
        <v>1113.504</v>
      </c>
      <c r="O1049" s="14">
        <v>1113.45</v>
      </c>
      <c r="P1049" s="13">
        <v>9.0</v>
      </c>
      <c r="Q1049" s="14">
        <f t="shared" si="3"/>
        <v>10021.536</v>
      </c>
      <c r="R1049" s="14">
        <f t="shared" si="4"/>
        <v>8908.086</v>
      </c>
      <c r="S1049" s="14">
        <f t="shared" si="5"/>
        <v>1113.45</v>
      </c>
    </row>
    <row r="1050">
      <c r="A1050" s="12">
        <v>42151.0</v>
      </c>
      <c r="B1050" s="12" t="s">
        <v>2335</v>
      </c>
      <c r="C1050" s="2">
        <v>42010.0</v>
      </c>
      <c r="D1050" s="15" t="str">
        <f t="shared" si="1"/>
        <v>Jan</v>
      </c>
      <c r="E1050" s="2" t="str">
        <f t="shared" si="2"/>
        <v>2015</v>
      </c>
      <c r="F1050" s="13" t="s">
        <v>20</v>
      </c>
      <c r="G1050" s="13" t="s">
        <v>2375</v>
      </c>
      <c r="H1050" s="13" t="s">
        <v>2401</v>
      </c>
      <c r="I1050" s="13" t="s">
        <v>23</v>
      </c>
      <c r="J1050" s="13" t="s">
        <v>87</v>
      </c>
      <c r="K1050" s="13" t="s">
        <v>52</v>
      </c>
      <c r="L1050" s="13" t="s">
        <v>37</v>
      </c>
      <c r="M1050" s="13" t="s">
        <v>51</v>
      </c>
      <c r="N1050" s="14">
        <v>99.99</v>
      </c>
      <c r="O1050" s="14">
        <v>99.38</v>
      </c>
      <c r="P1050" s="13">
        <v>9.0</v>
      </c>
      <c r="Q1050" s="14">
        <f t="shared" si="3"/>
        <v>899.91</v>
      </c>
      <c r="R1050" s="14">
        <f t="shared" si="4"/>
        <v>800.53</v>
      </c>
      <c r="S1050" s="14">
        <f t="shared" si="5"/>
        <v>99.38</v>
      </c>
    </row>
    <row r="1051">
      <c r="A1051" s="12">
        <v>42436.0</v>
      </c>
      <c r="B1051" s="12" t="s">
        <v>2399</v>
      </c>
      <c r="C1051" s="2">
        <v>42497.0</v>
      </c>
      <c r="D1051" s="15" t="str">
        <f t="shared" si="1"/>
        <v>May</v>
      </c>
      <c r="E1051" s="2" t="str">
        <f t="shared" si="2"/>
        <v>2016</v>
      </c>
      <c r="F1051" s="13" t="s">
        <v>121</v>
      </c>
      <c r="G1051" s="13" t="s">
        <v>2868</v>
      </c>
      <c r="H1051" s="13" t="s">
        <v>2869</v>
      </c>
      <c r="I1051" s="13" t="s">
        <v>34</v>
      </c>
      <c r="J1051" s="13" t="s">
        <v>98</v>
      </c>
      <c r="K1051" s="13" t="s">
        <v>99</v>
      </c>
      <c r="L1051" s="13" t="s">
        <v>100</v>
      </c>
      <c r="M1051" s="13" t="s">
        <v>27</v>
      </c>
      <c r="N1051" s="14">
        <v>168.464</v>
      </c>
      <c r="O1051" s="14">
        <v>168.38</v>
      </c>
      <c r="P1051" s="13">
        <v>1.0</v>
      </c>
      <c r="Q1051" s="14">
        <f t="shared" si="3"/>
        <v>168.464</v>
      </c>
      <c r="R1051" s="14">
        <f t="shared" si="4"/>
        <v>0.084</v>
      </c>
      <c r="S1051" s="14">
        <f t="shared" si="5"/>
        <v>168.38</v>
      </c>
    </row>
    <row r="1052">
      <c r="A1052" s="12">
        <v>42436.0</v>
      </c>
      <c r="B1052" s="12" t="s">
        <v>2399</v>
      </c>
      <c r="C1052" s="2">
        <v>42497.0</v>
      </c>
      <c r="D1052" s="15" t="str">
        <f t="shared" si="1"/>
        <v>May</v>
      </c>
      <c r="E1052" s="2" t="str">
        <f t="shared" si="2"/>
        <v>2016</v>
      </c>
      <c r="F1052" s="13" t="s">
        <v>121</v>
      </c>
      <c r="G1052" s="13" t="s">
        <v>2868</v>
      </c>
      <c r="H1052" s="13" t="s">
        <v>2869</v>
      </c>
      <c r="I1052" s="13" t="s">
        <v>34</v>
      </c>
      <c r="J1052" s="13" t="s">
        <v>98</v>
      </c>
      <c r="K1052" s="13" t="s">
        <v>99</v>
      </c>
      <c r="L1052" s="13" t="s">
        <v>100</v>
      </c>
      <c r="M1052" s="13" t="s">
        <v>38</v>
      </c>
      <c r="N1052" s="14">
        <v>6.72</v>
      </c>
      <c r="O1052" s="14">
        <v>6.39</v>
      </c>
      <c r="P1052" s="13">
        <v>1.0</v>
      </c>
      <c r="Q1052" s="14">
        <f t="shared" si="3"/>
        <v>6.72</v>
      </c>
      <c r="R1052" s="14">
        <f t="shared" si="4"/>
        <v>0.33</v>
      </c>
      <c r="S1052" s="14">
        <f t="shared" si="5"/>
        <v>6.39</v>
      </c>
    </row>
    <row r="1053">
      <c r="A1053" s="12">
        <v>42436.0</v>
      </c>
      <c r="B1053" s="12" t="s">
        <v>2399</v>
      </c>
      <c r="C1053" s="2">
        <v>42497.0</v>
      </c>
      <c r="D1053" s="15" t="str">
        <f t="shared" si="1"/>
        <v>May</v>
      </c>
      <c r="E1053" s="2" t="str">
        <f t="shared" si="2"/>
        <v>2016</v>
      </c>
      <c r="F1053" s="13" t="s">
        <v>121</v>
      </c>
      <c r="G1053" s="13" t="s">
        <v>2868</v>
      </c>
      <c r="H1053" s="13" t="s">
        <v>2869</v>
      </c>
      <c r="I1053" s="13" t="s">
        <v>34</v>
      </c>
      <c r="J1053" s="13" t="s">
        <v>98</v>
      </c>
      <c r="K1053" s="13" t="s">
        <v>99</v>
      </c>
      <c r="L1053" s="13" t="s">
        <v>100</v>
      </c>
      <c r="M1053" s="13" t="s">
        <v>27</v>
      </c>
      <c r="N1053" s="14">
        <v>282.888</v>
      </c>
      <c r="O1053" s="14">
        <v>282.12</v>
      </c>
      <c r="P1053" s="13">
        <v>1.0</v>
      </c>
      <c r="Q1053" s="14">
        <f t="shared" si="3"/>
        <v>282.888</v>
      </c>
      <c r="R1053" s="14">
        <f t="shared" si="4"/>
        <v>0.768</v>
      </c>
      <c r="S1053" s="14">
        <f t="shared" si="5"/>
        <v>282.12</v>
      </c>
    </row>
    <row r="1054">
      <c r="A1054" s="12">
        <v>42464.0</v>
      </c>
      <c r="B1054" s="12" t="s">
        <v>2332</v>
      </c>
      <c r="C1054" s="2">
        <v>42586.0</v>
      </c>
      <c r="D1054" s="15" t="str">
        <f t="shared" si="1"/>
        <v>Aug</v>
      </c>
      <c r="E1054" s="2" t="str">
        <f t="shared" si="2"/>
        <v>2016</v>
      </c>
      <c r="F1054" s="13" t="s">
        <v>41</v>
      </c>
      <c r="G1054" s="13" t="s">
        <v>2870</v>
      </c>
      <c r="H1054" s="13" t="s">
        <v>2769</v>
      </c>
      <c r="I1054" s="13" t="s">
        <v>68</v>
      </c>
      <c r="J1054" s="13" t="s">
        <v>174</v>
      </c>
      <c r="K1054" s="13" t="s">
        <v>175</v>
      </c>
      <c r="L1054" s="13" t="s">
        <v>100</v>
      </c>
      <c r="M1054" s="13" t="s">
        <v>38</v>
      </c>
      <c r="N1054" s="14">
        <v>11.16</v>
      </c>
      <c r="O1054" s="14">
        <v>10.72</v>
      </c>
      <c r="P1054" s="13">
        <v>1.0</v>
      </c>
      <c r="Q1054" s="14">
        <f t="shared" si="3"/>
        <v>11.16</v>
      </c>
      <c r="R1054" s="14">
        <f t="shared" si="4"/>
        <v>0.44</v>
      </c>
      <c r="S1054" s="14">
        <f t="shared" si="5"/>
        <v>10.72</v>
      </c>
    </row>
    <row r="1055">
      <c r="A1055" s="12">
        <v>42464.0</v>
      </c>
      <c r="B1055" s="12" t="s">
        <v>2332</v>
      </c>
      <c r="C1055" s="2">
        <v>42586.0</v>
      </c>
      <c r="D1055" s="15" t="str">
        <f t="shared" si="1"/>
        <v>Aug</v>
      </c>
      <c r="E1055" s="2" t="str">
        <f t="shared" si="2"/>
        <v>2016</v>
      </c>
      <c r="F1055" s="13" t="s">
        <v>41</v>
      </c>
      <c r="G1055" s="13" t="s">
        <v>2870</v>
      </c>
      <c r="H1055" s="13" t="s">
        <v>2769</v>
      </c>
      <c r="I1055" s="13" t="s">
        <v>68</v>
      </c>
      <c r="J1055" s="13" t="s">
        <v>174</v>
      </c>
      <c r="K1055" s="13" t="s">
        <v>175</v>
      </c>
      <c r="L1055" s="13" t="s">
        <v>100</v>
      </c>
      <c r="M1055" s="13" t="s">
        <v>27</v>
      </c>
      <c r="N1055" s="14">
        <v>108.4</v>
      </c>
      <c r="O1055" s="14">
        <v>107.97</v>
      </c>
      <c r="P1055" s="13">
        <v>1.0</v>
      </c>
      <c r="Q1055" s="14">
        <f t="shared" si="3"/>
        <v>108.4</v>
      </c>
      <c r="R1055" s="14">
        <f t="shared" si="4"/>
        <v>0.43</v>
      </c>
      <c r="S1055" s="14">
        <f t="shared" si="5"/>
        <v>107.97</v>
      </c>
    </row>
    <row r="1056">
      <c r="A1056" s="12">
        <v>42464.0</v>
      </c>
      <c r="B1056" s="12" t="s">
        <v>2332</v>
      </c>
      <c r="C1056" s="2">
        <v>42586.0</v>
      </c>
      <c r="D1056" s="15" t="str">
        <f t="shared" si="1"/>
        <v>Aug</v>
      </c>
      <c r="E1056" s="2" t="str">
        <f t="shared" si="2"/>
        <v>2016</v>
      </c>
      <c r="F1056" s="13" t="s">
        <v>41</v>
      </c>
      <c r="G1056" s="13" t="s">
        <v>2870</v>
      </c>
      <c r="H1056" s="13" t="s">
        <v>2769</v>
      </c>
      <c r="I1056" s="13" t="s">
        <v>68</v>
      </c>
      <c r="J1056" s="13" t="s">
        <v>174</v>
      </c>
      <c r="K1056" s="13" t="s">
        <v>175</v>
      </c>
      <c r="L1056" s="13" t="s">
        <v>100</v>
      </c>
      <c r="M1056" s="13" t="s">
        <v>38</v>
      </c>
      <c r="N1056" s="14">
        <v>82.344</v>
      </c>
      <c r="O1056" s="14">
        <v>82.25</v>
      </c>
      <c r="P1056" s="13">
        <v>1.0</v>
      </c>
      <c r="Q1056" s="14">
        <f t="shared" si="3"/>
        <v>82.344</v>
      </c>
      <c r="R1056" s="14">
        <f t="shared" si="4"/>
        <v>0.094</v>
      </c>
      <c r="S1056" s="14">
        <f t="shared" si="5"/>
        <v>82.25</v>
      </c>
    </row>
    <row r="1057">
      <c r="A1057" s="12">
        <v>42464.0</v>
      </c>
      <c r="B1057" s="12" t="s">
        <v>2332</v>
      </c>
      <c r="C1057" s="2">
        <v>42586.0</v>
      </c>
      <c r="D1057" s="15" t="str">
        <f t="shared" si="1"/>
        <v>Aug</v>
      </c>
      <c r="E1057" s="2" t="str">
        <f t="shared" si="2"/>
        <v>2016</v>
      </c>
      <c r="F1057" s="13" t="s">
        <v>41</v>
      </c>
      <c r="G1057" s="13" t="s">
        <v>2870</v>
      </c>
      <c r="H1057" s="13" t="s">
        <v>2769</v>
      </c>
      <c r="I1057" s="13" t="s">
        <v>68</v>
      </c>
      <c r="J1057" s="13" t="s">
        <v>174</v>
      </c>
      <c r="K1057" s="13" t="s">
        <v>175</v>
      </c>
      <c r="L1057" s="13" t="s">
        <v>100</v>
      </c>
      <c r="M1057" s="13" t="s">
        <v>38</v>
      </c>
      <c r="N1057" s="14">
        <v>9.088</v>
      </c>
      <c r="O1057" s="14">
        <v>8.58</v>
      </c>
      <c r="P1057" s="13">
        <v>1.0</v>
      </c>
      <c r="Q1057" s="14">
        <f t="shared" si="3"/>
        <v>9.088</v>
      </c>
      <c r="R1057" s="14">
        <f t="shared" si="4"/>
        <v>0.508</v>
      </c>
      <c r="S1057" s="14">
        <f t="shared" si="5"/>
        <v>8.58</v>
      </c>
    </row>
    <row r="1058">
      <c r="A1058" s="12">
        <v>43385.0</v>
      </c>
      <c r="B1058" s="12" t="s">
        <v>2358</v>
      </c>
      <c r="C1058" s="2">
        <v>43451.0</v>
      </c>
      <c r="D1058" s="15" t="str">
        <f t="shared" si="1"/>
        <v>Dec</v>
      </c>
      <c r="E1058" s="2" t="str">
        <f t="shared" si="2"/>
        <v>2018</v>
      </c>
      <c r="F1058" s="13" t="s">
        <v>41</v>
      </c>
      <c r="G1058" s="13" t="s">
        <v>2546</v>
      </c>
      <c r="H1058" s="13" t="s">
        <v>2547</v>
      </c>
      <c r="I1058" s="13" t="s">
        <v>34</v>
      </c>
      <c r="J1058" s="13" t="s">
        <v>542</v>
      </c>
      <c r="K1058" s="13" t="s">
        <v>52</v>
      </c>
      <c r="L1058" s="13" t="s">
        <v>37</v>
      </c>
      <c r="M1058" s="13" t="s">
        <v>38</v>
      </c>
      <c r="N1058" s="14">
        <v>19.936</v>
      </c>
      <c r="O1058" s="14">
        <v>19.71</v>
      </c>
      <c r="P1058" s="13">
        <v>9.0</v>
      </c>
      <c r="Q1058" s="14">
        <f t="shared" si="3"/>
        <v>179.424</v>
      </c>
      <c r="R1058" s="14">
        <f t="shared" si="4"/>
        <v>159.714</v>
      </c>
      <c r="S1058" s="14">
        <f t="shared" si="5"/>
        <v>19.71</v>
      </c>
    </row>
    <row r="1059">
      <c r="A1059" s="12">
        <v>43385.0</v>
      </c>
      <c r="B1059" s="12" t="s">
        <v>2358</v>
      </c>
      <c r="C1059" s="2">
        <v>43451.0</v>
      </c>
      <c r="D1059" s="15" t="str">
        <f t="shared" si="1"/>
        <v>Dec</v>
      </c>
      <c r="E1059" s="2" t="str">
        <f t="shared" si="2"/>
        <v>2018</v>
      </c>
      <c r="F1059" s="13" t="s">
        <v>41</v>
      </c>
      <c r="G1059" s="13" t="s">
        <v>2546</v>
      </c>
      <c r="H1059" s="13" t="s">
        <v>2547</v>
      </c>
      <c r="I1059" s="13" t="s">
        <v>34</v>
      </c>
      <c r="J1059" s="13" t="s">
        <v>542</v>
      </c>
      <c r="K1059" s="13" t="s">
        <v>52</v>
      </c>
      <c r="L1059" s="13" t="s">
        <v>37</v>
      </c>
      <c r="M1059" s="13" t="s">
        <v>38</v>
      </c>
      <c r="N1059" s="14">
        <v>65.568</v>
      </c>
      <c r="O1059" s="14">
        <v>65.56</v>
      </c>
      <c r="P1059" s="13">
        <v>9.0</v>
      </c>
      <c r="Q1059" s="14">
        <f t="shared" si="3"/>
        <v>590.112</v>
      </c>
      <c r="R1059" s="14">
        <f t="shared" si="4"/>
        <v>524.552</v>
      </c>
      <c r="S1059" s="14">
        <f t="shared" si="5"/>
        <v>65.56</v>
      </c>
    </row>
    <row r="1060">
      <c r="A1060" s="12">
        <v>43063.0</v>
      </c>
      <c r="B1060" s="12" t="s">
        <v>2326</v>
      </c>
      <c r="C1060" s="2">
        <v>42747.0</v>
      </c>
      <c r="D1060" s="15" t="str">
        <f t="shared" si="1"/>
        <v>Jan</v>
      </c>
      <c r="E1060" s="2" t="str">
        <f t="shared" si="2"/>
        <v>2017</v>
      </c>
      <c r="F1060" s="13" t="s">
        <v>41</v>
      </c>
      <c r="G1060" s="13" t="s">
        <v>2871</v>
      </c>
      <c r="H1060" s="13" t="s">
        <v>2872</v>
      </c>
      <c r="I1060" s="13" t="s">
        <v>68</v>
      </c>
      <c r="J1060" s="13" t="s">
        <v>98</v>
      </c>
      <c r="K1060" s="13" t="s">
        <v>99</v>
      </c>
      <c r="L1060" s="13" t="s">
        <v>100</v>
      </c>
      <c r="M1060" s="13" t="s">
        <v>38</v>
      </c>
      <c r="N1060" s="14">
        <v>4.416</v>
      </c>
      <c r="O1060" s="14">
        <v>3.72</v>
      </c>
      <c r="P1060" s="13">
        <v>1.0</v>
      </c>
      <c r="Q1060" s="14">
        <f t="shared" si="3"/>
        <v>4.416</v>
      </c>
      <c r="R1060" s="14">
        <f t="shared" si="4"/>
        <v>0.696</v>
      </c>
      <c r="S1060" s="14">
        <f t="shared" si="5"/>
        <v>3.72</v>
      </c>
    </row>
    <row r="1061">
      <c r="A1061" s="12">
        <v>42452.0</v>
      </c>
      <c r="B1061" s="12" t="s">
        <v>2399</v>
      </c>
      <c r="C1061" s="2">
        <v>42458.0</v>
      </c>
      <c r="D1061" s="15" t="str">
        <f t="shared" si="1"/>
        <v>Mar</v>
      </c>
      <c r="E1061" s="2" t="str">
        <f t="shared" si="2"/>
        <v>2016</v>
      </c>
      <c r="F1061" s="13" t="s">
        <v>41</v>
      </c>
      <c r="G1061" s="13" t="s">
        <v>2573</v>
      </c>
      <c r="H1061" s="13" t="s">
        <v>2574</v>
      </c>
      <c r="I1061" s="13" t="s">
        <v>23</v>
      </c>
      <c r="J1061" s="13" t="s">
        <v>129</v>
      </c>
      <c r="K1061" s="13" t="s">
        <v>70</v>
      </c>
      <c r="L1061" s="13" t="s">
        <v>71</v>
      </c>
      <c r="M1061" s="13" t="s">
        <v>27</v>
      </c>
      <c r="N1061" s="14">
        <v>107.772</v>
      </c>
      <c r="O1061" s="14">
        <v>107.11</v>
      </c>
      <c r="P1061" s="13">
        <v>7.0</v>
      </c>
      <c r="Q1061" s="14">
        <f t="shared" si="3"/>
        <v>754.404</v>
      </c>
      <c r="R1061" s="14">
        <f t="shared" si="4"/>
        <v>647.294</v>
      </c>
      <c r="S1061" s="14">
        <f t="shared" si="5"/>
        <v>107.11</v>
      </c>
    </row>
    <row r="1062">
      <c r="A1062" s="12">
        <v>42476.0</v>
      </c>
      <c r="B1062" s="12" t="s">
        <v>2332</v>
      </c>
      <c r="C1062" s="2">
        <v>42481.0</v>
      </c>
      <c r="D1062" s="15" t="str">
        <f t="shared" si="1"/>
        <v>Apr</v>
      </c>
      <c r="E1062" s="2" t="str">
        <f t="shared" si="2"/>
        <v>2016</v>
      </c>
      <c r="F1062" s="13" t="s">
        <v>41</v>
      </c>
      <c r="G1062" s="13" t="s">
        <v>2873</v>
      </c>
      <c r="H1062" s="13" t="s">
        <v>2874</v>
      </c>
      <c r="I1062" s="13" t="s">
        <v>34</v>
      </c>
      <c r="J1062" s="13" t="s">
        <v>1598</v>
      </c>
      <c r="K1062" s="13" t="s">
        <v>304</v>
      </c>
      <c r="L1062" s="13" t="s">
        <v>100</v>
      </c>
      <c r="M1062" s="13" t="s">
        <v>38</v>
      </c>
      <c r="N1062" s="14">
        <v>45.216</v>
      </c>
      <c r="O1062" s="14">
        <v>44.86</v>
      </c>
      <c r="P1062" s="13">
        <v>4.0</v>
      </c>
      <c r="Q1062" s="14">
        <f t="shared" si="3"/>
        <v>180.864</v>
      </c>
      <c r="R1062" s="14">
        <f t="shared" si="4"/>
        <v>136.004</v>
      </c>
      <c r="S1062" s="14">
        <f t="shared" si="5"/>
        <v>44.86</v>
      </c>
    </row>
    <row r="1063">
      <c r="A1063" s="12">
        <v>42476.0</v>
      </c>
      <c r="B1063" s="12" t="s">
        <v>2332</v>
      </c>
      <c r="C1063" s="2">
        <v>42481.0</v>
      </c>
      <c r="D1063" s="15" t="str">
        <f t="shared" si="1"/>
        <v>Apr</v>
      </c>
      <c r="E1063" s="2" t="str">
        <f t="shared" si="2"/>
        <v>2016</v>
      </c>
      <c r="F1063" s="13" t="s">
        <v>41</v>
      </c>
      <c r="G1063" s="13" t="s">
        <v>2873</v>
      </c>
      <c r="H1063" s="13" t="s">
        <v>2874</v>
      </c>
      <c r="I1063" s="13" t="s">
        <v>34</v>
      </c>
      <c r="J1063" s="13" t="s">
        <v>1598</v>
      </c>
      <c r="K1063" s="13" t="s">
        <v>304</v>
      </c>
      <c r="L1063" s="13" t="s">
        <v>100</v>
      </c>
      <c r="M1063" s="13" t="s">
        <v>38</v>
      </c>
      <c r="N1063" s="14">
        <v>10.416</v>
      </c>
      <c r="O1063" s="14">
        <v>10.07</v>
      </c>
      <c r="P1063" s="13">
        <v>4.0</v>
      </c>
      <c r="Q1063" s="14">
        <f t="shared" si="3"/>
        <v>41.664</v>
      </c>
      <c r="R1063" s="14">
        <f t="shared" si="4"/>
        <v>31.594</v>
      </c>
      <c r="S1063" s="14">
        <f t="shared" si="5"/>
        <v>10.07</v>
      </c>
    </row>
    <row r="1064">
      <c r="A1064" s="12">
        <v>42476.0</v>
      </c>
      <c r="B1064" s="12" t="s">
        <v>2332</v>
      </c>
      <c r="C1064" s="2">
        <v>42481.0</v>
      </c>
      <c r="D1064" s="15" t="str">
        <f t="shared" si="1"/>
        <v>Apr</v>
      </c>
      <c r="E1064" s="2" t="str">
        <f t="shared" si="2"/>
        <v>2016</v>
      </c>
      <c r="F1064" s="13" t="s">
        <v>41</v>
      </c>
      <c r="G1064" s="13" t="s">
        <v>2873</v>
      </c>
      <c r="H1064" s="13" t="s">
        <v>2874</v>
      </c>
      <c r="I1064" s="13" t="s">
        <v>34</v>
      </c>
      <c r="J1064" s="13" t="s">
        <v>1598</v>
      </c>
      <c r="K1064" s="13" t="s">
        <v>304</v>
      </c>
      <c r="L1064" s="13" t="s">
        <v>100</v>
      </c>
      <c r="M1064" s="13" t="s">
        <v>38</v>
      </c>
      <c r="N1064" s="14">
        <v>7.872</v>
      </c>
      <c r="O1064" s="14">
        <v>6.89</v>
      </c>
      <c r="P1064" s="13">
        <v>4.0</v>
      </c>
      <c r="Q1064" s="14">
        <f t="shared" si="3"/>
        <v>31.488</v>
      </c>
      <c r="R1064" s="14">
        <f t="shared" si="4"/>
        <v>24.598</v>
      </c>
      <c r="S1064" s="14">
        <f t="shared" si="5"/>
        <v>6.89</v>
      </c>
    </row>
    <row r="1065">
      <c r="A1065" s="12">
        <v>42476.0</v>
      </c>
      <c r="B1065" s="12" t="s">
        <v>2332</v>
      </c>
      <c r="C1065" s="2">
        <v>42481.0</v>
      </c>
      <c r="D1065" s="15" t="str">
        <f t="shared" si="1"/>
        <v>Apr</v>
      </c>
      <c r="E1065" s="2" t="str">
        <f t="shared" si="2"/>
        <v>2016</v>
      </c>
      <c r="F1065" s="13" t="s">
        <v>41</v>
      </c>
      <c r="G1065" s="13" t="s">
        <v>2873</v>
      </c>
      <c r="H1065" s="13" t="s">
        <v>2874</v>
      </c>
      <c r="I1065" s="13" t="s">
        <v>34</v>
      </c>
      <c r="J1065" s="13" t="s">
        <v>1598</v>
      </c>
      <c r="K1065" s="13" t="s">
        <v>304</v>
      </c>
      <c r="L1065" s="13" t="s">
        <v>100</v>
      </c>
      <c r="M1065" s="13" t="s">
        <v>51</v>
      </c>
      <c r="N1065" s="14">
        <v>118.782</v>
      </c>
      <c r="O1065" s="14">
        <v>117.94</v>
      </c>
      <c r="P1065" s="13">
        <v>4.0</v>
      </c>
      <c r="Q1065" s="14">
        <f t="shared" si="3"/>
        <v>475.128</v>
      </c>
      <c r="R1065" s="14">
        <f t="shared" si="4"/>
        <v>357.188</v>
      </c>
      <c r="S1065" s="14">
        <f t="shared" si="5"/>
        <v>117.94</v>
      </c>
    </row>
    <row r="1066">
      <c r="A1066" s="12">
        <v>42476.0</v>
      </c>
      <c r="B1066" s="12" t="s">
        <v>2332</v>
      </c>
      <c r="C1066" s="2">
        <v>42481.0</v>
      </c>
      <c r="D1066" s="15" t="str">
        <f t="shared" si="1"/>
        <v>Apr</v>
      </c>
      <c r="E1066" s="2" t="str">
        <f t="shared" si="2"/>
        <v>2016</v>
      </c>
      <c r="F1066" s="13" t="s">
        <v>41</v>
      </c>
      <c r="G1066" s="13" t="s">
        <v>2873</v>
      </c>
      <c r="H1066" s="13" t="s">
        <v>2874</v>
      </c>
      <c r="I1066" s="13" t="s">
        <v>34</v>
      </c>
      <c r="J1066" s="13" t="s">
        <v>1598</v>
      </c>
      <c r="K1066" s="13" t="s">
        <v>304</v>
      </c>
      <c r="L1066" s="13" t="s">
        <v>100</v>
      </c>
      <c r="M1066" s="13" t="s">
        <v>38</v>
      </c>
      <c r="N1066" s="14">
        <v>1.448</v>
      </c>
      <c r="O1066" s="14">
        <v>1.02</v>
      </c>
      <c r="P1066" s="13">
        <v>4.0</v>
      </c>
      <c r="Q1066" s="14">
        <f t="shared" si="3"/>
        <v>5.792</v>
      </c>
      <c r="R1066" s="14">
        <f t="shared" si="4"/>
        <v>4.772</v>
      </c>
      <c r="S1066" s="14">
        <f t="shared" si="5"/>
        <v>1.02</v>
      </c>
    </row>
    <row r="1067">
      <c r="A1067" s="12">
        <v>42476.0</v>
      </c>
      <c r="B1067" s="12" t="s">
        <v>2332</v>
      </c>
      <c r="C1067" s="2">
        <v>42481.0</v>
      </c>
      <c r="D1067" s="15" t="str">
        <f t="shared" si="1"/>
        <v>Apr</v>
      </c>
      <c r="E1067" s="2" t="str">
        <f t="shared" si="2"/>
        <v>2016</v>
      </c>
      <c r="F1067" s="13" t="s">
        <v>41</v>
      </c>
      <c r="G1067" s="13" t="s">
        <v>2873</v>
      </c>
      <c r="H1067" s="13" t="s">
        <v>2874</v>
      </c>
      <c r="I1067" s="13" t="s">
        <v>34</v>
      </c>
      <c r="J1067" s="13" t="s">
        <v>1598</v>
      </c>
      <c r="K1067" s="13" t="s">
        <v>304</v>
      </c>
      <c r="L1067" s="13" t="s">
        <v>100</v>
      </c>
      <c r="M1067" s="13" t="s">
        <v>38</v>
      </c>
      <c r="N1067" s="14">
        <v>55.47</v>
      </c>
      <c r="O1067" s="14">
        <v>55.24</v>
      </c>
      <c r="P1067" s="13">
        <v>4.0</v>
      </c>
      <c r="Q1067" s="14">
        <f t="shared" si="3"/>
        <v>221.88</v>
      </c>
      <c r="R1067" s="14">
        <f t="shared" si="4"/>
        <v>166.64</v>
      </c>
      <c r="S1067" s="14">
        <f t="shared" si="5"/>
        <v>55.24</v>
      </c>
    </row>
    <row r="1068">
      <c r="A1068" s="12">
        <v>42745.0</v>
      </c>
      <c r="B1068" s="12" t="s">
        <v>2353</v>
      </c>
      <c r="C1068" s="2">
        <v>42776.0</v>
      </c>
      <c r="D1068" s="15" t="str">
        <f t="shared" si="1"/>
        <v>Feb</v>
      </c>
      <c r="E1068" s="2" t="str">
        <f t="shared" si="2"/>
        <v>2017</v>
      </c>
      <c r="F1068" s="13" t="s">
        <v>121</v>
      </c>
      <c r="G1068" s="13" t="s">
        <v>2655</v>
      </c>
      <c r="H1068" s="13" t="s">
        <v>2875</v>
      </c>
      <c r="I1068" s="13" t="s">
        <v>23</v>
      </c>
      <c r="J1068" s="13" t="s">
        <v>87</v>
      </c>
      <c r="K1068" s="13" t="s">
        <v>52</v>
      </c>
      <c r="L1068" s="13" t="s">
        <v>37</v>
      </c>
      <c r="M1068" s="13" t="s">
        <v>27</v>
      </c>
      <c r="N1068" s="14">
        <v>194.848</v>
      </c>
      <c r="O1068" s="14">
        <v>194.79</v>
      </c>
      <c r="P1068" s="13">
        <v>9.0</v>
      </c>
      <c r="Q1068" s="14">
        <f t="shared" si="3"/>
        <v>1753.632</v>
      </c>
      <c r="R1068" s="14">
        <f t="shared" si="4"/>
        <v>1558.842</v>
      </c>
      <c r="S1068" s="14">
        <f t="shared" si="5"/>
        <v>194.79</v>
      </c>
    </row>
    <row r="1069">
      <c r="A1069" s="12">
        <v>43371.0</v>
      </c>
      <c r="B1069" s="12" t="s">
        <v>2329</v>
      </c>
      <c r="C1069" s="2">
        <v>43373.0</v>
      </c>
      <c r="D1069" s="15" t="str">
        <f t="shared" si="1"/>
        <v>Sep</v>
      </c>
      <c r="E1069" s="2" t="str">
        <f t="shared" si="2"/>
        <v>2018</v>
      </c>
      <c r="F1069" s="13" t="s">
        <v>20</v>
      </c>
      <c r="G1069" s="13" t="s">
        <v>2686</v>
      </c>
      <c r="H1069" s="13" t="s">
        <v>2876</v>
      </c>
      <c r="I1069" s="13" t="s">
        <v>23</v>
      </c>
      <c r="J1069" s="13" t="s">
        <v>1787</v>
      </c>
      <c r="K1069" s="13" t="s">
        <v>70</v>
      </c>
      <c r="L1069" s="13" t="s">
        <v>71</v>
      </c>
      <c r="M1069" s="13" t="s">
        <v>38</v>
      </c>
      <c r="N1069" s="14">
        <v>1.744</v>
      </c>
      <c r="O1069" s="14">
        <v>0.85</v>
      </c>
      <c r="P1069" s="13">
        <v>7.0</v>
      </c>
      <c r="Q1069" s="14">
        <f t="shared" si="3"/>
        <v>12.208</v>
      </c>
      <c r="R1069" s="14">
        <f t="shared" si="4"/>
        <v>11.358</v>
      </c>
      <c r="S1069" s="14">
        <f t="shared" si="5"/>
        <v>0.85</v>
      </c>
    </row>
    <row r="1070">
      <c r="A1070" s="12">
        <v>42576.0</v>
      </c>
      <c r="B1070" s="12" t="s">
        <v>2348</v>
      </c>
      <c r="C1070" s="2">
        <v>42580.0</v>
      </c>
      <c r="D1070" s="15" t="str">
        <f t="shared" si="1"/>
        <v>Jul</v>
      </c>
      <c r="E1070" s="2" t="str">
        <f t="shared" si="2"/>
        <v>2016</v>
      </c>
      <c r="F1070" s="13" t="s">
        <v>41</v>
      </c>
      <c r="G1070" s="13" t="s">
        <v>2617</v>
      </c>
      <c r="H1070" s="13" t="s">
        <v>2618</v>
      </c>
      <c r="I1070" s="13" t="s">
        <v>68</v>
      </c>
      <c r="J1070" s="13" t="s">
        <v>98</v>
      </c>
      <c r="K1070" s="13" t="s">
        <v>99</v>
      </c>
      <c r="L1070" s="13" t="s">
        <v>100</v>
      </c>
      <c r="M1070" s="13" t="s">
        <v>38</v>
      </c>
      <c r="N1070" s="14">
        <v>25.176</v>
      </c>
      <c r="O1070" s="14">
        <v>24.35</v>
      </c>
      <c r="P1070" s="13">
        <v>1.0</v>
      </c>
      <c r="Q1070" s="14">
        <f t="shared" si="3"/>
        <v>25.176</v>
      </c>
      <c r="R1070" s="14">
        <f t="shared" si="4"/>
        <v>0.826</v>
      </c>
      <c r="S1070" s="14">
        <f t="shared" si="5"/>
        <v>24.35</v>
      </c>
    </row>
    <row r="1071">
      <c r="A1071" s="12">
        <v>42694.0</v>
      </c>
      <c r="B1071" s="12" t="s">
        <v>2326</v>
      </c>
      <c r="C1071" s="2">
        <v>42700.0</v>
      </c>
      <c r="D1071" s="15" t="str">
        <f t="shared" si="1"/>
        <v>Nov</v>
      </c>
      <c r="E1071" s="2" t="str">
        <f t="shared" si="2"/>
        <v>2016</v>
      </c>
      <c r="F1071" s="13" t="s">
        <v>41</v>
      </c>
      <c r="G1071" s="13" t="s">
        <v>2877</v>
      </c>
      <c r="H1071" s="13" t="s">
        <v>2878</v>
      </c>
      <c r="I1071" s="13" t="s">
        <v>68</v>
      </c>
      <c r="J1071" s="13" t="s">
        <v>35</v>
      </c>
      <c r="K1071" s="13" t="s">
        <v>52</v>
      </c>
      <c r="L1071" s="13" t="s">
        <v>37</v>
      </c>
      <c r="M1071" s="13" t="s">
        <v>38</v>
      </c>
      <c r="N1071" s="14">
        <v>19.46</v>
      </c>
      <c r="O1071" s="14">
        <v>18.9</v>
      </c>
      <c r="P1071" s="13">
        <v>9.0</v>
      </c>
      <c r="Q1071" s="14">
        <f t="shared" si="3"/>
        <v>175.14</v>
      </c>
      <c r="R1071" s="14">
        <f t="shared" si="4"/>
        <v>156.24</v>
      </c>
      <c r="S1071" s="14">
        <f t="shared" si="5"/>
        <v>18.9</v>
      </c>
    </row>
    <row r="1072">
      <c r="A1072" s="12">
        <v>42853.0</v>
      </c>
      <c r="B1072" s="12" t="s">
        <v>2332</v>
      </c>
      <c r="C1072" s="2">
        <v>42771.0</v>
      </c>
      <c r="D1072" s="15" t="str">
        <f t="shared" si="1"/>
        <v>Feb</v>
      </c>
      <c r="E1072" s="2" t="str">
        <f t="shared" si="2"/>
        <v>2017</v>
      </c>
      <c r="F1072" s="13" t="s">
        <v>41</v>
      </c>
      <c r="G1072" s="13" t="s">
        <v>2786</v>
      </c>
      <c r="H1072" s="13" t="s">
        <v>2376</v>
      </c>
      <c r="I1072" s="13" t="s">
        <v>68</v>
      </c>
      <c r="J1072" s="13" t="s">
        <v>475</v>
      </c>
      <c r="K1072" s="13" t="s">
        <v>279</v>
      </c>
      <c r="L1072" s="13" t="s">
        <v>37</v>
      </c>
      <c r="M1072" s="13" t="s">
        <v>38</v>
      </c>
      <c r="N1072" s="14">
        <v>29.472</v>
      </c>
      <c r="O1072" s="14">
        <v>28.52</v>
      </c>
      <c r="P1072" s="13">
        <v>8.0</v>
      </c>
      <c r="Q1072" s="14">
        <f t="shared" si="3"/>
        <v>235.776</v>
      </c>
      <c r="R1072" s="14">
        <f t="shared" si="4"/>
        <v>207.256</v>
      </c>
      <c r="S1072" s="14">
        <f t="shared" si="5"/>
        <v>28.52</v>
      </c>
    </row>
    <row r="1073">
      <c r="A1073" s="12">
        <v>43418.0</v>
      </c>
      <c r="B1073" s="12" t="s">
        <v>2326</v>
      </c>
      <c r="C1073" s="2">
        <v>43423.0</v>
      </c>
      <c r="D1073" s="15" t="str">
        <f t="shared" si="1"/>
        <v>Nov</v>
      </c>
      <c r="E1073" s="2" t="str">
        <f t="shared" si="2"/>
        <v>2018</v>
      </c>
      <c r="F1073" s="13" t="s">
        <v>41</v>
      </c>
      <c r="G1073" s="13" t="s">
        <v>2483</v>
      </c>
      <c r="H1073" s="13" t="s">
        <v>2879</v>
      </c>
      <c r="I1073" s="13" t="s">
        <v>23</v>
      </c>
      <c r="J1073" s="13" t="s">
        <v>174</v>
      </c>
      <c r="K1073" s="13" t="s">
        <v>175</v>
      </c>
      <c r="L1073" s="13" t="s">
        <v>100</v>
      </c>
      <c r="M1073" s="13" t="s">
        <v>38</v>
      </c>
      <c r="N1073" s="14">
        <v>8.64</v>
      </c>
      <c r="O1073" s="14">
        <v>7.76</v>
      </c>
      <c r="P1073" s="13">
        <v>1.0</v>
      </c>
      <c r="Q1073" s="14">
        <f t="shared" si="3"/>
        <v>8.64</v>
      </c>
      <c r="R1073" s="14">
        <f t="shared" si="4"/>
        <v>0.88</v>
      </c>
      <c r="S1073" s="14">
        <f t="shared" si="5"/>
        <v>7.76</v>
      </c>
    </row>
    <row r="1074">
      <c r="A1074" s="12">
        <v>43080.0</v>
      </c>
      <c r="B1074" s="12" t="s">
        <v>2325</v>
      </c>
      <c r="C1074" s="2">
        <v>43058.0</v>
      </c>
      <c r="D1074" s="15" t="str">
        <f t="shared" si="1"/>
        <v>Nov</v>
      </c>
      <c r="E1074" s="2" t="str">
        <f t="shared" si="2"/>
        <v>2017</v>
      </c>
      <c r="F1074" s="13" t="s">
        <v>41</v>
      </c>
      <c r="G1074" s="13" t="s">
        <v>2880</v>
      </c>
      <c r="H1074" s="13" t="s">
        <v>2881</v>
      </c>
      <c r="I1074" s="13" t="s">
        <v>23</v>
      </c>
      <c r="J1074" s="13" t="s">
        <v>1009</v>
      </c>
      <c r="K1074" s="13" t="s">
        <v>193</v>
      </c>
      <c r="L1074" s="13" t="s">
        <v>37</v>
      </c>
      <c r="M1074" s="13" t="s">
        <v>38</v>
      </c>
      <c r="N1074" s="14">
        <v>6.27</v>
      </c>
      <c r="O1074" s="14">
        <v>5.54</v>
      </c>
      <c r="P1074" s="13">
        <v>8.0</v>
      </c>
      <c r="Q1074" s="14">
        <f t="shared" si="3"/>
        <v>50.16</v>
      </c>
      <c r="R1074" s="14">
        <f t="shared" si="4"/>
        <v>44.62</v>
      </c>
      <c r="S1074" s="14">
        <f t="shared" si="5"/>
        <v>5.54</v>
      </c>
    </row>
    <row r="1075">
      <c r="A1075" s="12">
        <v>43080.0</v>
      </c>
      <c r="B1075" s="12" t="s">
        <v>2325</v>
      </c>
      <c r="C1075" s="2">
        <v>43058.0</v>
      </c>
      <c r="D1075" s="15" t="str">
        <f t="shared" si="1"/>
        <v>Nov</v>
      </c>
      <c r="E1075" s="2" t="str">
        <f t="shared" si="2"/>
        <v>2017</v>
      </c>
      <c r="F1075" s="13" t="s">
        <v>41</v>
      </c>
      <c r="G1075" s="13" t="s">
        <v>2880</v>
      </c>
      <c r="H1075" s="13" t="s">
        <v>2881</v>
      </c>
      <c r="I1075" s="13" t="s">
        <v>23</v>
      </c>
      <c r="J1075" s="13" t="s">
        <v>1009</v>
      </c>
      <c r="K1075" s="13" t="s">
        <v>193</v>
      </c>
      <c r="L1075" s="13" t="s">
        <v>37</v>
      </c>
      <c r="M1075" s="13" t="s">
        <v>38</v>
      </c>
      <c r="N1075" s="14">
        <v>4.368</v>
      </c>
      <c r="O1075" s="14">
        <v>4.12</v>
      </c>
      <c r="P1075" s="13">
        <v>8.0</v>
      </c>
      <c r="Q1075" s="14">
        <f t="shared" si="3"/>
        <v>34.944</v>
      </c>
      <c r="R1075" s="14">
        <f t="shared" si="4"/>
        <v>30.824</v>
      </c>
      <c r="S1075" s="14">
        <f t="shared" si="5"/>
        <v>4.12</v>
      </c>
    </row>
    <row r="1076">
      <c r="A1076" s="12">
        <v>43080.0</v>
      </c>
      <c r="B1076" s="12" t="s">
        <v>2325</v>
      </c>
      <c r="C1076" s="2">
        <v>43058.0</v>
      </c>
      <c r="D1076" s="15" t="str">
        <f t="shared" si="1"/>
        <v>Nov</v>
      </c>
      <c r="E1076" s="2" t="str">
        <f t="shared" si="2"/>
        <v>2017</v>
      </c>
      <c r="F1076" s="13" t="s">
        <v>41</v>
      </c>
      <c r="G1076" s="13" t="s">
        <v>2880</v>
      </c>
      <c r="H1076" s="13" t="s">
        <v>2881</v>
      </c>
      <c r="I1076" s="13" t="s">
        <v>23</v>
      </c>
      <c r="J1076" s="13" t="s">
        <v>1009</v>
      </c>
      <c r="K1076" s="13" t="s">
        <v>193</v>
      </c>
      <c r="L1076" s="13" t="s">
        <v>37</v>
      </c>
      <c r="M1076" s="13" t="s">
        <v>51</v>
      </c>
      <c r="N1076" s="14">
        <v>31.984</v>
      </c>
      <c r="O1076" s="14">
        <v>31.32</v>
      </c>
      <c r="P1076" s="13">
        <v>8.0</v>
      </c>
      <c r="Q1076" s="14">
        <f t="shared" si="3"/>
        <v>255.872</v>
      </c>
      <c r="R1076" s="14">
        <f t="shared" si="4"/>
        <v>224.552</v>
      </c>
      <c r="S1076" s="14">
        <f t="shared" si="5"/>
        <v>31.32</v>
      </c>
    </row>
    <row r="1077">
      <c r="A1077" s="12">
        <v>43007.0</v>
      </c>
      <c r="B1077" s="12" t="s">
        <v>2329</v>
      </c>
      <c r="C1077" s="2">
        <v>43008.0</v>
      </c>
      <c r="D1077" s="15" t="str">
        <f t="shared" si="1"/>
        <v>Sep</v>
      </c>
      <c r="E1077" s="2" t="str">
        <f t="shared" si="2"/>
        <v>2017</v>
      </c>
      <c r="F1077" s="13" t="s">
        <v>121</v>
      </c>
      <c r="G1077" s="13" t="s">
        <v>2473</v>
      </c>
      <c r="H1077" s="13" t="s">
        <v>2882</v>
      </c>
      <c r="I1077" s="13" t="s">
        <v>68</v>
      </c>
      <c r="J1077" s="13" t="s">
        <v>303</v>
      </c>
      <c r="K1077" s="13" t="s">
        <v>169</v>
      </c>
      <c r="L1077" s="13" t="s">
        <v>71</v>
      </c>
      <c r="M1077" s="13" t="s">
        <v>38</v>
      </c>
      <c r="N1077" s="14">
        <v>40.88</v>
      </c>
      <c r="O1077" s="14">
        <v>40.83</v>
      </c>
      <c r="P1077" s="13">
        <v>4.0</v>
      </c>
      <c r="Q1077" s="14">
        <f t="shared" si="3"/>
        <v>163.52</v>
      </c>
      <c r="R1077" s="14">
        <f t="shared" si="4"/>
        <v>122.69</v>
      </c>
      <c r="S1077" s="14">
        <f t="shared" si="5"/>
        <v>40.83</v>
      </c>
    </row>
    <row r="1078">
      <c r="A1078" s="12">
        <v>43366.0</v>
      </c>
      <c r="B1078" s="12" t="s">
        <v>2329</v>
      </c>
      <c r="C1078" s="2">
        <v>43368.0</v>
      </c>
      <c r="D1078" s="15" t="str">
        <f t="shared" si="1"/>
        <v>Sep</v>
      </c>
      <c r="E1078" s="2" t="str">
        <f t="shared" si="2"/>
        <v>2018</v>
      </c>
      <c r="F1078" s="13" t="s">
        <v>20</v>
      </c>
      <c r="G1078" s="13" t="s">
        <v>2558</v>
      </c>
      <c r="H1078" s="13" t="s">
        <v>2641</v>
      </c>
      <c r="I1078" s="13" t="s">
        <v>23</v>
      </c>
      <c r="J1078" s="13" t="s">
        <v>62</v>
      </c>
      <c r="K1078" s="13" t="s">
        <v>63</v>
      </c>
      <c r="L1078" s="13" t="s">
        <v>37</v>
      </c>
      <c r="M1078" s="13" t="s">
        <v>38</v>
      </c>
      <c r="N1078" s="14">
        <v>119.96</v>
      </c>
      <c r="O1078" s="14">
        <v>119.86</v>
      </c>
      <c r="P1078" s="13">
        <v>9.0</v>
      </c>
      <c r="Q1078" s="14">
        <f t="shared" si="3"/>
        <v>1079.64</v>
      </c>
      <c r="R1078" s="14">
        <f t="shared" si="4"/>
        <v>959.78</v>
      </c>
      <c r="S1078" s="14">
        <f t="shared" si="5"/>
        <v>119.86</v>
      </c>
    </row>
    <row r="1079">
      <c r="A1079" s="12">
        <v>43366.0</v>
      </c>
      <c r="B1079" s="12" t="s">
        <v>2329</v>
      </c>
      <c r="C1079" s="2">
        <v>43368.0</v>
      </c>
      <c r="D1079" s="15" t="str">
        <f t="shared" si="1"/>
        <v>Sep</v>
      </c>
      <c r="E1079" s="2" t="str">
        <f t="shared" si="2"/>
        <v>2018</v>
      </c>
      <c r="F1079" s="13" t="s">
        <v>20</v>
      </c>
      <c r="G1079" s="13" t="s">
        <v>2558</v>
      </c>
      <c r="H1079" s="13" t="s">
        <v>2641</v>
      </c>
      <c r="I1079" s="13" t="s">
        <v>23</v>
      </c>
      <c r="J1079" s="13" t="s">
        <v>62</v>
      </c>
      <c r="K1079" s="13" t="s">
        <v>63</v>
      </c>
      <c r="L1079" s="13" t="s">
        <v>37</v>
      </c>
      <c r="M1079" s="13" t="s">
        <v>38</v>
      </c>
      <c r="N1079" s="14">
        <v>31.44</v>
      </c>
      <c r="O1079" s="14">
        <v>30.57</v>
      </c>
      <c r="P1079" s="13">
        <v>9.0</v>
      </c>
      <c r="Q1079" s="14">
        <f t="shared" si="3"/>
        <v>282.96</v>
      </c>
      <c r="R1079" s="14">
        <f t="shared" si="4"/>
        <v>252.39</v>
      </c>
      <c r="S1079" s="14">
        <f t="shared" si="5"/>
        <v>30.57</v>
      </c>
    </row>
    <row r="1080">
      <c r="A1080" s="12">
        <v>43366.0</v>
      </c>
      <c r="B1080" s="12" t="s">
        <v>2329</v>
      </c>
      <c r="C1080" s="2">
        <v>43368.0</v>
      </c>
      <c r="D1080" s="15" t="str">
        <f t="shared" si="1"/>
        <v>Sep</v>
      </c>
      <c r="E1080" s="2" t="str">
        <f t="shared" si="2"/>
        <v>2018</v>
      </c>
      <c r="F1080" s="13" t="s">
        <v>20</v>
      </c>
      <c r="G1080" s="13" t="s">
        <v>2558</v>
      </c>
      <c r="H1080" s="13" t="s">
        <v>2641</v>
      </c>
      <c r="I1080" s="13" t="s">
        <v>23</v>
      </c>
      <c r="J1080" s="13" t="s">
        <v>62</v>
      </c>
      <c r="K1080" s="13" t="s">
        <v>63</v>
      </c>
      <c r="L1080" s="13" t="s">
        <v>37</v>
      </c>
      <c r="M1080" s="13" t="s">
        <v>38</v>
      </c>
      <c r="N1080" s="14">
        <v>6.88</v>
      </c>
      <c r="O1080" s="14">
        <v>6.42</v>
      </c>
      <c r="P1080" s="13">
        <v>9.0</v>
      </c>
      <c r="Q1080" s="14">
        <f t="shared" si="3"/>
        <v>61.92</v>
      </c>
      <c r="R1080" s="14">
        <f t="shared" si="4"/>
        <v>55.5</v>
      </c>
      <c r="S1080" s="14">
        <f t="shared" si="5"/>
        <v>6.42</v>
      </c>
    </row>
    <row r="1081">
      <c r="A1081" s="12">
        <v>42703.0</v>
      </c>
      <c r="B1081" s="12" t="s">
        <v>2326</v>
      </c>
      <c r="C1081" s="2">
        <v>42472.0</v>
      </c>
      <c r="D1081" s="15" t="str">
        <f t="shared" si="1"/>
        <v>Apr</v>
      </c>
      <c r="E1081" s="2" t="str">
        <f t="shared" si="2"/>
        <v>2016</v>
      </c>
      <c r="F1081" s="13" t="s">
        <v>41</v>
      </c>
      <c r="G1081" s="13" t="s">
        <v>2670</v>
      </c>
      <c r="H1081" s="13" t="s">
        <v>1230</v>
      </c>
      <c r="I1081" s="13" t="s">
        <v>34</v>
      </c>
      <c r="J1081" s="13" t="s">
        <v>513</v>
      </c>
      <c r="K1081" s="13" t="s">
        <v>157</v>
      </c>
      <c r="L1081" s="13" t="s">
        <v>71</v>
      </c>
      <c r="M1081" s="13" t="s">
        <v>38</v>
      </c>
      <c r="N1081" s="14">
        <v>19.92</v>
      </c>
      <c r="O1081" s="14">
        <v>19.09</v>
      </c>
      <c r="P1081" s="13">
        <v>4.0</v>
      </c>
      <c r="Q1081" s="14">
        <f t="shared" si="3"/>
        <v>79.68</v>
      </c>
      <c r="R1081" s="14">
        <f t="shared" si="4"/>
        <v>60.59</v>
      </c>
      <c r="S1081" s="14">
        <f t="shared" si="5"/>
        <v>19.09</v>
      </c>
    </row>
    <row r="1082">
      <c r="A1082" s="12">
        <v>42703.0</v>
      </c>
      <c r="B1082" s="12" t="s">
        <v>2326</v>
      </c>
      <c r="C1082" s="2">
        <v>42472.0</v>
      </c>
      <c r="D1082" s="15" t="str">
        <f t="shared" si="1"/>
        <v>Apr</v>
      </c>
      <c r="E1082" s="2" t="str">
        <f t="shared" si="2"/>
        <v>2016</v>
      </c>
      <c r="F1082" s="13" t="s">
        <v>41</v>
      </c>
      <c r="G1082" s="13" t="s">
        <v>2670</v>
      </c>
      <c r="H1082" s="13" t="s">
        <v>1230</v>
      </c>
      <c r="I1082" s="13" t="s">
        <v>34</v>
      </c>
      <c r="J1082" s="13" t="s">
        <v>513</v>
      </c>
      <c r="K1082" s="13" t="s">
        <v>157</v>
      </c>
      <c r="L1082" s="13" t="s">
        <v>71</v>
      </c>
      <c r="M1082" s="13" t="s">
        <v>27</v>
      </c>
      <c r="N1082" s="14">
        <v>1106.91</v>
      </c>
      <c r="O1082" s="14">
        <v>1106.48</v>
      </c>
      <c r="P1082" s="13">
        <v>4.0</v>
      </c>
      <c r="Q1082" s="14">
        <f t="shared" si="3"/>
        <v>4427.64</v>
      </c>
      <c r="R1082" s="14">
        <f t="shared" si="4"/>
        <v>3321.16</v>
      </c>
      <c r="S1082" s="14">
        <f t="shared" si="5"/>
        <v>1106.48</v>
      </c>
    </row>
    <row r="1083">
      <c r="A1083" s="12">
        <v>42738.0</v>
      </c>
      <c r="B1083" s="12" t="s">
        <v>2353</v>
      </c>
      <c r="C1083" s="2">
        <v>42858.0</v>
      </c>
      <c r="D1083" s="15" t="str">
        <f t="shared" si="1"/>
        <v>May</v>
      </c>
      <c r="E1083" s="2" t="str">
        <f t="shared" si="2"/>
        <v>2017</v>
      </c>
      <c r="F1083" s="13" t="s">
        <v>41</v>
      </c>
      <c r="G1083" s="13" t="s">
        <v>2388</v>
      </c>
      <c r="H1083" s="13" t="s">
        <v>2389</v>
      </c>
      <c r="I1083" s="13" t="s">
        <v>23</v>
      </c>
      <c r="J1083" s="13" t="s">
        <v>1815</v>
      </c>
      <c r="K1083" s="13" t="s">
        <v>175</v>
      </c>
      <c r="L1083" s="13" t="s">
        <v>100</v>
      </c>
      <c r="M1083" s="13" t="s">
        <v>27</v>
      </c>
      <c r="N1083" s="14">
        <v>836.592</v>
      </c>
      <c r="O1083" s="14">
        <v>836.24</v>
      </c>
      <c r="P1083" s="13">
        <v>1.0</v>
      </c>
      <c r="Q1083" s="14">
        <f t="shared" si="3"/>
        <v>836.592</v>
      </c>
      <c r="R1083" s="14">
        <f t="shared" si="4"/>
        <v>0.352</v>
      </c>
      <c r="S1083" s="14">
        <f t="shared" si="5"/>
        <v>836.24</v>
      </c>
    </row>
    <row r="1084">
      <c r="A1084" s="12">
        <v>42738.0</v>
      </c>
      <c r="B1084" s="12" t="s">
        <v>2353</v>
      </c>
      <c r="C1084" s="2">
        <v>42858.0</v>
      </c>
      <c r="D1084" s="15" t="str">
        <f t="shared" si="1"/>
        <v>May</v>
      </c>
      <c r="E1084" s="2" t="str">
        <f t="shared" si="2"/>
        <v>2017</v>
      </c>
      <c r="F1084" s="13" t="s">
        <v>41</v>
      </c>
      <c r="G1084" s="13" t="s">
        <v>2388</v>
      </c>
      <c r="H1084" s="13" t="s">
        <v>2389</v>
      </c>
      <c r="I1084" s="13" t="s">
        <v>23</v>
      </c>
      <c r="J1084" s="13" t="s">
        <v>1815</v>
      </c>
      <c r="K1084" s="13" t="s">
        <v>175</v>
      </c>
      <c r="L1084" s="13" t="s">
        <v>100</v>
      </c>
      <c r="M1084" s="13" t="s">
        <v>38</v>
      </c>
      <c r="N1084" s="14">
        <v>26.38</v>
      </c>
      <c r="O1084" s="14">
        <v>26.13</v>
      </c>
      <c r="P1084" s="13">
        <v>1.0</v>
      </c>
      <c r="Q1084" s="14">
        <f t="shared" si="3"/>
        <v>26.38</v>
      </c>
      <c r="R1084" s="14">
        <f t="shared" si="4"/>
        <v>0.25</v>
      </c>
      <c r="S1084" s="14">
        <f t="shared" si="5"/>
        <v>26.13</v>
      </c>
    </row>
    <row r="1085">
      <c r="A1085" s="12">
        <v>42738.0</v>
      </c>
      <c r="B1085" s="12" t="s">
        <v>2353</v>
      </c>
      <c r="C1085" s="2">
        <v>42858.0</v>
      </c>
      <c r="D1085" s="15" t="str">
        <f t="shared" si="1"/>
        <v>May</v>
      </c>
      <c r="E1085" s="2" t="str">
        <f t="shared" si="2"/>
        <v>2017</v>
      </c>
      <c r="F1085" s="13" t="s">
        <v>41</v>
      </c>
      <c r="G1085" s="13" t="s">
        <v>2388</v>
      </c>
      <c r="H1085" s="13" t="s">
        <v>2389</v>
      </c>
      <c r="I1085" s="13" t="s">
        <v>23</v>
      </c>
      <c r="J1085" s="13" t="s">
        <v>1815</v>
      </c>
      <c r="K1085" s="13" t="s">
        <v>175</v>
      </c>
      <c r="L1085" s="13" t="s">
        <v>100</v>
      </c>
      <c r="M1085" s="13" t="s">
        <v>38</v>
      </c>
      <c r="N1085" s="14">
        <v>362.92</v>
      </c>
      <c r="O1085" s="14">
        <v>362.29</v>
      </c>
      <c r="P1085" s="13">
        <v>1.0</v>
      </c>
      <c r="Q1085" s="14">
        <f t="shared" si="3"/>
        <v>362.92</v>
      </c>
      <c r="R1085" s="14">
        <f t="shared" si="4"/>
        <v>0.63</v>
      </c>
      <c r="S1085" s="14">
        <f t="shared" si="5"/>
        <v>362.29</v>
      </c>
    </row>
    <row r="1086">
      <c r="A1086" s="12">
        <v>42738.0</v>
      </c>
      <c r="B1086" s="12" t="s">
        <v>2353</v>
      </c>
      <c r="C1086" s="2">
        <v>42858.0</v>
      </c>
      <c r="D1086" s="15" t="str">
        <f t="shared" si="1"/>
        <v>May</v>
      </c>
      <c r="E1086" s="2" t="str">
        <f t="shared" si="2"/>
        <v>2017</v>
      </c>
      <c r="F1086" s="13" t="s">
        <v>41</v>
      </c>
      <c r="G1086" s="13" t="s">
        <v>2388</v>
      </c>
      <c r="H1086" s="13" t="s">
        <v>2389</v>
      </c>
      <c r="I1086" s="13" t="s">
        <v>23</v>
      </c>
      <c r="J1086" s="13" t="s">
        <v>1815</v>
      </c>
      <c r="K1086" s="13" t="s">
        <v>175</v>
      </c>
      <c r="L1086" s="13" t="s">
        <v>100</v>
      </c>
      <c r="M1086" s="13" t="s">
        <v>51</v>
      </c>
      <c r="N1086" s="14">
        <v>4899.93</v>
      </c>
      <c r="O1086" s="14">
        <v>4899.48</v>
      </c>
      <c r="P1086" s="13">
        <v>1.0</v>
      </c>
      <c r="Q1086" s="14">
        <f t="shared" si="3"/>
        <v>4899.93</v>
      </c>
      <c r="R1086" s="14">
        <f t="shared" si="4"/>
        <v>0.45</v>
      </c>
      <c r="S1086" s="14">
        <f t="shared" si="5"/>
        <v>4899.48</v>
      </c>
    </row>
    <row r="1087">
      <c r="A1087" s="12">
        <v>43077.0</v>
      </c>
      <c r="B1087" s="12" t="s">
        <v>2325</v>
      </c>
      <c r="C1087" s="2">
        <v>43077.0</v>
      </c>
      <c r="D1087" s="15" t="str">
        <f t="shared" si="1"/>
        <v>Dec</v>
      </c>
      <c r="E1087" s="2" t="str">
        <f t="shared" si="2"/>
        <v>2017</v>
      </c>
      <c r="F1087" s="13" t="s">
        <v>717</v>
      </c>
      <c r="G1087" s="13" t="s">
        <v>2375</v>
      </c>
      <c r="H1087" s="13" t="s">
        <v>2422</v>
      </c>
      <c r="I1087" s="13" t="s">
        <v>23</v>
      </c>
      <c r="J1087" s="13" t="s">
        <v>767</v>
      </c>
      <c r="K1087" s="13" t="s">
        <v>298</v>
      </c>
      <c r="L1087" s="13" t="s">
        <v>71</v>
      </c>
      <c r="M1087" s="13" t="s">
        <v>38</v>
      </c>
      <c r="N1087" s="14">
        <v>6.48</v>
      </c>
      <c r="O1087" s="14">
        <v>6.48</v>
      </c>
      <c r="P1087" s="13">
        <v>5.0</v>
      </c>
      <c r="Q1087" s="14">
        <f t="shared" si="3"/>
        <v>32.4</v>
      </c>
      <c r="R1087" s="14">
        <f t="shared" si="4"/>
        <v>25.92</v>
      </c>
      <c r="S1087" s="14">
        <f t="shared" si="5"/>
        <v>6.48</v>
      </c>
    </row>
    <row r="1088">
      <c r="A1088" s="12">
        <v>42962.0</v>
      </c>
      <c r="B1088" s="12" t="s">
        <v>2322</v>
      </c>
      <c r="C1088" s="2">
        <v>42967.0</v>
      </c>
      <c r="D1088" s="15" t="str">
        <f t="shared" si="1"/>
        <v>Aug</v>
      </c>
      <c r="E1088" s="2" t="str">
        <f t="shared" si="2"/>
        <v>2017</v>
      </c>
      <c r="F1088" s="13" t="s">
        <v>20</v>
      </c>
      <c r="G1088" s="13" t="s">
        <v>2523</v>
      </c>
      <c r="H1088" s="13" t="s">
        <v>2649</v>
      </c>
      <c r="I1088" s="13" t="s">
        <v>34</v>
      </c>
      <c r="J1088" s="13" t="s">
        <v>1821</v>
      </c>
      <c r="K1088" s="13" t="s">
        <v>52</v>
      </c>
      <c r="L1088" s="13" t="s">
        <v>37</v>
      </c>
      <c r="M1088" s="13" t="s">
        <v>51</v>
      </c>
      <c r="N1088" s="14">
        <v>71.976</v>
      </c>
      <c r="O1088" s="14">
        <v>71.17</v>
      </c>
      <c r="P1088" s="13">
        <v>9.0</v>
      </c>
      <c r="Q1088" s="14">
        <f t="shared" si="3"/>
        <v>647.784</v>
      </c>
      <c r="R1088" s="14">
        <f t="shared" si="4"/>
        <v>576.614</v>
      </c>
      <c r="S1088" s="14">
        <f t="shared" si="5"/>
        <v>71.17</v>
      </c>
    </row>
    <row r="1089">
      <c r="A1089" s="12">
        <v>42962.0</v>
      </c>
      <c r="B1089" s="12" t="s">
        <v>2322</v>
      </c>
      <c r="C1089" s="2">
        <v>42967.0</v>
      </c>
      <c r="D1089" s="15" t="str">
        <f t="shared" si="1"/>
        <v>Aug</v>
      </c>
      <c r="E1089" s="2" t="str">
        <f t="shared" si="2"/>
        <v>2017</v>
      </c>
      <c r="F1089" s="13" t="s">
        <v>20</v>
      </c>
      <c r="G1089" s="13" t="s">
        <v>2523</v>
      </c>
      <c r="H1089" s="13" t="s">
        <v>2649</v>
      </c>
      <c r="I1089" s="13" t="s">
        <v>34</v>
      </c>
      <c r="J1089" s="13" t="s">
        <v>1821</v>
      </c>
      <c r="K1089" s="13" t="s">
        <v>52</v>
      </c>
      <c r="L1089" s="13" t="s">
        <v>37</v>
      </c>
      <c r="M1089" s="13" t="s">
        <v>38</v>
      </c>
      <c r="N1089" s="14">
        <v>3.15</v>
      </c>
      <c r="O1089" s="14">
        <v>2.16</v>
      </c>
      <c r="P1089" s="13">
        <v>9.0</v>
      </c>
      <c r="Q1089" s="14">
        <f t="shared" si="3"/>
        <v>28.35</v>
      </c>
      <c r="R1089" s="14">
        <f t="shared" si="4"/>
        <v>26.19</v>
      </c>
      <c r="S1089" s="14">
        <f t="shared" si="5"/>
        <v>2.16</v>
      </c>
    </row>
    <row r="1090">
      <c r="A1090" s="12">
        <v>43196.0</v>
      </c>
      <c r="B1090" s="12" t="s">
        <v>2332</v>
      </c>
      <c r="C1090" s="2">
        <v>43379.0</v>
      </c>
      <c r="D1090" s="15" t="str">
        <f t="shared" si="1"/>
        <v>Oct</v>
      </c>
      <c r="E1090" s="2" t="str">
        <f t="shared" si="2"/>
        <v>2018</v>
      </c>
      <c r="F1090" s="13" t="s">
        <v>41</v>
      </c>
      <c r="G1090" s="13" t="s">
        <v>2443</v>
      </c>
      <c r="H1090" s="13" t="s">
        <v>2825</v>
      </c>
      <c r="I1090" s="13" t="s">
        <v>34</v>
      </c>
      <c r="J1090" s="13" t="s">
        <v>429</v>
      </c>
      <c r="K1090" s="13" t="s">
        <v>58</v>
      </c>
      <c r="L1090" s="13" t="s">
        <v>26</v>
      </c>
      <c r="M1090" s="13" t="s">
        <v>27</v>
      </c>
      <c r="N1090" s="14">
        <v>31.984</v>
      </c>
      <c r="O1090" s="14">
        <v>31.25</v>
      </c>
      <c r="P1090" s="13">
        <v>2.0</v>
      </c>
      <c r="Q1090" s="14">
        <f t="shared" si="3"/>
        <v>63.968</v>
      </c>
      <c r="R1090" s="14">
        <f t="shared" si="4"/>
        <v>32.718</v>
      </c>
      <c r="S1090" s="14">
        <f t="shared" si="5"/>
        <v>31.25</v>
      </c>
    </row>
    <row r="1091">
      <c r="A1091" s="12">
        <v>43196.0</v>
      </c>
      <c r="B1091" s="12" t="s">
        <v>2332</v>
      </c>
      <c r="C1091" s="2">
        <v>43379.0</v>
      </c>
      <c r="D1091" s="15" t="str">
        <f t="shared" si="1"/>
        <v>Oct</v>
      </c>
      <c r="E1091" s="2" t="str">
        <f t="shared" si="2"/>
        <v>2018</v>
      </c>
      <c r="F1091" s="13" t="s">
        <v>41</v>
      </c>
      <c r="G1091" s="13" t="s">
        <v>2443</v>
      </c>
      <c r="H1091" s="13" t="s">
        <v>2825</v>
      </c>
      <c r="I1091" s="13" t="s">
        <v>34</v>
      </c>
      <c r="J1091" s="13" t="s">
        <v>429</v>
      </c>
      <c r="K1091" s="13" t="s">
        <v>58</v>
      </c>
      <c r="L1091" s="13" t="s">
        <v>26</v>
      </c>
      <c r="M1091" s="13" t="s">
        <v>51</v>
      </c>
      <c r="N1091" s="14">
        <v>71.984</v>
      </c>
      <c r="O1091" s="14">
        <v>71.13</v>
      </c>
      <c r="P1091" s="13">
        <v>2.0</v>
      </c>
      <c r="Q1091" s="14">
        <f t="shared" si="3"/>
        <v>143.968</v>
      </c>
      <c r="R1091" s="14">
        <f t="shared" si="4"/>
        <v>72.838</v>
      </c>
      <c r="S1091" s="14">
        <f t="shared" si="5"/>
        <v>71.13</v>
      </c>
    </row>
    <row r="1092">
      <c r="A1092" s="12">
        <v>42533.0</v>
      </c>
      <c r="B1092" s="12" t="s">
        <v>2374</v>
      </c>
      <c r="C1092" s="2">
        <v>42717.0</v>
      </c>
      <c r="D1092" s="15" t="str">
        <f t="shared" si="1"/>
        <v>Dec</v>
      </c>
      <c r="E1092" s="2" t="str">
        <f t="shared" si="2"/>
        <v>2016</v>
      </c>
      <c r="F1092" s="13" t="s">
        <v>41</v>
      </c>
      <c r="G1092" s="13" t="s">
        <v>2743</v>
      </c>
      <c r="H1092" s="13" t="s">
        <v>2744</v>
      </c>
      <c r="I1092" s="13" t="s">
        <v>23</v>
      </c>
      <c r="J1092" s="13" t="s">
        <v>542</v>
      </c>
      <c r="K1092" s="13" t="s">
        <v>52</v>
      </c>
      <c r="L1092" s="13" t="s">
        <v>37</v>
      </c>
      <c r="M1092" s="13" t="s">
        <v>38</v>
      </c>
      <c r="N1092" s="14">
        <v>120.15</v>
      </c>
      <c r="O1092" s="14">
        <v>119.85</v>
      </c>
      <c r="P1092" s="13">
        <v>9.0</v>
      </c>
      <c r="Q1092" s="14">
        <f t="shared" si="3"/>
        <v>1081.35</v>
      </c>
      <c r="R1092" s="14">
        <f t="shared" si="4"/>
        <v>961.5</v>
      </c>
      <c r="S1092" s="14">
        <f t="shared" si="5"/>
        <v>119.85</v>
      </c>
    </row>
    <row r="1093">
      <c r="A1093" s="12">
        <v>42533.0</v>
      </c>
      <c r="B1093" s="12" t="s">
        <v>2374</v>
      </c>
      <c r="C1093" s="2">
        <v>42717.0</v>
      </c>
      <c r="D1093" s="15" t="str">
        <f t="shared" si="1"/>
        <v>Dec</v>
      </c>
      <c r="E1093" s="2" t="str">
        <f t="shared" si="2"/>
        <v>2016</v>
      </c>
      <c r="F1093" s="13" t="s">
        <v>41</v>
      </c>
      <c r="G1093" s="13" t="s">
        <v>2743</v>
      </c>
      <c r="H1093" s="13" t="s">
        <v>2744</v>
      </c>
      <c r="I1093" s="13" t="s">
        <v>23</v>
      </c>
      <c r="J1093" s="13" t="s">
        <v>542</v>
      </c>
      <c r="K1093" s="13" t="s">
        <v>52</v>
      </c>
      <c r="L1093" s="13" t="s">
        <v>37</v>
      </c>
      <c r="M1093" s="13" t="s">
        <v>51</v>
      </c>
      <c r="N1093" s="14">
        <v>219.184</v>
      </c>
      <c r="O1093" s="14">
        <v>218.69</v>
      </c>
      <c r="P1093" s="13">
        <v>9.0</v>
      </c>
      <c r="Q1093" s="14">
        <f t="shared" si="3"/>
        <v>1972.656</v>
      </c>
      <c r="R1093" s="14">
        <f t="shared" si="4"/>
        <v>1753.966</v>
      </c>
      <c r="S1093" s="14">
        <f t="shared" si="5"/>
        <v>218.69</v>
      </c>
    </row>
    <row r="1094">
      <c r="A1094" s="12">
        <v>42731.0</v>
      </c>
      <c r="B1094" s="12" t="s">
        <v>2325</v>
      </c>
      <c r="C1094" s="2">
        <v>42735.0</v>
      </c>
      <c r="D1094" s="15" t="str">
        <f t="shared" si="1"/>
        <v>Dec</v>
      </c>
      <c r="E1094" s="2" t="str">
        <f t="shared" si="2"/>
        <v>2016</v>
      </c>
      <c r="F1094" s="13" t="s">
        <v>41</v>
      </c>
      <c r="G1094" s="13" t="s">
        <v>2750</v>
      </c>
      <c r="H1094" s="13" t="s">
        <v>2548</v>
      </c>
      <c r="I1094" s="13" t="s">
        <v>68</v>
      </c>
      <c r="J1094" s="13" t="s">
        <v>1828</v>
      </c>
      <c r="K1094" s="13" t="s">
        <v>1542</v>
      </c>
      <c r="L1094" s="13" t="s">
        <v>100</v>
      </c>
      <c r="M1094" s="13" t="s">
        <v>38</v>
      </c>
      <c r="N1094" s="14">
        <v>28.9</v>
      </c>
      <c r="O1094" s="14">
        <v>27.9</v>
      </c>
      <c r="P1094" s="13">
        <v>2.0</v>
      </c>
      <c r="Q1094" s="14">
        <f t="shared" si="3"/>
        <v>57.8</v>
      </c>
      <c r="R1094" s="14">
        <f t="shared" si="4"/>
        <v>29.9</v>
      </c>
      <c r="S1094" s="14">
        <f t="shared" si="5"/>
        <v>27.9</v>
      </c>
    </row>
    <row r="1095">
      <c r="A1095" s="12">
        <v>42731.0</v>
      </c>
      <c r="B1095" s="12" t="s">
        <v>2325</v>
      </c>
      <c r="C1095" s="2">
        <v>42735.0</v>
      </c>
      <c r="D1095" s="15" t="str">
        <f t="shared" si="1"/>
        <v>Dec</v>
      </c>
      <c r="E1095" s="2" t="str">
        <f t="shared" si="2"/>
        <v>2016</v>
      </c>
      <c r="F1095" s="13" t="s">
        <v>41</v>
      </c>
      <c r="G1095" s="13" t="s">
        <v>2750</v>
      </c>
      <c r="H1095" s="13" t="s">
        <v>2548</v>
      </c>
      <c r="I1095" s="13" t="s">
        <v>68</v>
      </c>
      <c r="J1095" s="13" t="s">
        <v>1828</v>
      </c>
      <c r="K1095" s="13" t="s">
        <v>1542</v>
      </c>
      <c r="L1095" s="13" t="s">
        <v>100</v>
      </c>
      <c r="M1095" s="13" t="s">
        <v>38</v>
      </c>
      <c r="N1095" s="14">
        <v>355.96</v>
      </c>
      <c r="O1095" s="14">
        <v>355.72</v>
      </c>
      <c r="P1095" s="13">
        <v>2.0</v>
      </c>
      <c r="Q1095" s="14">
        <f t="shared" si="3"/>
        <v>711.92</v>
      </c>
      <c r="R1095" s="14">
        <f t="shared" si="4"/>
        <v>356.2</v>
      </c>
      <c r="S1095" s="14">
        <f t="shared" si="5"/>
        <v>355.72</v>
      </c>
    </row>
    <row r="1096">
      <c r="A1096" s="12">
        <v>43121.0</v>
      </c>
      <c r="B1096" s="12" t="s">
        <v>2353</v>
      </c>
      <c r="C1096" s="2">
        <v>43126.0</v>
      </c>
      <c r="D1096" s="15" t="str">
        <f t="shared" si="1"/>
        <v>Jan</v>
      </c>
      <c r="E1096" s="2" t="str">
        <f t="shared" si="2"/>
        <v>2018</v>
      </c>
      <c r="F1096" s="13" t="s">
        <v>41</v>
      </c>
      <c r="G1096" s="13" t="s">
        <v>2883</v>
      </c>
      <c r="H1096" s="13" t="s">
        <v>2884</v>
      </c>
      <c r="I1096" s="13" t="s">
        <v>68</v>
      </c>
      <c r="J1096" s="13" t="s">
        <v>284</v>
      </c>
      <c r="K1096" s="13" t="s">
        <v>58</v>
      </c>
      <c r="L1096" s="13" t="s">
        <v>26</v>
      </c>
      <c r="M1096" s="13" t="s">
        <v>38</v>
      </c>
      <c r="N1096" s="14">
        <v>348.208</v>
      </c>
      <c r="O1096" s="14">
        <v>347.79</v>
      </c>
      <c r="P1096" s="13">
        <v>2.0</v>
      </c>
      <c r="Q1096" s="14">
        <f t="shared" si="3"/>
        <v>696.416</v>
      </c>
      <c r="R1096" s="14">
        <f t="shared" si="4"/>
        <v>348.626</v>
      </c>
      <c r="S1096" s="14">
        <f t="shared" si="5"/>
        <v>347.79</v>
      </c>
    </row>
    <row r="1097">
      <c r="A1097" s="12">
        <v>43121.0</v>
      </c>
      <c r="B1097" s="12" t="s">
        <v>2353</v>
      </c>
      <c r="C1097" s="2">
        <v>43126.0</v>
      </c>
      <c r="D1097" s="15" t="str">
        <f t="shared" si="1"/>
        <v>Jan</v>
      </c>
      <c r="E1097" s="2" t="str">
        <f t="shared" si="2"/>
        <v>2018</v>
      </c>
      <c r="F1097" s="13" t="s">
        <v>41</v>
      </c>
      <c r="G1097" s="13" t="s">
        <v>2883</v>
      </c>
      <c r="H1097" s="13" t="s">
        <v>2884</v>
      </c>
      <c r="I1097" s="13" t="s">
        <v>68</v>
      </c>
      <c r="J1097" s="13" t="s">
        <v>284</v>
      </c>
      <c r="K1097" s="13" t="s">
        <v>58</v>
      </c>
      <c r="L1097" s="13" t="s">
        <v>26</v>
      </c>
      <c r="M1097" s="13" t="s">
        <v>38</v>
      </c>
      <c r="N1097" s="14">
        <v>35.784</v>
      </c>
      <c r="O1097" s="14">
        <v>35.78</v>
      </c>
      <c r="P1097" s="13">
        <v>2.0</v>
      </c>
      <c r="Q1097" s="14">
        <f t="shared" si="3"/>
        <v>71.568</v>
      </c>
      <c r="R1097" s="14">
        <f t="shared" si="4"/>
        <v>35.788</v>
      </c>
      <c r="S1097" s="14">
        <f t="shared" si="5"/>
        <v>35.78</v>
      </c>
    </row>
    <row r="1098">
      <c r="A1098" s="12">
        <v>42180.0</v>
      </c>
      <c r="B1098" s="12" t="s">
        <v>2374</v>
      </c>
      <c r="C1098" s="2">
        <v>42183.0</v>
      </c>
      <c r="D1098" s="15" t="str">
        <f t="shared" si="1"/>
        <v>Jun</v>
      </c>
      <c r="E1098" s="2" t="str">
        <f t="shared" si="2"/>
        <v>2015</v>
      </c>
      <c r="F1098" s="13" t="s">
        <v>121</v>
      </c>
      <c r="G1098" s="13" t="s">
        <v>2866</v>
      </c>
      <c r="H1098" s="13" t="s">
        <v>2867</v>
      </c>
      <c r="I1098" s="13" t="s">
        <v>34</v>
      </c>
      <c r="J1098" s="13" t="s">
        <v>35</v>
      </c>
      <c r="K1098" s="13" t="s">
        <v>52</v>
      </c>
      <c r="L1098" s="13" t="s">
        <v>37</v>
      </c>
      <c r="M1098" s="13" t="s">
        <v>27</v>
      </c>
      <c r="N1098" s="14">
        <v>447.84</v>
      </c>
      <c r="O1098" s="14">
        <v>447.43</v>
      </c>
      <c r="P1098" s="13">
        <v>9.0</v>
      </c>
      <c r="Q1098" s="14">
        <f t="shared" si="3"/>
        <v>4030.56</v>
      </c>
      <c r="R1098" s="14">
        <f t="shared" si="4"/>
        <v>3583.13</v>
      </c>
      <c r="S1098" s="14">
        <f t="shared" si="5"/>
        <v>447.43</v>
      </c>
    </row>
    <row r="1099">
      <c r="A1099" s="12">
        <v>42900.0</v>
      </c>
      <c r="B1099" s="12" t="s">
        <v>2374</v>
      </c>
      <c r="C1099" s="2">
        <v>42903.0</v>
      </c>
      <c r="D1099" s="15" t="str">
        <f t="shared" si="1"/>
        <v>Jun</v>
      </c>
      <c r="E1099" s="2" t="str">
        <f t="shared" si="2"/>
        <v>2017</v>
      </c>
      <c r="F1099" s="13" t="s">
        <v>121</v>
      </c>
      <c r="G1099" s="13" t="s">
        <v>1839</v>
      </c>
      <c r="H1099" s="13" t="s">
        <v>1840</v>
      </c>
      <c r="I1099" s="13" t="s">
        <v>68</v>
      </c>
      <c r="J1099" s="13" t="s">
        <v>87</v>
      </c>
      <c r="K1099" s="13" t="s">
        <v>52</v>
      </c>
      <c r="L1099" s="13" t="s">
        <v>37</v>
      </c>
      <c r="M1099" s="13" t="s">
        <v>38</v>
      </c>
      <c r="N1099" s="14">
        <v>7.04</v>
      </c>
      <c r="O1099" s="14">
        <v>6.24</v>
      </c>
      <c r="P1099" s="13">
        <v>9.0</v>
      </c>
      <c r="Q1099" s="14">
        <f t="shared" si="3"/>
        <v>63.36</v>
      </c>
      <c r="R1099" s="14">
        <f t="shared" si="4"/>
        <v>57.12</v>
      </c>
      <c r="S1099" s="14">
        <f t="shared" si="5"/>
        <v>6.24</v>
      </c>
    </row>
    <row r="1100">
      <c r="A1100" s="12">
        <v>42900.0</v>
      </c>
      <c r="B1100" s="12" t="s">
        <v>2374</v>
      </c>
      <c r="C1100" s="2">
        <v>42903.0</v>
      </c>
      <c r="D1100" s="15" t="str">
        <f t="shared" si="1"/>
        <v>Jun</v>
      </c>
      <c r="E1100" s="2" t="str">
        <f t="shared" si="2"/>
        <v>2017</v>
      </c>
      <c r="F1100" s="13" t="s">
        <v>121</v>
      </c>
      <c r="G1100" s="13" t="s">
        <v>1839</v>
      </c>
      <c r="H1100" s="13" t="s">
        <v>1840</v>
      </c>
      <c r="I1100" s="13" t="s">
        <v>68</v>
      </c>
      <c r="J1100" s="13" t="s">
        <v>87</v>
      </c>
      <c r="K1100" s="13" t="s">
        <v>52</v>
      </c>
      <c r="L1100" s="13" t="s">
        <v>37</v>
      </c>
      <c r="M1100" s="13" t="s">
        <v>27</v>
      </c>
      <c r="N1100" s="14">
        <v>8.73</v>
      </c>
      <c r="O1100" s="14">
        <v>7.75</v>
      </c>
      <c r="P1100" s="13">
        <v>9.0</v>
      </c>
      <c r="Q1100" s="14">
        <f t="shared" si="3"/>
        <v>78.57</v>
      </c>
      <c r="R1100" s="14">
        <f t="shared" si="4"/>
        <v>70.82</v>
      </c>
      <c r="S1100" s="14">
        <f t="shared" si="5"/>
        <v>7.75</v>
      </c>
    </row>
    <row r="1101">
      <c r="A1101" s="12">
        <v>42900.0</v>
      </c>
      <c r="B1101" s="12" t="s">
        <v>2374</v>
      </c>
      <c r="C1101" s="2">
        <v>42903.0</v>
      </c>
      <c r="D1101" s="15" t="str">
        <f t="shared" si="1"/>
        <v>Jun</v>
      </c>
      <c r="E1101" s="2" t="str">
        <f t="shared" si="2"/>
        <v>2017</v>
      </c>
      <c r="F1101" s="13" t="s">
        <v>121</v>
      </c>
      <c r="G1101" s="13" t="s">
        <v>1839</v>
      </c>
      <c r="H1101" s="13" t="s">
        <v>1840</v>
      </c>
      <c r="I1101" s="13" t="s">
        <v>68</v>
      </c>
      <c r="J1101" s="13" t="s">
        <v>87</v>
      </c>
      <c r="K1101" s="13" t="s">
        <v>52</v>
      </c>
      <c r="L1101" s="13" t="s">
        <v>37</v>
      </c>
      <c r="M1101" s="13" t="s">
        <v>51</v>
      </c>
      <c r="N1101" s="14">
        <v>29.29</v>
      </c>
      <c r="O1101" s="14">
        <v>29.09</v>
      </c>
      <c r="P1101" s="13">
        <v>9.0</v>
      </c>
      <c r="Q1101" s="14">
        <f t="shared" si="3"/>
        <v>263.61</v>
      </c>
      <c r="R1101" s="14">
        <f t="shared" si="4"/>
        <v>234.52</v>
      </c>
      <c r="S1101" s="14">
        <f t="shared" si="5"/>
        <v>29.09</v>
      </c>
    </row>
    <row r="1102">
      <c r="A1102" s="12">
        <v>42900.0</v>
      </c>
      <c r="B1102" s="12" t="s">
        <v>2374</v>
      </c>
      <c r="C1102" s="2">
        <v>42903.0</v>
      </c>
      <c r="D1102" s="15" t="str">
        <f t="shared" si="1"/>
        <v>Jun</v>
      </c>
      <c r="E1102" s="2" t="str">
        <f t="shared" si="2"/>
        <v>2017</v>
      </c>
      <c r="F1102" s="13" t="s">
        <v>121</v>
      </c>
      <c r="G1102" s="13" t="s">
        <v>1839</v>
      </c>
      <c r="H1102" s="13" t="s">
        <v>1840</v>
      </c>
      <c r="I1102" s="13" t="s">
        <v>68</v>
      </c>
      <c r="J1102" s="13" t="s">
        <v>87</v>
      </c>
      <c r="K1102" s="13" t="s">
        <v>52</v>
      </c>
      <c r="L1102" s="13" t="s">
        <v>37</v>
      </c>
      <c r="M1102" s="13" t="s">
        <v>38</v>
      </c>
      <c r="N1102" s="14">
        <v>8.64</v>
      </c>
      <c r="O1102" s="14">
        <v>7.79</v>
      </c>
      <c r="P1102" s="13">
        <v>9.0</v>
      </c>
      <c r="Q1102" s="14">
        <f t="shared" si="3"/>
        <v>77.76</v>
      </c>
      <c r="R1102" s="14">
        <f t="shared" si="4"/>
        <v>69.97</v>
      </c>
      <c r="S1102" s="14">
        <f t="shared" si="5"/>
        <v>7.79</v>
      </c>
    </row>
    <row r="1103">
      <c r="A1103" s="12">
        <v>43211.0</v>
      </c>
      <c r="B1103" s="12" t="s">
        <v>2332</v>
      </c>
      <c r="C1103" s="2">
        <v>43217.0</v>
      </c>
      <c r="D1103" s="15" t="str">
        <f t="shared" si="1"/>
        <v>Apr</v>
      </c>
      <c r="E1103" s="2" t="str">
        <f t="shared" si="2"/>
        <v>2018</v>
      </c>
      <c r="F1103" s="13" t="s">
        <v>41</v>
      </c>
      <c r="G1103" s="13" t="s">
        <v>2733</v>
      </c>
      <c r="H1103" s="13" t="s">
        <v>2734</v>
      </c>
      <c r="I1103" s="13" t="s">
        <v>23</v>
      </c>
      <c r="J1103" s="13" t="s">
        <v>129</v>
      </c>
      <c r="K1103" s="13" t="s">
        <v>70</v>
      </c>
      <c r="L1103" s="13" t="s">
        <v>71</v>
      </c>
      <c r="M1103" s="13" t="s">
        <v>38</v>
      </c>
      <c r="N1103" s="14">
        <v>2.694</v>
      </c>
      <c r="O1103" s="14">
        <v>2.64</v>
      </c>
      <c r="P1103" s="13">
        <v>7.0</v>
      </c>
      <c r="Q1103" s="14">
        <f t="shared" si="3"/>
        <v>18.858</v>
      </c>
      <c r="R1103" s="14">
        <f t="shared" si="4"/>
        <v>16.218</v>
      </c>
      <c r="S1103" s="14">
        <f t="shared" si="5"/>
        <v>2.64</v>
      </c>
    </row>
    <row r="1104">
      <c r="A1104" s="12">
        <v>43211.0</v>
      </c>
      <c r="B1104" s="12" t="s">
        <v>2332</v>
      </c>
      <c r="C1104" s="2">
        <v>43217.0</v>
      </c>
      <c r="D1104" s="15" t="str">
        <f t="shared" si="1"/>
        <v>Apr</v>
      </c>
      <c r="E1104" s="2" t="str">
        <f t="shared" si="2"/>
        <v>2018</v>
      </c>
      <c r="F1104" s="13" t="s">
        <v>41</v>
      </c>
      <c r="G1104" s="13" t="s">
        <v>2733</v>
      </c>
      <c r="H1104" s="13" t="s">
        <v>2734</v>
      </c>
      <c r="I1104" s="13" t="s">
        <v>23</v>
      </c>
      <c r="J1104" s="13" t="s">
        <v>129</v>
      </c>
      <c r="K1104" s="13" t="s">
        <v>70</v>
      </c>
      <c r="L1104" s="13" t="s">
        <v>71</v>
      </c>
      <c r="M1104" s="13" t="s">
        <v>38</v>
      </c>
      <c r="N1104" s="14">
        <v>2.934</v>
      </c>
      <c r="O1104" s="14">
        <v>2.77</v>
      </c>
      <c r="P1104" s="13">
        <v>7.0</v>
      </c>
      <c r="Q1104" s="14">
        <f t="shared" si="3"/>
        <v>20.538</v>
      </c>
      <c r="R1104" s="14">
        <f t="shared" si="4"/>
        <v>17.768</v>
      </c>
      <c r="S1104" s="14">
        <f t="shared" si="5"/>
        <v>2.77</v>
      </c>
    </row>
    <row r="1105">
      <c r="A1105" s="12">
        <v>43029.0</v>
      </c>
      <c r="B1105" s="12" t="s">
        <v>2358</v>
      </c>
      <c r="C1105" s="2">
        <v>43035.0</v>
      </c>
      <c r="D1105" s="15" t="str">
        <f t="shared" si="1"/>
        <v>Oct</v>
      </c>
      <c r="E1105" s="2" t="str">
        <f t="shared" si="2"/>
        <v>2017</v>
      </c>
      <c r="F1105" s="13" t="s">
        <v>41</v>
      </c>
      <c r="G1105" s="13" t="s">
        <v>2885</v>
      </c>
      <c r="H1105" s="13" t="s">
        <v>2075</v>
      </c>
      <c r="I1105" s="13" t="s">
        <v>23</v>
      </c>
      <c r="J1105" s="13" t="s">
        <v>1612</v>
      </c>
      <c r="K1105" s="13" t="s">
        <v>52</v>
      </c>
      <c r="L1105" s="13" t="s">
        <v>37</v>
      </c>
      <c r="M1105" s="13" t="s">
        <v>38</v>
      </c>
      <c r="N1105" s="14">
        <v>22.92</v>
      </c>
      <c r="O1105" s="14">
        <v>22.08</v>
      </c>
      <c r="P1105" s="13">
        <v>9.0</v>
      </c>
      <c r="Q1105" s="14">
        <f t="shared" si="3"/>
        <v>206.28</v>
      </c>
      <c r="R1105" s="14">
        <f t="shared" si="4"/>
        <v>184.2</v>
      </c>
      <c r="S1105" s="14">
        <f t="shared" si="5"/>
        <v>22.08</v>
      </c>
    </row>
    <row r="1106">
      <c r="A1106" s="12">
        <v>43058.0</v>
      </c>
      <c r="B1106" s="12" t="s">
        <v>2326</v>
      </c>
      <c r="C1106" s="2">
        <v>43063.0</v>
      </c>
      <c r="D1106" s="15" t="str">
        <f t="shared" si="1"/>
        <v>Nov</v>
      </c>
      <c r="E1106" s="2" t="str">
        <f t="shared" si="2"/>
        <v>2017</v>
      </c>
      <c r="F1106" s="13" t="s">
        <v>41</v>
      </c>
      <c r="G1106" s="13" t="s">
        <v>2354</v>
      </c>
      <c r="H1106" s="13" t="s">
        <v>2355</v>
      </c>
      <c r="I1106" s="13" t="s">
        <v>23</v>
      </c>
      <c r="J1106" s="13" t="s">
        <v>129</v>
      </c>
      <c r="K1106" s="13" t="s">
        <v>70</v>
      </c>
      <c r="L1106" s="13" t="s">
        <v>71</v>
      </c>
      <c r="M1106" s="13" t="s">
        <v>38</v>
      </c>
      <c r="N1106" s="14">
        <v>100.704</v>
      </c>
      <c r="O1106" s="14">
        <v>100.68</v>
      </c>
      <c r="P1106" s="13">
        <v>7.0</v>
      </c>
      <c r="Q1106" s="14">
        <f t="shared" si="3"/>
        <v>704.928</v>
      </c>
      <c r="R1106" s="14">
        <f t="shared" si="4"/>
        <v>604.248</v>
      </c>
      <c r="S1106" s="14">
        <f t="shared" si="5"/>
        <v>100.68</v>
      </c>
    </row>
    <row r="1107">
      <c r="A1107" s="12">
        <v>43058.0</v>
      </c>
      <c r="B1107" s="12" t="s">
        <v>2326</v>
      </c>
      <c r="C1107" s="2">
        <v>43063.0</v>
      </c>
      <c r="D1107" s="15" t="str">
        <f t="shared" si="1"/>
        <v>Nov</v>
      </c>
      <c r="E1107" s="2" t="str">
        <f t="shared" si="2"/>
        <v>2017</v>
      </c>
      <c r="F1107" s="13" t="s">
        <v>41</v>
      </c>
      <c r="G1107" s="13" t="s">
        <v>2354</v>
      </c>
      <c r="H1107" s="13" t="s">
        <v>2355</v>
      </c>
      <c r="I1107" s="13" t="s">
        <v>23</v>
      </c>
      <c r="J1107" s="13" t="s">
        <v>129</v>
      </c>
      <c r="K1107" s="13" t="s">
        <v>70</v>
      </c>
      <c r="L1107" s="13" t="s">
        <v>71</v>
      </c>
      <c r="M1107" s="13" t="s">
        <v>27</v>
      </c>
      <c r="N1107" s="14">
        <v>2.328</v>
      </c>
      <c r="O1107" s="14">
        <v>2.32</v>
      </c>
      <c r="P1107" s="13">
        <v>7.0</v>
      </c>
      <c r="Q1107" s="14">
        <f t="shared" si="3"/>
        <v>16.296</v>
      </c>
      <c r="R1107" s="14">
        <f t="shared" si="4"/>
        <v>13.976</v>
      </c>
      <c r="S1107" s="14">
        <f t="shared" si="5"/>
        <v>2.32</v>
      </c>
    </row>
    <row r="1108">
      <c r="A1108" s="12">
        <v>43058.0</v>
      </c>
      <c r="B1108" s="12" t="s">
        <v>2326</v>
      </c>
      <c r="C1108" s="2">
        <v>43063.0</v>
      </c>
      <c r="D1108" s="15" t="str">
        <f t="shared" si="1"/>
        <v>Nov</v>
      </c>
      <c r="E1108" s="2" t="str">
        <f t="shared" si="2"/>
        <v>2017</v>
      </c>
      <c r="F1108" s="13" t="s">
        <v>41</v>
      </c>
      <c r="G1108" s="13" t="s">
        <v>2354</v>
      </c>
      <c r="H1108" s="13" t="s">
        <v>2355</v>
      </c>
      <c r="I1108" s="13" t="s">
        <v>23</v>
      </c>
      <c r="J1108" s="13" t="s">
        <v>129</v>
      </c>
      <c r="K1108" s="13" t="s">
        <v>70</v>
      </c>
      <c r="L1108" s="13" t="s">
        <v>71</v>
      </c>
      <c r="M1108" s="13" t="s">
        <v>38</v>
      </c>
      <c r="N1108" s="14">
        <v>10.78</v>
      </c>
      <c r="O1108" s="14">
        <v>9.9</v>
      </c>
      <c r="P1108" s="13">
        <v>7.0</v>
      </c>
      <c r="Q1108" s="14">
        <f t="shared" si="3"/>
        <v>75.46</v>
      </c>
      <c r="R1108" s="14">
        <f t="shared" si="4"/>
        <v>65.56</v>
      </c>
      <c r="S1108" s="14">
        <f t="shared" si="5"/>
        <v>9.9</v>
      </c>
    </row>
    <row r="1109">
      <c r="A1109" s="12">
        <v>43058.0</v>
      </c>
      <c r="B1109" s="12" t="s">
        <v>2326</v>
      </c>
      <c r="C1109" s="2">
        <v>43063.0</v>
      </c>
      <c r="D1109" s="15" t="str">
        <f t="shared" si="1"/>
        <v>Nov</v>
      </c>
      <c r="E1109" s="2" t="str">
        <f t="shared" si="2"/>
        <v>2017</v>
      </c>
      <c r="F1109" s="13" t="s">
        <v>41</v>
      </c>
      <c r="G1109" s="13" t="s">
        <v>2354</v>
      </c>
      <c r="H1109" s="13" t="s">
        <v>2355</v>
      </c>
      <c r="I1109" s="13" t="s">
        <v>23</v>
      </c>
      <c r="J1109" s="13" t="s">
        <v>129</v>
      </c>
      <c r="K1109" s="13" t="s">
        <v>70</v>
      </c>
      <c r="L1109" s="13" t="s">
        <v>71</v>
      </c>
      <c r="M1109" s="13" t="s">
        <v>38</v>
      </c>
      <c r="N1109" s="14">
        <v>58.368</v>
      </c>
      <c r="O1109" s="14">
        <v>57.92</v>
      </c>
      <c r="P1109" s="13">
        <v>7.0</v>
      </c>
      <c r="Q1109" s="14">
        <f t="shared" si="3"/>
        <v>408.576</v>
      </c>
      <c r="R1109" s="14">
        <f t="shared" si="4"/>
        <v>350.656</v>
      </c>
      <c r="S1109" s="14">
        <f t="shared" si="5"/>
        <v>57.92</v>
      </c>
    </row>
    <row r="1110">
      <c r="A1110" s="12">
        <v>43058.0</v>
      </c>
      <c r="B1110" s="12" t="s">
        <v>2326</v>
      </c>
      <c r="C1110" s="2">
        <v>43063.0</v>
      </c>
      <c r="D1110" s="15" t="str">
        <f t="shared" si="1"/>
        <v>Nov</v>
      </c>
      <c r="E1110" s="2" t="str">
        <f t="shared" si="2"/>
        <v>2017</v>
      </c>
      <c r="F1110" s="13" t="s">
        <v>41</v>
      </c>
      <c r="G1110" s="13" t="s">
        <v>2354</v>
      </c>
      <c r="H1110" s="13" t="s">
        <v>2355</v>
      </c>
      <c r="I1110" s="13" t="s">
        <v>23</v>
      </c>
      <c r="J1110" s="13" t="s">
        <v>129</v>
      </c>
      <c r="K1110" s="13" t="s">
        <v>70</v>
      </c>
      <c r="L1110" s="13" t="s">
        <v>71</v>
      </c>
      <c r="M1110" s="13" t="s">
        <v>38</v>
      </c>
      <c r="N1110" s="14">
        <v>40.968</v>
      </c>
      <c r="O1110" s="14">
        <v>40.93</v>
      </c>
      <c r="P1110" s="13">
        <v>7.0</v>
      </c>
      <c r="Q1110" s="14">
        <f t="shared" si="3"/>
        <v>286.776</v>
      </c>
      <c r="R1110" s="14">
        <f t="shared" si="4"/>
        <v>245.846</v>
      </c>
      <c r="S1110" s="14">
        <f t="shared" si="5"/>
        <v>40.93</v>
      </c>
    </row>
    <row r="1111">
      <c r="A1111" s="12">
        <v>43058.0</v>
      </c>
      <c r="B1111" s="12" t="s">
        <v>2326</v>
      </c>
      <c r="C1111" s="2">
        <v>43063.0</v>
      </c>
      <c r="D1111" s="15" t="str">
        <f t="shared" si="1"/>
        <v>Nov</v>
      </c>
      <c r="E1111" s="2" t="str">
        <f t="shared" si="2"/>
        <v>2017</v>
      </c>
      <c r="F1111" s="13" t="s">
        <v>41</v>
      </c>
      <c r="G1111" s="13" t="s">
        <v>2354</v>
      </c>
      <c r="H1111" s="13" t="s">
        <v>2355</v>
      </c>
      <c r="I1111" s="13" t="s">
        <v>23</v>
      </c>
      <c r="J1111" s="13" t="s">
        <v>129</v>
      </c>
      <c r="K1111" s="13" t="s">
        <v>70</v>
      </c>
      <c r="L1111" s="13" t="s">
        <v>71</v>
      </c>
      <c r="M1111" s="13" t="s">
        <v>51</v>
      </c>
      <c r="N1111" s="14">
        <v>71.96</v>
      </c>
      <c r="O1111" s="14">
        <v>71.29</v>
      </c>
      <c r="P1111" s="13">
        <v>7.0</v>
      </c>
      <c r="Q1111" s="14">
        <f t="shared" si="3"/>
        <v>503.72</v>
      </c>
      <c r="R1111" s="14">
        <f t="shared" si="4"/>
        <v>432.43</v>
      </c>
      <c r="S1111" s="14">
        <f t="shared" si="5"/>
        <v>71.29</v>
      </c>
    </row>
    <row r="1112">
      <c r="A1112" s="12">
        <v>43058.0</v>
      </c>
      <c r="B1112" s="12" t="s">
        <v>2326</v>
      </c>
      <c r="C1112" s="2">
        <v>43063.0</v>
      </c>
      <c r="D1112" s="15" t="str">
        <f t="shared" si="1"/>
        <v>Nov</v>
      </c>
      <c r="E1112" s="2" t="str">
        <f t="shared" si="2"/>
        <v>2017</v>
      </c>
      <c r="F1112" s="13" t="s">
        <v>41</v>
      </c>
      <c r="G1112" s="13" t="s">
        <v>2354</v>
      </c>
      <c r="H1112" s="13" t="s">
        <v>2355</v>
      </c>
      <c r="I1112" s="13" t="s">
        <v>23</v>
      </c>
      <c r="J1112" s="13" t="s">
        <v>129</v>
      </c>
      <c r="K1112" s="13" t="s">
        <v>70</v>
      </c>
      <c r="L1112" s="13" t="s">
        <v>71</v>
      </c>
      <c r="M1112" s="13" t="s">
        <v>38</v>
      </c>
      <c r="N1112" s="14">
        <v>10.368</v>
      </c>
      <c r="O1112" s="14">
        <v>9.6</v>
      </c>
      <c r="P1112" s="13">
        <v>7.0</v>
      </c>
      <c r="Q1112" s="14">
        <f t="shared" si="3"/>
        <v>72.576</v>
      </c>
      <c r="R1112" s="14">
        <f t="shared" si="4"/>
        <v>62.976</v>
      </c>
      <c r="S1112" s="14">
        <f t="shared" si="5"/>
        <v>9.6</v>
      </c>
    </row>
    <row r="1113">
      <c r="A1113" s="12">
        <v>43058.0</v>
      </c>
      <c r="B1113" s="12" t="s">
        <v>2326</v>
      </c>
      <c r="C1113" s="2">
        <v>43063.0</v>
      </c>
      <c r="D1113" s="15" t="str">
        <f t="shared" si="1"/>
        <v>Nov</v>
      </c>
      <c r="E1113" s="2" t="str">
        <f t="shared" si="2"/>
        <v>2017</v>
      </c>
      <c r="F1113" s="13" t="s">
        <v>41</v>
      </c>
      <c r="G1113" s="13" t="s">
        <v>2354</v>
      </c>
      <c r="H1113" s="13" t="s">
        <v>2355</v>
      </c>
      <c r="I1113" s="13" t="s">
        <v>23</v>
      </c>
      <c r="J1113" s="13" t="s">
        <v>129</v>
      </c>
      <c r="K1113" s="13" t="s">
        <v>70</v>
      </c>
      <c r="L1113" s="13" t="s">
        <v>71</v>
      </c>
      <c r="M1113" s="13" t="s">
        <v>38</v>
      </c>
      <c r="N1113" s="14">
        <v>1.192</v>
      </c>
      <c r="O1113" s="14">
        <v>1.1</v>
      </c>
      <c r="P1113" s="13">
        <v>7.0</v>
      </c>
      <c r="Q1113" s="14">
        <f t="shared" si="3"/>
        <v>8.344</v>
      </c>
      <c r="R1113" s="14">
        <f t="shared" si="4"/>
        <v>7.244</v>
      </c>
      <c r="S1113" s="14">
        <f t="shared" si="5"/>
        <v>1.1</v>
      </c>
    </row>
    <row r="1114">
      <c r="A1114" s="12">
        <v>43452.0</v>
      </c>
      <c r="B1114" s="12" t="s">
        <v>2325</v>
      </c>
      <c r="C1114" s="2">
        <v>43457.0</v>
      </c>
      <c r="D1114" s="15" t="str">
        <f t="shared" si="1"/>
        <v>Dec</v>
      </c>
      <c r="E1114" s="2" t="str">
        <f t="shared" si="2"/>
        <v>2018</v>
      </c>
      <c r="F1114" s="13" t="s">
        <v>20</v>
      </c>
      <c r="G1114" s="13" t="s">
        <v>2583</v>
      </c>
      <c r="H1114" s="13" t="s">
        <v>2584</v>
      </c>
      <c r="I1114" s="13" t="s">
        <v>23</v>
      </c>
      <c r="J1114" s="13" t="s">
        <v>1849</v>
      </c>
      <c r="K1114" s="13" t="s">
        <v>52</v>
      </c>
      <c r="L1114" s="13" t="s">
        <v>37</v>
      </c>
      <c r="M1114" s="13" t="s">
        <v>38</v>
      </c>
      <c r="N1114" s="14">
        <v>46.672</v>
      </c>
      <c r="O1114" s="14">
        <v>46.01</v>
      </c>
      <c r="P1114" s="13">
        <v>9.0</v>
      </c>
      <c r="Q1114" s="14">
        <f t="shared" si="3"/>
        <v>420.048</v>
      </c>
      <c r="R1114" s="14">
        <f t="shared" si="4"/>
        <v>374.038</v>
      </c>
      <c r="S1114" s="14">
        <f t="shared" si="5"/>
        <v>46.01</v>
      </c>
    </row>
    <row r="1115">
      <c r="A1115" s="12">
        <v>43452.0</v>
      </c>
      <c r="B1115" s="12" t="s">
        <v>2325</v>
      </c>
      <c r="C1115" s="2">
        <v>43457.0</v>
      </c>
      <c r="D1115" s="15" t="str">
        <f t="shared" si="1"/>
        <v>Dec</v>
      </c>
      <c r="E1115" s="2" t="str">
        <f t="shared" si="2"/>
        <v>2018</v>
      </c>
      <c r="F1115" s="13" t="s">
        <v>20</v>
      </c>
      <c r="G1115" s="13" t="s">
        <v>2583</v>
      </c>
      <c r="H1115" s="13" t="s">
        <v>2584</v>
      </c>
      <c r="I1115" s="13" t="s">
        <v>23</v>
      </c>
      <c r="J1115" s="13" t="s">
        <v>1849</v>
      </c>
      <c r="K1115" s="13" t="s">
        <v>52</v>
      </c>
      <c r="L1115" s="13" t="s">
        <v>37</v>
      </c>
      <c r="M1115" s="13" t="s">
        <v>27</v>
      </c>
      <c r="N1115" s="14">
        <v>119.833</v>
      </c>
      <c r="O1115" s="14">
        <v>119.49</v>
      </c>
      <c r="P1115" s="13">
        <v>9.0</v>
      </c>
      <c r="Q1115" s="14">
        <f t="shared" si="3"/>
        <v>1078.497</v>
      </c>
      <c r="R1115" s="14">
        <f t="shared" si="4"/>
        <v>959.007</v>
      </c>
      <c r="S1115" s="14">
        <f t="shared" si="5"/>
        <v>119.49</v>
      </c>
    </row>
    <row r="1116">
      <c r="A1116" s="12">
        <v>43452.0</v>
      </c>
      <c r="B1116" s="12" t="s">
        <v>2325</v>
      </c>
      <c r="C1116" s="2">
        <v>43457.0</v>
      </c>
      <c r="D1116" s="15" t="str">
        <f t="shared" si="1"/>
        <v>Dec</v>
      </c>
      <c r="E1116" s="2" t="str">
        <f t="shared" si="2"/>
        <v>2018</v>
      </c>
      <c r="F1116" s="13" t="s">
        <v>20</v>
      </c>
      <c r="G1116" s="13" t="s">
        <v>2583</v>
      </c>
      <c r="H1116" s="13" t="s">
        <v>2584</v>
      </c>
      <c r="I1116" s="13" t="s">
        <v>23</v>
      </c>
      <c r="J1116" s="13" t="s">
        <v>1849</v>
      </c>
      <c r="K1116" s="13" t="s">
        <v>52</v>
      </c>
      <c r="L1116" s="13" t="s">
        <v>37</v>
      </c>
      <c r="M1116" s="13" t="s">
        <v>51</v>
      </c>
      <c r="N1116" s="14">
        <v>119.98</v>
      </c>
      <c r="O1116" s="14">
        <v>119.77</v>
      </c>
      <c r="P1116" s="13">
        <v>9.0</v>
      </c>
      <c r="Q1116" s="14">
        <f t="shared" si="3"/>
        <v>1079.82</v>
      </c>
      <c r="R1116" s="14">
        <f t="shared" si="4"/>
        <v>960.05</v>
      </c>
      <c r="S1116" s="14">
        <f t="shared" si="5"/>
        <v>119.77</v>
      </c>
    </row>
    <row r="1117">
      <c r="A1117" s="12">
        <v>42938.0</v>
      </c>
      <c r="B1117" s="12" t="s">
        <v>2348</v>
      </c>
      <c r="C1117" s="2">
        <v>42940.0</v>
      </c>
      <c r="D1117" s="15" t="str">
        <f t="shared" si="1"/>
        <v>Jul</v>
      </c>
      <c r="E1117" s="2" t="str">
        <f t="shared" si="2"/>
        <v>2017</v>
      </c>
      <c r="F1117" s="13" t="s">
        <v>20</v>
      </c>
      <c r="G1117" s="13" t="s">
        <v>2886</v>
      </c>
      <c r="H1117" s="13" t="s">
        <v>2887</v>
      </c>
      <c r="I1117" s="13" t="s">
        <v>34</v>
      </c>
      <c r="J1117" s="13" t="s">
        <v>87</v>
      </c>
      <c r="K1117" s="13" t="s">
        <v>52</v>
      </c>
      <c r="L1117" s="13" t="s">
        <v>37</v>
      </c>
      <c r="M1117" s="13" t="s">
        <v>38</v>
      </c>
      <c r="N1117" s="14">
        <v>6.3</v>
      </c>
      <c r="O1117" s="14">
        <v>6.14</v>
      </c>
      <c r="P1117" s="13">
        <v>9.0</v>
      </c>
      <c r="Q1117" s="14">
        <f t="shared" si="3"/>
        <v>56.7</v>
      </c>
      <c r="R1117" s="14">
        <f t="shared" si="4"/>
        <v>50.56</v>
      </c>
      <c r="S1117" s="14">
        <f t="shared" si="5"/>
        <v>6.14</v>
      </c>
    </row>
    <row r="1118">
      <c r="A1118" s="12">
        <v>42469.0</v>
      </c>
      <c r="B1118" s="12" t="s">
        <v>2332</v>
      </c>
      <c r="C1118" s="2">
        <v>42591.0</v>
      </c>
      <c r="D1118" s="15" t="str">
        <f t="shared" si="1"/>
        <v>Aug</v>
      </c>
      <c r="E1118" s="2" t="str">
        <f t="shared" si="2"/>
        <v>2016</v>
      </c>
      <c r="F1118" s="13" t="s">
        <v>41</v>
      </c>
      <c r="G1118" s="13" t="s">
        <v>2532</v>
      </c>
      <c r="H1118" s="13" t="s">
        <v>2631</v>
      </c>
      <c r="I1118" s="13" t="s">
        <v>23</v>
      </c>
      <c r="J1118" s="13" t="s">
        <v>1857</v>
      </c>
      <c r="K1118" s="13" t="s">
        <v>707</v>
      </c>
      <c r="L1118" s="13" t="s">
        <v>26</v>
      </c>
      <c r="M1118" s="13" t="s">
        <v>38</v>
      </c>
      <c r="N1118" s="14">
        <v>279.9</v>
      </c>
      <c r="O1118" s="14">
        <v>279.45</v>
      </c>
      <c r="P1118" s="13">
        <v>3.0</v>
      </c>
      <c r="Q1118" s="14">
        <f t="shared" si="3"/>
        <v>839.7</v>
      </c>
      <c r="R1118" s="14">
        <f t="shared" si="4"/>
        <v>560.25</v>
      </c>
      <c r="S1118" s="14">
        <f t="shared" si="5"/>
        <v>279.45</v>
      </c>
    </row>
    <row r="1119">
      <c r="A1119" s="12">
        <v>42469.0</v>
      </c>
      <c r="B1119" s="12" t="s">
        <v>2332</v>
      </c>
      <c r="C1119" s="2">
        <v>42591.0</v>
      </c>
      <c r="D1119" s="15" t="str">
        <f t="shared" si="1"/>
        <v>Aug</v>
      </c>
      <c r="E1119" s="2" t="str">
        <f t="shared" si="2"/>
        <v>2016</v>
      </c>
      <c r="F1119" s="13" t="s">
        <v>41</v>
      </c>
      <c r="G1119" s="13" t="s">
        <v>2532</v>
      </c>
      <c r="H1119" s="13" t="s">
        <v>2631</v>
      </c>
      <c r="I1119" s="13" t="s">
        <v>23</v>
      </c>
      <c r="J1119" s="13" t="s">
        <v>1857</v>
      </c>
      <c r="K1119" s="13" t="s">
        <v>707</v>
      </c>
      <c r="L1119" s="13" t="s">
        <v>26</v>
      </c>
      <c r="M1119" s="13" t="s">
        <v>51</v>
      </c>
      <c r="N1119" s="14">
        <v>619.95</v>
      </c>
      <c r="O1119" s="14">
        <v>619.12</v>
      </c>
      <c r="P1119" s="13">
        <v>3.0</v>
      </c>
      <c r="Q1119" s="14">
        <f t="shared" si="3"/>
        <v>1859.85</v>
      </c>
      <c r="R1119" s="14">
        <f t="shared" si="4"/>
        <v>1240.73</v>
      </c>
      <c r="S1119" s="14">
        <f t="shared" si="5"/>
        <v>619.12</v>
      </c>
    </row>
    <row r="1120">
      <c r="A1120" s="12">
        <v>42469.0</v>
      </c>
      <c r="B1120" s="12" t="s">
        <v>2332</v>
      </c>
      <c r="C1120" s="2">
        <v>42591.0</v>
      </c>
      <c r="D1120" s="15" t="str">
        <f t="shared" si="1"/>
        <v>Aug</v>
      </c>
      <c r="E1120" s="2" t="str">
        <f t="shared" si="2"/>
        <v>2016</v>
      </c>
      <c r="F1120" s="13" t="s">
        <v>41</v>
      </c>
      <c r="G1120" s="13" t="s">
        <v>2532</v>
      </c>
      <c r="H1120" s="13" t="s">
        <v>2631</v>
      </c>
      <c r="I1120" s="13" t="s">
        <v>23</v>
      </c>
      <c r="J1120" s="13" t="s">
        <v>1857</v>
      </c>
      <c r="K1120" s="13" t="s">
        <v>707</v>
      </c>
      <c r="L1120" s="13" t="s">
        <v>26</v>
      </c>
      <c r="M1120" s="13" t="s">
        <v>38</v>
      </c>
      <c r="N1120" s="14">
        <v>4.36</v>
      </c>
      <c r="O1120" s="14">
        <v>3.73</v>
      </c>
      <c r="P1120" s="13">
        <v>3.0</v>
      </c>
      <c r="Q1120" s="14">
        <f t="shared" si="3"/>
        <v>13.08</v>
      </c>
      <c r="R1120" s="14">
        <f t="shared" si="4"/>
        <v>9.35</v>
      </c>
      <c r="S1120" s="14">
        <f t="shared" si="5"/>
        <v>3.73</v>
      </c>
    </row>
    <row r="1121">
      <c r="A1121" s="12">
        <v>42469.0</v>
      </c>
      <c r="B1121" s="12" t="s">
        <v>2332</v>
      </c>
      <c r="C1121" s="2">
        <v>42591.0</v>
      </c>
      <c r="D1121" s="15" t="str">
        <f t="shared" si="1"/>
        <v>Aug</v>
      </c>
      <c r="E1121" s="2" t="str">
        <f t="shared" si="2"/>
        <v>2016</v>
      </c>
      <c r="F1121" s="13" t="s">
        <v>41</v>
      </c>
      <c r="G1121" s="13" t="s">
        <v>2532</v>
      </c>
      <c r="H1121" s="13" t="s">
        <v>2631</v>
      </c>
      <c r="I1121" s="13" t="s">
        <v>23</v>
      </c>
      <c r="J1121" s="13" t="s">
        <v>1857</v>
      </c>
      <c r="K1121" s="13" t="s">
        <v>707</v>
      </c>
      <c r="L1121" s="13" t="s">
        <v>26</v>
      </c>
      <c r="M1121" s="13" t="s">
        <v>38</v>
      </c>
      <c r="N1121" s="14">
        <v>15.28</v>
      </c>
      <c r="O1121" s="14">
        <v>14.37</v>
      </c>
      <c r="P1121" s="13">
        <v>3.0</v>
      </c>
      <c r="Q1121" s="14">
        <f t="shared" si="3"/>
        <v>45.84</v>
      </c>
      <c r="R1121" s="14">
        <f t="shared" si="4"/>
        <v>31.47</v>
      </c>
      <c r="S1121" s="14">
        <f t="shared" si="5"/>
        <v>14.37</v>
      </c>
    </row>
    <row r="1122">
      <c r="A1122" s="12">
        <v>42024.0</v>
      </c>
      <c r="B1122" s="12" t="s">
        <v>2353</v>
      </c>
      <c r="C1122" s="2">
        <v>42030.0</v>
      </c>
      <c r="D1122" s="15" t="str">
        <f t="shared" si="1"/>
        <v>Jan</v>
      </c>
      <c r="E1122" s="2" t="str">
        <f t="shared" si="2"/>
        <v>2015</v>
      </c>
      <c r="F1122" s="13" t="s">
        <v>41</v>
      </c>
      <c r="G1122" s="13" t="s">
        <v>2819</v>
      </c>
      <c r="H1122" s="13" t="s">
        <v>2820</v>
      </c>
      <c r="I1122" s="13" t="s">
        <v>23</v>
      </c>
      <c r="J1122" s="13" t="s">
        <v>1860</v>
      </c>
      <c r="K1122" s="13" t="s">
        <v>944</v>
      </c>
      <c r="L1122" s="13" t="s">
        <v>26</v>
      </c>
      <c r="M1122" s="13" t="s">
        <v>51</v>
      </c>
      <c r="N1122" s="14">
        <v>699.93</v>
      </c>
      <c r="O1122" s="14">
        <v>699.67</v>
      </c>
      <c r="P1122" s="13">
        <v>7.0</v>
      </c>
      <c r="Q1122" s="14">
        <f t="shared" si="3"/>
        <v>4899.51</v>
      </c>
      <c r="R1122" s="14">
        <f t="shared" si="4"/>
        <v>4199.84</v>
      </c>
      <c r="S1122" s="14">
        <f t="shared" si="5"/>
        <v>699.67</v>
      </c>
    </row>
    <row r="1123">
      <c r="A1123" s="12">
        <v>42024.0</v>
      </c>
      <c r="B1123" s="12" t="s">
        <v>2353</v>
      </c>
      <c r="C1123" s="2">
        <v>42030.0</v>
      </c>
      <c r="D1123" s="15" t="str">
        <f t="shared" si="1"/>
        <v>Jan</v>
      </c>
      <c r="E1123" s="2" t="str">
        <f t="shared" si="2"/>
        <v>2015</v>
      </c>
      <c r="F1123" s="13" t="s">
        <v>41</v>
      </c>
      <c r="G1123" s="13" t="s">
        <v>2819</v>
      </c>
      <c r="H1123" s="13" t="s">
        <v>2820</v>
      </c>
      <c r="I1123" s="13" t="s">
        <v>23</v>
      </c>
      <c r="J1123" s="13" t="s">
        <v>1860</v>
      </c>
      <c r="K1123" s="13" t="s">
        <v>944</v>
      </c>
      <c r="L1123" s="13" t="s">
        <v>26</v>
      </c>
      <c r="M1123" s="13" t="s">
        <v>38</v>
      </c>
      <c r="N1123" s="14">
        <v>22.96</v>
      </c>
      <c r="O1123" s="14">
        <v>22.2</v>
      </c>
      <c r="P1123" s="13">
        <v>7.0</v>
      </c>
      <c r="Q1123" s="14">
        <f t="shared" si="3"/>
        <v>160.72</v>
      </c>
      <c r="R1123" s="14">
        <f t="shared" si="4"/>
        <v>138.52</v>
      </c>
      <c r="S1123" s="14">
        <f t="shared" si="5"/>
        <v>22.2</v>
      </c>
    </row>
    <row r="1124">
      <c r="A1124" s="12">
        <v>42024.0</v>
      </c>
      <c r="B1124" s="12" t="s">
        <v>2353</v>
      </c>
      <c r="C1124" s="2">
        <v>42030.0</v>
      </c>
      <c r="D1124" s="15" t="str">
        <f t="shared" si="1"/>
        <v>Jan</v>
      </c>
      <c r="E1124" s="2" t="str">
        <f t="shared" si="2"/>
        <v>2015</v>
      </c>
      <c r="F1124" s="13" t="s">
        <v>41</v>
      </c>
      <c r="G1124" s="13" t="s">
        <v>2819</v>
      </c>
      <c r="H1124" s="13" t="s">
        <v>2820</v>
      </c>
      <c r="I1124" s="13" t="s">
        <v>23</v>
      </c>
      <c r="J1124" s="13" t="s">
        <v>1860</v>
      </c>
      <c r="K1124" s="13" t="s">
        <v>944</v>
      </c>
      <c r="L1124" s="13" t="s">
        <v>26</v>
      </c>
      <c r="M1124" s="13" t="s">
        <v>27</v>
      </c>
      <c r="N1124" s="14">
        <v>38.6</v>
      </c>
      <c r="O1124" s="14">
        <v>38.22</v>
      </c>
      <c r="P1124" s="13">
        <v>7.0</v>
      </c>
      <c r="Q1124" s="14">
        <f t="shared" si="3"/>
        <v>270.2</v>
      </c>
      <c r="R1124" s="14">
        <f t="shared" si="4"/>
        <v>231.98</v>
      </c>
      <c r="S1124" s="14">
        <f t="shared" si="5"/>
        <v>38.22</v>
      </c>
    </row>
    <row r="1125">
      <c r="A1125" s="12">
        <v>42024.0</v>
      </c>
      <c r="B1125" s="12" t="s">
        <v>2353</v>
      </c>
      <c r="C1125" s="2">
        <v>42030.0</v>
      </c>
      <c r="D1125" s="15" t="str">
        <f t="shared" si="1"/>
        <v>Jan</v>
      </c>
      <c r="E1125" s="2" t="str">
        <f t="shared" si="2"/>
        <v>2015</v>
      </c>
      <c r="F1125" s="13" t="s">
        <v>41</v>
      </c>
      <c r="G1125" s="13" t="s">
        <v>2819</v>
      </c>
      <c r="H1125" s="13" t="s">
        <v>2820</v>
      </c>
      <c r="I1125" s="13" t="s">
        <v>23</v>
      </c>
      <c r="J1125" s="13" t="s">
        <v>1860</v>
      </c>
      <c r="K1125" s="13" t="s">
        <v>944</v>
      </c>
      <c r="L1125" s="13" t="s">
        <v>26</v>
      </c>
      <c r="M1125" s="13" t="s">
        <v>38</v>
      </c>
      <c r="N1125" s="14">
        <v>6.63</v>
      </c>
      <c r="O1125" s="14">
        <v>6.15</v>
      </c>
      <c r="P1125" s="13">
        <v>7.0</v>
      </c>
      <c r="Q1125" s="14">
        <f t="shared" si="3"/>
        <v>46.41</v>
      </c>
      <c r="R1125" s="14">
        <f t="shared" si="4"/>
        <v>40.26</v>
      </c>
      <c r="S1125" s="14">
        <f t="shared" si="5"/>
        <v>6.15</v>
      </c>
    </row>
    <row r="1126">
      <c r="A1126" s="12">
        <v>42024.0</v>
      </c>
      <c r="B1126" s="12" t="s">
        <v>2353</v>
      </c>
      <c r="C1126" s="2">
        <v>42030.0</v>
      </c>
      <c r="D1126" s="15" t="str">
        <f t="shared" si="1"/>
        <v>Jan</v>
      </c>
      <c r="E1126" s="2" t="str">
        <f t="shared" si="2"/>
        <v>2015</v>
      </c>
      <c r="F1126" s="13" t="s">
        <v>41</v>
      </c>
      <c r="G1126" s="13" t="s">
        <v>2819</v>
      </c>
      <c r="H1126" s="13" t="s">
        <v>2820</v>
      </c>
      <c r="I1126" s="13" t="s">
        <v>23</v>
      </c>
      <c r="J1126" s="13" t="s">
        <v>1860</v>
      </c>
      <c r="K1126" s="13" t="s">
        <v>944</v>
      </c>
      <c r="L1126" s="13" t="s">
        <v>26</v>
      </c>
      <c r="M1126" s="13" t="s">
        <v>38</v>
      </c>
      <c r="N1126" s="14">
        <v>23.34</v>
      </c>
      <c r="O1126" s="14">
        <v>22.41</v>
      </c>
      <c r="P1126" s="13">
        <v>7.0</v>
      </c>
      <c r="Q1126" s="14">
        <f t="shared" si="3"/>
        <v>163.38</v>
      </c>
      <c r="R1126" s="14">
        <f t="shared" si="4"/>
        <v>140.97</v>
      </c>
      <c r="S1126" s="14">
        <f t="shared" si="5"/>
        <v>22.41</v>
      </c>
    </row>
    <row r="1127">
      <c r="A1127" s="12">
        <v>42024.0</v>
      </c>
      <c r="B1127" s="12" t="s">
        <v>2353</v>
      </c>
      <c r="C1127" s="2">
        <v>42030.0</v>
      </c>
      <c r="D1127" s="15" t="str">
        <f t="shared" si="1"/>
        <v>Jan</v>
      </c>
      <c r="E1127" s="2" t="str">
        <f t="shared" si="2"/>
        <v>2015</v>
      </c>
      <c r="F1127" s="13" t="s">
        <v>41</v>
      </c>
      <c r="G1127" s="13" t="s">
        <v>2819</v>
      </c>
      <c r="H1127" s="13" t="s">
        <v>2820</v>
      </c>
      <c r="I1127" s="13" t="s">
        <v>23</v>
      </c>
      <c r="J1127" s="13" t="s">
        <v>1860</v>
      </c>
      <c r="K1127" s="13" t="s">
        <v>944</v>
      </c>
      <c r="L1127" s="13" t="s">
        <v>26</v>
      </c>
      <c r="M1127" s="13" t="s">
        <v>27</v>
      </c>
      <c r="N1127" s="14">
        <v>1067.94</v>
      </c>
      <c r="O1127" s="14">
        <v>1067.08</v>
      </c>
      <c r="P1127" s="13">
        <v>7.0</v>
      </c>
      <c r="Q1127" s="14">
        <f t="shared" si="3"/>
        <v>7475.58</v>
      </c>
      <c r="R1127" s="14">
        <f t="shared" si="4"/>
        <v>6408.5</v>
      </c>
      <c r="S1127" s="14">
        <f t="shared" si="5"/>
        <v>1067.08</v>
      </c>
    </row>
    <row r="1128">
      <c r="A1128" s="12">
        <v>42403.0</v>
      </c>
      <c r="B1128" s="12" t="s">
        <v>2431</v>
      </c>
      <c r="C1128" s="2">
        <v>42554.0</v>
      </c>
      <c r="D1128" s="15" t="str">
        <f t="shared" si="1"/>
        <v>Jul</v>
      </c>
      <c r="E1128" s="2" t="str">
        <f t="shared" si="2"/>
        <v>2016</v>
      </c>
      <c r="F1128" s="13" t="s">
        <v>41</v>
      </c>
      <c r="G1128" s="13" t="s">
        <v>2340</v>
      </c>
      <c r="H1128" s="13" t="s">
        <v>2424</v>
      </c>
      <c r="I1128" s="13" t="s">
        <v>68</v>
      </c>
      <c r="J1128" s="13" t="s">
        <v>814</v>
      </c>
      <c r="K1128" s="13" t="s">
        <v>169</v>
      </c>
      <c r="L1128" s="13" t="s">
        <v>71</v>
      </c>
      <c r="M1128" s="13" t="s">
        <v>38</v>
      </c>
      <c r="N1128" s="14">
        <v>10.16</v>
      </c>
      <c r="O1128" s="14">
        <v>9.45</v>
      </c>
      <c r="P1128" s="13">
        <v>4.0</v>
      </c>
      <c r="Q1128" s="14">
        <f t="shared" si="3"/>
        <v>40.64</v>
      </c>
      <c r="R1128" s="14">
        <f t="shared" si="4"/>
        <v>31.19</v>
      </c>
      <c r="S1128" s="14">
        <f t="shared" si="5"/>
        <v>9.45</v>
      </c>
    </row>
    <row r="1129">
      <c r="A1129" s="12">
        <v>42403.0</v>
      </c>
      <c r="B1129" s="12" t="s">
        <v>2431</v>
      </c>
      <c r="C1129" s="2">
        <v>42554.0</v>
      </c>
      <c r="D1129" s="15" t="str">
        <f t="shared" si="1"/>
        <v>Jul</v>
      </c>
      <c r="E1129" s="2" t="str">
        <f t="shared" si="2"/>
        <v>2016</v>
      </c>
      <c r="F1129" s="13" t="s">
        <v>41</v>
      </c>
      <c r="G1129" s="13" t="s">
        <v>2340</v>
      </c>
      <c r="H1129" s="13" t="s">
        <v>2424</v>
      </c>
      <c r="I1129" s="13" t="s">
        <v>68</v>
      </c>
      <c r="J1129" s="13" t="s">
        <v>814</v>
      </c>
      <c r="K1129" s="13" t="s">
        <v>169</v>
      </c>
      <c r="L1129" s="13" t="s">
        <v>71</v>
      </c>
      <c r="M1129" s="13" t="s">
        <v>38</v>
      </c>
      <c r="N1129" s="14">
        <v>101.88</v>
      </c>
      <c r="O1129" s="14">
        <v>101.58</v>
      </c>
      <c r="P1129" s="13">
        <v>4.0</v>
      </c>
      <c r="Q1129" s="14">
        <f t="shared" si="3"/>
        <v>407.52</v>
      </c>
      <c r="R1129" s="14">
        <f t="shared" si="4"/>
        <v>305.94</v>
      </c>
      <c r="S1129" s="14">
        <f t="shared" si="5"/>
        <v>101.58</v>
      </c>
    </row>
    <row r="1130">
      <c r="A1130" s="12">
        <v>43073.0</v>
      </c>
      <c r="B1130" s="12" t="s">
        <v>2325</v>
      </c>
      <c r="C1130" s="2">
        <v>42841.0</v>
      </c>
      <c r="D1130" s="15" t="str">
        <f t="shared" si="1"/>
        <v>Apr</v>
      </c>
      <c r="E1130" s="2" t="str">
        <f t="shared" si="2"/>
        <v>2017</v>
      </c>
      <c r="F1130" s="13" t="s">
        <v>41</v>
      </c>
      <c r="G1130" s="13" t="s">
        <v>2655</v>
      </c>
      <c r="H1130" s="13" t="s">
        <v>2567</v>
      </c>
      <c r="I1130" s="13" t="s">
        <v>23</v>
      </c>
      <c r="J1130" s="13" t="s">
        <v>197</v>
      </c>
      <c r="K1130" s="13" t="s">
        <v>198</v>
      </c>
      <c r="L1130" s="13" t="s">
        <v>26</v>
      </c>
      <c r="M1130" s="13" t="s">
        <v>27</v>
      </c>
      <c r="N1130" s="14">
        <v>343.92</v>
      </c>
      <c r="O1130" s="14">
        <v>343.14</v>
      </c>
      <c r="P1130" s="13">
        <v>2.0</v>
      </c>
      <c r="Q1130" s="14">
        <f t="shared" si="3"/>
        <v>687.84</v>
      </c>
      <c r="R1130" s="14">
        <f t="shared" si="4"/>
        <v>344.7</v>
      </c>
      <c r="S1130" s="14">
        <f t="shared" si="5"/>
        <v>343.14</v>
      </c>
    </row>
    <row r="1131">
      <c r="A1131" s="12">
        <v>43073.0</v>
      </c>
      <c r="B1131" s="12" t="s">
        <v>2325</v>
      </c>
      <c r="C1131" s="2">
        <v>42841.0</v>
      </c>
      <c r="D1131" s="15" t="str">
        <f t="shared" si="1"/>
        <v>Apr</v>
      </c>
      <c r="E1131" s="2" t="str">
        <f t="shared" si="2"/>
        <v>2017</v>
      </c>
      <c r="F1131" s="13" t="s">
        <v>41</v>
      </c>
      <c r="G1131" s="13" t="s">
        <v>2655</v>
      </c>
      <c r="H1131" s="13" t="s">
        <v>2567</v>
      </c>
      <c r="I1131" s="13" t="s">
        <v>23</v>
      </c>
      <c r="J1131" s="13" t="s">
        <v>197</v>
      </c>
      <c r="K1131" s="13" t="s">
        <v>198</v>
      </c>
      <c r="L1131" s="13" t="s">
        <v>26</v>
      </c>
      <c r="M1131" s="13" t="s">
        <v>38</v>
      </c>
      <c r="N1131" s="14">
        <v>40.99</v>
      </c>
      <c r="O1131" s="14">
        <v>40.98</v>
      </c>
      <c r="P1131" s="13">
        <v>2.0</v>
      </c>
      <c r="Q1131" s="14">
        <f t="shared" si="3"/>
        <v>81.98</v>
      </c>
      <c r="R1131" s="14">
        <f t="shared" si="4"/>
        <v>41</v>
      </c>
      <c r="S1131" s="14">
        <f t="shared" si="5"/>
        <v>40.98</v>
      </c>
    </row>
    <row r="1132">
      <c r="A1132" s="12">
        <v>43073.0</v>
      </c>
      <c r="B1132" s="12" t="s">
        <v>2325</v>
      </c>
      <c r="C1132" s="2">
        <v>42841.0</v>
      </c>
      <c r="D1132" s="15" t="str">
        <f t="shared" si="1"/>
        <v>Apr</v>
      </c>
      <c r="E1132" s="2" t="str">
        <f t="shared" si="2"/>
        <v>2017</v>
      </c>
      <c r="F1132" s="13" t="s">
        <v>41</v>
      </c>
      <c r="G1132" s="13" t="s">
        <v>2655</v>
      </c>
      <c r="H1132" s="13" t="s">
        <v>2567</v>
      </c>
      <c r="I1132" s="13" t="s">
        <v>23</v>
      </c>
      <c r="J1132" s="13" t="s">
        <v>197</v>
      </c>
      <c r="K1132" s="13" t="s">
        <v>198</v>
      </c>
      <c r="L1132" s="13" t="s">
        <v>26</v>
      </c>
      <c r="M1132" s="13" t="s">
        <v>38</v>
      </c>
      <c r="N1132" s="14">
        <v>63.9</v>
      </c>
      <c r="O1132" s="14">
        <v>63.42</v>
      </c>
      <c r="P1132" s="13">
        <v>2.0</v>
      </c>
      <c r="Q1132" s="14">
        <f t="shared" si="3"/>
        <v>127.8</v>
      </c>
      <c r="R1132" s="14">
        <f t="shared" si="4"/>
        <v>64.38</v>
      </c>
      <c r="S1132" s="14">
        <f t="shared" si="5"/>
        <v>63.42</v>
      </c>
    </row>
    <row r="1133">
      <c r="A1133" s="12">
        <v>42898.0</v>
      </c>
      <c r="B1133" s="12" t="s">
        <v>2374</v>
      </c>
      <c r="C1133" s="2">
        <v>42928.0</v>
      </c>
      <c r="D1133" s="15" t="str">
        <f t="shared" si="1"/>
        <v>Jul</v>
      </c>
      <c r="E1133" s="2" t="str">
        <f t="shared" si="2"/>
        <v>2017</v>
      </c>
      <c r="F1133" s="13" t="s">
        <v>121</v>
      </c>
      <c r="G1133" s="13" t="s">
        <v>2434</v>
      </c>
      <c r="H1133" s="13" t="s">
        <v>2435</v>
      </c>
      <c r="I1133" s="13" t="s">
        <v>34</v>
      </c>
      <c r="J1133" s="13" t="s">
        <v>1865</v>
      </c>
      <c r="K1133" s="13" t="s">
        <v>52</v>
      </c>
      <c r="L1133" s="13" t="s">
        <v>37</v>
      </c>
      <c r="M1133" s="13" t="s">
        <v>38</v>
      </c>
      <c r="N1133" s="14">
        <v>19.44</v>
      </c>
      <c r="O1133" s="14">
        <v>18.98</v>
      </c>
      <c r="P1133" s="13">
        <v>9.0</v>
      </c>
      <c r="Q1133" s="14">
        <f t="shared" si="3"/>
        <v>174.96</v>
      </c>
      <c r="R1133" s="14">
        <f t="shared" si="4"/>
        <v>155.98</v>
      </c>
      <c r="S1133" s="14">
        <f t="shared" si="5"/>
        <v>18.98</v>
      </c>
    </row>
    <row r="1134">
      <c r="A1134" s="12">
        <v>42861.0</v>
      </c>
      <c r="B1134" s="12" t="s">
        <v>2335</v>
      </c>
      <c r="C1134" s="2">
        <v>42984.0</v>
      </c>
      <c r="D1134" s="15" t="str">
        <f t="shared" si="1"/>
        <v>Sep</v>
      </c>
      <c r="E1134" s="2" t="str">
        <f t="shared" si="2"/>
        <v>2017</v>
      </c>
      <c r="F1134" s="13" t="s">
        <v>41</v>
      </c>
      <c r="G1134" s="13" t="s">
        <v>2511</v>
      </c>
      <c r="H1134" s="13" t="s">
        <v>2631</v>
      </c>
      <c r="I1134" s="13" t="s">
        <v>68</v>
      </c>
      <c r="J1134" s="13" t="s">
        <v>98</v>
      </c>
      <c r="K1134" s="13" t="s">
        <v>99</v>
      </c>
      <c r="L1134" s="13" t="s">
        <v>100</v>
      </c>
      <c r="M1134" s="13" t="s">
        <v>38</v>
      </c>
      <c r="N1134" s="14">
        <v>124.608</v>
      </c>
      <c r="O1134" s="14">
        <v>124.07</v>
      </c>
      <c r="P1134" s="13">
        <v>1.0</v>
      </c>
      <c r="Q1134" s="14">
        <f t="shared" si="3"/>
        <v>124.608</v>
      </c>
      <c r="R1134" s="14">
        <f t="shared" si="4"/>
        <v>0.538</v>
      </c>
      <c r="S1134" s="14">
        <f t="shared" si="5"/>
        <v>124.07</v>
      </c>
    </row>
    <row r="1135">
      <c r="A1135" s="12">
        <v>42861.0</v>
      </c>
      <c r="B1135" s="12" t="s">
        <v>2335</v>
      </c>
      <c r="C1135" s="2">
        <v>42984.0</v>
      </c>
      <c r="D1135" s="15" t="str">
        <f t="shared" si="1"/>
        <v>Sep</v>
      </c>
      <c r="E1135" s="2" t="str">
        <f t="shared" si="2"/>
        <v>2017</v>
      </c>
      <c r="F1135" s="13" t="s">
        <v>41</v>
      </c>
      <c r="G1135" s="13" t="s">
        <v>2511</v>
      </c>
      <c r="H1135" s="13" t="s">
        <v>2631</v>
      </c>
      <c r="I1135" s="13" t="s">
        <v>68</v>
      </c>
      <c r="J1135" s="13" t="s">
        <v>98</v>
      </c>
      <c r="K1135" s="13" t="s">
        <v>99</v>
      </c>
      <c r="L1135" s="13" t="s">
        <v>100</v>
      </c>
      <c r="M1135" s="13" t="s">
        <v>38</v>
      </c>
      <c r="N1135" s="14">
        <v>7.56</v>
      </c>
      <c r="O1135" s="14">
        <v>6.98</v>
      </c>
      <c r="P1135" s="13">
        <v>1.0</v>
      </c>
      <c r="Q1135" s="14">
        <f t="shared" si="3"/>
        <v>7.56</v>
      </c>
      <c r="R1135" s="14">
        <f t="shared" si="4"/>
        <v>0.58</v>
      </c>
      <c r="S1135" s="14">
        <f t="shared" si="5"/>
        <v>6.98</v>
      </c>
    </row>
    <row r="1136">
      <c r="A1136" s="12">
        <v>43051.0</v>
      </c>
      <c r="B1136" s="12" t="s">
        <v>2326</v>
      </c>
      <c r="C1136" s="2">
        <v>43051.0</v>
      </c>
      <c r="D1136" s="15" t="str">
        <f t="shared" si="1"/>
        <v>Nov</v>
      </c>
      <c r="E1136" s="2" t="str">
        <f t="shared" si="2"/>
        <v>2017</v>
      </c>
      <c r="F1136" s="13" t="s">
        <v>717</v>
      </c>
      <c r="G1136" s="13" t="s">
        <v>2375</v>
      </c>
      <c r="H1136" s="13" t="s">
        <v>2692</v>
      </c>
      <c r="I1136" s="13" t="s">
        <v>23</v>
      </c>
      <c r="J1136" s="13" t="s">
        <v>1868</v>
      </c>
      <c r="K1136" s="13" t="s">
        <v>145</v>
      </c>
      <c r="L1136" s="13" t="s">
        <v>26</v>
      </c>
      <c r="M1136" s="13" t="s">
        <v>38</v>
      </c>
      <c r="N1136" s="14">
        <v>85.224</v>
      </c>
      <c r="O1136" s="14">
        <v>85.09</v>
      </c>
      <c r="P1136" s="13">
        <v>3.0</v>
      </c>
      <c r="Q1136" s="14">
        <f t="shared" si="3"/>
        <v>255.672</v>
      </c>
      <c r="R1136" s="14">
        <f t="shared" si="4"/>
        <v>170.582</v>
      </c>
      <c r="S1136" s="14">
        <f t="shared" si="5"/>
        <v>85.09</v>
      </c>
    </row>
    <row r="1137">
      <c r="A1137" s="12">
        <v>43080.0</v>
      </c>
      <c r="B1137" s="12" t="s">
        <v>2325</v>
      </c>
      <c r="C1137" s="2">
        <v>43054.0</v>
      </c>
      <c r="D1137" s="15" t="str">
        <f t="shared" si="1"/>
        <v>Nov</v>
      </c>
      <c r="E1137" s="2" t="str">
        <f t="shared" si="2"/>
        <v>2017</v>
      </c>
      <c r="F1137" s="13" t="s">
        <v>20</v>
      </c>
      <c r="G1137" s="13" t="s">
        <v>2483</v>
      </c>
      <c r="H1137" s="13" t="s">
        <v>2888</v>
      </c>
      <c r="I1137" s="13" t="s">
        <v>34</v>
      </c>
      <c r="J1137" s="13" t="s">
        <v>1873</v>
      </c>
      <c r="K1137" s="13" t="s">
        <v>169</v>
      </c>
      <c r="L1137" s="13" t="s">
        <v>71</v>
      </c>
      <c r="M1137" s="13" t="s">
        <v>38</v>
      </c>
      <c r="N1137" s="14">
        <v>287.52</v>
      </c>
      <c r="O1137" s="14">
        <v>287.48</v>
      </c>
      <c r="P1137" s="13">
        <v>4.0</v>
      </c>
      <c r="Q1137" s="14">
        <f t="shared" si="3"/>
        <v>1150.08</v>
      </c>
      <c r="R1137" s="14">
        <f t="shared" si="4"/>
        <v>862.6</v>
      </c>
      <c r="S1137" s="14">
        <f t="shared" si="5"/>
        <v>287.48</v>
      </c>
    </row>
    <row r="1138">
      <c r="A1138" s="12">
        <v>43080.0</v>
      </c>
      <c r="B1138" s="12" t="s">
        <v>2325</v>
      </c>
      <c r="C1138" s="2">
        <v>43054.0</v>
      </c>
      <c r="D1138" s="15" t="str">
        <f t="shared" si="1"/>
        <v>Nov</v>
      </c>
      <c r="E1138" s="2" t="str">
        <f t="shared" si="2"/>
        <v>2017</v>
      </c>
      <c r="F1138" s="13" t="s">
        <v>20</v>
      </c>
      <c r="G1138" s="13" t="s">
        <v>2483</v>
      </c>
      <c r="H1138" s="13" t="s">
        <v>2888</v>
      </c>
      <c r="I1138" s="13" t="s">
        <v>34</v>
      </c>
      <c r="J1138" s="13" t="s">
        <v>1873</v>
      </c>
      <c r="K1138" s="13" t="s">
        <v>169</v>
      </c>
      <c r="L1138" s="13" t="s">
        <v>71</v>
      </c>
      <c r="M1138" s="13" t="s">
        <v>38</v>
      </c>
      <c r="N1138" s="14">
        <v>37.68</v>
      </c>
      <c r="O1138" s="14">
        <v>37.68</v>
      </c>
      <c r="P1138" s="13">
        <v>4.0</v>
      </c>
      <c r="Q1138" s="14">
        <f t="shared" si="3"/>
        <v>150.72</v>
      </c>
      <c r="R1138" s="14">
        <f t="shared" si="4"/>
        <v>113.04</v>
      </c>
      <c r="S1138" s="14">
        <f t="shared" si="5"/>
        <v>37.68</v>
      </c>
    </row>
    <row r="1139">
      <c r="A1139" s="12">
        <v>43080.0</v>
      </c>
      <c r="B1139" s="12" t="s">
        <v>2325</v>
      </c>
      <c r="C1139" s="2">
        <v>43054.0</v>
      </c>
      <c r="D1139" s="15" t="str">
        <f t="shared" si="1"/>
        <v>Nov</v>
      </c>
      <c r="E1139" s="2" t="str">
        <f t="shared" si="2"/>
        <v>2017</v>
      </c>
      <c r="F1139" s="13" t="s">
        <v>20</v>
      </c>
      <c r="G1139" s="13" t="s">
        <v>2483</v>
      </c>
      <c r="H1139" s="13" t="s">
        <v>2888</v>
      </c>
      <c r="I1139" s="13" t="s">
        <v>34</v>
      </c>
      <c r="J1139" s="13" t="s">
        <v>1873</v>
      </c>
      <c r="K1139" s="13" t="s">
        <v>169</v>
      </c>
      <c r="L1139" s="13" t="s">
        <v>71</v>
      </c>
      <c r="M1139" s="13" t="s">
        <v>38</v>
      </c>
      <c r="N1139" s="14">
        <v>19.98</v>
      </c>
      <c r="O1139" s="14">
        <v>19.01</v>
      </c>
      <c r="P1139" s="13">
        <v>4.0</v>
      </c>
      <c r="Q1139" s="14">
        <f t="shared" si="3"/>
        <v>79.92</v>
      </c>
      <c r="R1139" s="14">
        <f t="shared" si="4"/>
        <v>60.91</v>
      </c>
      <c r="S1139" s="14">
        <f t="shared" si="5"/>
        <v>19.01</v>
      </c>
    </row>
    <row r="1140">
      <c r="A1140" s="12">
        <v>43080.0</v>
      </c>
      <c r="B1140" s="12" t="s">
        <v>2325</v>
      </c>
      <c r="C1140" s="2">
        <v>43054.0</v>
      </c>
      <c r="D1140" s="15" t="str">
        <f t="shared" si="1"/>
        <v>Nov</v>
      </c>
      <c r="E1140" s="2" t="str">
        <f t="shared" si="2"/>
        <v>2017</v>
      </c>
      <c r="F1140" s="13" t="s">
        <v>20</v>
      </c>
      <c r="G1140" s="13" t="s">
        <v>2483</v>
      </c>
      <c r="H1140" s="13" t="s">
        <v>2888</v>
      </c>
      <c r="I1140" s="13" t="s">
        <v>34</v>
      </c>
      <c r="J1140" s="13" t="s">
        <v>1873</v>
      </c>
      <c r="K1140" s="13" t="s">
        <v>169</v>
      </c>
      <c r="L1140" s="13" t="s">
        <v>71</v>
      </c>
      <c r="M1140" s="13" t="s">
        <v>38</v>
      </c>
      <c r="N1140" s="14">
        <v>20.58</v>
      </c>
      <c r="O1140" s="14">
        <v>20.44</v>
      </c>
      <c r="P1140" s="13">
        <v>4.0</v>
      </c>
      <c r="Q1140" s="14">
        <f t="shared" si="3"/>
        <v>82.32</v>
      </c>
      <c r="R1140" s="14">
        <f t="shared" si="4"/>
        <v>61.88</v>
      </c>
      <c r="S1140" s="14">
        <f t="shared" si="5"/>
        <v>20.44</v>
      </c>
    </row>
    <row r="1141">
      <c r="A1141" s="12">
        <v>43080.0</v>
      </c>
      <c r="B1141" s="12" t="s">
        <v>2325</v>
      </c>
      <c r="C1141" s="2">
        <v>43054.0</v>
      </c>
      <c r="D1141" s="15" t="str">
        <f t="shared" si="1"/>
        <v>Nov</v>
      </c>
      <c r="E1141" s="2" t="str">
        <f t="shared" si="2"/>
        <v>2017</v>
      </c>
      <c r="F1141" s="13" t="s">
        <v>20</v>
      </c>
      <c r="G1141" s="13" t="s">
        <v>2483</v>
      </c>
      <c r="H1141" s="13" t="s">
        <v>2888</v>
      </c>
      <c r="I1141" s="13" t="s">
        <v>34</v>
      </c>
      <c r="J1141" s="13" t="s">
        <v>1873</v>
      </c>
      <c r="K1141" s="13" t="s">
        <v>169</v>
      </c>
      <c r="L1141" s="13" t="s">
        <v>71</v>
      </c>
      <c r="M1141" s="13" t="s">
        <v>38</v>
      </c>
      <c r="N1141" s="14">
        <v>17.38</v>
      </c>
      <c r="O1141" s="14">
        <v>16.85</v>
      </c>
      <c r="P1141" s="13">
        <v>4.0</v>
      </c>
      <c r="Q1141" s="14">
        <f t="shared" si="3"/>
        <v>69.52</v>
      </c>
      <c r="R1141" s="14">
        <f t="shared" si="4"/>
        <v>52.67</v>
      </c>
      <c r="S1141" s="14">
        <f t="shared" si="5"/>
        <v>16.85</v>
      </c>
    </row>
    <row r="1142">
      <c r="A1142" s="12">
        <v>42276.0</v>
      </c>
      <c r="B1142" s="12" t="s">
        <v>2329</v>
      </c>
      <c r="C1142" s="2">
        <v>42073.0</v>
      </c>
      <c r="D1142" s="15" t="str">
        <f t="shared" si="1"/>
        <v>Mar</v>
      </c>
      <c r="E1142" s="2" t="str">
        <f t="shared" si="2"/>
        <v>2015</v>
      </c>
      <c r="F1142" s="13" t="s">
        <v>41</v>
      </c>
      <c r="G1142" s="13" t="s">
        <v>2578</v>
      </c>
      <c r="H1142" s="13" t="s">
        <v>2752</v>
      </c>
      <c r="I1142" s="13" t="s">
        <v>23</v>
      </c>
      <c r="J1142" s="13" t="s">
        <v>35</v>
      </c>
      <c r="K1142" s="13" t="s">
        <v>52</v>
      </c>
      <c r="L1142" s="13" t="s">
        <v>37</v>
      </c>
      <c r="M1142" s="13" t="s">
        <v>27</v>
      </c>
      <c r="N1142" s="14">
        <v>204.6</v>
      </c>
      <c r="O1142" s="14">
        <v>203.77</v>
      </c>
      <c r="P1142" s="13">
        <v>9.0</v>
      </c>
      <c r="Q1142" s="14">
        <f t="shared" si="3"/>
        <v>1841.4</v>
      </c>
      <c r="R1142" s="14">
        <f t="shared" si="4"/>
        <v>1637.63</v>
      </c>
      <c r="S1142" s="14">
        <f t="shared" si="5"/>
        <v>203.77</v>
      </c>
    </row>
    <row r="1143">
      <c r="A1143" s="12">
        <v>42276.0</v>
      </c>
      <c r="B1143" s="12" t="s">
        <v>2329</v>
      </c>
      <c r="C1143" s="2">
        <v>42073.0</v>
      </c>
      <c r="D1143" s="15" t="str">
        <f t="shared" si="1"/>
        <v>Mar</v>
      </c>
      <c r="E1143" s="2" t="str">
        <f t="shared" si="2"/>
        <v>2015</v>
      </c>
      <c r="F1143" s="13" t="s">
        <v>41</v>
      </c>
      <c r="G1143" s="13" t="s">
        <v>2578</v>
      </c>
      <c r="H1143" s="13" t="s">
        <v>2752</v>
      </c>
      <c r="I1143" s="13" t="s">
        <v>23</v>
      </c>
      <c r="J1143" s="13" t="s">
        <v>35</v>
      </c>
      <c r="K1143" s="13" t="s">
        <v>52</v>
      </c>
      <c r="L1143" s="13" t="s">
        <v>37</v>
      </c>
      <c r="M1143" s="13" t="s">
        <v>38</v>
      </c>
      <c r="N1143" s="14">
        <v>8.72</v>
      </c>
      <c r="O1143" s="14">
        <v>7.97</v>
      </c>
      <c r="P1143" s="13">
        <v>9.0</v>
      </c>
      <c r="Q1143" s="14">
        <f t="shared" si="3"/>
        <v>78.48</v>
      </c>
      <c r="R1143" s="14">
        <f t="shared" si="4"/>
        <v>70.51</v>
      </c>
      <c r="S1143" s="14">
        <f t="shared" si="5"/>
        <v>7.97</v>
      </c>
    </row>
    <row r="1144">
      <c r="A1144" s="12">
        <v>42276.0</v>
      </c>
      <c r="B1144" s="12" t="s">
        <v>2329</v>
      </c>
      <c r="C1144" s="2">
        <v>42073.0</v>
      </c>
      <c r="D1144" s="15" t="str">
        <f t="shared" si="1"/>
        <v>Mar</v>
      </c>
      <c r="E1144" s="2" t="str">
        <f t="shared" si="2"/>
        <v>2015</v>
      </c>
      <c r="F1144" s="13" t="s">
        <v>41</v>
      </c>
      <c r="G1144" s="13" t="s">
        <v>2578</v>
      </c>
      <c r="H1144" s="13" t="s">
        <v>2752</v>
      </c>
      <c r="I1144" s="13" t="s">
        <v>23</v>
      </c>
      <c r="J1144" s="13" t="s">
        <v>35</v>
      </c>
      <c r="K1144" s="13" t="s">
        <v>52</v>
      </c>
      <c r="L1144" s="13" t="s">
        <v>37</v>
      </c>
      <c r="M1144" s="13" t="s">
        <v>38</v>
      </c>
      <c r="N1144" s="14">
        <v>6.48</v>
      </c>
      <c r="O1144" s="14">
        <v>6.2</v>
      </c>
      <c r="P1144" s="13">
        <v>9.0</v>
      </c>
      <c r="Q1144" s="14">
        <f t="shared" si="3"/>
        <v>58.32</v>
      </c>
      <c r="R1144" s="14">
        <f t="shared" si="4"/>
        <v>52.12</v>
      </c>
      <c r="S1144" s="14">
        <f t="shared" si="5"/>
        <v>6.2</v>
      </c>
    </row>
    <row r="1145">
      <c r="A1145" s="12">
        <v>42276.0</v>
      </c>
      <c r="B1145" s="12" t="s">
        <v>2329</v>
      </c>
      <c r="C1145" s="2">
        <v>42073.0</v>
      </c>
      <c r="D1145" s="15" t="str">
        <f t="shared" si="1"/>
        <v>Mar</v>
      </c>
      <c r="E1145" s="2" t="str">
        <f t="shared" si="2"/>
        <v>2015</v>
      </c>
      <c r="F1145" s="13" t="s">
        <v>41</v>
      </c>
      <c r="G1145" s="13" t="s">
        <v>2578</v>
      </c>
      <c r="H1145" s="13" t="s">
        <v>2752</v>
      </c>
      <c r="I1145" s="13" t="s">
        <v>23</v>
      </c>
      <c r="J1145" s="13" t="s">
        <v>35</v>
      </c>
      <c r="K1145" s="13" t="s">
        <v>52</v>
      </c>
      <c r="L1145" s="13" t="s">
        <v>37</v>
      </c>
      <c r="M1145" s="13" t="s">
        <v>51</v>
      </c>
      <c r="N1145" s="14">
        <v>686.32</v>
      </c>
      <c r="O1145" s="14">
        <v>685.34</v>
      </c>
      <c r="P1145" s="13">
        <v>9.0</v>
      </c>
      <c r="Q1145" s="14">
        <f t="shared" si="3"/>
        <v>6176.88</v>
      </c>
      <c r="R1145" s="14">
        <f t="shared" si="4"/>
        <v>5491.54</v>
      </c>
      <c r="S1145" s="14">
        <f t="shared" si="5"/>
        <v>685.34</v>
      </c>
    </row>
    <row r="1146">
      <c r="A1146" s="12">
        <v>42276.0</v>
      </c>
      <c r="B1146" s="12" t="s">
        <v>2329</v>
      </c>
      <c r="C1146" s="2">
        <v>42073.0</v>
      </c>
      <c r="D1146" s="15" t="str">
        <f t="shared" si="1"/>
        <v>Mar</v>
      </c>
      <c r="E1146" s="2" t="str">
        <f t="shared" si="2"/>
        <v>2015</v>
      </c>
      <c r="F1146" s="13" t="s">
        <v>41</v>
      </c>
      <c r="G1146" s="13" t="s">
        <v>2578</v>
      </c>
      <c r="H1146" s="13" t="s">
        <v>2752</v>
      </c>
      <c r="I1146" s="13" t="s">
        <v>23</v>
      </c>
      <c r="J1146" s="13" t="s">
        <v>35</v>
      </c>
      <c r="K1146" s="13" t="s">
        <v>52</v>
      </c>
      <c r="L1146" s="13" t="s">
        <v>37</v>
      </c>
      <c r="M1146" s="13" t="s">
        <v>38</v>
      </c>
      <c r="N1146" s="14">
        <v>62.18</v>
      </c>
      <c r="O1146" s="14">
        <v>61.32</v>
      </c>
      <c r="P1146" s="13">
        <v>9.0</v>
      </c>
      <c r="Q1146" s="14">
        <f t="shared" si="3"/>
        <v>559.62</v>
      </c>
      <c r="R1146" s="14">
        <f t="shared" si="4"/>
        <v>498.3</v>
      </c>
      <c r="S1146" s="14">
        <f t="shared" si="5"/>
        <v>61.32</v>
      </c>
    </row>
    <row r="1147">
      <c r="A1147" s="12">
        <v>42464.0</v>
      </c>
      <c r="B1147" s="12" t="s">
        <v>2332</v>
      </c>
      <c r="C1147" s="2">
        <v>42464.0</v>
      </c>
      <c r="D1147" s="15" t="str">
        <f t="shared" si="1"/>
        <v>Apr</v>
      </c>
      <c r="E1147" s="2" t="str">
        <f t="shared" si="2"/>
        <v>2016</v>
      </c>
      <c r="F1147" s="13" t="s">
        <v>717</v>
      </c>
      <c r="G1147" s="13" t="s">
        <v>2705</v>
      </c>
      <c r="H1147" s="13" t="s">
        <v>2689</v>
      </c>
      <c r="I1147" s="13" t="s">
        <v>23</v>
      </c>
      <c r="J1147" s="13" t="s">
        <v>1878</v>
      </c>
      <c r="K1147" s="13" t="s">
        <v>157</v>
      </c>
      <c r="L1147" s="13" t="s">
        <v>71</v>
      </c>
      <c r="M1147" s="13" t="s">
        <v>38</v>
      </c>
      <c r="N1147" s="14">
        <v>644.076</v>
      </c>
      <c r="O1147" s="14">
        <v>643.51</v>
      </c>
      <c r="P1147" s="13">
        <v>4.0</v>
      </c>
      <c r="Q1147" s="14">
        <f t="shared" si="3"/>
        <v>2576.304</v>
      </c>
      <c r="R1147" s="14">
        <f t="shared" si="4"/>
        <v>1932.794</v>
      </c>
      <c r="S1147" s="14">
        <f t="shared" si="5"/>
        <v>643.51</v>
      </c>
    </row>
    <row r="1148">
      <c r="A1148" s="12">
        <v>42464.0</v>
      </c>
      <c r="B1148" s="12" t="s">
        <v>2332</v>
      </c>
      <c r="C1148" s="2">
        <v>42464.0</v>
      </c>
      <c r="D1148" s="15" t="str">
        <f t="shared" si="1"/>
        <v>Apr</v>
      </c>
      <c r="E1148" s="2" t="str">
        <f t="shared" si="2"/>
        <v>2016</v>
      </c>
      <c r="F1148" s="13" t="s">
        <v>717</v>
      </c>
      <c r="G1148" s="13" t="s">
        <v>2705</v>
      </c>
      <c r="H1148" s="13" t="s">
        <v>2689</v>
      </c>
      <c r="I1148" s="13" t="s">
        <v>23</v>
      </c>
      <c r="J1148" s="13" t="s">
        <v>1878</v>
      </c>
      <c r="K1148" s="13" t="s">
        <v>157</v>
      </c>
      <c r="L1148" s="13" t="s">
        <v>71</v>
      </c>
      <c r="M1148" s="13" t="s">
        <v>38</v>
      </c>
      <c r="N1148" s="14">
        <v>5.84</v>
      </c>
      <c r="O1148" s="14">
        <v>4.95</v>
      </c>
      <c r="P1148" s="13">
        <v>4.0</v>
      </c>
      <c r="Q1148" s="14">
        <f t="shared" si="3"/>
        <v>23.36</v>
      </c>
      <c r="R1148" s="14">
        <f t="shared" si="4"/>
        <v>18.41</v>
      </c>
      <c r="S1148" s="14">
        <f t="shared" si="5"/>
        <v>4.95</v>
      </c>
    </row>
    <row r="1149">
      <c r="A1149" s="12">
        <v>42464.0</v>
      </c>
      <c r="B1149" s="12" t="s">
        <v>2332</v>
      </c>
      <c r="C1149" s="2">
        <v>42464.0</v>
      </c>
      <c r="D1149" s="15" t="str">
        <f t="shared" si="1"/>
        <v>Apr</v>
      </c>
      <c r="E1149" s="2" t="str">
        <f t="shared" si="2"/>
        <v>2016</v>
      </c>
      <c r="F1149" s="13" t="s">
        <v>717</v>
      </c>
      <c r="G1149" s="13" t="s">
        <v>2705</v>
      </c>
      <c r="H1149" s="13" t="s">
        <v>2689</v>
      </c>
      <c r="I1149" s="13" t="s">
        <v>23</v>
      </c>
      <c r="J1149" s="13" t="s">
        <v>1878</v>
      </c>
      <c r="K1149" s="13" t="s">
        <v>157</v>
      </c>
      <c r="L1149" s="13" t="s">
        <v>71</v>
      </c>
      <c r="M1149" s="13" t="s">
        <v>38</v>
      </c>
      <c r="N1149" s="14">
        <v>12.76</v>
      </c>
      <c r="O1149" s="14">
        <v>12.21</v>
      </c>
      <c r="P1149" s="13">
        <v>4.0</v>
      </c>
      <c r="Q1149" s="14">
        <f t="shared" si="3"/>
        <v>51.04</v>
      </c>
      <c r="R1149" s="14">
        <f t="shared" si="4"/>
        <v>38.83</v>
      </c>
      <c r="S1149" s="14">
        <f t="shared" si="5"/>
        <v>12.21</v>
      </c>
    </row>
    <row r="1150">
      <c r="A1150" s="12">
        <v>42464.0</v>
      </c>
      <c r="B1150" s="12" t="s">
        <v>2332</v>
      </c>
      <c r="C1150" s="2">
        <v>42464.0</v>
      </c>
      <c r="D1150" s="15" t="str">
        <f t="shared" si="1"/>
        <v>Apr</v>
      </c>
      <c r="E1150" s="2" t="str">
        <f t="shared" si="2"/>
        <v>2016</v>
      </c>
      <c r="F1150" s="13" t="s">
        <v>717</v>
      </c>
      <c r="G1150" s="13" t="s">
        <v>2705</v>
      </c>
      <c r="H1150" s="13" t="s">
        <v>2689</v>
      </c>
      <c r="I1150" s="13" t="s">
        <v>23</v>
      </c>
      <c r="J1150" s="13" t="s">
        <v>1878</v>
      </c>
      <c r="K1150" s="13" t="s">
        <v>157</v>
      </c>
      <c r="L1150" s="13" t="s">
        <v>71</v>
      </c>
      <c r="M1150" s="13" t="s">
        <v>51</v>
      </c>
      <c r="N1150" s="14">
        <v>10.95</v>
      </c>
      <c r="O1150" s="14">
        <v>10.18</v>
      </c>
      <c r="P1150" s="13">
        <v>4.0</v>
      </c>
      <c r="Q1150" s="14">
        <f t="shared" si="3"/>
        <v>43.8</v>
      </c>
      <c r="R1150" s="14">
        <f t="shared" si="4"/>
        <v>33.62</v>
      </c>
      <c r="S1150" s="14">
        <f t="shared" si="5"/>
        <v>10.18</v>
      </c>
    </row>
    <row r="1151">
      <c r="A1151" s="12">
        <v>42464.0</v>
      </c>
      <c r="B1151" s="12" t="s">
        <v>2332</v>
      </c>
      <c r="C1151" s="2">
        <v>42464.0</v>
      </c>
      <c r="D1151" s="15" t="str">
        <f t="shared" si="1"/>
        <v>Apr</v>
      </c>
      <c r="E1151" s="2" t="str">
        <f t="shared" si="2"/>
        <v>2016</v>
      </c>
      <c r="F1151" s="13" t="s">
        <v>717</v>
      </c>
      <c r="G1151" s="13" t="s">
        <v>2705</v>
      </c>
      <c r="H1151" s="13" t="s">
        <v>2689</v>
      </c>
      <c r="I1151" s="13" t="s">
        <v>23</v>
      </c>
      <c r="J1151" s="13" t="s">
        <v>1878</v>
      </c>
      <c r="K1151" s="13" t="s">
        <v>157</v>
      </c>
      <c r="L1151" s="13" t="s">
        <v>71</v>
      </c>
      <c r="M1151" s="13" t="s">
        <v>51</v>
      </c>
      <c r="N1151" s="14">
        <v>599.98</v>
      </c>
      <c r="O1151" s="14">
        <v>599.61</v>
      </c>
      <c r="P1151" s="13">
        <v>4.0</v>
      </c>
      <c r="Q1151" s="14">
        <f t="shared" si="3"/>
        <v>2399.92</v>
      </c>
      <c r="R1151" s="14">
        <f t="shared" si="4"/>
        <v>1800.31</v>
      </c>
      <c r="S1151" s="14">
        <f t="shared" si="5"/>
        <v>599.61</v>
      </c>
    </row>
    <row r="1152">
      <c r="A1152" s="12">
        <v>42587.0</v>
      </c>
      <c r="B1152" s="12" t="s">
        <v>2322</v>
      </c>
      <c r="C1152" s="2">
        <v>42504.0</v>
      </c>
      <c r="D1152" s="15" t="str">
        <f t="shared" si="1"/>
        <v>May</v>
      </c>
      <c r="E1152" s="2" t="str">
        <f t="shared" si="2"/>
        <v>2016</v>
      </c>
      <c r="F1152" s="13" t="s">
        <v>41</v>
      </c>
      <c r="G1152" s="13" t="s">
        <v>2530</v>
      </c>
      <c r="H1152" s="13" t="s">
        <v>2531</v>
      </c>
      <c r="I1152" s="13" t="s">
        <v>34</v>
      </c>
      <c r="J1152" s="13" t="s">
        <v>1881</v>
      </c>
      <c r="K1152" s="13" t="s">
        <v>304</v>
      </c>
      <c r="L1152" s="13" t="s">
        <v>100</v>
      </c>
      <c r="M1152" s="13" t="s">
        <v>27</v>
      </c>
      <c r="N1152" s="14">
        <v>8.352</v>
      </c>
      <c r="O1152" s="14">
        <v>8.28</v>
      </c>
      <c r="P1152" s="13">
        <v>4.0</v>
      </c>
      <c r="Q1152" s="14">
        <f t="shared" si="3"/>
        <v>33.408</v>
      </c>
      <c r="R1152" s="14">
        <f t="shared" si="4"/>
        <v>25.128</v>
      </c>
      <c r="S1152" s="14">
        <f t="shared" si="5"/>
        <v>8.28</v>
      </c>
    </row>
    <row r="1153">
      <c r="A1153" s="12">
        <v>43100.0</v>
      </c>
      <c r="B1153" s="12" t="s">
        <v>2325</v>
      </c>
      <c r="C1153" s="2">
        <v>43252.0</v>
      </c>
      <c r="D1153" s="15" t="str">
        <f t="shared" si="1"/>
        <v>Jun</v>
      </c>
      <c r="E1153" s="2" t="str">
        <f t="shared" si="2"/>
        <v>2018</v>
      </c>
      <c r="F1153" s="13" t="s">
        <v>41</v>
      </c>
      <c r="G1153" s="13" t="s">
        <v>2517</v>
      </c>
      <c r="H1153" s="13" t="s">
        <v>2541</v>
      </c>
      <c r="I1153" s="13" t="s">
        <v>34</v>
      </c>
      <c r="J1153" s="13" t="s">
        <v>1883</v>
      </c>
      <c r="K1153" s="13" t="s">
        <v>776</v>
      </c>
      <c r="L1153" s="13" t="s">
        <v>37</v>
      </c>
      <c r="M1153" s="13" t="s">
        <v>38</v>
      </c>
      <c r="N1153" s="14">
        <v>3.64</v>
      </c>
      <c r="O1153" s="14">
        <v>3.56</v>
      </c>
      <c r="P1153" s="13">
        <v>8.0</v>
      </c>
      <c r="Q1153" s="14">
        <f t="shared" si="3"/>
        <v>29.12</v>
      </c>
      <c r="R1153" s="14">
        <f t="shared" si="4"/>
        <v>25.56</v>
      </c>
      <c r="S1153" s="14">
        <f t="shared" si="5"/>
        <v>3.56</v>
      </c>
    </row>
    <row r="1154">
      <c r="A1154" s="12">
        <v>43100.0</v>
      </c>
      <c r="B1154" s="12" t="s">
        <v>2325</v>
      </c>
      <c r="C1154" s="2">
        <v>43252.0</v>
      </c>
      <c r="D1154" s="15" t="str">
        <f t="shared" si="1"/>
        <v>Jun</v>
      </c>
      <c r="E1154" s="2" t="str">
        <f t="shared" si="2"/>
        <v>2018</v>
      </c>
      <c r="F1154" s="13" t="s">
        <v>41</v>
      </c>
      <c r="G1154" s="13" t="s">
        <v>2517</v>
      </c>
      <c r="H1154" s="13" t="s">
        <v>2541</v>
      </c>
      <c r="I1154" s="13" t="s">
        <v>34</v>
      </c>
      <c r="J1154" s="13" t="s">
        <v>1883</v>
      </c>
      <c r="K1154" s="13" t="s">
        <v>776</v>
      </c>
      <c r="L1154" s="13" t="s">
        <v>37</v>
      </c>
      <c r="M1154" s="13" t="s">
        <v>38</v>
      </c>
      <c r="N1154" s="14">
        <v>159.768</v>
      </c>
      <c r="O1154" s="14">
        <v>158.89</v>
      </c>
      <c r="P1154" s="13">
        <v>8.0</v>
      </c>
      <c r="Q1154" s="14">
        <f t="shared" si="3"/>
        <v>1278.144</v>
      </c>
      <c r="R1154" s="14">
        <f t="shared" si="4"/>
        <v>1119.254</v>
      </c>
      <c r="S1154" s="14">
        <f t="shared" si="5"/>
        <v>158.89</v>
      </c>
    </row>
    <row r="1155">
      <c r="A1155" s="12">
        <v>42358.0</v>
      </c>
      <c r="B1155" s="12" t="s">
        <v>2325</v>
      </c>
      <c r="C1155" s="2">
        <v>42359.0</v>
      </c>
      <c r="D1155" s="15" t="str">
        <f t="shared" si="1"/>
        <v>Dec</v>
      </c>
      <c r="E1155" s="2" t="str">
        <f t="shared" si="2"/>
        <v>2015</v>
      </c>
      <c r="F1155" s="13" t="s">
        <v>121</v>
      </c>
      <c r="G1155" s="13" t="s">
        <v>2883</v>
      </c>
      <c r="H1155" s="13" t="s">
        <v>2884</v>
      </c>
      <c r="I1155" s="13" t="s">
        <v>68</v>
      </c>
      <c r="J1155" s="13" t="s">
        <v>1886</v>
      </c>
      <c r="K1155" s="13" t="s">
        <v>198</v>
      </c>
      <c r="L1155" s="13" t="s">
        <v>26</v>
      </c>
      <c r="M1155" s="13" t="s">
        <v>38</v>
      </c>
      <c r="N1155" s="14">
        <v>122.48</v>
      </c>
      <c r="O1155" s="14">
        <v>122.47</v>
      </c>
      <c r="P1155" s="13">
        <v>2.0</v>
      </c>
      <c r="Q1155" s="14">
        <f t="shared" si="3"/>
        <v>244.96</v>
      </c>
      <c r="R1155" s="14">
        <f t="shared" si="4"/>
        <v>122.49</v>
      </c>
      <c r="S1155" s="14">
        <f t="shared" si="5"/>
        <v>122.47</v>
      </c>
    </row>
    <row r="1156">
      <c r="A1156" s="12">
        <v>42358.0</v>
      </c>
      <c r="B1156" s="12" t="s">
        <v>2325</v>
      </c>
      <c r="C1156" s="2">
        <v>42359.0</v>
      </c>
      <c r="D1156" s="15" t="str">
        <f t="shared" si="1"/>
        <v>Dec</v>
      </c>
      <c r="E1156" s="2" t="str">
        <f t="shared" si="2"/>
        <v>2015</v>
      </c>
      <c r="F1156" s="13" t="s">
        <v>121</v>
      </c>
      <c r="G1156" s="13" t="s">
        <v>2883</v>
      </c>
      <c r="H1156" s="13" t="s">
        <v>2884</v>
      </c>
      <c r="I1156" s="13" t="s">
        <v>68</v>
      </c>
      <c r="J1156" s="13" t="s">
        <v>1886</v>
      </c>
      <c r="K1156" s="13" t="s">
        <v>198</v>
      </c>
      <c r="L1156" s="13" t="s">
        <v>26</v>
      </c>
      <c r="M1156" s="13" t="s">
        <v>27</v>
      </c>
      <c r="N1156" s="14">
        <v>2244.48</v>
      </c>
      <c r="O1156" s="14">
        <v>2244.2</v>
      </c>
      <c r="P1156" s="13">
        <v>2.0</v>
      </c>
      <c r="Q1156" s="14">
        <f t="shared" si="3"/>
        <v>4488.96</v>
      </c>
      <c r="R1156" s="14">
        <f t="shared" si="4"/>
        <v>2244.76</v>
      </c>
      <c r="S1156" s="14">
        <f t="shared" si="5"/>
        <v>2244.2</v>
      </c>
    </row>
    <row r="1157">
      <c r="A1157" s="12">
        <v>42358.0</v>
      </c>
      <c r="B1157" s="12" t="s">
        <v>2325</v>
      </c>
      <c r="C1157" s="2">
        <v>42359.0</v>
      </c>
      <c r="D1157" s="15" t="str">
        <f t="shared" si="1"/>
        <v>Dec</v>
      </c>
      <c r="E1157" s="2" t="str">
        <f t="shared" si="2"/>
        <v>2015</v>
      </c>
      <c r="F1157" s="13" t="s">
        <v>121</v>
      </c>
      <c r="G1157" s="13" t="s">
        <v>2883</v>
      </c>
      <c r="H1157" s="13" t="s">
        <v>2884</v>
      </c>
      <c r="I1157" s="13" t="s">
        <v>68</v>
      </c>
      <c r="J1157" s="13" t="s">
        <v>1886</v>
      </c>
      <c r="K1157" s="13" t="s">
        <v>198</v>
      </c>
      <c r="L1157" s="13" t="s">
        <v>26</v>
      </c>
      <c r="M1157" s="13" t="s">
        <v>38</v>
      </c>
      <c r="N1157" s="14">
        <v>62.31</v>
      </c>
      <c r="O1157" s="14">
        <v>61.91</v>
      </c>
      <c r="P1157" s="13">
        <v>2.0</v>
      </c>
      <c r="Q1157" s="14">
        <f t="shared" si="3"/>
        <v>124.62</v>
      </c>
      <c r="R1157" s="14">
        <f t="shared" si="4"/>
        <v>62.71</v>
      </c>
      <c r="S1157" s="14">
        <f t="shared" si="5"/>
        <v>61.91</v>
      </c>
    </row>
    <row r="1158">
      <c r="A1158" s="12">
        <v>42358.0</v>
      </c>
      <c r="B1158" s="12" t="s">
        <v>2325</v>
      </c>
      <c r="C1158" s="2">
        <v>42359.0</v>
      </c>
      <c r="D1158" s="15" t="str">
        <f t="shared" si="1"/>
        <v>Dec</v>
      </c>
      <c r="E1158" s="2" t="str">
        <f t="shared" si="2"/>
        <v>2015</v>
      </c>
      <c r="F1158" s="13" t="s">
        <v>121</v>
      </c>
      <c r="G1158" s="13" t="s">
        <v>2883</v>
      </c>
      <c r="H1158" s="13" t="s">
        <v>2884</v>
      </c>
      <c r="I1158" s="13" t="s">
        <v>68</v>
      </c>
      <c r="J1158" s="13" t="s">
        <v>1886</v>
      </c>
      <c r="K1158" s="13" t="s">
        <v>198</v>
      </c>
      <c r="L1158" s="13" t="s">
        <v>26</v>
      </c>
      <c r="M1158" s="13" t="s">
        <v>27</v>
      </c>
      <c r="N1158" s="14">
        <v>455.1</v>
      </c>
      <c r="O1158" s="14">
        <v>454.7</v>
      </c>
      <c r="P1158" s="13">
        <v>2.0</v>
      </c>
      <c r="Q1158" s="14">
        <f t="shared" si="3"/>
        <v>910.2</v>
      </c>
      <c r="R1158" s="14">
        <f t="shared" si="4"/>
        <v>455.5</v>
      </c>
      <c r="S1158" s="14">
        <f t="shared" si="5"/>
        <v>454.7</v>
      </c>
    </row>
    <row r="1159">
      <c r="A1159" s="12">
        <v>42773.0</v>
      </c>
      <c r="B1159" s="12" t="s">
        <v>2431</v>
      </c>
      <c r="C1159" s="2">
        <v>42923.0</v>
      </c>
      <c r="D1159" s="15" t="str">
        <f t="shared" si="1"/>
        <v>Jul</v>
      </c>
      <c r="E1159" s="2" t="str">
        <f t="shared" si="2"/>
        <v>2017</v>
      </c>
      <c r="F1159" s="13" t="s">
        <v>20</v>
      </c>
      <c r="G1159" s="13" t="s">
        <v>2822</v>
      </c>
      <c r="H1159" s="13" t="s">
        <v>2823</v>
      </c>
      <c r="I1159" s="13" t="s">
        <v>34</v>
      </c>
      <c r="J1159" s="13" t="s">
        <v>35</v>
      </c>
      <c r="K1159" s="13" t="s">
        <v>52</v>
      </c>
      <c r="L1159" s="13" t="s">
        <v>37</v>
      </c>
      <c r="M1159" s="13" t="s">
        <v>27</v>
      </c>
      <c r="N1159" s="14">
        <v>195.184</v>
      </c>
      <c r="O1159" s="14">
        <v>195.02</v>
      </c>
      <c r="P1159" s="13">
        <v>9.0</v>
      </c>
      <c r="Q1159" s="14">
        <f t="shared" si="3"/>
        <v>1756.656</v>
      </c>
      <c r="R1159" s="14">
        <f t="shared" si="4"/>
        <v>1561.636</v>
      </c>
      <c r="S1159" s="14">
        <f t="shared" si="5"/>
        <v>195.02</v>
      </c>
    </row>
    <row r="1160">
      <c r="A1160" s="12">
        <v>43280.0</v>
      </c>
      <c r="B1160" s="12" t="s">
        <v>2374</v>
      </c>
      <c r="C1160" s="2">
        <v>43197.0</v>
      </c>
      <c r="D1160" s="15" t="str">
        <f t="shared" si="1"/>
        <v>Apr</v>
      </c>
      <c r="E1160" s="2" t="str">
        <f t="shared" si="2"/>
        <v>2018</v>
      </c>
      <c r="F1160" s="13" t="s">
        <v>41</v>
      </c>
      <c r="G1160" s="13" t="s">
        <v>2889</v>
      </c>
      <c r="H1160" s="13" t="s">
        <v>2890</v>
      </c>
      <c r="I1160" s="13" t="s">
        <v>23</v>
      </c>
      <c r="J1160" s="13" t="s">
        <v>251</v>
      </c>
      <c r="K1160" s="13" t="s">
        <v>151</v>
      </c>
      <c r="L1160" s="13" t="s">
        <v>71</v>
      </c>
      <c r="M1160" s="13" t="s">
        <v>38</v>
      </c>
      <c r="N1160" s="14">
        <v>362.94</v>
      </c>
      <c r="O1160" s="14">
        <v>362.7</v>
      </c>
      <c r="P1160" s="13">
        <v>5.0</v>
      </c>
      <c r="Q1160" s="14">
        <f t="shared" si="3"/>
        <v>1814.7</v>
      </c>
      <c r="R1160" s="14">
        <f t="shared" si="4"/>
        <v>1452</v>
      </c>
      <c r="S1160" s="14">
        <f t="shared" si="5"/>
        <v>362.7</v>
      </c>
    </row>
    <row r="1161">
      <c r="A1161" s="12">
        <v>43280.0</v>
      </c>
      <c r="B1161" s="12" t="s">
        <v>2374</v>
      </c>
      <c r="C1161" s="2">
        <v>43197.0</v>
      </c>
      <c r="D1161" s="15" t="str">
        <f t="shared" si="1"/>
        <v>Apr</v>
      </c>
      <c r="E1161" s="2" t="str">
        <f t="shared" si="2"/>
        <v>2018</v>
      </c>
      <c r="F1161" s="13" t="s">
        <v>41</v>
      </c>
      <c r="G1161" s="13" t="s">
        <v>2889</v>
      </c>
      <c r="H1161" s="13" t="s">
        <v>2890</v>
      </c>
      <c r="I1161" s="13" t="s">
        <v>23</v>
      </c>
      <c r="J1161" s="13" t="s">
        <v>251</v>
      </c>
      <c r="K1161" s="13" t="s">
        <v>151</v>
      </c>
      <c r="L1161" s="13" t="s">
        <v>71</v>
      </c>
      <c r="M1161" s="13" t="s">
        <v>38</v>
      </c>
      <c r="N1161" s="14">
        <v>11.54</v>
      </c>
      <c r="O1161" s="14">
        <v>10.84</v>
      </c>
      <c r="P1161" s="13">
        <v>5.0</v>
      </c>
      <c r="Q1161" s="14">
        <f t="shared" si="3"/>
        <v>57.7</v>
      </c>
      <c r="R1161" s="14">
        <f t="shared" si="4"/>
        <v>46.86</v>
      </c>
      <c r="S1161" s="14">
        <f t="shared" si="5"/>
        <v>10.84</v>
      </c>
    </row>
    <row r="1162">
      <c r="A1162" s="12">
        <v>42013.0</v>
      </c>
      <c r="B1162" s="12" t="s">
        <v>2353</v>
      </c>
      <c r="C1162" s="2">
        <v>42133.0</v>
      </c>
      <c r="D1162" s="15" t="str">
        <f t="shared" si="1"/>
        <v>May</v>
      </c>
      <c r="E1162" s="2" t="str">
        <f t="shared" si="2"/>
        <v>2015</v>
      </c>
      <c r="F1162" s="13" t="s">
        <v>20</v>
      </c>
      <c r="G1162" s="13" t="s">
        <v>2891</v>
      </c>
      <c r="H1162" s="13" t="s">
        <v>2892</v>
      </c>
      <c r="I1162" s="13" t="s">
        <v>23</v>
      </c>
      <c r="J1162" s="13" t="s">
        <v>1894</v>
      </c>
      <c r="K1162" s="13" t="s">
        <v>52</v>
      </c>
      <c r="L1162" s="13" t="s">
        <v>37</v>
      </c>
      <c r="M1162" s="13" t="s">
        <v>38</v>
      </c>
      <c r="N1162" s="14">
        <v>53.94</v>
      </c>
      <c r="O1162" s="14">
        <v>53.63</v>
      </c>
      <c r="P1162" s="13">
        <v>9.0</v>
      </c>
      <c r="Q1162" s="14">
        <f t="shared" si="3"/>
        <v>485.46</v>
      </c>
      <c r="R1162" s="14">
        <f t="shared" si="4"/>
        <v>431.83</v>
      </c>
      <c r="S1162" s="14">
        <f t="shared" si="5"/>
        <v>53.63</v>
      </c>
    </row>
    <row r="1163">
      <c r="A1163" s="12">
        <v>42066.0</v>
      </c>
      <c r="B1163" s="12" t="s">
        <v>2399</v>
      </c>
      <c r="C1163" s="2">
        <v>42219.0</v>
      </c>
      <c r="D1163" s="15" t="str">
        <f t="shared" si="1"/>
        <v>Aug</v>
      </c>
      <c r="E1163" s="2" t="str">
        <f t="shared" si="2"/>
        <v>2015</v>
      </c>
      <c r="F1163" s="13" t="s">
        <v>41</v>
      </c>
      <c r="G1163" s="13" t="s">
        <v>2893</v>
      </c>
      <c r="H1163" s="13" t="s">
        <v>2894</v>
      </c>
      <c r="I1163" s="13" t="s">
        <v>68</v>
      </c>
      <c r="J1163" s="13" t="s">
        <v>174</v>
      </c>
      <c r="K1163" s="13" t="s">
        <v>175</v>
      </c>
      <c r="L1163" s="13" t="s">
        <v>100</v>
      </c>
      <c r="M1163" s="13" t="s">
        <v>51</v>
      </c>
      <c r="N1163" s="14">
        <v>9.99</v>
      </c>
      <c r="O1163" s="14">
        <v>9.05</v>
      </c>
      <c r="P1163" s="13">
        <v>1.0</v>
      </c>
      <c r="Q1163" s="14">
        <f t="shared" si="3"/>
        <v>9.99</v>
      </c>
      <c r="R1163" s="14">
        <f t="shared" si="4"/>
        <v>0.94</v>
      </c>
      <c r="S1163" s="14">
        <f t="shared" si="5"/>
        <v>9.05</v>
      </c>
    </row>
    <row r="1164">
      <c r="A1164" s="12">
        <v>42066.0</v>
      </c>
      <c r="B1164" s="12" t="s">
        <v>2399</v>
      </c>
      <c r="C1164" s="2">
        <v>42219.0</v>
      </c>
      <c r="D1164" s="15" t="str">
        <f t="shared" si="1"/>
        <v>Aug</v>
      </c>
      <c r="E1164" s="2" t="str">
        <f t="shared" si="2"/>
        <v>2015</v>
      </c>
      <c r="F1164" s="13" t="s">
        <v>41</v>
      </c>
      <c r="G1164" s="13" t="s">
        <v>2893</v>
      </c>
      <c r="H1164" s="13" t="s">
        <v>2894</v>
      </c>
      <c r="I1164" s="13" t="s">
        <v>68</v>
      </c>
      <c r="J1164" s="13" t="s">
        <v>174</v>
      </c>
      <c r="K1164" s="13" t="s">
        <v>175</v>
      </c>
      <c r="L1164" s="13" t="s">
        <v>100</v>
      </c>
      <c r="M1164" s="13" t="s">
        <v>38</v>
      </c>
      <c r="N1164" s="14">
        <v>125.76</v>
      </c>
      <c r="O1164" s="14">
        <v>125.64</v>
      </c>
      <c r="P1164" s="13">
        <v>1.0</v>
      </c>
      <c r="Q1164" s="14">
        <f t="shared" si="3"/>
        <v>125.76</v>
      </c>
      <c r="R1164" s="14">
        <f t="shared" si="4"/>
        <v>0.12</v>
      </c>
      <c r="S1164" s="14">
        <f t="shared" si="5"/>
        <v>125.64</v>
      </c>
    </row>
    <row r="1165">
      <c r="A1165" s="12">
        <v>42066.0</v>
      </c>
      <c r="B1165" s="12" t="s">
        <v>2399</v>
      </c>
      <c r="C1165" s="2">
        <v>42219.0</v>
      </c>
      <c r="D1165" s="15" t="str">
        <f t="shared" si="1"/>
        <v>Aug</v>
      </c>
      <c r="E1165" s="2" t="str">
        <f t="shared" si="2"/>
        <v>2015</v>
      </c>
      <c r="F1165" s="13" t="s">
        <v>41</v>
      </c>
      <c r="G1165" s="13" t="s">
        <v>2893</v>
      </c>
      <c r="H1165" s="13" t="s">
        <v>2894</v>
      </c>
      <c r="I1165" s="13" t="s">
        <v>68</v>
      </c>
      <c r="J1165" s="13" t="s">
        <v>174</v>
      </c>
      <c r="K1165" s="13" t="s">
        <v>175</v>
      </c>
      <c r="L1165" s="13" t="s">
        <v>100</v>
      </c>
      <c r="M1165" s="13" t="s">
        <v>38</v>
      </c>
      <c r="N1165" s="14">
        <v>25.32</v>
      </c>
      <c r="O1165" s="14">
        <v>24.97</v>
      </c>
      <c r="P1165" s="13">
        <v>1.0</v>
      </c>
      <c r="Q1165" s="14">
        <f t="shared" si="3"/>
        <v>25.32</v>
      </c>
      <c r="R1165" s="14">
        <f t="shared" si="4"/>
        <v>0.35</v>
      </c>
      <c r="S1165" s="14">
        <f t="shared" si="5"/>
        <v>24.97</v>
      </c>
    </row>
    <row r="1166">
      <c r="A1166" s="12">
        <v>42099.0</v>
      </c>
      <c r="B1166" s="12" t="s">
        <v>2332</v>
      </c>
      <c r="C1166" s="2">
        <v>42221.0</v>
      </c>
      <c r="D1166" s="15" t="str">
        <f t="shared" si="1"/>
        <v>Aug</v>
      </c>
      <c r="E1166" s="2" t="str">
        <f t="shared" si="2"/>
        <v>2015</v>
      </c>
      <c r="F1166" s="13" t="s">
        <v>41</v>
      </c>
      <c r="G1166" s="13" t="s">
        <v>1839</v>
      </c>
      <c r="H1166" s="13" t="s">
        <v>2581</v>
      </c>
      <c r="I1166" s="13" t="s">
        <v>23</v>
      </c>
      <c r="J1166" s="13" t="s">
        <v>205</v>
      </c>
      <c r="K1166" s="13" t="s">
        <v>157</v>
      </c>
      <c r="L1166" s="13" t="s">
        <v>71</v>
      </c>
      <c r="M1166" s="13" t="s">
        <v>38</v>
      </c>
      <c r="N1166" s="14">
        <v>46.8</v>
      </c>
      <c r="O1166" s="14">
        <v>45.97</v>
      </c>
      <c r="P1166" s="13">
        <v>4.0</v>
      </c>
      <c r="Q1166" s="14">
        <f t="shared" si="3"/>
        <v>187.2</v>
      </c>
      <c r="R1166" s="14">
        <f t="shared" si="4"/>
        <v>141.23</v>
      </c>
      <c r="S1166" s="14">
        <f t="shared" si="5"/>
        <v>45.97</v>
      </c>
    </row>
    <row r="1167">
      <c r="A1167" s="12">
        <v>42411.0</v>
      </c>
      <c r="B1167" s="12" t="s">
        <v>2431</v>
      </c>
      <c r="C1167" s="2">
        <v>42411.0</v>
      </c>
      <c r="D1167" s="15" t="str">
        <f t="shared" si="1"/>
        <v>Feb</v>
      </c>
      <c r="E1167" s="2" t="str">
        <f t="shared" si="2"/>
        <v>2016</v>
      </c>
      <c r="F1167" s="13" t="s">
        <v>717</v>
      </c>
      <c r="G1167" s="13" t="s">
        <v>2517</v>
      </c>
      <c r="H1167" s="13" t="s">
        <v>2518</v>
      </c>
      <c r="I1167" s="13" t="s">
        <v>23</v>
      </c>
      <c r="J1167" s="13" t="s">
        <v>62</v>
      </c>
      <c r="K1167" s="13" t="s">
        <v>63</v>
      </c>
      <c r="L1167" s="13" t="s">
        <v>37</v>
      </c>
      <c r="M1167" s="13" t="s">
        <v>51</v>
      </c>
      <c r="N1167" s="14">
        <v>447.93</v>
      </c>
      <c r="O1167" s="14">
        <v>447.17</v>
      </c>
      <c r="P1167" s="13">
        <v>9.0</v>
      </c>
      <c r="Q1167" s="14">
        <f t="shared" si="3"/>
        <v>4031.37</v>
      </c>
      <c r="R1167" s="14">
        <f t="shared" si="4"/>
        <v>3584.2</v>
      </c>
      <c r="S1167" s="14">
        <f t="shared" si="5"/>
        <v>447.17</v>
      </c>
    </row>
    <row r="1168">
      <c r="A1168" s="12">
        <v>43324.0</v>
      </c>
      <c r="B1168" s="12" t="s">
        <v>2322</v>
      </c>
      <c r="C1168" s="2">
        <v>43385.0</v>
      </c>
      <c r="D1168" s="15" t="str">
        <f t="shared" si="1"/>
        <v>Oct</v>
      </c>
      <c r="E1168" s="2" t="str">
        <f t="shared" si="2"/>
        <v>2018</v>
      </c>
      <c r="F1168" s="13" t="s">
        <v>20</v>
      </c>
      <c r="G1168" s="13" t="s">
        <v>2519</v>
      </c>
      <c r="H1168" s="13" t="s">
        <v>2520</v>
      </c>
      <c r="I1168" s="13" t="s">
        <v>23</v>
      </c>
      <c r="J1168" s="13" t="s">
        <v>174</v>
      </c>
      <c r="K1168" s="13" t="s">
        <v>175</v>
      </c>
      <c r="L1168" s="13" t="s">
        <v>100</v>
      </c>
      <c r="M1168" s="13" t="s">
        <v>27</v>
      </c>
      <c r="N1168" s="14">
        <v>109.48</v>
      </c>
      <c r="O1168" s="14">
        <v>109.47</v>
      </c>
      <c r="P1168" s="13">
        <v>1.0</v>
      </c>
      <c r="Q1168" s="14">
        <f t="shared" si="3"/>
        <v>109.48</v>
      </c>
      <c r="R1168" s="14">
        <f t="shared" si="4"/>
        <v>0.01</v>
      </c>
      <c r="S1168" s="14">
        <f t="shared" si="5"/>
        <v>109.47</v>
      </c>
    </row>
    <row r="1169">
      <c r="A1169" s="12">
        <v>43324.0</v>
      </c>
      <c r="B1169" s="12" t="s">
        <v>2322</v>
      </c>
      <c r="C1169" s="2">
        <v>43385.0</v>
      </c>
      <c r="D1169" s="15" t="str">
        <f t="shared" si="1"/>
        <v>Oct</v>
      </c>
      <c r="E1169" s="2" t="str">
        <f t="shared" si="2"/>
        <v>2018</v>
      </c>
      <c r="F1169" s="13" t="s">
        <v>20</v>
      </c>
      <c r="G1169" s="13" t="s">
        <v>2519</v>
      </c>
      <c r="H1169" s="13" t="s">
        <v>2520</v>
      </c>
      <c r="I1169" s="13" t="s">
        <v>23</v>
      </c>
      <c r="J1169" s="13" t="s">
        <v>174</v>
      </c>
      <c r="K1169" s="13" t="s">
        <v>175</v>
      </c>
      <c r="L1169" s="13" t="s">
        <v>100</v>
      </c>
      <c r="M1169" s="13" t="s">
        <v>38</v>
      </c>
      <c r="N1169" s="14">
        <v>272.94</v>
      </c>
      <c r="O1169" s="14">
        <v>272.66</v>
      </c>
      <c r="P1169" s="13">
        <v>1.0</v>
      </c>
      <c r="Q1169" s="14">
        <f t="shared" si="3"/>
        <v>272.94</v>
      </c>
      <c r="R1169" s="14">
        <f t="shared" si="4"/>
        <v>0.28</v>
      </c>
      <c r="S1169" s="14">
        <f t="shared" si="5"/>
        <v>272.66</v>
      </c>
    </row>
    <row r="1170">
      <c r="A1170" s="12">
        <v>43324.0</v>
      </c>
      <c r="B1170" s="12" t="s">
        <v>2322</v>
      </c>
      <c r="C1170" s="2">
        <v>43385.0</v>
      </c>
      <c r="D1170" s="15" t="str">
        <f t="shared" si="1"/>
        <v>Oct</v>
      </c>
      <c r="E1170" s="2" t="str">
        <f t="shared" si="2"/>
        <v>2018</v>
      </c>
      <c r="F1170" s="13" t="s">
        <v>20</v>
      </c>
      <c r="G1170" s="13" t="s">
        <v>2519</v>
      </c>
      <c r="H1170" s="13" t="s">
        <v>2520</v>
      </c>
      <c r="I1170" s="13" t="s">
        <v>23</v>
      </c>
      <c r="J1170" s="13" t="s">
        <v>174</v>
      </c>
      <c r="K1170" s="13" t="s">
        <v>175</v>
      </c>
      <c r="L1170" s="13" t="s">
        <v>100</v>
      </c>
      <c r="M1170" s="13" t="s">
        <v>38</v>
      </c>
      <c r="N1170" s="14">
        <v>19.44</v>
      </c>
      <c r="O1170" s="14">
        <v>19.4</v>
      </c>
      <c r="P1170" s="13">
        <v>1.0</v>
      </c>
      <c r="Q1170" s="14">
        <f t="shared" si="3"/>
        <v>19.44</v>
      </c>
      <c r="R1170" s="14">
        <f t="shared" si="4"/>
        <v>0.04</v>
      </c>
      <c r="S1170" s="14">
        <f t="shared" si="5"/>
        <v>19.4</v>
      </c>
    </row>
    <row r="1171">
      <c r="A1171" s="12">
        <v>43324.0</v>
      </c>
      <c r="B1171" s="12" t="s">
        <v>2322</v>
      </c>
      <c r="C1171" s="2">
        <v>43385.0</v>
      </c>
      <c r="D1171" s="15" t="str">
        <f t="shared" si="1"/>
        <v>Oct</v>
      </c>
      <c r="E1171" s="2" t="str">
        <f t="shared" si="2"/>
        <v>2018</v>
      </c>
      <c r="F1171" s="13" t="s">
        <v>20</v>
      </c>
      <c r="G1171" s="13" t="s">
        <v>2519</v>
      </c>
      <c r="H1171" s="13" t="s">
        <v>2520</v>
      </c>
      <c r="I1171" s="13" t="s">
        <v>23</v>
      </c>
      <c r="J1171" s="13" t="s">
        <v>174</v>
      </c>
      <c r="K1171" s="13" t="s">
        <v>175</v>
      </c>
      <c r="L1171" s="13" t="s">
        <v>100</v>
      </c>
      <c r="M1171" s="13" t="s">
        <v>38</v>
      </c>
      <c r="N1171" s="14">
        <v>31.92</v>
      </c>
      <c r="O1171" s="14">
        <v>31.49</v>
      </c>
      <c r="P1171" s="13">
        <v>1.0</v>
      </c>
      <c r="Q1171" s="14">
        <f t="shared" si="3"/>
        <v>31.92</v>
      </c>
      <c r="R1171" s="14">
        <f t="shared" si="4"/>
        <v>0.43</v>
      </c>
      <c r="S1171" s="14">
        <f t="shared" si="5"/>
        <v>31.49</v>
      </c>
    </row>
    <row r="1172">
      <c r="A1172" s="12">
        <v>42280.0</v>
      </c>
      <c r="B1172" s="12" t="s">
        <v>2358</v>
      </c>
      <c r="C1172" s="2">
        <v>42077.0</v>
      </c>
      <c r="D1172" s="15" t="str">
        <f t="shared" si="1"/>
        <v>Mar</v>
      </c>
      <c r="E1172" s="2" t="str">
        <f t="shared" si="2"/>
        <v>2015</v>
      </c>
      <c r="F1172" s="13" t="s">
        <v>41</v>
      </c>
      <c r="G1172" s="13" t="s">
        <v>2836</v>
      </c>
      <c r="H1172" s="13" t="s">
        <v>2837</v>
      </c>
      <c r="I1172" s="13" t="s">
        <v>23</v>
      </c>
      <c r="J1172" s="13" t="s">
        <v>1905</v>
      </c>
      <c r="K1172" s="13" t="s">
        <v>157</v>
      </c>
      <c r="L1172" s="13" t="s">
        <v>71</v>
      </c>
      <c r="M1172" s="13" t="s">
        <v>38</v>
      </c>
      <c r="N1172" s="14">
        <v>22.38</v>
      </c>
      <c r="O1172" s="14">
        <v>21.6</v>
      </c>
      <c r="P1172" s="13">
        <v>4.0</v>
      </c>
      <c r="Q1172" s="14">
        <f t="shared" si="3"/>
        <v>89.52</v>
      </c>
      <c r="R1172" s="14">
        <f t="shared" si="4"/>
        <v>67.92</v>
      </c>
      <c r="S1172" s="14">
        <f t="shared" si="5"/>
        <v>21.6</v>
      </c>
    </row>
    <row r="1173">
      <c r="A1173" s="12">
        <v>42115.0</v>
      </c>
      <c r="B1173" s="12" t="s">
        <v>2332</v>
      </c>
      <c r="C1173" s="2">
        <v>42119.0</v>
      </c>
      <c r="D1173" s="15" t="str">
        <f t="shared" si="1"/>
        <v>Apr</v>
      </c>
      <c r="E1173" s="2" t="str">
        <f t="shared" si="2"/>
        <v>2015</v>
      </c>
      <c r="F1173" s="13" t="s">
        <v>41</v>
      </c>
      <c r="G1173" s="13" t="s">
        <v>2334</v>
      </c>
      <c r="H1173" s="13" t="s">
        <v>2662</v>
      </c>
      <c r="I1173" s="13" t="s">
        <v>23</v>
      </c>
      <c r="J1173" s="13" t="s">
        <v>35</v>
      </c>
      <c r="K1173" s="13" t="s">
        <v>52</v>
      </c>
      <c r="L1173" s="13" t="s">
        <v>37</v>
      </c>
      <c r="M1173" s="13" t="s">
        <v>38</v>
      </c>
      <c r="N1173" s="14">
        <v>16.52</v>
      </c>
      <c r="O1173" s="14">
        <v>15.79</v>
      </c>
      <c r="P1173" s="13">
        <v>9.0</v>
      </c>
      <c r="Q1173" s="14">
        <f t="shared" si="3"/>
        <v>148.68</v>
      </c>
      <c r="R1173" s="14">
        <f t="shared" si="4"/>
        <v>132.89</v>
      </c>
      <c r="S1173" s="14">
        <f t="shared" si="5"/>
        <v>15.79</v>
      </c>
    </row>
    <row r="1174">
      <c r="A1174" s="12">
        <v>42665.0</v>
      </c>
      <c r="B1174" s="12" t="s">
        <v>2358</v>
      </c>
      <c r="C1174" s="2">
        <v>42669.0</v>
      </c>
      <c r="D1174" s="15" t="str">
        <f t="shared" si="1"/>
        <v>Oct</v>
      </c>
      <c r="E1174" s="2" t="str">
        <f t="shared" si="2"/>
        <v>2016</v>
      </c>
      <c r="F1174" s="13" t="s">
        <v>41</v>
      </c>
      <c r="G1174" s="13" t="s">
        <v>2666</v>
      </c>
      <c r="H1174" s="13" t="s">
        <v>2783</v>
      </c>
      <c r="I1174" s="13" t="s">
        <v>23</v>
      </c>
      <c r="J1174" s="13" t="s">
        <v>324</v>
      </c>
      <c r="K1174" s="13" t="s">
        <v>135</v>
      </c>
      <c r="L1174" s="13" t="s">
        <v>71</v>
      </c>
      <c r="M1174" s="13" t="s">
        <v>38</v>
      </c>
      <c r="N1174" s="14">
        <v>5.176</v>
      </c>
      <c r="O1174" s="14">
        <v>4.95</v>
      </c>
      <c r="P1174" s="13">
        <v>6.0</v>
      </c>
      <c r="Q1174" s="14">
        <f t="shared" si="3"/>
        <v>31.056</v>
      </c>
      <c r="R1174" s="14">
        <f t="shared" si="4"/>
        <v>26.106</v>
      </c>
      <c r="S1174" s="14">
        <f t="shared" si="5"/>
        <v>4.95</v>
      </c>
    </row>
    <row r="1175">
      <c r="A1175" s="12">
        <v>42604.0</v>
      </c>
      <c r="B1175" s="12" t="s">
        <v>2322</v>
      </c>
      <c r="C1175" s="2">
        <v>42607.0</v>
      </c>
      <c r="D1175" s="15" t="str">
        <f t="shared" si="1"/>
        <v>Aug</v>
      </c>
      <c r="E1175" s="2" t="str">
        <f t="shared" si="2"/>
        <v>2016</v>
      </c>
      <c r="F1175" s="13" t="s">
        <v>121</v>
      </c>
      <c r="G1175" s="13" t="s">
        <v>2432</v>
      </c>
      <c r="H1175" s="13" t="s">
        <v>2804</v>
      </c>
      <c r="I1175" s="13" t="s">
        <v>34</v>
      </c>
      <c r="J1175" s="13" t="s">
        <v>174</v>
      </c>
      <c r="K1175" s="13" t="s">
        <v>175</v>
      </c>
      <c r="L1175" s="13" t="s">
        <v>100</v>
      </c>
      <c r="M1175" s="13" t="s">
        <v>38</v>
      </c>
      <c r="N1175" s="14">
        <v>50.112</v>
      </c>
      <c r="O1175" s="14">
        <v>49.33</v>
      </c>
      <c r="P1175" s="13">
        <v>1.0</v>
      </c>
      <c r="Q1175" s="14">
        <f t="shared" si="3"/>
        <v>50.112</v>
      </c>
      <c r="R1175" s="14">
        <f t="shared" si="4"/>
        <v>0.782</v>
      </c>
      <c r="S1175" s="14">
        <f t="shared" si="5"/>
        <v>49.33</v>
      </c>
    </row>
    <row r="1176">
      <c r="A1176" s="12">
        <v>42976.0</v>
      </c>
      <c r="B1176" s="12" t="s">
        <v>2322</v>
      </c>
      <c r="C1176" s="2">
        <v>42803.0</v>
      </c>
      <c r="D1176" s="15" t="str">
        <f t="shared" si="1"/>
        <v>Mar</v>
      </c>
      <c r="E1176" s="2" t="str">
        <f t="shared" si="2"/>
        <v>2017</v>
      </c>
      <c r="F1176" s="13" t="s">
        <v>41</v>
      </c>
      <c r="G1176" s="13" t="s">
        <v>2568</v>
      </c>
      <c r="H1176" s="13" t="s">
        <v>2569</v>
      </c>
      <c r="I1176" s="13" t="s">
        <v>68</v>
      </c>
      <c r="J1176" s="13" t="s">
        <v>57</v>
      </c>
      <c r="K1176" s="13" t="s">
        <v>1510</v>
      </c>
      <c r="L1176" s="13" t="s">
        <v>100</v>
      </c>
      <c r="M1176" s="13" t="s">
        <v>38</v>
      </c>
      <c r="N1176" s="14">
        <v>27.93</v>
      </c>
      <c r="O1176" s="14">
        <v>27.54</v>
      </c>
      <c r="P1176" s="13">
        <v>3.0</v>
      </c>
      <c r="Q1176" s="14">
        <f t="shared" si="3"/>
        <v>83.79</v>
      </c>
      <c r="R1176" s="14">
        <f t="shared" si="4"/>
        <v>56.25</v>
      </c>
      <c r="S1176" s="14">
        <f t="shared" si="5"/>
        <v>27.54</v>
      </c>
    </row>
    <row r="1177">
      <c r="A1177" s="12">
        <v>42365.0</v>
      </c>
      <c r="B1177" s="12" t="s">
        <v>2325</v>
      </c>
      <c r="C1177" s="2">
        <v>42368.0</v>
      </c>
      <c r="D1177" s="15" t="str">
        <f t="shared" si="1"/>
        <v>Dec</v>
      </c>
      <c r="E1177" s="2" t="str">
        <f t="shared" si="2"/>
        <v>2015</v>
      </c>
      <c r="F1177" s="13" t="s">
        <v>20</v>
      </c>
      <c r="G1177" s="13" t="s">
        <v>2564</v>
      </c>
      <c r="H1177" s="13" t="s">
        <v>2895</v>
      </c>
      <c r="I1177" s="13" t="s">
        <v>68</v>
      </c>
      <c r="J1177" s="13" t="s">
        <v>35</v>
      </c>
      <c r="K1177" s="13" t="s">
        <v>52</v>
      </c>
      <c r="L1177" s="13" t="s">
        <v>37</v>
      </c>
      <c r="M1177" s="13" t="s">
        <v>38</v>
      </c>
      <c r="N1177" s="14">
        <v>11.56</v>
      </c>
      <c r="O1177" s="14">
        <v>11.38</v>
      </c>
      <c r="P1177" s="13">
        <v>9.0</v>
      </c>
      <c r="Q1177" s="14">
        <f t="shared" si="3"/>
        <v>104.04</v>
      </c>
      <c r="R1177" s="14">
        <f t="shared" si="4"/>
        <v>92.66</v>
      </c>
      <c r="S1177" s="14">
        <f t="shared" si="5"/>
        <v>11.38</v>
      </c>
    </row>
    <row r="1178">
      <c r="A1178" s="12">
        <v>42747.0</v>
      </c>
      <c r="B1178" s="12" t="s">
        <v>2353</v>
      </c>
      <c r="C1178" s="2">
        <v>42867.0</v>
      </c>
      <c r="D1178" s="15" t="str">
        <f t="shared" si="1"/>
        <v>May</v>
      </c>
      <c r="E1178" s="2" t="str">
        <f t="shared" si="2"/>
        <v>2017</v>
      </c>
      <c r="F1178" s="13" t="s">
        <v>41</v>
      </c>
      <c r="G1178" s="13" t="s">
        <v>2392</v>
      </c>
      <c r="H1178" s="13" t="s">
        <v>2393</v>
      </c>
      <c r="I1178" s="13" t="s">
        <v>23</v>
      </c>
      <c r="J1178" s="13" t="s">
        <v>1917</v>
      </c>
      <c r="K1178" s="13" t="s">
        <v>1542</v>
      </c>
      <c r="L1178" s="13" t="s">
        <v>100</v>
      </c>
      <c r="M1178" s="13" t="s">
        <v>27</v>
      </c>
      <c r="N1178" s="14">
        <v>172.5</v>
      </c>
      <c r="O1178" s="14">
        <v>172.39</v>
      </c>
      <c r="P1178" s="13">
        <v>2.0</v>
      </c>
      <c r="Q1178" s="14">
        <f t="shared" si="3"/>
        <v>345</v>
      </c>
      <c r="R1178" s="14">
        <f t="shared" si="4"/>
        <v>172.61</v>
      </c>
      <c r="S1178" s="14">
        <f t="shared" si="5"/>
        <v>172.39</v>
      </c>
    </row>
    <row r="1179">
      <c r="A1179" s="12">
        <v>42747.0</v>
      </c>
      <c r="B1179" s="12" t="s">
        <v>2353</v>
      </c>
      <c r="C1179" s="2">
        <v>42867.0</v>
      </c>
      <c r="D1179" s="15" t="str">
        <f t="shared" si="1"/>
        <v>May</v>
      </c>
      <c r="E1179" s="2" t="str">
        <f t="shared" si="2"/>
        <v>2017</v>
      </c>
      <c r="F1179" s="13" t="s">
        <v>41</v>
      </c>
      <c r="G1179" s="13" t="s">
        <v>2392</v>
      </c>
      <c r="H1179" s="13" t="s">
        <v>2393</v>
      </c>
      <c r="I1179" s="13" t="s">
        <v>23</v>
      </c>
      <c r="J1179" s="13" t="s">
        <v>1917</v>
      </c>
      <c r="K1179" s="13" t="s">
        <v>1542</v>
      </c>
      <c r="L1179" s="13" t="s">
        <v>100</v>
      </c>
      <c r="M1179" s="13" t="s">
        <v>51</v>
      </c>
      <c r="N1179" s="14">
        <v>179.97</v>
      </c>
      <c r="O1179" s="14">
        <v>179.22</v>
      </c>
      <c r="P1179" s="13">
        <v>2.0</v>
      </c>
      <c r="Q1179" s="14">
        <f t="shared" si="3"/>
        <v>359.94</v>
      </c>
      <c r="R1179" s="14">
        <f t="shared" si="4"/>
        <v>180.72</v>
      </c>
      <c r="S1179" s="14">
        <f t="shared" si="5"/>
        <v>179.22</v>
      </c>
    </row>
    <row r="1180">
      <c r="A1180" s="12">
        <v>42849.0</v>
      </c>
      <c r="B1180" s="12" t="s">
        <v>2332</v>
      </c>
      <c r="C1180" s="2">
        <v>42852.0</v>
      </c>
      <c r="D1180" s="15" t="str">
        <f t="shared" si="1"/>
        <v>Apr</v>
      </c>
      <c r="E1180" s="2" t="str">
        <f t="shared" si="2"/>
        <v>2017</v>
      </c>
      <c r="F1180" s="13" t="s">
        <v>20</v>
      </c>
      <c r="G1180" s="13" t="s">
        <v>2896</v>
      </c>
      <c r="H1180" s="13" t="s">
        <v>2424</v>
      </c>
      <c r="I1180" s="13" t="s">
        <v>68</v>
      </c>
      <c r="J1180" s="13" t="s">
        <v>129</v>
      </c>
      <c r="K1180" s="13" t="s">
        <v>70</v>
      </c>
      <c r="L1180" s="13" t="s">
        <v>71</v>
      </c>
      <c r="M1180" s="13" t="s">
        <v>51</v>
      </c>
      <c r="N1180" s="14">
        <v>258.696</v>
      </c>
      <c r="O1180" s="14">
        <v>257.79</v>
      </c>
      <c r="P1180" s="13">
        <v>7.0</v>
      </c>
      <c r="Q1180" s="14">
        <f t="shared" si="3"/>
        <v>1810.872</v>
      </c>
      <c r="R1180" s="14">
        <f t="shared" si="4"/>
        <v>1553.082</v>
      </c>
      <c r="S1180" s="14">
        <f t="shared" si="5"/>
        <v>257.79</v>
      </c>
    </row>
    <row r="1181">
      <c r="A1181" s="12">
        <v>42176.0</v>
      </c>
      <c r="B1181" s="12" t="s">
        <v>2374</v>
      </c>
      <c r="C1181" s="2">
        <v>42180.0</v>
      </c>
      <c r="D1181" s="15" t="str">
        <f t="shared" si="1"/>
        <v>Jun</v>
      </c>
      <c r="E1181" s="2" t="str">
        <f t="shared" si="2"/>
        <v>2015</v>
      </c>
      <c r="F1181" s="13" t="s">
        <v>41</v>
      </c>
      <c r="G1181" s="13" t="s">
        <v>2432</v>
      </c>
      <c r="H1181" s="13" t="s">
        <v>2464</v>
      </c>
      <c r="I1181" s="13" t="s">
        <v>23</v>
      </c>
      <c r="J1181" s="13" t="s">
        <v>623</v>
      </c>
      <c r="K1181" s="13" t="s">
        <v>462</v>
      </c>
      <c r="L1181" s="13" t="s">
        <v>100</v>
      </c>
      <c r="M1181" s="13" t="s">
        <v>51</v>
      </c>
      <c r="N1181" s="14">
        <v>1322.93</v>
      </c>
      <c r="O1181" s="14">
        <v>1322.42</v>
      </c>
      <c r="P1181" s="13">
        <v>8.0</v>
      </c>
      <c r="Q1181" s="14">
        <f t="shared" si="3"/>
        <v>10583.44</v>
      </c>
      <c r="R1181" s="14">
        <f t="shared" si="4"/>
        <v>9261.02</v>
      </c>
      <c r="S1181" s="14">
        <f t="shared" si="5"/>
        <v>1322.42</v>
      </c>
    </row>
    <row r="1182">
      <c r="A1182" s="12">
        <v>42176.0</v>
      </c>
      <c r="B1182" s="12" t="s">
        <v>2374</v>
      </c>
      <c r="C1182" s="2">
        <v>42180.0</v>
      </c>
      <c r="D1182" s="15" t="str">
        <f t="shared" si="1"/>
        <v>Jun</v>
      </c>
      <c r="E1182" s="2" t="str">
        <f t="shared" si="2"/>
        <v>2015</v>
      </c>
      <c r="F1182" s="13" t="s">
        <v>41</v>
      </c>
      <c r="G1182" s="13" t="s">
        <v>2432</v>
      </c>
      <c r="H1182" s="13" t="s">
        <v>2464</v>
      </c>
      <c r="I1182" s="13" t="s">
        <v>23</v>
      </c>
      <c r="J1182" s="13" t="s">
        <v>623</v>
      </c>
      <c r="K1182" s="13" t="s">
        <v>462</v>
      </c>
      <c r="L1182" s="13" t="s">
        <v>100</v>
      </c>
      <c r="M1182" s="13" t="s">
        <v>38</v>
      </c>
      <c r="N1182" s="14">
        <v>3.76</v>
      </c>
      <c r="O1182" s="14">
        <v>3.22</v>
      </c>
      <c r="P1182" s="13">
        <v>8.0</v>
      </c>
      <c r="Q1182" s="14">
        <f t="shared" si="3"/>
        <v>30.08</v>
      </c>
      <c r="R1182" s="14">
        <f t="shared" si="4"/>
        <v>26.86</v>
      </c>
      <c r="S1182" s="14">
        <f t="shared" si="5"/>
        <v>3.22</v>
      </c>
    </row>
    <row r="1183">
      <c r="A1183" s="12">
        <v>43114.0</v>
      </c>
      <c r="B1183" s="12" t="s">
        <v>2353</v>
      </c>
      <c r="C1183" s="2">
        <v>43115.0</v>
      </c>
      <c r="D1183" s="15" t="str">
        <f t="shared" si="1"/>
        <v>Jan</v>
      </c>
      <c r="E1183" s="2" t="str">
        <f t="shared" si="2"/>
        <v>2018</v>
      </c>
      <c r="F1183" s="13" t="s">
        <v>121</v>
      </c>
      <c r="G1183" s="13" t="s">
        <v>2661</v>
      </c>
      <c r="H1183" s="13" t="s">
        <v>2735</v>
      </c>
      <c r="I1183" s="13" t="s">
        <v>23</v>
      </c>
      <c r="J1183" s="13" t="s">
        <v>849</v>
      </c>
      <c r="K1183" s="13" t="s">
        <v>58</v>
      </c>
      <c r="L1183" s="13" t="s">
        <v>26</v>
      </c>
      <c r="M1183" s="13" t="s">
        <v>38</v>
      </c>
      <c r="N1183" s="14">
        <v>21.744</v>
      </c>
      <c r="O1183" s="14">
        <v>21.04</v>
      </c>
      <c r="P1183" s="13">
        <v>2.0</v>
      </c>
      <c r="Q1183" s="14">
        <f t="shared" si="3"/>
        <v>43.488</v>
      </c>
      <c r="R1183" s="14">
        <f t="shared" si="4"/>
        <v>22.448</v>
      </c>
      <c r="S1183" s="14">
        <f t="shared" si="5"/>
        <v>21.04</v>
      </c>
    </row>
    <row r="1184">
      <c r="A1184" s="12">
        <v>43114.0</v>
      </c>
      <c r="B1184" s="12" t="s">
        <v>2353</v>
      </c>
      <c r="C1184" s="2">
        <v>43115.0</v>
      </c>
      <c r="D1184" s="15" t="str">
        <f t="shared" si="1"/>
        <v>Jan</v>
      </c>
      <c r="E1184" s="2" t="str">
        <f t="shared" si="2"/>
        <v>2018</v>
      </c>
      <c r="F1184" s="13" t="s">
        <v>121</v>
      </c>
      <c r="G1184" s="13" t="s">
        <v>2661</v>
      </c>
      <c r="H1184" s="13" t="s">
        <v>2735</v>
      </c>
      <c r="I1184" s="13" t="s">
        <v>23</v>
      </c>
      <c r="J1184" s="13" t="s">
        <v>849</v>
      </c>
      <c r="K1184" s="13" t="s">
        <v>58</v>
      </c>
      <c r="L1184" s="13" t="s">
        <v>26</v>
      </c>
      <c r="M1184" s="13" t="s">
        <v>51</v>
      </c>
      <c r="N1184" s="14">
        <v>7.92</v>
      </c>
      <c r="O1184" s="14">
        <v>7.42</v>
      </c>
      <c r="P1184" s="13">
        <v>2.0</v>
      </c>
      <c r="Q1184" s="14">
        <f t="shared" si="3"/>
        <v>15.84</v>
      </c>
      <c r="R1184" s="14">
        <f t="shared" si="4"/>
        <v>8.42</v>
      </c>
      <c r="S1184" s="14">
        <f t="shared" si="5"/>
        <v>7.42</v>
      </c>
    </row>
    <row r="1185">
      <c r="A1185" s="12">
        <v>42332.0</v>
      </c>
      <c r="B1185" s="12" t="s">
        <v>2326</v>
      </c>
      <c r="C1185" s="2">
        <v>42338.0</v>
      </c>
      <c r="D1185" s="15" t="str">
        <f t="shared" si="1"/>
        <v>Nov</v>
      </c>
      <c r="E1185" s="2" t="str">
        <f t="shared" si="2"/>
        <v>2015</v>
      </c>
      <c r="F1185" s="13" t="s">
        <v>41</v>
      </c>
      <c r="G1185" s="13" t="s">
        <v>2338</v>
      </c>
      <c r="H1185" s="13" t="s">
        <v>2429</v>
      </c>
      <c r="I1185" s="13" t="s">
        <v>34</v>
      </c>
      <c r="J1185" s="13" t="s">
        <v>62</v>
      </c>
      <c r="K1185" s="13" t="s">
        <v>63</v>
      </c>
      <c r="L1185" s="13" t="s">
        <v>37</v>
      </c>
      <c r="M1185" s="13" t="s">
        <v>38</v>
      </c>
      <c r="N1185" s="14">
        <v>12.096</v>
      </c>
      <c r="O1185" s="14">
        <v>11.47</v>
      </c>
      <c r="P1185" s="13">
        <v>9.0</v>
      </c>
      <c r="Q1185" s="14">
        <f t="shared" si="3"/>
        <v>108.864</v>
      </c>
      <c r="R1185" s="14">
        <f t="shared" si="4"/>
        <v>97.394</v>
      </c>
      <c r="S1185" s="14">
        <f t="shared" si="5"/>
        <v>11.47</v>
      </c>
    </row>
    <row r="1186">
      <c r="A1186" s="12">
        <v>42332.0</v>
      </c>
      <c r="B1186" s="12" t="s">
        <v>2326</v>
      </c>
      <c r="C1186" s="2">
        <v>42338.0</v>
      </c>
      <c r="D1186" s="15" t="str">
        <f t="shared" si="1"/>
        <v>Nov</v>
      </c>
      <c r="E1186" s="2" t="str">
        <f t="shared" si="2"/>
        <v>2015</v>
      </c>
      <c r="F1186" s="13" t="s">
        <v>41</v>
      </c>
      <c r="G1186" s="13" t="s">
        <v>2338</v>
      </c>
      <c r="H1186" s="13" t="s">
        <v>2429</v>
      </c>
      <c r="I1186" s="13" t="s">
        <v>34</v>
      </c>
      <c r="J1186" s="13" t="s">
        <v>62</v>
      </c>
      <c r="K1186" s="13" t="s">
        <v>63</v>
      </c>
      <c r="L1186" s="13" t="s">
        <v>37</v>
      </c>
      <c r="M1186" s="13" t="s">
        <v>38</v>
      </c>
      <c r="N1186" s="14">
        <v>485.88</v>
      </c>
      <c r="O1186" s="14">
        <v>485.56</v>
      </c>
      <c r="P1186" s="13">
        <v>9.0</v>
      </c>
      <c r="Q1186" s="14">
        <f t="shared" si="3"/>
        <v>4372.92</v>
      </c>
      <c r="R1186" s="14">
        <f t="shared" si="4"/>
        <v>3887.36</v>
      </c>
      <c r="S1186" s="14">
        <f t="shared" si="5"/>
        <v>485.56</v>
      </c>
    </row>
    <row r="1187">
      <c r="A1187" s="12">
        <v>42332.0</v>
      </c>
      <c r="B1187" s="12" t="s">
        <v>2326</v>
      </c>
      <c r="C1187" s="2">
        <v>42338.0</v>
      </c>
      <c r="D1187" s="15" t="str">
        <f t="shared" si="1"/>
        <v>Nov</v>
      </c>
      <c r="E1187" s="2" t="str">
        <f t="shared" si="2"/>
        <v>2015</v>
      </c>
      <c r="F1187" s="13" t="s">
        <v>41</v>
      </c>
      <c r="G1187" s="13" t="s">
        <v>2338</v>
      </c>
      <c r="H1187" s="13" t="s">
        <v>2429</v>
      </c>
      <c r="I1187" s="13" t="s">
        <v>34</v>
      </c>
      <c r="J1187" s="13" t="s">
        <v>62</v>
      </c>
      <c r="K1187" s="13" t="s">
        <v>63</v>
      </c>
      <c r="L1187" s="13" t="s">
        <v>37</v>
      </c>
      <c r="M1187" s="13" t="s">
        <v>38</v>
      </c>
      <c r="N1187" s="14">
        <v>25.92</v>
      </c>
      <c r="O1187" s="14">
        <v>25.58</v>
      </c>
      <c r="P1187" s="13">
        <v>9.0</v>
      </c>
      <c r="Q1187" s="14">
        <f t="shared" si="3"/>
        <v>233.28</v>
      </c>
      <c r="R1187" s="14">
        <f t="shared" si="4"/>
        <v>207.7</v>
      </c>
      <c r="S1187" s="14">
        <f t="shared" si="5"/>
        <v>25.58</v>
      </c>
    </row>
    <row r="1188">
      <c r="A1188" s="12">
        <v>42332.0</v>
      </c>
      <c r="B1188" s="12" t="s">
        <v>2326</v>
      </c>
      <c r="C1188" s="2">
        <v>42338.0</v>
      </c>
      <c r="D1188" s="15" t="str">
        <f t="shared" si="1"/>
        <v>Nov</v>
      </c>
      <c r="E1188" s="2" t="str">
        <f t="shared" si="2"/>
        <v>2015</v>
      </c>
      <c r="F1188" s="13" t="s">
        <v>41</v>
      </c>
      <c r="G1188" s="13" t="s">
        <v>2338</v>
      </c>
      <c r="H1188" s="13" t="s">
        <v>2429</v>
      </c>
      <c r="I1188" s="13" t="s">
        <v>34</v>
      </c>
      <c r="J1188" s="13" t="s">
        <v>62</v>
      </c>
      <c r="K1188" s="13" t="s">
        <v>63</v>
      </c>
      <c r="L1188" s="13" t="s">
        <v>37</v>
      </c>
      <c r="M1188" s="13" t="s">
        <v>38</v>
      </c>
      <c r="N1188" s="14">
        <v>197.58</v>
      </c>
      <c r="O1188" s="14">
        <v>197.53</v>
      </c>
      <c r="P1188" s="13">
        <v>9.0</v>
      </c>
      <c r="Q1188" s="14">
        <f t="shared" si="3"/>
        <v>1778.22</v>
      </c>
      <c r="R1188" s="14">
        <f t="shared" si="4"/>
        <v>1580.69</v>
      </c>
      <c r="S1188" s="14">
        <f t="shared" si="5"/>
        <v>197.53</v>
      </c>
    </row>
    <row r="1189">
      <c r="A1189" s="12">
        <v>43157.0</v>
      </c>
      <c r="B1189" s="12" t="s">
        <v>2431</v>
      </c>
      <c r="C1189" s="2">
        <v>43159.0</v>
      </c>
      <c r="D1189" s="15" t="str">
        <f t="shared" si="1"/>
        <v>Feb</v>
      </c>
      <c r="E1189" s="2" t="str">
        <f t="shared" si="2"/>
        <v>2018</v>
      </c>
      <c r="F1189" s="13" t="s">
        <v>20</v>
      </c>
      <c r="G1189" s="13" t="s">
        <v>2652</v>
      </c>
      <c r="H1189" s="13" t="s">
        <v>2897</v>
      </c>
      <c r="I1189" s="13" t="s">
        <v>68</v>
      </c>
      <c r="J1189" s="13" t="s">
        <v>35</v>
      </c>
      <c r="K1189" s="13" t="s">
        <v>52</v>
      </c>
      <c r="L1189" s="13" t="s">
        <v>37</v>
      </c>
      <c r="M1189" s="13" t="s">
        <v>38</v>
      </c>
      <c r="N1189" s="14">
        <v>81.92</v>
      </c>
      <c r="O1189" s="14">
        <v>81.69</v>
      </c>
      <c r="P1189" s="13">
        <v>9.0</v>
      </c>
      <c r="Q1189" s="14">
        <f t="shared" si="3"/>
        <v>737.28</v>
      </c>
      <c r="R1189" s="14">
        <f t="shared" si="4"/>
        <v>655.59</v>
      </c>
      <c r="S1189" s="14">
        <f t="shared" si="5"/>
        <v>81.69</v>
      </c>
    </row>
    <row r="1190">
      <c r="A1190" s="12">
        <v>43157.0</v>
      </c>
      <c r="B1190" s="12" t="s">
        <v>2431</v>
      </c>
      <c r="C1190" s="2">
        <v>43159.0</v>
      </c>
      <c r="D1190" s="15" t="str">
        <f t="shared" si="1"/>
        <v>Feb</v>
      </c>
      <c r="E1190" s="2" t="str">
        <f t="shared" si="2"/>
        <v>2018</v>
      </c>
      <c r="F1190" s="13" t="s">
        <v>20</v>
      </c>
      <c r="G1190" s="13" t="s">
        <v>2652</v>
      </c>
      <c r="H1190" s="13" t="s">
        <v>2897</v>
      </c>
      <c r="I1190" s="13" t="s">
        <v>68</v>
      </c>
      <c r="J1190" s="13" t="s">
        <v>35</v>
      </c>
      <c r="K1190" s="13" t="s">
        <v>52</v>
      </c>
      <c r="L1190" s="13" t="s">
        <v>37</v>
      </c>
      <c r="M1190" s="13" t="s">
        <v>51</v>
      </c>
      <c r="N1190" s="14">
        <v>889.536</v>
      </c>
      <c r="O1190" s="14">
        <v>889.08</v>
      </c>
      <c r="P1190" s="13">
        <v>9.0</v>
      </c>
      <c r="Q1190" s="14">
        <f t="shared" si="3"/>
        <v>8005.824</v>
      </c>
      <c r="R1190" s="14">
        <f t="shared" si="4"/>
        <v>7116.744</v>
      </c>
      <c r="S1190" s="14">
        <f t="shared" si="5"/>
        <v>889.08</v>
      </c>
    </row>
    <row r="1191">
      <c r="A1191" s="12">
        <v>43157.0</v>
      </c>
      <c r="B1191" s="12" t="s">
        <v>2431</v>
      </c>
      <c r="C1191" s="2">
        <v>43159.0</v>
      </c>
      <c r="D1191" s="15" t="str">
        <f t="shared" si="1"/>
        <v>Feb</v>
      </c>
      <c r="E1191" s="2" t="str">
        <f t="shared" si="2"/>
        <v>2018</v>
      </c>
      <c r="F1191" s="13" t="s">
        <v>20</v>
      </c>
      <c r="G1191" s="13" t="s">
        <v>2652</v>
      </c>
      <c r="H1191" s="13" t="s">
        <v>2897</v>
      </c>
      <c r="I1191" s="13" t="s">
        <v>68</v>
      </c>
      <c r="J1191" s="13" t="s">
        <v>35</v>
      </c>
      <c r="K1191" s="13" t="s">
        <v>52</v>
      </c>
      <c r="L1191" s="13" t="s">
        <v>37</v>
      </c>
      <c r="M1191" s="13" t="s">
        <v>27</v>
      </c>
      <c r="N1191" s="14">
        <v>892.224</v>
      </c>
      <c r="O1191" s="14">
        <v>891.53</v>
      </c>
      <c r="P1191" s="13">
        <v>9.0</v>
      </c>
      <c r="Q1191" s="14">
        <f t="shared" si="3"/>
        <v>8030.016</v>
      </c>
      <c r="R1191" s="14">
        <f t="shared" si="4"/>
        <v>7138.486</v>
      </c>
      <c r="S1191" s="14">
        <f t="shared" si="5"/>
        <v>891.53</v>
      </c>
    </row>
    <row r="1192">
      <c r="A1192" s="12">
        <v>43157.0</v>
      </c>
      <c r="B1192" s="12" t="s">
        <v>2431</v>
      </c>
      <c r="C1192" s="2">
        <v>43159.0</v>
      </c>
      <c r="D1192" s="15" t="str">
        <f t="shared" si="1"/>
        <v>Feb</v>
      </c>
      <c r="E1192" s="2" t="str">
        <f t="shared" si="2"/>
        <v>2018</v>
      </c>
      <c r="F1192" s="13" t="s">
        <v>20</v>
      </c>
      <c r="G1192" s="13" t="s">
        <v>2652</v>
      </c>
      <c r="H1192" s="13" t="s">
        <v>2897</v>
      </c>
      <c r="I1192" s="13" t="s">
        <v>68</v>
      </c>
      <c r="J1192" s="13" t="s">
        <v>35</v>
      </c>
      <c r="K1192" s="13" t="s">
        <v>52</v>
      </c>
      <c r="L1192" s="13" t="s">
        <v>37</v>
      </c>
      <c r="M1192" s="13" t="s">
        <v>38</v>
      </c>
      <c r="N1192" s="14">
        <v>223.92</v>
      </c>
      <c r="O1192" s="14">
        <v>223.32</v>
      </c>
      <c r="P1192" s="13">
        <v>9.0</v>
      </c>
      <c r="Q1192" s="14">
        <f t="shared" si="3"/>
        <v>2015.28</v>
      </c>
      <c r="R1192" s="14">
        <f t="shared" si="4"/>
        <v>1791.96</v>
      </c>
      <c r="S1192" s="14">
        <f t="shared" si="5"/>
        <v>223.32</v>
      </c>
    </row>
    <row r="1193">
      <c r="A1193" s="12">
        <v>43157.0</v>
      </c>
      <c r="B1193" s="12" t="s">
        <v>2431</v>
      </c>
      <c r="C1193" s="2">
        <v>43159.0</v>
      </c>
      <c r="D1193" s="15" t="str">
        <f t="shared" si="1"/>
        <v>Feb</v>
      </c>
      <c r="E1193" s="2" t="str">
        <f t="shared" si="2"/>
        <v>2018</v>
      </c>
      <c r="F1193" s="13" t="s">
        <v>20</v>
      </c>
      <c r="G1193" s="13" t="s">
        <v>2652</v>
      </c>
      <c r="H1193" s="13" t="s">
        <v>2897</v>
      </c>
      <c r="I1193" s="13" t="s">
        <v>68</v>
      </c>
      <c r="J1193" s="13" t="s">
        <v>35</v>
      </c>
      <c r="K1193" s="13" t="s">
        <v>52</v>
      </c>
      <c r="L1193" s="13" t="s">
        <v>37</v>
      </c>
      <c r="M1193" s="13" t="s">
        <v>38</v>
      </c>
      <c r="N1193" s="14">
        <v>23.12</v>
      </c>
      <c r="O1193" s="14">
        <v>22.75</v>
      </c>
      <c r="P1193" s="13">
        <v>9.0</v>
      </c>
      <c r="Q1193" s="14">
        <f t="shared" si="3"/>
        <v>208.08</v>
      </c>
      <c r="R1193" s="14">
        <f t="shared" si="4"/>
        <v>185.33</v>
      </c>
      <c r="S1193" s="14">
        <f t="shared" si="5"/>
        <v>22.75</v>
      </c>
    </row>
    <row r="1194">
      <c r="A1194" s="12">
        <v>42628.0</v>
      </c>
      <c r="B1194" s="12" t="s">
        <v>2329</v>
      </c>
      <c r="C1194" s="2">
        <v>42628.0</v>
      </c>
      <c r="D1194" s="15" t="str">
        <f t="shared" si="1"/>
        <v>Sep</v>
      </c>
      <c r="E1194" s="2" t="str">
        <f t="shared" si="2"/>
        <v>2016</v>
      </c>
      <c r="F1194" s="13" t="s">
        <v>717</v>
      </c>
      <c r="G1194" s="13" t="s">
        <v>2705</v>
      </c>
      <c r="H1194" s="13" t="s">
        <v>2706</v>
      </c>
      <c r="I1194" s="13" t="s">
        <v>34</v>
      </c>
      <c r="J1194" s="13" t="s">
        <v>1934</v>
      </c>
      <c r="K1194" s="13" t="s">
        <v>145</v>
      </c>
      <c r="L1194" s="13" t="s">
        <v>26</v>
      </c>
      <c r="M1194" s="13" t="s">
        <v>38</v>
      </c>
      <c r="N1194" s="14">
        <v>15.552</v>
      </c>
      <c r="O1194" s="14">
        <v>15.53</v>
      </c>
      <c r="P1194" s="13">
        <v>3.0</v>
      </c>
      <c r="Q1194" s="14">
        <f t="shared" si="3"/>
        <v>46.656</v>
      </c>
      <c r="R1194" s="14">
        <f t="shared" si="4"/>
        <v>31.126</v>
      </c>
      <c r="S1194" s="14">
        <f t="shared" si="5"/>
        <v>15.53</v>
      </c>
    </row>
    <row r="1195">
      <c r="A1195" s="12">
        <v>42628.0</v>
      </c>
      <c r="B1195" s="12" t="s">
        <v>2329</v>
      </c>
      <c r="C1195" s="2">
        <v>42628.0</v>
      </c>
      <c r="D1195" s="15" t="str">
        <f t="shared" si="1"/>
        <v>Sep</v>
      </c>
      <c r="E1195" s="2" t="str">
        <f t="shared" si="2"/>
        <v>2016</v>
      </c>
      <c r="F1195" s="13" t="s">
        <v>717</v>
      </c>
      <c r="G1195" s="13" t="s">
        <v>2705</v>
      </c>
      <c r="H1195" s="13" t="s">
        <v>2706</v>
      </c>
      <c r="I1195" s="13" t="s">
        <v>34</v>
      </c>
      <c r="J1195" s="13" t="s">
        <v>1934</v>
      </c>
      <c r="K1195" s="13" t="s">
        <v>145</v>
      </c>
      <c r="L1195" s="13" t="s">
        <v>26</v>
      </c>
      <c r="M1195" s="13" t="s">
        <v>27</v>
      </c>
      <c r="N1195" s="14">
        <v>15.712</v>
      </c>
      <c r="O1195" s="14">
        <v>15.71</v>
      </c>
      <c r="P1195" s="13">
        <v>3.0</v>
      </c>
      <c r="Q1195" s="14">
        <f t="shared" si="3"/>
        <v>47.136</v>
      </c>
      <c r="R1195" s="14">
        <f t="shared" si="4"/>
        <v>31.426</v>
      </c>
      <c r="S1195" s="14">
        <f t="shared" si="5"/>
        <v>15.71</v>
      </c>
    </row>
    <row r="1196">
      <c r="A1196" s="12">
        <v>42628.0</v>
      </c>
      <c r="B1196" s="12" t="s">
        <v>2329</v>
      </c>
      <c r="C1196" s="2">
        <v>42628.0</v>
      </c>
      <c r="D1196" s="15" t="str">
        <f t="shared" si="1"/>
        <v>Sep</v>
      </c>
      <c r="E1196" s="2" t="str">
        <f t="shared" si="2"/>
        <v>2016</v>
      </c>
      <c r="F1196" s="13" t="s">
        <v>717</v>
      </c>
      <c r="G1196" s="13" t="s">
        <v>2705</v>
      </c>
      <c r="H1196" s="13" t="s">
        <v>2706</v>
      </c>
      <c r="I1196" s="13" t="s">
        <v>34</v>
      </c>
      <c r="J1196" s="13" t="s">
        <v>1934</v>
      </c>
      <c r="K1196" s="13" t="s">
        <v>145</v>
      </c>
      <c r="L1196" s="13" t="s">
        <v>26</v>
      </c>
      <c r="M1196" s="13" t="s">
        <v>38</v>
      </c>
      <c r="N1196" s="14">
        <v>24.672</v>
      </c>
      <c r="O1196" s="14">
        <v>23.88</v>
      </c>
      <c r="P1196" s="13">
        <v>3.0</v>
      </c>
      <c r="Q1196" s="14">
        <f t="shared" si="3"/>
        <v>74.016</v>
      </c>
      <c r="R1196" s="14">
        <f t="shared" si="4"/>
        <v>50.136</v>
      </c>
      <c r="S1196" s="14">
        <f t="shared" si="5"/>
        <v>23.88</v>
      </c>
    </row>
    <row r="1197">
      <c r="A1197" s="12">
        <v>42628.0</v>
      </c>
      <c r="B1197" s="12" t="s">
        <v>2329</v>
      </c>
      <c r="C1197" s="2">
        <v>42628.0</v>
      </c>
      <c r="D1197" s="15" t="str">
        <f t="shared" si="1"/>
        <v>Sep</v>
      </c>
      <c r="E1197" s="2" t="str">
        <f t="shared" si="2"/>
        <v>2016</v>
      </c>
      <c r="F1197" s="13" t="s">
        <v>717</v>
      </c>
      <c r="G1197" s="13" t="s">
        <v>2705</v>
      </c>
      <c r="H1197" s="13" t="s">
        <v>2706</v>
      </c>
      <c r="I1197" s="13" t="s">
        <v>34</v>
      </c>
      <c r="J1197" s="13" t="s">
        <v>1934</v>
      </c>
      <c r="K1197" s="13" t="s">
        <v>145</v>
      </c>
      <c r="L1197" s="13" t="s">
        <v>26</v>
      </c>
      <c r="M1197" s="13" t="s">
        <v>27</v>
      </c>
      <c r="N1197" s="14">
        <v>55.968</v>
      </c>
      <c r="O1197" s="14">
        <v>55.91</v>
      </c>
      <c r="P1197" s="13">
        <v>3.0</v>
      </c>
      <c r="Q1197" s="14">
        <f t="shared" si="3"/>
        <v>167.904</v>
      </c>
      <c r="R1197" s="14">
        <f t="shared" si="4"/>
        <v>111.994</v>
      </c>
      <c r="S1197" s="14">
        <f t="shared" si="5"/>
        <v>55.91</v>
      </c>
    </row>
    <row r="1198">
      <c r="A1198" s="12">
        <v>42951.0</v>
      </c>
      <c r="B1198" s="12" t="s">
        <v>2322</v>
      </c>
      <c r="C1198" s="2">
        <v>43073.0</v>
      </c>
      <c r="D1198" s="15" t="str">
        <f t="shared" si="1"/>
        <v>Dec</v>
      </c>
      <c r="E1198" s="2" t="str">
        <f t="shared" si="2"/>
        <v>2017</v>
      </c>
      <c r="F1198" s="13" t="s">
        <v>41</v>
      </c>
      <c r="G1198" s="13" t="s">
        <v>2344</v>
      </c>
      <c r="H1198" s="13" t="s">
        <v>2689</v>
      </c>
      <c r="I1198" s="13" t="s">
        <v>23</v>
      </c>
      <c r="J1198" s="13" t="s">
        <v>129</v>
      </c>
      <c r="K1198" s="13" t="s">
        <v>70</v>
      </c>
      <c r="L1198" s="13" t="s">
        <v>71</v>
      </c>
      <c r="M1198" s="13" t="s">
        <v>51</v>
      </c>
      <c r="N1198" s="14">
        <v>431.928</v>
      </c>
      <c r="O1198" s="14">
        <v>431.21</v>
      </c>
      <c r="P1198" s="13">
        <v>7.0</v>
      </c>
      <c r="Q1198" s="14">
        <f t="shared" si="3"/>
        <v>3023.496</v>
      </c>
      <c r="R1198" s="14">
        <f t="shared" si="4"/>
        <v>2592.286</v>
      </c>
      <c r="S1198" s="14">
        <f t="shared" si="5"/>
        <v>431.21</v>
      </c>
    </row>
    <row r="1199">
      <c r="A1199" s="12">
        <v>42951.0</v>
      </c>
      <c r="B1199" s="12" t="s">
        <v>2322</v>
      </c>
      <c r="C1199" s="2">
        <v>43073.0</v>
      </c>
      <c r="D1199" s="15" t="str">
        <f t="shared" si="1"/>
        <v>Dec</v>
      </c>
      <c r="E1199" s="2" t="str">
        <f t="shared" si="2"/>
        <v>2017</v>
      </c>
      <c r="F1199" s="13" t="s">
        <v>41</v>
      </c>
      <c r="G1199" s="13" t="s">
        <v>2344</v>
      </c>
      <c r="H1199" s="13" t="s">
        <v>2689</v>
      </c>
      <c r="I1199" s="13" t="s">
        <v>23</v>
      </c>
      <c r="J1199" s="13" t="s">
        <v>129</v>
      </c>
      <c r="K1199" s="13" t="s">
        <v>70</v>
      </c>
      <c r="L1199" s="13" t="s">
        <v>71</v>
      </c>
      <c r="M1199" s="13" t="s">
        <v>27</v>
      </c>
      <c r="N1199" s="14">
        <v>95.984</v>
      </c>
      <c r="O1199" s="14">
        <v>95.48</v>
      </c>
      <c r="P1199" s="13">
        <v>7.0</v>
      </c>
      <c r="Q1199" s="14">
        <f t="shared" si="3"/>
        <v>671.888</v>
      </c>
      <c r="R1199" s="14">
        <f t="shared" si="4"/>
        <v>576.408</v>
      </c>
      <c r="S1199" s="14">
        <f t="shared" si="5"/>
        <v>95.48</v>
      </c>
    </row>
    <row r="1200">
      <c r="A1200" s="12">
        <v>42951.0</v>
      </c>
      <c r="B1200" s="12" t="s">
        <v>2322</v>
      </c>
      <c r="C1200" s="2">
        <v>43073.0</v>
      </c>
      <c r="D1200" s="15" t="str">
        <f t="shared" si="1"/>
        <v>Dec</v>
      </c>
      <c r="E1200" s="2" t="str">
        <f t="shared" si="2"/>
        <v>2017</v>
      </c>
      <c r="F1200" s="13" t="s">
        <v>41</v>
      </c>
      <c r="G1200" s="13" t="s">
        <v>2344</v>
      </c>
      <c r="H1200" s="13" t="s">
        <v>2689</v>
      </c>
      <c r="I1200" s="13" t="s">
        <v>23</v>
      </c>
      <c r="J1200" s="13" t="s">
        <v>129</v>
      </c>
      <c r="K1200" s="13" t="s">
        <v>70</v>
      </c>
      <c r="L1200" s="13" t="s">
        <v>71</v>
      </c>
      <c r="M1200" s="13" t="s">
        <v>38</v>
      </c>
      <c r="N1200" s="14">
        <v>1088.792</v>
      </c>
      <c r="O1200" s="14">
        <v>1088.07</v>
      </c>
      <c r="P1200" s="13">
        <v>7.0</v>
      </c>
      <c r="Q1200" s="14">
        <f t="shared" si="3"/>
        <v>7621.544</v>
      </c>
      <c r="R1200" s="14">
        <f t="shared" si="4"/>
        <v>6533.474</v>
      </c>
      <c r="S1200" s="14">
        <f t="shared" si="5"/>
        <v>1088.07</v>
      </c>
    </row>
    <row r="1201">
      <c r="A1201" s="12">
        <v>42934.0</v>
      </c>
      <c r="B1201" s="12" t="s">
        <v>2348</v>
      </c>
      <c r="C1201" s="2">
        <v>42940.0</v>
      </c>
      <c r="D1201" s="15" t="str">
        <f t="shared" si="1"/>
        <v>Jul</v>
      </c>
      <c r="E1201" s="2" t="str">
        <f t="shared" si="2"/>
        <v>2017</v>
      </c>
      <c r="F1201" s="13" t="s">
        <v>41</v>
      </c>
      <c r="G1201" s="13" t="s">
        <v>2365</v>
      </c>
      <c r="H1201" s="13" t="s">
        <v>2808</v>
      </c>
      <c r="I1201" s="13" t="s">
        <v>34</v>
      </c>
      <c r="J1201" s="13" t="s">
        <v>475</v>
      </c>
      <c r="K1201" s="13" t="s">
        <v>279</v>
      </c>
      <c r="L1201" s="13" t="s">
        <v>37</v>
      </c>
      <c r="M1201" s="13" t="s">
        <v>27</v>
      </c>
      <c r="N1201" s="14">
        <v>544.008</v>
      </c>
      <c r="O1201" s="14">
        <v>543.35</v>
      </c>
      <c r="P1201" s="13">
        <v>8.0</v>
      </c>
      <c r="Q1201" s="14">
        <f t="shared" si="3"/>
        <v>4352.064</v>
      </c>
      <c r="R1201" s="14">
        <f t="shared" si="4"/>
        <v>3808.714</v>
      </c>
      <c r="S1201" s="14">
        <f t="shared" si="5"/>
        <v>543.35</v>
      </c>
    </row>
    <row r="1202">
      <c r="A1202" s="12">
        <v>42934.0</v>
      </c>
      <c r="B1202" s="12" t="s">
        <v>2348</v>
      </c>
      <c r="C1202" s="2">
        <v>42940.0</v>
      </c>
      <c r="D1202" s="15" t="str">
        <f t="shared" si="1"/>
        <v>Jul</v>
      </c>
      <c r="E1202" s="2" t="str">
        <f t="shared" si="2"/>
        <v>2017</v>
      </c>
      <c r="F1202" s="13" t="s">
        <v>41</v>
      </c>
      <c r="G1202" s="13" t="s">
        <v>2365</v>
      </c>
      <c r="H1202" s="13" t="s">
        <v>2808</v>
      </c>
      <c r="I1202" s="13" t="s">
        <v>34</v>
      </c>
      <c r="J1202" s="13" t="s">
        <v>475</v>
      </c>
      <c r="K1202" s="13" t="s">
        <v>279</v>
      </c>
      <c r="L1202" s="13" t="s">
        <v>37</v>
      </c>
      <c r="M1202" s="13" t="s">
        <v>38</v>
      </c>
      <c r="N1202" s="14">
        <v>1.872</v>
      </c>
      <c r="O1202" s="14">
        <v>1.18</v>
      </c>
      <c r="P1202" s="13">
        <v>8.0</v>
      </c>
      <c r="Q1202" s="14">
        <f t="shared" si="3"/>
        <v>14.976</v>
      </c>
      <c r="R1202" s="14">
        <f t="shared" si="4"/>
        <v>13.796</v>
      </c>
      <c r="S1202" s="14">
        <f t="shared" si="5"/>
        <v>1.18</v>
      </c>
    </row>
    <row r="1203">
      <c r="A1203" s="12">
        <v>42934.0</v>
      </c>
      <c r="B1203" s="12" t="s">
        <v>2348</v>
      </c>
      <c r="C1203" s="2">
        <v>42940.0</v>
      </c>
      <c r="D1203" s="15" t="str">
        <f t="shared" si="1"/>
        <v>Jul</v>
      </c>
      <c r="E1203" s="2" t="str">
        <f t="shared" si="2"/>
        <v>2017</v>
      </c>
      <c r="F1203" s="13" t="s">
        <v>41</v>
      </c>
      <c r="G1203" s="13" t="s">
        <v>2365</v>
      </c>
      <c r="H1203" s="13" t="s">
        <v>2808</v>
      </c>
      <c r="I1203" s="13" t="s">
        <v>34</v>
      </c>
      <c r="J1203" s="13" t="s">
        <v>475</v>
      </c>
      <c r="K1203" s="13" t="s">
        <v>279</v>
      </c>
      <c r="L1203" s="13" t="s">
        <v>37</v>
      </c>
      <c r="M1203" s="13" t="s">
        <v>27</v>
      </c>
      <c r="N1203" s="14">
        <v>854.352</v>
      </c>
      <c r="O1203" s="14">
        <v>853.99</v>
      </c>
      <c r="P1203" s="13">
        <v>8.0</v>
      </c>
      <c r="Q1203" s="14">
        <f t="shared" si="3"/>
        <v>6834.816</v>
      </c>
      <c r="R1203" s="14">
        <f t="shared" si="4"/>
        <v>5980.826</v>
      </c>
      <c r="S1203" s="14">
        <f t="shared" si="5"/>
        <v>853.99</v>
      </c>
    </row>
    <row r="1204">
      <c r="A1204" s="12">
        <v>42934.0</v>
      </c>
      <c r="B1204" s="12" t="s">
        <v>2348</v>
      </c>
      <c r="C1204" s="2">
        <v>42940.0</v>
      </c>
      <c r="D1204" s="15" t="str">
        <f t="shared" si="1"/>
        <v>Jul</v>
      </c>
      <c r="E1204" s="2" t="str">
        <f t="shared" si="2"/>
        <v>2017</v>
      </c>
      <c r="F1204" s="13" t="s">
        <v>41</v>
      </c>
      <c r="G1204" s="13" t="s">
        <v>2365</v>
      </c>
      <c r="H1204" s="13" t="s">
        <v>2808</v>
      </c>
      <c r="I1204" s="13" t="s">
        <v>34</v>
      </c>
      <c r="J1204" s="13" t="s">
        <v>475</v>
      </c>
      <c r="K1204" s="13" t="s">
        <v>279</v>
      </c>
      <c r="L1204" s="13" t="s">
        <v>37</v>
      </c>
      <c r="M1204" s="13" t="s">
        <v>38</v>
      </c>
      <c r="N1204" s="14">
        <v>593.568</v>
      </c>
      <c r="O1204" s="14">
        <v>593.18</v>
      </c>
      <c r="P1204" s="13">
        <v>8.0</v>
      </c>
      <c r="Q1204" s="14">
        <f t="shared" si="3"/>
        <v>4748.544</v>
      </c>
      <c r="R1204" s="14">
        <f t="shared" si="4"/>
        <v>4155.364</v>
      </c>
      <c r="S1204" s="14">
        <f t="shared" si="5"/>
        <v>593.18</v>
      </c>
    </row>
    <row r="1205">
      <c r="A1205" s="12">
        <v>42934.0</v>
      </c>
      <c r="B1205" s="12" t="s">
        <v>2348</v>
      </c>
      <c r="C1205" s="2">
        <v>42940.0</v>
      </c>
      <c r="D1205" s="15" t="str">
        <f t="shared" si="1"/>
        <v>Jul</v>
      </c>
      <c r="E1205" s="2" t="str">
        <f t="shared" si="2"/>
        <v>2017</v>
      </c>
      <c r="F1205" s="13" t="s">
        <v>41</v>
      </c>
      <c r="G1205" s="13" t="s">
        <v>2365</v>
      </c>
      <c r="H1205" s="13" t="s">
        <v>2808</v>
      </c>
      <c r="I1205" s="13" t="s">
        <v>34</v>
      </c>
      <c r="J1205" s="13" t="s">
        <v>475</v>
      </c>
      <c r="K1205" s="13" t="s">
        <v>279</v>
      </c>
      <c r="L1205" s="13" t="s">
        <v>37</v>
      </c>
      <c r="M1205" s="13" t="s">
        <v>38</v>
      </c>
      <c r="N1205" s="14">
        <v>338.04</v>
      </c>
      <c r="O1205" s="14">
        <v>337.21</v>
      </c>
      <c r="P1205" s="13">
        <v>8.0</v>
      </c>
      <c r="Q1205" s="14">
        <f t="shared" si="3"/>
        <v>2704.32</v>
      </c>
      <c r="R1205" s="14">
        <f t="shared" si="4"/>
        <v>2367.11</v>
      </c>
      <c r="S1205" s="14">
        <f t="shared" si="5"/>
        <v>337.21</v>
      </c>
    </row>
    <row r="1206">
      <c r="A1206" s="12">
        <v>43108.0</v>
      </c>
      <c r="B1206" s="12" t="s">
        <v>2353</v>
      </c>
      <c r="C1206" s="2">
        <v>43198.0</v>
      </c>
      <c r="D1206" s="15" t="str">
        <f t="shared" si="1"/>
        <v>Apr</v>
      </c>
      <c r="E1206" s="2" t="str">
        <f t="shared" si="2"/>
        <v>2018</v>
      </c>
      <c r="F1206" s="13" t="s">
        <v>121</v>
      </c>
      <c r="G1206" s="13" t="s">
        <v>2891</v>
      </c>
      <c r="H1206" s="13" t="s">
        <v>2835</v>
      </c>
      <c r="I1206" s="13" t="s">
        <v>23</v>
      </c>
      <c r="J1206" s="13" t="s">
        <v>284</v>
      </c>
      <c r="K1206" s="13" t="s">
        <v>58</v>
      </c>
      <c r="L1206" s="13" t="s">
        <v>26</v>
      </c>
      <c r="M1206" s="13" t="s">
        <v>51</v>
      </c>
      <c r="N1206" s="14">
        <v>271.96</v>
      </c>
      <c r="O1206" s="14">
        <v>271.26</v>
      </c>
      <c r="P1206" s="13">
        <v>2.0</v>
      </c>
      <c r="Q1206" s="14">
        <f t="shared" si="3"/>
        <v>543.92</v>
      </c>
      <c r="R1206" s="14">
        <f t="shared" si="4"/>
        <v>272.66</v>
      </c>
      <c r="S1206" s="14">
        <f t="shared" si="5"/>
        <v>271.26</v>
      </c>
    </row>
    <row r="1207">
      <c r="A1207" s="12">
        <v>42930.0</v>
      </c>
      <c r="B1207" s="12" t="s">
        <v>2348</v>
      </c>
      <c r="C1207" s="2">
        <v>42934.0</v>
      </c>
      <c r="D1207" s="15" t="str">
        <f t="shared" si="1"/>
        <v>Jul</v>
      </c>
      <c r="E1207" s="2" t="str">
        <f t="shared" si="2"/>
        <v>2017</v>
      </c>
      <c r="F1207" s="13" t="s">
        <v>20</v>
      </c>
      <c r="G1207" s="13" t="s">
        <v>2436</v>
      </c>
      <c r="H1207" s="13" t="s">
        <v>2898</v>
      </c>
      <c r="I1207" s="13" t="s">
        <v>34</v>
      </c>
      <c r="J1207" s="13" t="s">
        <v>174</v>
      </c>
      <c r="K1207" s="13" t="s">
        <v>175</v>
      </c>
      <c r="L1207" s="13" t="s">
        <v>100</v>
      </c>
      <c r="M1207" s="13" t="s">
        <v>38</v>
      </c>
      <c r="N1207" s="14">
        <v>11.21</v>
      </c>
      <c r="O1207" s="14">
        <v>10.64</v>
      </c>
      <c r="P1207" s="13">
        <v>1.0</v>
      </c>
      <c r="Q1207" s="14">
        <f t="shared" si="3"/>
        <v>11.21</v>
      </c>
      <c r="R1207" s="14">
        <f t="shared" si="4"/>
        <v>0.57</v>
      </c>
      <c r="S1207" s="14">
        <f t="shared" si="5"/>
        <v>10.64</v>
      </c>
    </row>
    <row r="1208">
      <c r="A1208" s="12">
        <v>42930.0</v>
      </c>
      <c r="B1208" s="12" t="s">
        <v>2348</v>
      </c>
      <c r="C1208" s="2">
        <v>42934.0</v>
      </c>
      <c r="D1208" s="15" t="str">
        <f t="shared" si="1"/>
        <v>Jul</v>
      </c>
      <c r="E1208" s="2" t="str">
        <f t="shared" si="2"/>
        <v>2017</v>
      </c>
      <c r="F1208" s="13" t="s">
        <v>20</v>
      </c>
      <c r="G1208" s="13" t="s">
        <v>2436</v>
      </c>
      <c r="H1208" s="13" t="s">
        <v>2898</v>
      </c>
      <c r="I1208" s="13" t="s">
        <v>34</v>
      </c>
      <c r="J1208" s="13" t="s">
        <v>174</v>
      </c>
      <c r="K1208" s="13" t="s">
        <v>175</v>
      </c>
      <c r="L1208" s="13" t="s">
        <v>100</v>
      </c>
      <c r="M1208" s="13" t="s">
        <v>38</v>
      </c>
      <c r="N1208" s="14">
        <v>9.144</v>
      </c>
      <c r="O1208" s="14">
        <v>8.57</v>
      </c>
      <c r="P1208" s="13">
        <v>1.0</v>
      </c>
      <c r="Q1208" s="14">
        <f t="shared" si="3"/>
        <v>9.144</v>
      </c>
      <c r="R1208" s="14">
        <f t="shared" si="4"/>
        <v>0.574</v>
      </c>
      <c r="S1208" s="14">
        <f t="shared" si="5"/>
        <v>8.57</v>
      </c>
    </row>
    <row r="1209">
      <c r="A1209" s="12">
        <v>42930.0</v>
      </c>
      <c r="B1209" s="12" t="s">
        <v>2348</v>
      </c>
      <c r="C1209" s="2">
        <v>42934.0</v>
      </c>
      <c r="D1209" s="15" t="str">
        <f t="shared" si="1"/>
        <v>Jul</v>
      </c>
      <c r="E1209" s="2" t="str">
        <f t="shared" si="2"/>
        <v>2017</v>
      </c>
      <c r="F1209" s="13" t="s">
        <v>20</v>
      </c>
      <c r="G1209" s="13" t="s">
        <v>2436</v>
      </c>
      <c r="H1209" s="13" t="s">
        <v>2898</v>
      </c>
      <c r="I1209" s="13" t="s">
        <v>34</v>
      </c>
      <c r="J1209" s="13" t="s">
        <v>174</v>
      </c>
      <c r="K1209" s="13" t="s">
        <v>175</v>
      </c>
      <c r="L1209" s="13" t="s">
        <v>100</v>
      </c>
      <c r="M1209" s="13" t="s">
        <v>38</v>
      </c>
      <c r="N1209" s="14">
        <v>14.07</v>
      </c>
      <c r="O1209" s="14">
        <v>13.85</v>
      </c>
      <c r="P1209" s="13">
        <v>1.0</v>
      </c>
      <c r="Q1209" s="14">
        <f t="shared" si="3"/>
        <v>14.07</v>
      </c>
      <c r="R1209" s="14">
        <f t="shared" si="4"/>
        <v>0.22</v>
      </c>
      <c r="S1209" s="14">
        <f t="shared" si="5"/>
        <v>13.85</v>
      </c>
    </row>
    <row r="1210">
      <c r="A1210" s="12">
        <v>42930.0</v>
      </c>
      <c r="B1210" s="12" t="s">
        <v>2348</v>
      </c>
      <c r="C1210" s="2">
        <v>42934.0</v>
      </c>
      <c r="D1210" s="15" t="str">
        <f t="shared" si="1"/>
        <v>Jul</v>
      </c>
      <c r="E1210" s="2" t="str">
        <f t="shared" si="2"/>
        <v>2017</v>
      </c>
      <c r="F1210" s="13" t="s">
        <v>20</v>
      </c>
      <c r="G1210" s="13" t="s">
        <v>2436</v>
      </c>
      <c r="H1210" s="13" t="s">
        <v>2898</v>
      </c>
      <c r="I1210" s="13" t="s">
        <v>34</v>
      </c>
      <c r="J1210" s="13" t="s">
        <v>174</v>
      </c>
      <c r="K1210" s="13" t="s">
        <v>175</v>
      </c>
      <c r="L1210" s="13" t="s">
        <v>100</v>
      </c>
      <c r="M1210" s="13" t="s">
        <v>38</v>
      </c>
      <c r="N1210" s="14">
        <v>41.86</v>
      </c>
      <c r="O1210" s="14">
        <v>41.19</v>
      </c>
      <c r="P1210" s="13">
        <v>1.0</v>
      </c>
      <c r="Q1210" s="14">
        <f t="shared" si="3"/>
        <v>41.86</v>
      </c>
      <c r="R1210" s="14">
        <f t="shared" si="4"/>
        <v>0.67</v>
      </c>
      <c r="S1210" s="14">
        <f t="shared" si="5"/>
        <v>41.19</v>
      </c>
    </row>
    <row r="1211">
      <c r="A1211" s="12">
        <v>42930.0</v>
      </c>
      <c r="B1211" s="12" t="s">
        <v>2348</v>
      </c>
      <c r="C1211" s="2">
        <v>42934.0</v>
      </c>
      <c r="D1211" s="15" t="str">
        <f t="shared" si="1"/>
        <v>Jul</v>
      </c>
      <c r="E1211" s="2" t="str">
        <f t="shared" si="2"/>
        <v>2017</v>
      </c>
      <c r="F1211" s="13" t="s">
        <v>20</v>
      </c>
      <c r="G1211" s="13" t="s">
        <v>2436</v>
      </c>
      <c r="H1211" s="13" t="s">
        <v>2898</v>
      </c>
      <c r="I1211" s="13" t="s">
        <v>34</v>
      </c>
      <c r="J1211" s="13" t="s">
        <v>174</v>
      </c>
      <c r="K1211" s="13" t="s">
        <v>175</v>
      </c>
      <c r="L1211" s="13" t="s">
        <v>100</v>
      </c>
      <c r="M1211" s="13" t="s">
        <v>38</v>
      </c>
      <c r="N1211" s="14">
        <v>8.544</v>
      </c>
      <c r="O1211" s="14">
        <v>8.39</v>
      </c>
      <c r="P1211" s="13">
        <v>1.0</v>
      </c>
      <c r="Q1211" s="14">
        <f t="shared" si="3"/>
        <v>8.544</v>
      </c>
      <c r="R1211" s="14">
        <f t="shared" si="4"/>
        <v>0.154</v>
      </c>
      <c r="S1211" s="14">
        <f t="shared" si="5"/>
        <v>8.39</v>
      </c>
    </row>
    <row r="1212">
      <c r="A1212" s="12">
        <v>42930.0</v>
      </c>
      <c r="B1212" s="12" t="s">
        <v>2348</v>
      </c>
      <c r="C1212" s="2">
        <v>42934.0</v>
      </c>
      <c r="D1212" s="15" t="str">
        <f t="shared" si="1"/>
        <v>Jul</v>
      </c>
      <c r="E1212" s="2" t="str">
        <f t="shared" si="2"/>
        <v>2017</v>
      </c>
      <c r="F1212" s="13" t="s">
        <v>20</v>
      </c>
      <c r="G1212" s="13" t="s">
        <v>2436</v>
      </c>
      <c r="H1212" s="13" t="s">
        <v>2898</v>
      </c>
      <c r="I1212" s="13" t="s">
        <v>34</v>
      </c>
      <c r="J1212" s="13" t="s">
        <v>174</v>
      </c>
      <c r="K1212" s="13" t="s">
        <v>175</v>
      </c>
      <c r="L1212" s="13" t="s">
        <v>100</v>
      </c>
      <c r="M1212" s="13" t="s">
        <v>27</v>
      </c>
      <c r="N1212" s="14">
        <v>579.136</v>
      </c>
      <c r="O1212" s="14">
        <v>578.55</v>
      </c>
      <c r="P1212" s="13">
        <v>1.0</v>
      </c>
      <c r="Q1212" s="14">
        <f t="shared" si="3"/>
        <v>579.136</v>
      </c>
      <c r="R1212" s="14">
        <f t="shared" si="4"/>
        <v>0.586</v>
      </c>
      <c r="S1212" s="14">
        <f t="shared" si="5"/>
        <v>578.55</v>
      </c>
    </row>
    <row r="1213">
      <c r="A1213" s="12">
        <v>43352.0</v>
      </c>
      <c r="B1213" s="12" t="s">
        <v>2329</v>
      </c>
      <c r="C1213" s="2">
        <v>43356.0</v>
      </c>
      <c r="D1213" s="15" t="str">
        <f t="shared" si="1"/>
        <v>Sep</v>
      </c>
      <c r="E1213" s="2" t="str">
        <f t="shared" si="2"/>
        <v>2018</v>
      </c>
      <c r="F1213" s="13" t="s">
        <v>41</v>
      </c>
      <c r="G1213" s="13" t="s">
        <v>2899</v>
      </c>
      <c r="H1213" s="13" t="s">
        <v>2900</v>
      </c>
      <c r="I1213" s="13" t="s">
        <v>34</v>
      </c>
      <c r="J1213" s="13" t="s">
        <v>98</v>
      </c>
      <c r="K1213" s="13" t="s">
        <v>99</v>
      </c>
      <c r="L1213" s="13" t="s">
        <v>100</v>
      </c>
      <c r="M1213" s="13" t="s">
        <v>27</v>
      </c>
      <c r="N1213" s="14">
        <v>141.372</v>
      </c>
      <c r="O1213" s="14">
        <v>141.09</v>
      </c>
      <c r="P1213" s="13">
        <v>1.0</v>
      </c>
      <c r="Q1213" s="14">
        <f t="shared" si="3"/>
        <v>141.372</v>
      </c>
      <c r="R1213" s="14">
        <f t="shared" si="4"/>
        <v>0.282</v>
      </c>
      <c r="S1213" s="14">
        <f t="shared" si="5"/>
        <v>141.09</v>
      </c>
    </row>
    <row r="1214">
      <c r="A1214" s="12">
        <v>43352.0</v>
      </c>
      <c r="B1214" s="12" t="s">
        <v>2329</v>
      </c>
      <c r="C1214" s="2">
        <v>43356.0</v>
      </c>
      <c r="D1214" s="15" t="str">
        <f t="shared" si="1"/>
        <v>Sep</v>
      </c>
      <c r="E1214" s="2" t="str">
        <f t="shared" si="2"/>
        <v>2018</v>
      </c>
      <c r="F1214" s="13" t="s">
        <v>41</v>
      </c>
      <c r="G1214" s="13" t="s">
        <v>2899</v>
      </c>
      <c r="H1214" s="13" t="s">
        <v>2900</v>
      </c>
      <c r="I1214" s="13" t="s">
        <v>34</v>
      </c>
      <c r="J1214" s="13" t="s">
        <v>98</v>
      </c>
      <c r="K1214" s="13" t="s">
        <v>99</v>
      </c>
      <c r="L1214" s="13" t="s">
        <v>100</v>
      </c>
      <c r="M1214" s="13" t="s">
        <v>38</v>
      </c>
      <c r="N1214" s="14">
        <v>3.036</v>
      </c>
      <c r="O1214" s="14">
        <v>2.63</v>
      </c>
      <c r="P1214" s="13">
        <v>1.0</v>
      </c>
      <c r="Q1214" s="14">
        <f t="shared" si="3"/>
        <v>3.036</v>
      </c>
      <c r="R1214" s="14">
        <f t="shared" si="4"/>
        <v>0.406</v>
      </c>
      <c r="S1214" s="14">
        <f t="shared" si="5"/>
        <v>2.63</v>
      </c>
    </row>
    <row r="1215">
      <c r="A1215" s="12">
        <v>43352.0</v>
      </c>
      <c r="B1215" s="12" t="s">
        <v>2329</v>
      </c>
      <c r="C1215" s="2">
        <v>43356.0</v>
      </c>
      <c r="D1215" s="15" t="str">
        <f t="shared" si="1"/>
        <v>Sep</v>
      </c>
      <c r="E1215" s="2" t="str">
        <f t="shared" si="2"/>
        <v>2018</v>
      </c>
      <c r="F1215" s="13" t="s">
        <v>41</v>
      </c>
      <c r="G1215" s="13" t="s">
        <v>2899</v>
      </c>
      <c r="H1215" s="13" t="s">
        <v>2900</v>
      </c>
      <c r="I1215" s="13" t="s">
        <v>34</v>
      </c>
      <c r="J1215" s="13" t="s">
        <v>98</v>
      </c>
      <c r="K1215" s="13" t="s">
        <v>99</v>
      </c>
      <c r="L1215" s="13" t="s">
        <v>100</v>
      </c>
      <c r="M1215" s="13" t="s">
        <v>38</v>
      </c>
      <c r="N1215" s="14">
        <v>4.503</v>
      </c>
      <c r="O1215" s="14">
        <v>4.08</v>
      </c>
      <c r="P1215" s="13">
        <v>1.0</v>
      </c>
      <c r="Q1215" s="14">
        <f t="shared" si="3"/>
        <v>4.503</v>
      </c>
      <c r="R1215" s="14">
        <f t="shared" si="4"/>
        <v>0.423</v>
      </c>
      <c r="S1215" s="14">
        <f t="shared" si="5"/>
        <v>4.08</v>
      </c>
    </row>
    <row r="1216">
      <c r="A1216" s="12">
        <v>43352.0</v>
      </c>
      <c r="B1216" s="12" t="s">
        <v>2329</v>
      </c>
      <c r="C1216" s="2">
        <v>43356.0</v>
      </c>
      <c r="D1216" s="15" t="str">
        <f t="shared" si="1"/>
        <v>Sep</v>
      </c>
      <c r="E1216" s="2" t="str">
        <f t="shared" si="2"/>
        <v>2018</v>
      </c>
      <c r="F1216" s="13" t="s">
        <v>41</v>
      </c>
      <c r="G1216" s="13" t="s">
        <v>2899</v>
      </c>
      <c r="H1216" s="13" t="s">
        <v>2900</v>
      </c>
      <c r="I1216" s="13" t="s">
        <v>34</v>
      </c>
      <c r="J1216" s="13" t="s">
        <v>98</v>
      </c>
      <c r="K1216" s="13" t="s">
        <v>99</v>
      </c>
      <c r="L1216" s="13" t="s">
        <v>100</v>
      </c>
      <c r="M1216" s="13" t="s">
        <v>38</v>
      </c>
      <c r="N1216" s="14">
        <v>4.672</v>
      </c>
      <c r="O1216" s="14">
        <v>4.15</v>
      </c>
      <c r="P1216" s="13">
        <v>1.0</v>
      </c>
      <c r="Q1216" s="14">
        <f t="shared" si="3"/>
        <v>4.672</v>
      </c>
      <c r="R1216" s="14">
        <f t="shared" si="4"/>
        <v>0.522</v>
      </c>
      <c r="S1216" s="14">
        <f t="shared" si="5"/>
        <v>4.15</v>
      </c>
    </row>
    <row r="1217">
      <c r="A1217" s="12">
        <v>43352.0</v>
      </c>
      <c r="B1217" s="12" t="s">
        <v>2329</v>
      </c>
      <c r="C1217" s="2">
        <v>43356.0</v>
      </c>
      <c r="D1217" s="15" t="str">
        <f t="shared" si="1"/>
        <v>Sep</v>
      </c>
      <c r="E1217" s="2" t="str">
        <f t="shared" si="2"/>
        <v>2018</v>
      </c>
      <c r="F1217" s="13" t="s">
        <v>41</v>
      </c>
      <c r="G1217" s="13" t="s">
        <v>2899</v>
      </c>
      <c r="H1217" s="13" t="s">
        <v>2900</v>
      </c>
      <c r="I1217" s="13" t="s">
        <v>34</v>
      </c>
      <c r="J1217" s="13" t="s">
        <v>98</v>
      </c>
      <c r="K1217" s="13" t="s">
        <v>99</v>
      </c>
      <c r="L1217" s="13" t="s">
        <v>100</v>
      </c>
      <c r="M1217" s="13" t="s">
        <v>51</v>
      </c>
      <c r="N1217" s="14">
        <v>95.88</v>
      </c>
      <c r="O1217" s="14">
        <v>95.3</v>
      </c>
      <c r="P1217" s="13">
        <v>1.0</v>
      </c>
      <c r="Q1217" s="14">
        <f t="shared" si="3"/>
        <v>95.88</v>
      </c>
      <c r="R1217" s="14">
        <f t="shared" si="4"/>
        <v>0.58</v>
      </c>
      <c r="S1217" s="14">
        <f t="shared" si="5"/>
        <v>95.3</v>
      </c>
    </row>
    <row r="1218">
      <c r="A1218" s="12">
        <v>43352.0</v>
      </c>
      <c r="B1218" s="12" t="s">
        <v>2329</v>
      </c>
      <c r="C1218" s="2">
        <v>43356.0</v>
      </c>
      <c r="D1218" s="15" t="str">
        <f t="shared" si="1"/>
        <v>Sep</v>
      </c>
      <c r="E1218" s="2" t="str">
        <f t="shared" si="2"/>
        <v>2018</v>
      </c>
      <c r="F1218" s="13" t="s">
        <v>41</v>
      </c>
      <c r="G1218" s="13" t="s">
        <v>2899</v>
      </c>
      <c r="H1218" s="13" t="s">
        <v>2900</v>
      </c>
      <c r="I1218" s="13" t="s">
        <v>34</v>
      </c>
      <c r="J1218" s="13" t="s">
        <v>98</v>
      </c>
      <c r="K1218" s="13" t="s">
        <v>99</v>
      </c>
      <c r="L1218" s="13" t="s">
        <v>100</v>
      </c>
      <c r="M1218" s="13" t="s">
        <v>27</v>
      </c>
      <c r="N1218" s="14">
        <v>17.024</v>
      </c>
      <c r="O1218" s="14">
        <v>16.98</v>
      </c>
      <c r="P1218" s="13">
        <v>1.0</v>
      </c>
      <c r="Q1218" s="14">
        <f t="shared" si="3"/>
        <v>17.024</v>
      </c>
      <c r="R1218" s="14">
        <f t="shared" si="4"/>
        <v>0.044</v>
      </c>
      <c r="S1218" s="14">
        <f t="shared" si="5"/>
        <v>16.98</v>
      </c>
    </row>
    <row r="1219">
      <c r="A1219" s="12">
        <v>43352.0</v>
      </c>
      <c r="B1219" s="12" t="s">
        <v>2329</v>
      </c>
      <c r="C1219" s="2">
        <v>43356.0</v>
      </c>
      <c r="D1219" s="15" t="str">
        <f t="shared" si="1"/>
        <v>Sep</v>
      </c>
      <c r="E1219" s="2" t="str">
        <f t="shared" si="2"/>
        <v>2018</v>
      </c>
      <c r="F1219" s="13" t="s">
        <v>41</v>
      </c>
      <c r="G1219" s="13" t="s">
        <v>2899</v>
      </c>
      <c r="H1219" s="13" t="s">
        <v>2900</v>
      </c>
      <c r="I1219" s="13" t="s">
        <v>34</v>
      </c>
      <c r="J1219" s="13" t="s">
        <v>98</v>
      </c>
      <c r="K1219" s="13" t="s">
        <v>99</v>
      </c>
      <c r="L1219" s="13" t="s">
        <v>100</v>
      </c>
      <c r="M1219" s="13" t="s">
        <v>51</v>
      </c>
      <c r="N1219" s="14">
        <v>258.696</v>
      </c>
      <c r="O1219" s="14">
        <v>258.27</v>
      </c>
      <c r="P1219" s="13">
        <v>1.0</v>
      </c>
      <c r="Q1219" s="14">
        <f t="shared" si="3"/>
        <v>258.696</v>
      </c>
      <c r="R1219" s="14">
        <f t="shared" si="4"/>
        <v>0.426</v>
      </c>
      <c r="S1219" s="14">
        <f t="shared" si="5"/>
        <v>258.27</v>
      </c>
    </row>
    <row r="1220">
      <c r="A1220" s="12">
        <v>43352.0</v>
      </c>
      <c r="B1220" s="12" t="s">
        <v>2329</v>
      </c>
      <c r="C1220" s="2">
        <v>43356.0</v>
      </c>
      <c r="D1220" s="15" t="str">
        <f t="shared" si="1"/>
        <v>Sep</v>
      </c>
      <c r="E1220" s="2" t="str">
        <f t="shared" si="2"/>
        <v>2018</v>
      </c>
      <c r="F1220" s="13" t="s">
        <v>41</v>
      </c>
      <c r="G1220" s="13" t="s">
        <v>2899</v>
      </c>
      <c r="H1220" s="13" t="s">
        <v>2900</v>
      </c>
      <c r="I1220" s="13" t="s">
        <v>34</v>
      </c>
      <c r="J1220" s="13" t="s">
        <v>98</v>
      </c>
      <c r="K1220" s="13" t="s">
        <v>99</v>
      </c>
      <c r="L1220" s="13" t="s">
        <v>100</v>
      </c>
      <c r="M1220" s="13" t="s">
        <v>51</v>
      </c>
      <c r="N1220" s="14">
        <v>1931.958</v>
      </c>
      <c r="O1220" s="14">
        <v>1931.76</v>
      </c>
      <c r="P1220" s="13">
        <v>1.0</v>
      </c>
      <c r="Q1220" s="14">
        <f t="shared" si="3"/>
        <v>1931.958</v>
      </c>
      <c r="R1220" s="14">
        <f t="shared" si="4"/>
        <v>0.198</v>
      </c>
      <c r="S1220" s="14">
        <f t="shared" si="5"/>
        <v>1931.76</v>
      </c>
    </row>
    <row r="1221">
      <c r="A1221" s="12">
        <v>42345.0</v>
      </c>
      <c r="B1221" s="12" t="s">
        <v>2325</v>
      </c>
      <c r="C1221" s="2">
        <v>42201.0</v>
      </c>
      <c r="D1221" s="15" t="str">
        <f t="shared" si="1"/>
        <v>Jul</v>
      </c>
      <c r="E1221" s="2" t="str">
        <f t="shared" si="2"/>
        <v>2015</v>
      </c>
      <c r="F1221" s="13" t="s">
        <v>41</v>
      </c>
      <c r="G1221" s="13" t="s">
        <v>2546</v>
      </c>
      <c r="H1221" s="13" t="s">
        <v>2901</v>
      </c>
      <c r="I1221" s="13" t="s">
        <v>68</v>
      </c>
      <c r="J1221" s="13" t="s">
        <v>35</v>
      </c>
      <c r="K1221" s="13" t="s">
        <v>52</v>
      </c>
      <c r="L1221" s="13" t="s">
        <v>37</v>
      </c>
      <c r="M1221" s="13" t="s">
        <v>38</v>
      </c>
      <c r="N1221" s="14">
        <v>249.75</v>
      </c>
      <c r="O1221" s="14">
        <v>249.31</v>
      </c>
      <c r="P1221" s="13">
        <v>9.0</v>
      </c>
      <c r="Q1221" s="14">
        <f t="shared" si="3"/>
        <v>2247.75</v>
      </c>
      <c r="R1221" s="14">
        <f t="shared" si="4"/>
        <v>1998.44</v>
      </c>
      <c r="S1221" s="14">
        <f t="shared" si="5"/>
        <v>249.31</v>
      </c>
    </row>
    <row r="1222">
      <c r="A1222" s="12">
        <v>42345.0</v>
      </c>
      <c r="B1222" s="12" t="s">
        <v>2325</v>
      </c>
      <c r="C1222" s="2">
        <v>42201.0</v>
      </c>
      <c r="D1222" s="15" t="str">
        <f t="shared" si="1"/>
        <v>Jul</v>
      </c>
      <c r="E1222" s="2" t="str">
        <f t="shared" si="2"/>
        <v>2015</v>
      </c>
      <c r="F1222" s="13" t="s">
        <v>41</v>
      </c>
      <c r="G1222" s="13" t="s">
        <v>2546</v>
      </c>
      <c r="H1222" s="13" t="s">
        <v>2901</v>
      </c>
      <c r="I1222" s="13" t="s">
        <v>68</v>
      </c>
      <c r="J1222" s="13" t="s">
        <v>35</v>
      </c>
      <c r="K1222" s="13" t="s">
        <v>52</v>
      </c>
      <c r="L1222" s="13" t="s">
        <v>37</v>
      </c>
      <c r="M1222" s="13" t="s">
        <v>51</v>
      </c>
      <c r="N1222" s="14">
        <v>255.936</v>
      </c>
      <c r="O1222" s="14">
        <v>255.44</v>
      </c>
      <c r="P1222" s="13">
        <v>9.0</v>
      </c>
      <c r="Q1222" s="14">
        <f t="shared" si="3"/>
        <v>2303.424</v>
      </c>
      <c r="R1222" s="14">
        <f t="shared" si="4"/>
        <v>2047.984</v>
      </c>
      <c r="S1222" s="14">
        <f t="shared" si="5"/>
        <v>255.44</v>
      </c>
    </row>
    <row r="1223">
      <c r="A1223" s="12">
        <v>42837.0</v>
      </c>
      <c r="B1223" s="12" t="s">
        <v>2332</v>
      </c>
      <c r="C1223" s="2">
        <v>42867.0</v>
      </c>
      <c r="D1223" s="15" t="str">
        <f t="shared" si="1"/>
        <v>May</v>
      </c>
      <c r="E1223" s="2" t="str">
        <f t="shared" si="2"/>
        <v>2017</v>
      </c>
      <c r="F1223" s="13" t="s">
        <v>121</v>
      </c>
      <c r="G1223" s="13" t="s">
        <v>2472</v>
      </c>
      <c r="H1223" s="13" t="s">
        <v>2423</v>
      </c>
      <c r="I1223" s="13" t="s">
        <v>23</v>
      </c>
      <c r="J1223" s="13" t="s">
        <v>174</v>
      </c>
      <c r="K1223" s="13" t="s">
        <v>175</v>
      </c>
      <c r="L1223" s="13" t="s">
        <v>100</v>
      </c>
      <c r="M1223" s="13" t="s">
        <v>27</v>
      </c>
      <c r="N1223" s="14">
        <v>113.79</v>
      </c>
      <c r="O1223" s="14">
        <v>113.62</v>
      </c>
      <c r="P1223" s="13">
        <v>1.0</v>
      </c>
      <c r="Q1223" s="14">
        <f t="shared" si="3"/>
        <v>113.79</v>
      </c>
      <c r="R1223" s="14">
        <f t="shared" si="4"/>
        <v>0.17</v>
      </c>
      <c r="S1223" s="14">
        <f t="shared" si="5"/>
        <v>113.62</v>
      </c>
    </row>
    <row r="1224">
      <c r="A1224" s="12">
        <v>42837.0</v>
      </c>
      <c r="B1224" s="12" t="s">
        <v>2332</v>
      </c>
      <c r="C1224" s="2">
        <v>42867.0</v>
      </c>
      <c r="D1224" s="15" t="str">
        <f t="shared" si="1"/>
        <v>May</v>
      </c>
      <c r="E1224" s="2" t="str">
        <f t="shared" si="2"/>
        <v>2017</v>
      </c>
      <c r="F1224" s="13" t="s">
        <v>121</v>
      </c>
      <c r="G1224" s="13" t="s">
        <v>2472</v>
      </c>
      <c r="H1224" s="13" t="s">
        <v>2423</v>
      </c>
      <c r="I1224" s="13" t="s">
        <v>23</v>
      </c>
      <c r="J1224" s="13" t="s">
        <v>174</v>
      </c>
      <c r="K1224" s="13" t="s">
        <v>175</v>
      </c>
      <c r="L1224" s="13" t="s">
        <v>100</v>
      </c>
      <c r="M1224" s="13" t="s">
        <v>51</v>
      </c>
      <c r="N1224" s="14">
        <v>78.15</v>
      </c>
      <c r="O1224" s="14">
        <v>77.92</v>
      </c>
      <c r="P1224" s="13">
        <v>1.0</v>
      </c>
      <c r="Q1224" s="14">
        <f t="shared" si="3"/>
        <v>78.15</v>
      </c>
      <c r="R1224" s="14">
        <f t="shared" si="4"/>
        <v>0.23</v>
      </c>
      <c r="S1224" s="14">
        <f t="shared" si="5"/>
        <v>77.92</v>
      </c>
    </row>
    <row r="1225">
      <c r="A1225" s="12">
        <v>42837.0</v>
      </c>
      <c r="B1225" s="12" t="s">
        <v>2332</v>
      </c>
      <c r="C1225" s="2">
        <v>42867.0</v>
      </c>
      <c r="D1225" s="15" t="str">
        <f t="shared" si="1"/>
        <v>May</v>
      </c>
      <c r="E1225" s="2" t="str">
        <f t="shared" si="2"/>
        <v>2017</v>
      </c>
      <c r="F1225" s="13" t="s">
        <v>121</v>
      </c>
      <c r="G1225" s="13" t="s">
        <v>2472</v>
      </c>
      <c r="H1225" s="13" t="s">
        <v>2423</v>
      </c>
      <c r="I1225" s="13" t="s">
        <v>23</v>
      </c>
      <c r="J1225" s="13" t="s">
        <v>174</v>
      </c>
      <c r="K1225" s="13" t="s">
        <v>175</v>
      </c>
      <c r="L1225" s="13" t="s">
        <v>100</v>
      </c>
      <c r="M1225" s="13" t="s">
        <v>38</v>
      </c>
      <c r="N1225" s="14">
        <v>1.728</v>
      </c>
      <c r="O1225" s="14">
        <v>1.33</v>
      </c>
      <c r="P1225" s="13">
        <v>1.0</v>
      </c>
      <c r="Q1225" s="14">
        <f t="shared" si="3"/>
        <v>1.728</v>
      </c>
      <c r="R1225" s="14">
        <f t="shared" si="4"/>
        <v>0.398</v>
      </c>
      <c r="S1225" s="14">
        <f t="shared" si="5"/>
        <v>1.33</v>
      </c>
    </row>
    <row r="1226">
      <c r="A1226" s="12">
        <v>42837.0</v>
      </c>
      <c r="B1226" s="12" t="s">
        <v>2332</v>
      </c>
      <c r="C1226" s="2">
        <v>42867.0</v>
      </c>
      <c r="D1226" s="15" t="str">
        <f t="shared" si="1"/>
        <v>May</v>
      </c>
      <c r="E1226" s="2" t="str">
        <f t="shared" si="2"/>
        <v>2017</v>
      </c>
      <c r="F1226" s="13" t="s">
        <v>121</v>
      </c>
      <c r="G1226" s="13" t="s">
        <v>2472</v>
      </c>
      <c r="H1226" s="13" t="s">
        <v>2423</v>
      </c>
      <c r="I1226" s="13" t="s">
        <v>23</v>
      </c>
      <c r="J1226" s="13" t="s">
        <v>174</v>
      </c>
      <c r="K1226" s="13" t="s">
        <v>175</v>
      </c>
      <c r="L1226" s="13" t="s">
        <v>100</v>
      </c>
      <c r="M1226" s="13" t="s">
        <v>38</v>
      </c>
      <c r="N1226" s="14">
        <v>40.56</v>
      </c>
      <c r="O1226" s="14">
        <v>40.05</v>
      </c>
      <c r="P1226" s="13">
        <v>1.0</v>
      </c>
      <c r="Q1226" s="14">
        <f t="shared" si="3"/>
        <v>40.56</v>
      </c>
      <c r="R1226" s="14">
        <f t="shared" si="4"/>
        <v>0.51</v>
      </c>
      <c r="S1226" s="14">
        <f t="shared" si="5"/>
        <v>40.05</v>
      </c>
    </row>
    <row r="1227">
      <c r="A1227" s="12">
        <v>42837.0</v>
      </c>
      <c r="B1227" s="12" t="s">
        <v>2332</v>
      </c>
      <c r="C1227" s="2">
        <v>42867.0</v>
      </c>
      <c r="D1227" s="15" t="str">
        <f t="shared" si="1"/>
        <v>May</v>
      </c>
      <c r="E1227" s="2" t="str">
        <f t="shared" si="2"/>
        <v>2017</v>
      </c>
      <c r="F1227" s="13" t="s">
        <v>121</v>
      </c>
      <c r="G1227" s="13" t="s">
        <v>2472</v>
      </c>
      <c r="H1227" s="13" t="s">
        <v>2423</v>
      </c>
      <c r="I1227" s="13" t="s">
        <v>23</v>
      </c>
      <c r="J1227" s="13" t="s">
        <v>174</v>
      </c>
      <c r="K1227" s="13" t="s">
        <v>175</v>
      </c>
      <c r="L1227" s="13" t="s">
        <v>100</v>
      </c>
      <c r="M1227" s="13" t="s">
        <v>38</v>
      </c>
      <c r="N1227" s="14">
        <v>182.94</v>
      </c>
      <c r="O1227" s="14">
        <v>182.91</v>
      </c>
      <c r="P1227" s="13">
        <v>1.0</v>
      </c>
      <c r="Q1227" s="14">
        <f t="shared" si="3"/>
        <v>182.94</v>
      </c>
      <c r="R1227" s="14">
        <f t="shared" si="4"/>
        <v>0.03</v>
      </c>
      <c r="S1227" s="14">
        <f t="shared" si="5"/>
        <v>182.91</v>
      </c>
    </row>
    <row r="1228">
      <c r="A1228" s="12">
        <v>42837.0</v>
      </c>
      <c r="B1228" s="12" t="s">
        <v>2332</v>
      </c>
      <c r="C1228" s="2">
        <v>42867.0</v>
      </c>
      <c r="D1228" s="15" t="str">
        <f t="shared" si="1"/>
        <v>May</v>
      </c>
      <c r="E1228" s="2" t="str">
        <f t="shared" si="2"/>
        <v>2017</v>
      </c>
      <c r="F1228" s="13" t="s">
        <v>121</v>
      </c>
      <c r="G1228" s="13" t="s">
        <v>2472</v>
      </c>
      <c r="H1228" s="13" t="s">
        <v>2423</v>
      </c>
      <c r="I1228" s="13" t="s">
        <v>23</v>
      </c>
      <c r="J1228" s="13" t="s">
        <v>174</v>
      </c>
      <c r="K1228" s="13" t="s">
        <v>175</v>
      </c>
      <c r="L1228" s="13" t="s">
        <v>100</v>
      </c>
      <c r="M1228" s="13" t="s">
        <v>38</v>
      </c>
      <c r="N1228" s="14">
        <v>193.86</v>
      </c>
      <c r="O1228" s="14">
        <v>193.73</v>
      </c>
      <c r="P1228" s="13">
        <v>1.0</v>
      </c>
      <c r="Q1228" s="14">
        <f t="shared" si="3"/>
        <v>193.86</v>
      </c>
      <c r="R1228" s="14">
        <f t="shared" si="4"/>
        <v>0.13</v>
      </c>
      <c r="S1228" s="14">
        <f t="shared" si="5"/>
        <v>193.73</v>
      </c>
    </row>
    <row r="1229">
      <c r="A1229" s="12">
        <v>43262.0</v>
      </c>
      <c r="B1229" s="12" t="s">
        <v>2374</v>
      </c>
      <c r="C1229" s="2">
        <v>43415.0</v>
      </c>
      <c r="D1229" s="15" t="str">
        <f t="shared" si="1"/>
        <v>Nov</v>
      </c>
      <c r="E1229" s="2" t="str">
        <f t="shared" si="2"/>
        <v>2018</v>
      </c>
      <c r="F1229" s="13" t="s">
        <v>41</v>
      </c>
      <c r="G1229" s="13" t="s">
        <v>2344</v>
      </c>
      <c r="H1229" s="13" t="s">
        <v>2689</v>
      </c>
      <c r="I1229" s="13" t="s">
        <v>23</v>
      </c>
      <c r="J1229" s="13" t="s">
        <v>35</v>
      </c>
      <c r="K1229" s="13" t="s">
        <v>52</v>
      </c>
      <c r="L1229" s="13" t="s">
        <v>37</v>
      </c>
      <c r="M1229" s="13" t="s">
        <v>38</v>
      </c>
      <c r="N1229" s="14">
        <v>15.28</v>
      </c>
      <c r="O1229" s="14">
        <v>14.86</v>
      </c>
      <c r="P1229" s="13">
        <v>9.0</v>
      </c>
      <c r="Q1229" s="14">
        <f t="shared" si="3"/>
        <v>137.52</v>
      </c>
      <c r="R1229" s="14">
        <f t="shared" si="4"/>
        <v>122.66</v>
      </c>
      <c r="S1229" s="14">
        <f t="shared" si="5"/>
        <v>14.86</v>
      </c>
    </row>
    <row r="1230">
      <c r="A1230" s="12">
        <v>43262.0</v>
      </c>
      <c r="B1230" s="12" t="s">
        <v>2374</v>
      </c>
      <c r="C1230" s="2">
        <v>43415.0</v>
      </c>
      <c r="D1230" s="15" t="str">
        <f t="shared" si="1"/>
        <v>Nov</v>
      </c>
      <c r="E1230" s="2" t="str">
        <f t="shared" si="2"/>
        <v>2018</v>
      </c>
      <c r="F1230" s="13" t="s">
        <v>41</v>
      </c>
      <c r="G1230" s="13" t="s">
        <v>2344</v>
      </c>
      <c r="H1230" s="13" t="s">
        <v>2689</v>
      </c>
      <c r="I1230" s="13" t="s">
        <v>23</v>
      </c>
      <c r="J1230" s="13" t="s">
        <v>35</v>
      </c>
      <c r="K1230" s="13" t="s">
        <v>52</v>
      </c>
      <c r="L1230" s="13" t="s">
        <v>37</v>
      </c>
      <c r="M1230" s="13" t="s">
        <v>27</v>
      </c>
      <c r="N1230" s="14">
        <v>8.73</v>
      </c>
      <c r="O1230" s="14">
        <v>8.27</v>
      </c>
      <c r="P1230" s="13">
        <v>9.0</v>
      </c>
      <c r="Q1230" s="14">
        <f t="shared" si="3"/>
        <v>78.57</v>
      </c>
      <c r="R1230" s="14">
        <f t="shared" si="4"/>
        <v>70.3</v>
      </c>
      <c r="S1230" s="14">
        <f t="shared" si="5"/>
        <v>8.27</v>
      </c>
    </row>
    <row r="1231">
      <c r="A1231" s="12">
        <v>43262.0</v>
      </c>
      <c r="B1231" s="12" t="s">
        <v>2374</v>
      </c>
      <c r="C1231" s="2">
        <v>43415.0</v>
      </c>
      <c r="D1231" s="15" t="str">
        <f t="shared" si="1"/>
        <v>Nov</v>
      </c>
      <c r="E1231" s="2" t="str">
        <f t="shared" si="2"/>
        <v>2018</v>
      </c>
      <c r="F1231" s="13" t="s">
        <v>41</v>
      </c>
      <c r="G1231" s="13" t="s">
        <v>2344</v>
      </c>
      <c r="H1231" s="13" t="s">
        <v>2689</v>
      </c>
      <c r="I1231" s="13" t="s">
        <v>23</v>
      </c>
      <c r="J1231" s="13" t="s">
        <v>35</v>
      </c>
      <c r="K1231" s="13" t="s">
        <v>52</v>
      </c>
      <c r="L1231" s="13" t="s">
        <v>37</v>
      </c>
      <c r="M1231" s="13" t="s">
        <v>38</v>
      </c>
      <c r="N1231" s="14">
        <v>5.68</v>
      </c>
      <c r="O1231" s="14">
        <v>4.83</v>
      </c>
      <c r="P1231" s="13">
        <v>9.0</v>
      </c>
      <c r="Q1231" s="14">
        <f t="shared" si="3"/>
        <v>51.12</v>
      </c>
      <c r="R1231" s="14">
        <f t="shared" si="4"/>
        <v>46.29</v>
      </c>
      <c r="S1231" s="14">
        <f t="shared" si="5"/>
        <v>4.83</v>
      </c>
    </row>
    <row r="1232">
      <c r="A1232" s="12">
        <v>42674.0</v>
      </c>
      <c r="B1232" s="12" t="s">
        <v>2358</v>
      </c>
      <c r="C1232" s="2">
        <v>42411.0</v>
      </c>
      <c r="D1232" s="15" t="str">
        <f t="shared" si="1"/>
        <v>Feb</v>
      </c>
      <c r="E1232" s="2" t="str">
        <f t="shared" si="2"/>
        <v>2016</v>
      </c>
      <c r="F1232" s="13" t="s">
        <v>20</v>
      </c>
      <c r="G1232" s="13" t="s">
        <v>2902</v>
      </c>
      <c r="H1232" s="13" t="s">
        <v>2577</v>
      </c>
      <c r="I1232" s="13" t="s">
        <v>23</v>
      </c>
      <c r="J1232" s="13" t="s">
        <v>1957</v>
      </c>
      <c r="K1232" s="13" t="s">
        <v>175</v>
      </c>
      <c r="L1232" s="13" t="s">
        <v>100</v>
      </c>
      <c r="M1232" s="13" t="s">
        <v>38</v>
      </c>
      <c r="N1232" s="14">
        <v>2.78</v>
      </c>
      <c r="O1232" s="14">
        <v>2.6</v>
      </c>
      <c r="P1232" s="13">
        <v>1.0</v>
      </c>
      <c r="Q1232" s="14">
        <f t="shared" si="3"/>
        <v>2.78</v>
      </c>
      <c r="R1232" s="14">
        <f t="shared" si="4"/>
        <v>0.18</v>
      </c>
      <c r="S1232" s="14">
        <f t="shared" si="5"/>
        <v>2.6</v>
      </c>
    </row>
    <row r="1233">
      <c r="A1233" s="12">
        <v>42674.0</v>
      </c>
      <c r="B1233" s="12" t="s">
        <v>2358</v>
      </c>
      <c r="C1233" s="2">
        <v>42411.0</v>
      </c>
      <c r="D1233" s="15" t="str">
        <f t="shared" si="1"/>
        <v>Feb</v>
      </c>
      <c r="E1233" s="2" t="str">
        <f t="shared" si="2"/>
        <v>2016</v>
      </c>
      <c r="F1233" s="13" t="s">
        <v>20</v>
      </c>
      <c r="G1233" s="13" t="s">
        <v>2902</v>
      </c>
      <c r="H1233" s="13" t="s">
        <v>2577</v>
      </c>
      <c r="I1233" s="13" t="s">
        <v>23</v>
      </c>
      <c r="J1233" s="13" t="s">
        <v>1957</v>
      </c>
      <c r="K1233" s="13" t="s">
        <v>175</v>
      </c>
      <c r="L1233" s="13" t="s">
        <v>100</v>
      </c>
      <c r="M1233" s="13" t="s">
        <v>38</v>
      </c>
      <c r="N1233" s="14">
        <v>79.96</v>
      </c>
      <c r="O1233" s="14">
        <v>79.32</v>
      </c>
      <c r="P1233" s="13">
        <v>1.0</v>
      </c>
      <c r="Q1233" s="14">
        <f t="shared" si="3"/>
        <v>79.96</v>
      </c>
      <c r="R1233" s="14">
        <f t="shared" si="4"/>
        <v>0.64</v>
      </c>
      <c r="S1233" s="14">
        <f t="shared" si="5"/>
        <v>79.32</v>
      </c>
    </row>
    <row r="1234">
      <c r="A1234" s="12">
        <v>42885.0</v>
      </c>
      <c r="B1234" s="12" t="s">
        <v>2335</v>
      </c>
      <c r="C1234" s="2">
        <v>42741.0</v>
      </c>
      <c r="D1234" s="15" t="str">
        <f t="shared" si="1"/>
        <v>Jan</v>
      </c>
      <c r="E1234" s="2" t="str">
        <f t="shared" si="2"/>
        <v>2017</v>
      </c>
      <c r="F1234" s="13" t="s">
        <v>121</v>
      </c>
      <c r="G1234" s="13" t="s">
        <v>2903</v>
      </c>
      <c r="H1234" s="13" t="s">
        <v>2904</v>
      </c>
      <c r="I1234" s="13" t="s">
        <v>34</v>
      </c>
      <c r="J1234" s="13" t="s">
        <v>579</v>
      </c>
      <c r="K1234" s="13" t="s">
        <v>304</v>
      </c>
      <c r="L1234" s="13" t="s">
        <v>100</v>
      </c>
      <c r="M1234" s="13" t="s">
        <v>51</v>
      </c>
      <c r="N1234" s="14">
        <v>839.988</v>
      </c>
      <c r="O1234" s="14">
        <v>839.61</v>
      </c>
      <c r="P1234" s="13">
        <v>4.0</v>
      </c>
      <c r="Q1234" s="14">
        <f t="shared" si="3"/>
        <v>3359.952</v>
      </c>
      <c r="R1234" s="14">
        <f t="shared" si="4"/>
        <v>2520.342</v>
      </c>
      <c r="S1234" s="14">
        <f t="shared" si="5"/>
        <v>839.61</v>
      </c>
    </row>
    <row r="1235">
      <c r="A1235" s="12">
        <v>43036.0</v>
      </c>
      <c r="B1235" s="12" t="s">
        <v>2358</v>
      </c>
      <c r="C1235" s="2">
        <v>43036.0</v>
      </c>
      <c r="D1235" s="15" t="str">
        <f t="shared" si="1"/>
        <v>Oct</v>
      </c>
      <c r="E1235" s="2" t="str">
        <f t="shared" si="2"/>
        <v>2017</v>
      </c>
      <c r="F1235" s="13" t="s">
        <v>717</v>
      </c>
      <c r="G1235" s="13" t="s">
        <v>2373</v>
      </c>
      <c r="H1235" s="13" t="s">
        <v>2796</v>
      </c>
      <c r="I1235" s="13" t="s">
        <v>23</v>
      </c>
      <c r="J1235" s="13" t="s">
        <v>1963</v>
      </c>
      <c r="K1235" s="13" t="s">
        <v>145</v>
      </c>
      <c r="L1235" s="13" t="s">
        <v>26</v>
      </c>
      <c r="M1235" s="13" t="s">
        <v>27</v>
      </c>
      <c r="N1235" s="14">
        <v>47.952</v>
      </c>
      <c r="O1235" s="14">
        <v>47.56</v>
      </c>
      <c r="P1235" s="13">
        <v>3.0</v>
      </c>
      <c r="Q1235" s="14">
        <f t="shared" si="3"/>
        <v>143.856</v>
      </c>
      <c r="R1235" s="14">
        <f t="shared" si="4"/>
        <v>96.296</v>
      </c>
      <c r="S1235" s="14">
        <f t="shared" si="5"/>
        <v>47.56</v>
      </c>
    </row>
    <row r="1236">
      <c r="A1236" s="12">
        <v>43036.0</v>
      </c>
      <c r="B1236" s="12" t="s">
        <v>2358</v>
      </c>
      <c r="C1236" s="2">
        <v>43036.0</v>
      </c>
      <c r="D1236" s="15" t="str">
        <f t="shared" si="1"/>
        <v>Oct</v>
      </c>
      <c r="E1236" s="2" t="str">
        <f t="shared" si="2"/>
        <v>2017</v>
      </c>
      <c r="F1236" s="13" t="s">
        <v>717</v>
      </c>
      <c r="G1236" s="13" t="s">
        <v>2373</v>
      </c>
      <c r="H1236" s="13" t="s">
        <v>2796</v>
      </c>
      <c r="I1236" s="13" t="s">
        <v>23</v>
      </c>
      <c r="J1236" s="13" t="s">
        <v>1963</v>
      </c>
      <c r="K1236" s="13" t="s">
        <v>145</v>
      </c>
      <c r="L1236" s="13" t="s">
        <v>26</v>
      </c>
      <c r="M1236" s="13" t="s">
        <v>38</v>
      </c>
      <c r="N1236" s="14">
        <v>37.425</v>
      </c>
      <c r="O1236" s="14">
        <v>36.86</v>
      </c>
      <c r="P1236" s="13">
        <v>3.0</v>
      </c>
      <c r="Q1236" s="14">
        <f t="shared" si="3"/>
        <v>112.275</v>
      </c>
      <c r="R1236" s="14">
        <f t="shared" si="4"/>
        <v>75.415</v>
      </c>
      <c r="S1236" s="14">
        <f t="shared" si="5"/>
        <v>36.86</v>
      </c>
    </row>
    <row r="1237">
      <c r="A1237" s="12">
        <v>43036.0</v>
      </c>
      <c r="B1237" s="12" t="s">
        <v>2358</v>
      </c>
      <c r="C1237" s="2">
        <v>43036.0</v>
      </c>
      <c r="D1237" s="15" t="str">
        <f t="shared" si="1"/>
        <v>Oct</v>
      </c>
      <c r="E1237" s="2" t="str">
        <f t="shared" si="2"/>
        <v>2017</v>
      </c>
      <c r="F1237" s="13" t="s">
        <v>717</v>
      </c>
      <c r="G1237" s="13" t="s">
        <v>2373</v>
      </c>
      <c r="H1237" s="13" t="s">
        <v>2796</v>
      </c>
      <c r="I1237" s="13" t="s">
        <v>23</v>
      </c>
      <c r="J1237" s="13" t="s">
        <v>1963</v>
      </c>
      <c r="K1237" s="13" t="s">
        <v>145</v>
      </c>
      <c r="L1237" s="13" t="s">
        <v>26</v>
      </c>
      <c r="M1237" s="13" t="s">
        <v>27</v>
      </c>
      <c r="N1237" s="14">
        <v>63.968</v>
      </c>
      <c r="O1237" s="14">
        <v>63.54</v>
      </c>
      <c r="P1237" s="13">
        <v>3.0</v>
      </c>
      <c r="Q1237" s="14">
        <f t="shared" si="3"/>
        <v>191.904</v>
      </c>
      <c r="R1237" s="14">
        <f t="shared" si="4"/>
        <v>128.364</v>
      </c>
      <c r="S1237" s="14">
        <f t="shared" si="5"/>
        <v>63.54</v>
      </c>
    </row>
    <row r="1238">
      <c r="A1238" s="12">
        <v>43036.0</v>
      </c>
      <c r="B1238" s="12" t="s">
        <v>2358</v>
      </c>
      <c r="C1238" s="2">
        <v>43036.0</v>
      </c>
      <c r="D1238" s="15" t="str">
        <f t="shared" si="1"/>
        <v>Oct</v>
      </c>
      <c r="E1238" s="2" t="str">
        <f t="shared" si="2"/>
        <v>2017</v>
      </c>
      <c r="F1238" s="13" t="s">
        <v>717</v>
      </c>
      <c r="G1238" s="13" t="s">
        <v>2373</v>
      </c>
      <c r="H1238" s="13" t="s">
        <v>2796</v>
      </c>
      <c r="I1238" s="13" t="s">
        <v>23</v>
      </c>
      <c r="J1238" s="13" t="s">
        <v>1963</v>
      </c>
      <c r="K1238" s="13" t="s">
        <v>145</v>
      </c>
      <c r="L1238" s="13" t="s">
        <v>26</v>
      </c>
      <c r="M1238" s="13" t="s">
        <v>27</v>
      </c>
      <c r="N1238" s="14">
        <v>165.048</v>
      </c>
      <c r="O1238" s="14">
        <v>164.12</v>
      </c>
      <c r="P1238" s="13">
        <v>3.0</v>
      </c>
      <c r="Q1238" s="14">
        <f t="shared" si="3"/>
        <v>495.144</v>
      </c>
      <c r="R1238" s="14">
        <f t="shared" si="4"/>
        <v>331.024</v>
      </c>
      <c r="S1238" s="14">
        <f t="shared" si="5"/>
        <v>164.12</v>
      </c>
    </row>
    <row r="1239">
      <c r="A1239" s="12">
        <v>42316.0</v>
      </c>
      <c r="B1239" s="12" t="s">
        <v>2326</v>
      </c>
      <c r="C1239" s="2">
        <v>42231.0</v>
      </c>
      <c r="D1239" s="15" t="str">
        <f t="shared" si="1"/>
        <v>Aug</v>
      </c>
      <c r="E1239" s="2" t="str">
        <f t="shared" si="2"/>
        <v>2015</v>
      </c>
      <c r="F1239" s="13" t="s">
        <v>41</v>
      </c>
      <c r="G1239" s="13" t="s">
        <v>2434</v>
      </c>
      <c r="H1239" s="13" t="s">
        <v>2810</v>
      </c>
      <c r="I1239" s="13" t="s">
        <v>23</v>
      </c>
      <c r="J1239" s="13" t="s">
        <v>62</v>
      </c>
      <c r="K1239" s="13" t="s">
        <v>63</v>
      </c>
      <c r="L1239" s="13" t="s">
        <v>37</v>
      </c>
      <c r="M1239" s="13" t="s">
        <v>27</v>
      </c>
      <c r="N1239" s="14">
        <v>12.35</v>
      </c>
      <c r="O1239" s="14">
        <v>11.66</v>
      </c>
      <c r="P1239" s="13">
        <v>9.0</v>
      </c>
      <c r="Q1239" s="14">
        <f t="shared" si="3"/>
        <v>111.15</v>
      </c>
      <c r="R1239" s="14">
        <f t="shared" si="4"/>
        <v>99.49</v>
      </c>
      <c r="S1239" s="14">
        <f t="shared" si="5"/>
        <v>11.66</v>
      </c>
    </row>
    <row r="1240">
      <c r="A1240" s="12">
        <v>42316.0</v>
      </c>
      <c r="B1240" s="12" t="s">
        <v>2326</v>
      </c>
      <c r="C1240" s="2">
        <v>42231.0</v>
      </c>
      <c r="D1240" s="15" t="str">
        <f t="shared" si="1"/>
        <v>Aug</v>
      </c>
      <c r="E1240" s="2" t="str">
        <f t="shared" si="2"/>
        <v>2015</v>
      </c>
      <c r="F1240" s="13" t="s">
        <v>41</v>
      </c>
      <c r="G1240" s="13" t="s">
        <v>2434</v>
      </c>
      <c r="H1240" s="13" t="s">
        <v>2810</v>
      </c>
      <c r="I1240" s="13" t="s">
        <v>23</v>
      </c>
      <c r="J1240" s="13" t="s">
        <v>62</v>
      </c>
      <c r="K1240" s="13" t="s">
        <v>63</v>
      </c>
      <c r="L1240" s="13" t="s">
        <v>37</v>
      </c>
      <c r="M1240" s="13" t="s">
        <v>38</v>
      </c>
      <c r="N1240" s="14">
        <v>40.97</v>
      </c>
      <c r="O1240" s="14">
        <v>40.24</v>
      </c>
      <c r="P1240" s="13">
        <v>9.0</v>
      </c>
      <c r="Q1240" s="14">
        <f t="shared" si="3"/>
        <v>368.73</v>
      </c>
      <c r="R1240" s="14">
        <f t="shared" si="4"/>
        <v>328.49</v>
      </c>
      <c r="S1240" s="14">
        <f t="shared" si="5"/>
        <v>40.24</v>
      </c>
    </row>
    <row r="1241">
      <c r="A1241" s="12">
        <v>42316.0</v>
      </c>
      <c r="B1241" s="12" t="s">
        <v>2326</v>
      </c>
      <c r="C1241" s="2">
        <v>42231.0</v>
      </c>
      <c r="D1241" s="15" t="str">
        <f t="shared" si="1"/>
        <v>Aug</v>
      </c>
      <c r="E1241" s="2" t="str">
        <f t="shared" si="2"/>
        <v>2015</v>
      </c>
      <c r="F1241" s="13" t="s">
        <v>41</v>
      </c>
      <c r="G1241" s="13" t="s">
        <v>2434</v>
      </c>
      <c r="H1241" s="13" t="s">
        <v>2810</v>
      </c>
      <c r="I1241" s="13" t="s">
        <v>23</v>
      </c>
      <c r="J1241" s="13" t="s">
        <v>62</v>
      </c>
      <c r="K1241" s="13" t="s">
        <v>63</v>
      </c>
      <c r="L1241" s="13" t="s">
        <v>37</v>
      </c>
      <c r="M1241" s="13" t="s">
        <v>38</v>
      </c>
      <c r="N1241" s="14">
        <v>22.96</v>
      </c>
      <c r="O1241" s="14">
        <v>22.13</v>
      </c>
      <c r="P1241" s="13">
        <v>9.0</v>
      </c>
      <c r="Q1241" s="14">
        <f t="shared" si="3"/>
        <v>206.64</v>
      </c>
      <c r="R1241" s="14">
        <f t="shared" si="4"/>
        <v>184.51</v>
      </c>
      <c r="S1241" s="14">
        <f t="shared" si="5"/>
        <v>22.13</v>
      </c>
    </row>
    <row r="1242">
      <c r="A1242" s="12">
        <v>42976.0</v>
      </c>
      <c r="B1242" s="12" t="s">
        <v>2322</v>
      </c>
      <c r="C1242" s="2">
        <v>42834.0</v>
      </c>
      <c r="D1242" s="15" t="str">
        <f t="shared" si="1"/>
        <v>Apr</v>
      </c>
      <c r="E1242" s="2" t="str">
        <f t="shared" si="2"/>
        <v>2017</v>
      </c>
      <c r="F1242" s="13" t="s">
        <v>41</v>
      </c>
      <c r="G1242" s="13" t="s">
        <v>2711</v>
      </c>
      <c r="H1242" s="13" t="s">
        <v>2712</v>
      </c>
      <c r="I1242" s="13" t="s">
        <v>68</v>
      </c>
      <c r="J1242" s="13" t="s">
        <v>174</v>
      </c>
      <c r="K1242" s="13" t="s">
        <v>175</v>
      </c>
      <c r="L1242" s="13" t="s">
        <v>100</v>
      </c>
      <c r="M1242" s="13" t="s">
        <v>51</v>
      </c>
      <c r="N1242" s="14">
        <v>22.0</v>
      </c>
      <c r="O1242" s="14">
        <v>21.27</v>
      </c>
      <c r="P1242" s="13">
        <v>1.0</v>
      </c>
      <c r="Q1242" s="14">
        <f t="shared" si="3"/>
        <v>22</v>
      </c>
      <c r="R1242" s="14">
        <f t="shared" si="4"/>
        <v>0.73</v>
      </c>
      <c r="S1242" s="14">
        <f t="shared" si="5"/>
        <v>21.27</v>
      </c>
    </row>
    <row r="1243">
      <c r="A1243" s="12">
        <v>42781.0</v>
      </c>
      <c r="B1243" s="12" t="s">
        <v>2431</v>
      </c>
      <c r="C1243" s="2">
        <v>42788.0</v>
      </c>
      <c r="D1243" s="15" t="str">
        <f t="shared" si="1"/>
        <v>Feb</v>
      </c>
      <c r="E1243" s="2" t="str">
        <f t="shared" si="2"/>
        <v>2017</v>
      </c>
      <c r="F1243" s="13" t="s">
        <v>41</v>
      </c>
      <c r="G1243" s="13" t="s">
        <v>2373</v>
      </c>
      <c r="H1243" s="13" t="s">
        <v>2796</v>
      </c>
      <c r="I1243" s="13" t="s">
        <v>23</v>
      </c>
      <c r="J1243" s="13" t="s">
        <v>174</v>
      </c>
      <c r="K1243" s="13" t="s">
        <v>175</v>
      </c>
      <c r="L1243" s="13" t="s">
        <v>100</v>
      </c>
      <c r="M1243" s="13" t="s">
        <v>38</v>
      </c>
      <c r="N1243" s="14">
        <v>398.352</v>
      </c>
      <c r="O1243" s="14">
        <v>397.73</v>
      </c>
      <c r="P1243" s="13">
        <v>1.0</v>
      </c>
      <c r="Q1243" s="14">
        <f t="shared" si="3"/>
        <v>398.352</v>
      </c>
      <c r="R1243" s="14">
        <f t="shared" si="4"/>
        <v>0.622</v>
      </c>
      <c r="S1243" s="14">
        <f t="shared" si="5"/>
        <v>397.73</v>
      </c>
    </row>
    <row r="1244">
      <c r="A1244" s="12">
        <v>42781.0</v>
      </c>
      <c r="B1244" s="12" t="s">
        <v>2431</v>
      </c>
      <c r="C1244" s="2">
        <v>42788.0</v>
      </c>
      <c r="D1244" s="15" t="str">
        <f t="shared" si="1"/>
        <v>Feb</v>
      </c>
      <c r="E1244" s="2" t="str">
        <f t="shared" si="2"/>
        <v>2017</v>
      </c>
      <c r="F1244" s="13" t="s">
        <v>41</v>
      </c>
      <c r="G1244" s="13" t="s">
        <v>2373</v>
      </c>
      <c r="H1244" s="13" t="s">
        <v>2796</v>
      </c>
      <c r="I1244" s="13" t="s">
        <v>23</v>
      </c>
      <c r="J1244" s="13" t="s">
        <v>174</v>
      </c>
      <c r="K1244" s="13" t="s">
        <v>175</v>
      </c>
      <c r="L1244" s="13" t="s">
        <v>100</v>
      </c>
      <c r="M1244" s="13" t="s">
        <v>38</v>
      </c>
      <c r="N1244" s="14">
        <v>8.72</v>
      </c>
      <c r="O1244" s="14">
        <v>8.58</v>
      </c>
      <c r="P1244" s="13">
        <v>1.0</v>
      </c>
      <c r="Q1244" s="14">
        <f t="shared" si="3"/>
        <v>8.72</v>
      </c>
      <c r="R1244" s="14">
        <f t="shared" si="4"/>
        <v>0.14</v>
      </c>
      <c r="S1244" s="14">
        <f t="shared" si="5"/>
        <v>8.58</v>
      </c>
    </row>
    <row r="1245">
      <c r="A1245" s="12">
        <v>43234.0</v>
      </c>
      <c r="B1245" s="12" t="s">
        <v>2335</v>
      </c>
      <c r="C1245" s="2">
        <v>43241.0</v>
      </c>
      <c r="D1245" s="15" t="str">
        <f t="shared" si="1"/>
        <v>May</v>
      </c>
      <c r="E1245" s="2" t="str">
        <f t="shared" si="2"/>
        <v>2018</v>
      </c>
      <c r="F1245" s="13" t="s">
        <v>41</v>
      </c>
      <c r="G1245" s="13" t="s">
        <v>2905</v>
      </c>
      <c r="H1245" s="13" t="s">
        <v>2738</v>
      </c>
      <c r="I1245" s="13" t="s">
        <v>23</v>
      </c>
      <c r="J1245" s="13" t="s">
        <v>1974</v>
      </c>
      <c r="K1245" s="13" t="s">
        <v>827</v>
      </c>
      <c r="L1245" s="13" t="s">
        <v>26</v>
      </c>
      <c r="M1245" s="13" t="s">
        <v>38</v>
      </c>
      <c r="N1245" s="14">
        <v>48.69</v>
      </c>
      <c r="O1245" s="14">
        <v>48.2</v>
      </c>
      <c r="P1245" s="13">
        <v>3.0</v>
      </c>
      <c r="Q1245" s="14">
        <f t="shared" si="3"/>
        <v>146.07</v>
      </c>
      <c r="R1245" s="14">
        <f t="shared" si="4"/>
        <v>97.87</v>
      </c>
      <c r="S1245" s="14">
        <f t="shared" si="5"/>
        <v>48.2</v>
      </c>
    </row>
    <row r="1246">
      <c r="A1246" s="12">
        <v>42350.0</v>
      </c>
      <c r="B1246" s="12" t="s">
        <v>2325</v>
      </c>
      <c r="C1246" s="2">
        <v>42352.0</v>
      </c>
      <c r="D1246" s="15" t="str">
        <f t="shared" si="1"/>
        <v>Dec</v>
      </c>
      <c r="E1246" s="2" t="str">
        <f t="shared" si="2"/>
        <v>2015</v>
      </c>
      <c r="F1246" s="13" t="s">
        <v>20</v>
      </c>
      <c r="G1246" s="13" t="s">
        <v>2465</v>
      </c>
      <c r="H1246" s="13" t="s">
        <v>2599</v>
      </c>
      <c r="I1246" s="13" t="s">
        <v>23</v>
      </c>
      <c r="J1246" s="13" t="s">
        <v>1979</v>
      </c>
      <c r="K1246" s="13" t="s">
        <v>52</v>
      </c>
      <c r="L1246" s="13" t="s">
        <v>37</v>
      </c>
      <c r="M1246" s="13" t="s">
        <v>27</v>
      </c>
      <c r="N1246" s="14">
        <v>764.688</v>
      </c>
      <c r="O1246" s="14">
        <v>764.45</v>
      </c>
      <c r="P1246" s="13">
        <v>9.0</v>
      </c>
      <c r="Q1246" s="14">
        <f t="shared" si="3"/>
        <v>6882.192</v>
      </c>
      <c r="R1246" s="14">
        <f t="shared" si="4"/>
        <v>6117.742</v>
      </c>
      <c r="S1246" s="14">
        <f t="shared" si="5"/>
        <v>764.45</v>
      </c>
    </row>
    <row r="1247">
      <c r="A1247" s="12">
        <v>42350.0</v>
      </c>
      <c r="B1247" s="12" t="s">
        <v>2325</v>
      </c>
      <c r="C1247" s="2">
        <v>42352.0</v>
      </c>
      <c r="D1247" s="15" t="str">
        <f t="shared" si="1"/>
        <v>Dec</v>
      </c>
      <c r="E1247" s="2" t="str">
        <f t="shared" si="2"/>
        <v>2015</v>
      </c>
      <c r="F1247" s="13" t="s">
        <v>20</v>
      </c>
      <c r="G1247" s="13" t="s">
        <v>2465</v>
      </c>
      <c r="H1247" s="13" t="s">
        <v>2599</v>
      </c>
      <c r="I1247" s="13" t="s">
        <v>23</v>
      </c>
      <c r="J1247" s="13" t="s">
        <v>1979</v>
      </c>
      <c r="K1247" s="13" t="s">
        <v>52</v>
      </c>
      <c r="L1247" s="13" t="s">
        <v>37</v>
      </c>
      <c r="M1247" s="13" t="s">
        <v>27</v>
      </c>
      <c r="N1247" s="14">
        <v>3610.848</v>
      </c>
      <c r="O1247" s="14">
        <v>3610.76</v>
      </c>
      <c r="P1247" s="13">
        <v>9.0</v>
      </c>
      <c r="Q1247" s="14">
        <f t="shared" si="3"/>
        <v>32497.632</v>
      </c>
      <c r="R1247" s="14">
        <f t="shared" si="4"/>
        <v>28886.872</v>
      </c>
      <c r="S1247" s="14">
        <f t="shared" si="5"/>
        <v>3610.76</v>
      </c>
    </row>
    <row r="1248">
      <c r="A1248" s="12">
        <v>42350.0</v>
      </c>
      <c r="B1248" s="12" t="s">
        <v>2325</v>
      </c>
      <c r="C1248" s="2">
        <v>42352.0</v>
      </c>
      <c r="D1248" s="15" t="str">
        <f t="shared" si="1"/>
        <v>Dec</v>
      </c>
      <c r="E1248" s="2" t="str">
        <f t="shared" si="2"/>
        <v>2015</v>
      </c>
      <c r="F1248" s="13" t="s">
        <v>20</v>
      </c>
      <c r="G1248" s="13" t="s">
        <v>2465</v>
      </c>
      <c r="H1248" s="13" t="s">
        <v>2599</v>
      </c>
      <c r="I1248" s="13" t="s">
        <v>23</v>
      </c>
      <c r="J1248" s="13" t="s">
        <v>1979</v>
      </c>
      <c r="K1248" s="13" t="s">
        <v>52</v>
      </c>
      <c r="L1248" s="13" t="s">
        <v>37</v>
      </c>
      <c r="M1248" s="13" t="s">
        <v>27</v>
      </c>
      <c r="N1248" s="14">
        <v>254.9745</v>
      </c>
      <c r="O1248" s="14">
        <v>254.54</v>
      </c>
      <c r="P1248" s="13">
        <v>9.0</v>
      </c>
      <c r="Q1248" s="14">
        <f t="shared" si="3"/>
        <v>2294.7705</v>
      </c>
      <c r="R1248" s="14">
        <f t="shared" si="4"/>
        <v>2040.2305</v>
      </c>
      <c r="S1248" s="14">
        <f t="shared" si="5"/>
        <v>254.54</v>
      </c>
    </row>
    <row r="1249">
      <c r="A1249" s="12">
        <v>43452.0</v>
      </c>
      <c r="B1249" s="12" t="s">
        <v>2325</v>
      </c>
      <c r="C1249" s="2">
        <v>43458.0</v>
      </c>
      <c r="D1249" s="15" t="str">
        <f t="shared" si="1"/>
        <v>Dec</v>
      </c>
      <c r="E1249" s="2" t="str">
        <f t="shared" si="2"/>
        <v>2018</v>
      </c>
      <c r="F1249" s="13" t="s">
        <v>41</v>
      </c>
      <c r="G1249" s="13" t="s">
        <v>2562</v>
      </c>
      <c r="H1249" s="13" t="s">
        <v>2738</v>
      </c>
      <c r="I1249" s="13" t="s">
        <v>23</v>
      </c>
      <c r="J1249" s="13" t="s">
        <v>174</v>
      </c>
      <c r="K1249" s="13" t="s">
        <v>175</v>
      </c>
      <c r="L1249" s="13" t="s">
        <v>100</v>
      </c>
      <c r="M1249" s="13" t="s">
        <v>38</v>
      </c>
      <c r="N1249" s="14">
        <v>38.82</v>
      </c>
      <c r="O1249" s="14">
        <v>37.87</v>
      </c>
      <c r="P1249" s="13">
        <v>1.0</v>
      </c>
      <c r="Q1249" s="14">
        <f t="shared" si="3"/>
        <v>38.82</v>
      </c>
      <c r="R1249" s="14">
        <f t="shared" si="4"/>
        <v>0.95</v>
      </c>
      <c r="S1249" s="14">
        <f t="shared" si="5"/>
        <v>37.87</v>
      </c>
    </row>
    <row r="1250">
      <c r="A1250" s="12">
        <v>43452.0</v>
      </c>
      <c r="B1250" s="12" t="s">
        <v>2325</v>
      </c>
      <c r="C1250" s="2">
        <v>43458.0</v>
      </c>
      <c r="D1250" s="15" t="str">
        <f t="shared" si="1"/>
        <v>Dec</v>
      </c>
      <c r="E1250" s="2" t="str">
        <f t="shared" si="2"/>
        <v>2018</v>
      </c>
      <c r="F1250" s="13" t="s">
        <v>41</v>
      </c>
      <c r="G1250" s="13" t="s">
        <v>2562</v>
      </c>
      <c r="H1250" s="13" t="s">
        <v>2738</v>
      </c>
      <c r="I1250" s="13" t="s">
        <v>23</v>
      </c>
      <c r="J1250" s="13" t="s">
        <v>174</v>
      </c>
      <c r="K1250" s="13" t="s">
        <v>175</v>
      </c>
      <c r="L1250" s="13" t="s">
        <v>100</v>
      </c>
      <c r="M1250" s="13" t="s">
        <v>27</v>
      </c>
      <c r="N1250" s="14">
        <v>1141.938</v>
      </c>
      <c r="O1250" s="14">
        <v>1140.99</v>
      </c>
      <c r="P1250" s="13">
        <v>1.0</v>
      </c>
      <c r="Q1250" s="14">
        <f t="shared" si="3"/>
        <v>1141.938</v>
      </c>
      <c r="R1250" s="14">
        <f t="shared" si="4"/>
        <v>0.948</v>
      </c>
      <c r="S1250" s="14">
        <f t="shared" si="5"/>
        <v>1140.99</v>
      </c>
    </row>
    <row r="1251">
      <c r="A1251" s="12">
        <v>43452.0</v>
      </c>
      <c r="B1251" s="12" t="s">
        <v>2325</v>
      </c>
      <c r="C1251" s="2">
        <v>43458.0</v>
      </c>
      <c r="D1251" s="15" t="str">
        <f t="shared" si="1"/>
        <v>Dec</v>
      </c>
      <c r="E1251" s="2" t="str">
        <f t="shared" si="2"/>
        <v>2018</v>
      </c>
      <c r="F1251" s="13" t="s">
        <v>41</v>
      </c>
      <c r="G1251" s="13" t="s">
        <v>2562</v>
      </c>
      <c r="H1251" s="13" t="s">
        <v>2738</v>
      </c>
      <c r="I1251" s="13" t="s">
        <v>23</v>
      </c>
      <c r="J1251" s="13" t="s">
        <v>174</v>
      </c>
      <c r="K1251" s="13" t="s">
        <v>175</v>
      </c>
      <c r="L1251" s="13" t="s">
        <v>100</v>
      </c>
      <c r="M1251" s="13" t="s">
        <v>38</v>
      </c>
      <c r="N1251" s="14">
        <v>1704.56</v>
      </c>
      <c r="O1251" s="14">
        <v>1703.65</v>
      </c>
      <c r="P1251" s="13">
        <v>1.0</v>
      </c>
      <c r="Q1251" s="14">
        <f t="shared" si="3"/>
        <v>1704.56</v>
      </c>
      <c r="R1251" s="14">
        <f t="shared" si="4"/>
        <v>0.91</v>
      </c>
      <c r="S1251" s="14">
        <f t="shared" si="5"/>
        <v>1703.65</v>
      </c>
    </row>
    <row r="1252">
      <c r="A1252" s="12">
        <v>43452.0</v>
      </c>
      <c r="B1252" s="12" t="s">
        <v>2325</v>
      </c>
      <c r="C1252" s="2">
        <v>43458.0</v>
      </c>
      <c r="D1252" s="15" t="str">
        <f t="shared" si="1"/>
        <v>Dec</v>
      </c>
      <c r="E1252" s="2" t="str">
        <f t="shared" si="2"/>
        <v>2018</v>
      </c>
      <c r="F1252" s="13" t="s">
        <v>41</v>
      </c>
      <c r="G1252" s="13" t="s">
        <v>2562</v>
      </c>
      <c r="H1252" s="13" t="s">
        <v>2738</v>
      </c>
      <c r="I1252" s="13" t="s">
        <v>23</v>
      </c>
      <c r="J1252" s="13" t="s">
        <v>174</v>
      </c>
      <c r="K1252" s="13" t="s">
        <v>175</v>
      </c>
      <c r="L1252" s="13" t="s">
        <v>100</v>
      </c>
      <c r="M1252" s="13" t="s">
        <v>38</v>
      </c>
      <c r="N1252" s="14">
        <v>3.2</v>
      </c>
      <c r="O1252" s="14">
        <v>2.62</v>
      </c>
      <c r="P1252" s="13">
        <v>1.0</v>
      </c>
      <c r="Q1252" s="14">
        <f t="shared" si="3"/>
        <v>3.2</v>
      </c>
      <c r="R1252" s="14">
        <f t="shared" si="4"/>
        <v>0.58</v>
      </c>
      <c r="S1252" s="14">
        <f t="shared" si="5"/>
        <v>2.62</v>
      </c>
    </row>
    <row r="1253">
      <c r="A1253" s="12">
        <v>42467.0</v>
      </c>
      <c r="B1253" s="12" t="s">
        <v>2332</v>
      </c>
      <c r="C1253" s="2">
        <v>42620.0</v>
      </c>
      <c r="D1253" s="15" t="str">
        <f t="shared" si="1"/>
        <v>Sep</v>
      </c>
      <c r="E1253" s="2" t="str">
        <f t="shared" si="2"/>
        <v>2016</v>
      </c>
      <c r="F1253" s="13" t="s">
        <v>41</v>
      </c>
      <c r="G1253" s="13" t="s">
        <v>2336</v>
      </c>
      <c r="H1253" s="13" t="s">
        <v>2337</v>
      </c>
      <c r="I1253" s="13" t="s">
        <v>23</v>
      </c>
      <c r="J1253" s="13" t="s">
        <v>1436</v>
      </c>
      <c r="K1253" s="13" t="s">
        <v>77</v>
      </c>
      <c r="L1253" s="13" t="s">
        <v>71</v>
      </c>
      <c r="M1253" s="13" t="s">
        <v>51</v>
      </c>
      <c r="N1253" s="14">
        <v>1099.96</v>
      </c>
      <c r="O1253" s="14">
        <v>1099.13</v>
      </c>
      <c r="P1253" s="13">
        <v>5.0</v>
      </c>
      <c r="Q1253" s="14">
        <f t="shared" si="3"/>
        <v>5499.8</v>
      </c>
      <c r="R1253" s="14">
        <f t="shared" si="4"/>
        <v>4400.67</v>
      </c>
      <c r="S1253" s="14">
        <f t="shared" si="5"/>
        <v>1099.13</v>
      </c>
    </row>
    <row r="1254">
      <c r="A1254" s="12">
        <v>43376.0</v>
      </c>
      <c r="B1254" s="12" t="s">
        <v>2358</v>
      </c>
      <c r="C1254" s="2">
        <v>43173.0</v>
      </c>
      <c r="D1254" s="15" t="str">
        <f t="shared" si="1"/>
        <v>Mar</v>
      </c>
      <c r="E1254" s="2" t="str">
        <f t="shared" si="2"/>
        <v>2018</v>
      </c>
      <c r="F1254" s="13" t="s">
        <v>41</v>
      </c>
      <c r="G1254" s="13" t="s">
        <v>2906</v>
      </c>
      <c r="H1254" s="13" t="s">
        <v>2376</v>
      </c>
      <c r="I1254" s="13" t="s">
        <v>68</v>
      </c>
      <c r="J1254" s="13" t="s">
        <v>1256</v>
      </c>
      <c r="K1254" s="13" t="s">
        <v>99</v>
      </c>
      <c r="L1254" s="13" t="s">
        <v>100</v>
      </c>
      <c r="M1254" s="13" t="s">
        <v>38</v>
      </c>
      <c r="N1254" s="14">
        <v>5.248</v>
      </c>
      <c r="O1254" s="14">
        <v>4.52</v>
      </c>
      <c r="P1254" s="13">
        <v>1.0</v>
      </c>
      <c r="Q1254" s="14">
        <f t="shared" si="3"/>
        <v>5.248</v>
      </c>
      <c r="R1254" s="14">
        <f t="shared" si="4"/>
        <v>0.728</v>
      </c>
      <c r="S1254" s="14">
        <f t="shared" si="5"/>
        <v>4.52</v>
      </c>
    </row>
    <row r="1255">
      <c r="A1255" s="12">
        <v>43376.0</v>
      </c>
      <c r="B1255" s="12" t="s">
        <v>2358</v>
      </c>
      <c r="C1255" s="2">
        <v>43173.0</v>
      </c>
      <c r="D1255" s="15" t="str">
        <f t="shared" si="1"/>
        <v>Mar</v>
      </c>
      <c r="E1255" s="2" t="str">
        <f t="shared" si="2"/>
        <v>2018</v>
      </c>
      <c r="F1255" s="13" t="s">
        <v>41</v>
      </c>
      <c r="G1255" s="13" t="s">
        <v>2906</v>
      </c>
      <c r="H1255" s="13" t="s">
        <v>2376</v>
      </c>
      <c r="I1255" s="13" t="s">
        <v>68</v>
      </c>
      <c r="J1255" s="13" t="s">
        <v>1256</v>
      </c>
      <c r="K1255" s="13" t="s">
        <v>99</v>
      </c>
      <c r="L1255" s="13" t="s">
        <v>100</v>
      </c>
      <c r="M1255" s="13" t="s">
        <v>51</v>
      </c>
      <c r="N1255" s="14">
        <v>35.91</v>
      </c>
      <c r="O1255" s="14">
        <v>35.48</v>
      </c>
      <c r="P1255" s="13">
        <v>1.0</v>
      </c>
      <c r="Q1255" s="14">
        <f t="shared" si="3"/>
        <v>35.91</v>
      </c>
      <c r="R1255" s="14">
        <f t="shared" si="4"/>
        <v>0.43</v>
      </c>
      <c r="S1255" s="14">
        <f t="shared" si="5"/>
        <v>35.48</v>
      </c>
    </row>
    <row r="1256">
      <c r="A1256" s="12">
        <v>43376.0</v>
      </c>
      <c r="B1256" s="12" t="s">
        <v>2358</v>
      </c>
      <c r="C1256" s="2">
        <v>43173.0</v>
      </c>
      <c r="D1256" s="15" t="str">
        <f t="shared" si="1"/>
        <v>Mar</v>
      </c>
      <c r="E1256" s="2" t="str">
        <f t="shared" si="2"/>
        <v>2018</v>
      </c>
      <c r="F1256" s="13" t="s">
        <v>41</v>
      </c>
      <c r="G1256" s="13" t="s">
        <v>2906</v>
      </c>
      <c r="H1256" s="13" t="s">
        <v>2376</v>
      </c>
      <c r="I1256" s="13" t="s">
        <v>68</v>
      </c>
      <c r="J1256" s="13" t="s">
        <v>1256</v>
      </c>
      <c r="K1256" s="13" t="s">
        <v>99</v>
      </c>
      <c r="L1256" s="13" t="s">
        <v>100</v>
      </c>
      <c r="M1256" s="13" t="s">
        <v>27</v>
      </c>
      <c r="N1256" s="14">
        <v>6.696</v>
      </c>
      <c r="O1256" s="14">
        <v>5.86</v>
      </c>
      <c r="P1256" s="13">
        <v>1.0</v>
      </c>
      <c r="Q1256" s="14">
        <f t="shared" si="3"/>
        <v>6.696</v>
      </c>
      <c r="R1256" s="14">
        <f t="shared" si="4"/>
        <v>0.836</v>
      </c>
      <c r="S1256" s="14">
        <f t="shared" si="5"/>
        <v>5.86</v>
      </c>
    </row>
    <row r="1257">
      <c r="A1257" s="12">
        <v>43376.0</v>
      </c>
      <c r="B1257" s="12" t="s">
        <v>2358</v>
      </c>
      <c r="C1257" s="2">
        <v>43173.0</v>
      </c>
      <c r="D1257" s="15" t="str">
        <f t="shared" si="1"/>
        <v>Mar</v>
      </c>
      <c r="E1257" s="2" t="str">
        <f t="shared" si="2"/>
        <v>2018</v>
      </c>
      <c r="F1257" s="13" t="s">
        <v>41</v>
      </c>
      <c r="G1257" s="13" t="s">
        <v>2906</v>
      </c>
      <c r="H1257" s="13" t="s">
        <v>2376</v>
      </c>
      <c r="I1257" s="13" t="s">
        <v>68</v>
      </c>
      <c r="J1257" s="13" t="s">
        <v>1256</v>
      </c>
      <c r="K1257" s="13" t="s">
        <v>99</v>
      </c>
      <c r="L1257" s="13" t="s">
        <v>100</v>
      </c>
      <c r="M1257" s="13" t="s">
        <v>27</v>
      </c>
      <c r="N1257" s="14">
        <v>43.872</v>
      </c>
      <c r="O1257" s="14">
        <v>43.2</v>
      </c>
      <c r="P1257" s="13">
        <v>1.0</v>
      </c>
      <c r="Q1257" s="14">
        <f t="shared" si="3"/>
        <v>43.872</v>
      </c>
      <c r="R1257" s="14">
        <f t="shared" si="4"/>
        <v>0.672</v>
      </c>
      <c r="S1257" s="14">
        <f t="shared" si="5"/>
        <v>43.2</v>
      </c>
    </row>
    <row r="1258">
      <c r="A1258" s="12">
        <v>43093.0</v>
      </c>
      <c r="B1258" s="12" t="s">
        <v>2325</v>
      </c>
      <c r="C1258" s="2">
        <v>43097.0</v>
      </c>
      <c r="D1258" s="15" t="str">
        <f t="shared" si="1"/>
        <v>Dec</v>
      </c>
      <c r="E1258" s="2" t="str">
        <f t="shared" si="2"/>
        <v>2017</v>
      </c>
      <c r="F1258" s="13" t="s">
        <v>20</v>
      </c>
      <c r="G1258" s="13" t="s">
        <v>2617</v>
      </c>
      <c r="H1258" s="13" t="s">
        <v>2618</v>
      </c>
      <c r="I1258" s="13" t="s">
        <v>68</v>
      </c>
      <c r="J1258" s="13" t="s">
        <v>284</v>
      </c>
      <c r="K1258" s="13" t="s">
        <v>58</v>
      </c>
      <c r="L1258" s="13" t="s">
        <v>26</v>
      </c>
      <c r="M1258" s="13" t="s">
        <v>38</v>
      </c>
      <c r="N1258" s="14">
        <v>27.882</v>
      </c>
      <c r="O1258" s="14">
        <v>27.08</v>
      </c>
      <c r="P1258" s="13">
        <v>2.0</v>
      </c>
      <c r="Q1258" s="14">
        <f t="shared" si="3"/>
        <v>55.764</v>
      </c>
      <c r="R1258" s="14">
        <f t="shared" si="4"/>
        <v>28.684</v>
      </c>
      <c r="S1258" s="14">
        <f t="shared" si="5"/>
        <v>27.08</v>
      </c>
    </row>
    <row r="1259">
      <c r="A1259" s="12">
        <v>43093.0</v>
      </c>
      <c r="B1259" s="12" t="s">
        <v>2325</v>
      </c>
      <c r="C1259" s="2">
        <v>43097.0</v>
      </c>
      <c r="D1259" s="15" t="str">
        <f t="shared" si="1"/>
        <v>Dec</v>
      </c>
      <c r="E1259" s="2" t="str">
        <f t="shared" si="2"/>
        <v>2017</v>
      </c>
      <c r="F1259" s="13" t="s">
        <v>20</v>
      </c>
      <c r="G1259" s="13" t="s">
        <v>2617</v>
      </c>
      <c r="H1259" s="13" t="s">
        <v>2618</v>
      </c>
      <c r="I1259" s="13" t="s">
        <v>68</v>
      </c>
      <c r="J1259" s="13" t="s">
        <v>284</v>
      </c>
      <c r="K1259" s="13" t="s">
        <v>58</v>
      </c>
      <c r="L1259" s="13" t="s">
        <v>26</v>
      </c>
      <c r="M1259" s="13" t="s">
        <v>38</v>
      </c>
      <c r="N1259" s="14">
        <v>540.048</v>
      </c>
      <c r="O1259" s="14">
        <v>539.46</v>
      </c>
      <c r="P1259" s="13">
        <v>2.0</v>
      </c>
      <c r="Q1259" s="14">
        <f t="shared" si="3"/>
        <v>1080.096</v>
      </c>
      <c r="R1259" s="14">
        <f t="shared" si="4"/>
        <v>540.636</v>
      </c>
      <c r="S1259" s="14">
        <f t="shared" si="5"/>
        <v>539.46</v>
      </c>
    </row>
    <row r="1260">
      <c r="A1260" s="12">
        <v>43093.0</v>
      </c>
      <c r="B1260" s="12" t="s">
        <v>2325</v>
      </c>
      <c r="C1260" s="2">
        <v>43097.0</v>
      </c>
      <c r="D1260" s="15" t="str">
        <f t="shared" si="1"/>
        <v>Dec</v>
      </c>
      <c r="E1260" s="2" t="str">
        <f t="shared" si="2"/>
        <v>2017</v>
      </c>
      <c r="F1260" s="13" t="s">
        <v>20</v>
      </c>
      <c r="G1260" s="13" t="s">
        <v>2617</v>
      </c>
      <c r="H1260" s="13" t="s">
        <v>2618</v>
      </c>
      <c r="I1260" s="13" t="s">
        <v>68</v>
      </c>
      <c r="J1260" s="13" t="s">
        <v>284</v>
      </c>
      <c r="K1260" s="13" t="s">
        <v>58</v>
      </c>
      <c r="L1260" s="13" t="s">
        <v>26</v>
      </c>
      <c r="M1260" s="13" t="s">
        <v>51</v>
      </c>
      <c r="N1260" s="14">
        <v>255.68</v>
      </c>
      <c r="O1260" s="14">
        <v>255.03</v>
      </c>
      <c r="P1260" s="13">
        <v>2.0</v>
      </c>
      <c r="Q1260" s="14">
        <f t="shared" si="3"/>
        <v>511.36</v>
      </c>
      <c r="R1260" s="14">
        <f t="shared" si="4"/>
        <v>256.33</v>
      </c>
      <c r="S1260" s="14">
        <f t="shared" si="5"/>
        <v>255.03</v>
      </c>
    </row>
    <row r="1261">
      <c r="A1261" s="12">
        <v>43396.0</v>
      </c>
      <c r="B1261" s="12" t="s">
        <v>2358</v>
      </c>
      <c r="C1261" s="2">
        <v>43400.0</v>
      </c>
      <c r="D1261" s="15" t="str">
        <f t="shared" si="1"/>
        <v>Oct</v>
      </c>
      <c r="E1261" s="2" t="str">
        <f t="shared" si="2"/>
        <v>2018</v>
      </c>
      <c r="F1261" s="13" t="s">
        <v>41</v>
      </c>
      <c r="G1261" s="13" t="s">
        <v>2907</v>
      </c>
      <c r="H1261" s="13" t="s">
        <v>2908</v>
      </c>
      <c r="I1261" s="13" t="s">
        <v>23</v>
      </c>
      <c r="J1261" s="13" t="s">
        <v>849</v>
      </c>
      <c r="K1261" s="13" t="s">
        <v>145</v>
      </c>
      <c r="L1261" s="13" t="s">
        <v>26</v>
      </c>
      <c r="M1261" s="13" t="s">
        <v>51</v>
      </c>
      <c r="N1261" s="14">
        <v>863.88</v>
      </c>
      <c r="O1261" s="14">
        <v>863.17</v>
      </c>
      <c r="P1261" s="13">
        <v>3.0</v>
      </c>
      <c r="Q1261" s="14">
        <f t="shared" si="3"/>
        <v>2591.64</v>
      </c>
      <c r="R1261" s="14">
        <f t="shared" si="4"/>
        <v>1728.47</v>
      </c>
      <c r="S1261" s="14">
        <f t="shared" si="5"/>
        <v>863.17</v>
      </c>
    </row>
    <row r="1262">
      <c r="A1262" s="12">
        <v>43036.0</v>
      </c>
      <c r="B1262" s="12" t="s">
        <v>2358</v>
      </c>
      <c r="C1262" s="2">
        <v>42836.0</v>
      </c>
      <c r="D1262" s="15" t="str">
        <f t="shared" si="1"/>
        <v>Apr</v>
      </c>
      <c r="E1262" s="2" t="str">
        <f t="shared" si="2"/>
        <v>2017</v>
      </c>
      <c r="F1262" s="13" t="s">
        <v>41</v>
      </c>
      <c r="G1262" s="13" t="s">
        <v>2909</v>
      </c>
      <c r="H1262" s="13" t="s">
        <v>2910</v>
      </c>
      <c r="I1262" s="13" t="s">
        <v>34</v>
      </c>
      <c r="J1262" s="13" t="s">
        <v>1996</v>
      </c>
      <c r="K1262" s="13" t="s">
        <v>58</v>
      </c>
      <c r="L1262" s="13" t="s">
        <v>26</v>
      </c>
      <c r="M1262" s="13" t="s">
        <v>38</v>
      </c>
      <c r="N1262" s="14">
        <v>17.616</v>
      </c>
      <c r="O1262" s="14">
        <v>16.71</v>
      </c>
      <c r="P1262" s="13">
        <v>2.0</v>
      </c>
      <c r="Q1262" s="14">
        <f t="shared" si="3"/>
        <v>35.232</v>
      </c>
      <c r="R1262" s="14">
        <f t="shared" si="4"/>
        <v>18.522</v>
      </c>
      <c r="S1262" s="14">
        <f t="shared" si="5"/>
        <v>16.71</v>
      </c>
    </row>
    <row r="1263">
      <c r="A1263" s="12">
        <v>43288.0</v>
      </c>
      <c r="B1263" s="12" t="s">
        <v>2348</v>
      </c>
      <c r="C1263" s="2">
        <v>43350.0</v>
      </c>
      <c r="D1263" s="15" t="str">
        <f t="shared" si="1"/>
        <v>Sep</v>
      </c>
      <c r="E1263" s="2" t="str">
        <f t="shared" si="2"/>
        <v>2018</v>
      </c>
      <c r="F1263" s="13" t="s">
        <v>20</v>
      </c>
      <c r="G1263" s="13" t="s">
        <v>2532</v>
      </c>
      <c r="H1263" s="13" t="s">
        <v>2631</v>
      </c>
      <c r="I1263" s="13" t="s">
        <v>23</v>
      </c>
      <c r="J1263" s="13" t="s">
        <v>654</v>
      </c>
      <c r="K1263" s="13" t="s">
        <v>175</v>
      </c>
      <c r="L1263" s="13" t="s">
        <v>100</v>
      </c>
      <c r="M1263" s="13" t="s">
        <v>38</v>
      </c>
      <c r="N1263" s="14">
        <v>17.472</v>
      </c>
      <c r="O1263" s="14">
        <v>17.28</v>
      </c>
      <c r="P1263" s="13">
        <v>1.0</v>
      </c>
      <c r="Q1263" s="14">
        <f t="shared" si="3"/>
        <v>17.472</v>
      </c>
      <c r="R1263" s="14">
        <f t="shared" si="4"/>
        <v>0.192</v>
      </c>
      <c r="S1263" s="14">
        <f t="shared" si="5"/>
        <v>17.28</v>
      </c>
    </row>
    <row r="1264">
      <c r="A1264" s="12">
        <v>42745.0</v>
      </c>
      <c r="B1264" s="12" t="s">
        <v>2353</v>
      </c>
      <c r="C1264" s="2">
        <v>42776.0</v>
      </c>
      <c r="D1264" s="15" t="str">
        <f t="shared" si="1"/>
        <v>Feb</v>
      </c>
      <c r="E1264" s="2" t="str">
        <f t="shared" si="2"/>
        <v>2017</v>
      </c>
      <c r="F1264" s="13" t="s">
        <v>121</v>
      </c>
      <c r="G1264" s="13" t="s">
        <v>2775</v>
      </c>
      <c r="H1264" s="13" t="s">
        <v>2911</v>
      </c>
      <c r="I1264" s="13" t="s">
        <v>23</v>
      </c>
      <c r="J1264" s="13" t="s">
        <v>1873</v>
      </c>
      <c r="K1264" s="13" t="s">
        <v>169</v>
      </c>
      <c r="L1264" s="13" t="s">
        <v>71</v>
      </c>
      <c r="M1264" s="13" t="s">
        <v>51</v>
      </c>
      <c r="N1264" s="14">
        <v>69.9</v>
      </c>
      <c r="O1264" s="14">
        <v>69.37</v>
      </c>
      <c r="P1264" s="13">
        <v>4.0</v>
      </c>
      <c r="Q1264" s="14">
        <f t="shared" si="3"/>
        <v>279.6</v>
      </c>
      <c r="R1264" s="14">
        <f t="shared" si="4"/>
        <v>210.23</v>
      </c>
      <c r="S1264" s="14">
        <f t="shared" si="5"/>
        <v>69.37</v>
      </c>
    </row>
    <row r="1265">
      <c r="A1265" s="12">
        <v>42745.0</v>
      </c>
      <c r="B1265" s="12" t="s">
        <v>2353</v>
      </c>
      <c r="C1265" s="2">
        <v>42776.0</v>
      </c>
      <c r="D1265" s="15" t="str">
        <f t="shared" si="1"/>
        <v>Feb</v>
      </c>
      <c r="E1265" s="2" t="str">
        <f t="shared" si="2"/>
        <v>2017</v>
      </c>
      <c r="F1265" s="13" t="s">
        <v>121</v>
      </c>
      <c r="G1265" s="13" t="s">
        <v>2775</v>
      </c>
      <c r="H1265" s="13" t="s">
        <v>2911</v>
      </c>
      <c r="I1265" s="13" t="s">
        <v>23</v>
      </c>
      <c r="J1265" s="13" t="s">
        <v>1873</v>
      </c>
      <c r="K1265" s="13" t="s">
        <v>169</v>
      </c>
      <c r="L1265" s="13" t="s">
        <v>71</v>
      </c>
      <c r="M1265" s="13" t="s">
        <v>27</v>
      </c>
      <c r="N1265" s="14">
        <v>41.85</v>
      </c>
      <c r="O1265" s="14">
        <v>41.21</v>
      </c>
      <c r="P1265" s="13">
        <v>4.0</v>
      </c>
      <c r="Q1265" s="14">
        <f t="shared" si="3"/>
        <v>167.4</v>
      </c>
      <c r="R1265" s="14">
        <f t="shared" si="4"/>
        <v>126.19</v>
      </c>
      <c r="S1265" s="14">
        <f t="shared" si="5"/>
        <v>41.21</v>
      </c>
    </row>
    <row r="1266">
      <c r="A1266" s="12">
        <v>43140.0</v>
      </c>
      <c r="B1266" s="12" t="s">
        <v>2431</v>
      </c>
      <c r="C1266" s="2">
        <v>43290.0</v>
      </c>
      <c r="D1266" s="15" t="str">
        <f t="shared" si="1"/>
        <v>Jul</v>
      </c>
      <c r="E1266" s="2" t="str">
        <f t="shared" si="2"/>
        <v>2018</v>
      </c>
      <c r="F1266" s="13" t="s">
        <v>41</v>
      </c>
      <c r="G1266" s="13" t="s">
        <v>2912</v>
      </c>
      <c r="H1266" s="13" t="s">
        <v>2913</v>
      </c>
      <c r="I1266" s="13" t="s">
        <v>23</v>
      </c>
      <c r="J1266" s="13" t="s">
        <v>87</v>
      </c>
      <c r="K1266" s="13" t="s">
        <v>52</v>
      </c>
      <c r="L1266" s="13" t="s">
        <v>37</v>
      </c>
      <c r="M1266" s="13" t="s">
        <v>38</v>
      </c>
      <c r="N1266" s="14">
        <v>6.57</v>
      </c>
      <c r="O1266" s="14">
        <v>6.47</v>
      </c>
      <c r="P1266" s="13">
        <v>9.0</v>
      </c>
      <c r="Q1266" s="14">
        <f t="shared" si="3"/>
        <v>59.13</v>
      </c>
      <c r="R1266" s="14">
        <f t="shared" si="4"/>
        <v>52.66</v>
      </c>
      <c r="S1266" s="14">
        <f t="shared" si="5"/>
        <v>6.47</v>
      </c>
    </row>
    <row r="1267">
      <c r="A1267" s="12">
        <v>42362.0</v>
      </c>
      <c r="B1267" s="12" t="s">
        <v>2325</v>
      </c>
      <c r="C1267" s="2">
        <v>42367.0</v>
      </c>
      <c r="D1267" s="15" t="str">
        <f t="shared" si="1"/>
        <v>Dec</v>
      </c>
      <c r="E1267" s="2" t="str">
        <f t="shared" si="2"/>
        <v>2015</v>
      </c>
      <c r="F1267" s="13" t="s">
        <v>41</v>
      </c>
      <c r="G1267" s="13" t="s">
        <v>2400</v>
      </c>
      <c r="H1267" s="13" t="s">
        <v>2401</v>
      </c>
      <c r="I1267" s="13" t="s">
        <v>34</v>
      </c>
      <c r="J1267" s="13" t="s">
        <v>35</v>
      </c>
      <c r="K1267" s="13" t="s">
        <v>52</v>
      </c>
      <c r="L1267" s="13" t="s">
        <v>37</v>
      </c>
      <c r="M1267" s="13" t="s">
        <v>38</v>
      </c>
      <c r="N1267" s="14">
        <v>142.86</v>
      </c>
      <c r="O1267" s="14">
        <v>142.19</v>
      </c>
      <c r="P1267" s="13">
        <v>9.0</v>
      </c>
      <c r="Q1267" s="14">
        <f t="shared" si="3"/>
        <v>1285.74</v>
      </c>
      <c r="R1267" s="14">
        <f t="shared" si="4"/>
        <v>1143.55</v>
      </c>
      <c r="S1267" s="14">
        <f t="shared" si="5"/>
        <v>142.19</v>
      </c>
    </row>
    <row r="1268">
      <c r="A1268" s="12">
        <v>42362.0</v>
      </c>
      <c r="B1268" s="12" t="s">
        <v>2325</v>
      </c>
      <c r="C1268" s="2">
        <v>42367.0</v>
      </c>
      <c r="D1268" s="15" t="str">
        <f t="shared" si="1"/>
        <v>Dec</v>
      </c>
      <c r="E1268" s="2" t="str">
        <f t="shared" si="2"/>
        <v>2015</v>
      </c>
      <c r="F1268" s="13" t="s">
        <v>41</v>
      </c>
      <c r="G1268" s="13" t="s">
        <v>2400</v>
      </c>
      <c r="H1268" s="13" t="s">
        <v>2401</v>
      </c>
      <c r="I1268" s="13" t="s">
        <v>34</v>
      </c>
      <c r="J1268" s="13" t="s">
        <v>35</v>
      </c>
      <c r="K1268" s="13" t="s">
        <v>52</v>
      </c>
      <c r="L1268" s="13" t="s">
        <v>37</v>
      </c>
      <c r="M1268" s="13" t="s">
        <v>27</v>
      </c>
      <c r="N1268" s="14">
        <v>292.272</v>
      </c>
      <c r="O1268" s="14">
        <v>291.82</v>
      </c>
      <c r="P1268" s="13">
        <v>9.0</v>
      </c>
      <c r="Q1268" s="14">
        <f t="shared" si="3"/>
        <v>2630.448</v>
      </c>
      <c r="R1268" s="14">
        <f t="shared" si="4"/>
        <v>2338.628</v>
      </c>
      <c r="S1268" s="14">
        <f t="shared" si="5"/>
        <v>291.82</v>
      </c>
    </row>
    <row r="1269">
      <c r="A1269" s="12">
        <v>43366.0</v>
      </c>
      <c r="B1269" s="12" t="s">
        <v>2329</v>
      </c>
      <c r="C1269" s="2">
        <v>43370.0</v>
      </c>
      <c r="D1269" s="15" t="str">
        <f t="shared" si="1"/>
        <v>Sep</v>
      </c>
      <c r="E1269" s="2" t="str">
        <f t="shared" si="2"/>
        <v>2018</v>
      </c>
      <c r="F1269" s="13" t="s">
        <v>41</v>
      </c>
      <c r="G1269" s="13" t="s">
        <v>2903</v>
      </c>
      <c r="H1269" s="13" t="s">
        <v>2904</v>
      </c>
      <c r="I1269" s="13" t="s">
        <v>34</v>
      </c>
      <c r="J1269" s="13" t="s">
        <v>818</v>
      </c>
      <c r="K1269" s="13" t="s">
        <v>279</v>
      </c>
      <c r="L1269" s="13" t="s">
        <v>37</v>
      </c>
      <c r="M1269" s="13" t="s">
        <v>27</v>
      </c>
      <c r="N1269" s="14">
        <v>29.328</v>
      </c>
      <c r="O1269" s="14">
        <v>28.51</v>
      </c>
      <c r="P1269" s="13">
        <v>8.0</v>
      </c>
      <c r="Q1269" s="14">
        <f t="shared" si="3"/>
        <v>234.624</v>
      </c>
      <c r="R1269" s="14">
        <f t="shared" si="4"/>
        <v>206.114</v>
      </c>
      <c r="S1269" s="14">
        <f t="shared" si="5"/>
        <v>28.51</v>
      </c>
    </row>
    <row r="1270">
      <c r="A1270" s="12">
        <v>43196.0</v>
      </c>
      <c r="B1270" s="12" t="s">
        <v>2332</v>
      </c>
      <c r="C1270" s="2">
        <v>43318.0</v>
      </c>
      <c r="D1270" s="15" t="str">
        <f t="shared" si="1"/>
        <v>Aug</v>
      </c>
      <c r="E1270" s="2" t="str">
        <f t="shared" si="2"/>
        <v>2018</v>
      </c>
      <c r="F1270" s="13" t="s">
        <v>41</v>
      </c>
      <c r="G1270" s="13" t="s">
        <v>2521</v>
      </c>
      <c r="H1270" s="13" t="s">
        <v>2914</v>
      </c>
      <c r="I1270" s="13" t="s">
        <v>23</v>
      </c>
      <c r="J1270" s="13" t="s">
        <v>1450</v>
      </c>
      <c r="K1270" s="13" t="s">
        <v>220</v>
      </c>
      <c r="L1270" s="13" t="s">
        <v>26</v>
      </c>
      <c r="M1270" s="13" t="s">
        <v>38</v>
      </c>
      <c r="N1270" s="14">
        <v>12.48</v>
      </c>
      <c r="O1270" s="14">
        <v>11.51</v>
      </c>
      <c r="P1270" s="13">
        <v>3.0</v>
      </c>
      <c r="Q1270" s="14">
        <f t="shared" si="3"/>
        <v>37.44</v>
      </c>
      <c r="R1270" s="14">
        <f t="shared" si="4"/>
        <v>25.93</v>
      </c>
      <c r="S1270" s="14">
        <f t="shared" si="5"/>
        <v>11.51</v>
      </c>
    </row>
    <row r="1271">
      <c r="A1271" s="12">
        <v>42846.0</v>
      </c>
      <c r="B1271" s="12" t="s">
        <v>2332</v>
      </c>
      <c r="C1271" s="2">
        <v>42851.0</v>
      </c>
      <c r="D1271" s="15" t="str">
        <f t="shared" si="1"/>
        <v>Apr</v>
      </c>
      <c r="E1271" s="2" t="str">
        <f t="shared" si="2"/>
        <v>2017</v>
      </c>
      <c r="F1271" s="13" t="s">
        <v>41</v>
      </c>
      <c r="G1271" s="13" t="s">
        <v>2729</v>
      </c>
      <c r="H1271" s="13" t="s">
        <v>2730</v>
      </c>
      <c r="I1271" s="13" t="s">
        <v>34</v>
      </c>
      <c r="J1271" s="13" t="s">
        <v>188</v>
      </c>
      <c r="K1271" s="13" t="s">
        <v>135</v>
      </c>
      <c r="L1271" s="13" t="s">
        <v>71</v>
      </c>
      <c r="M1271" s="13" t="s">
        <v>38</v>
      </c>
      <c r="N1271" s="14">
        <v>102.336</v>
      </c>
      <c r="O1271" s="14">
        <v>102.03</v>
      </c>
      <c r="P1271" s="13">
        <v>6.0</v>
      </c>
      <c r="Q1271" s="14">
        <f t="shared" si="3"/>
        <v>614.016</v>
      </c>
      <c r="R1271" s="14">
        <f t="shared" si="4"/>
        <v>511.986</v>
      </c>
      <c r="S1271" s="14">
        <f t="shared" si="5"/>
        <v>102.03</v>
      </c>
    </row>
    <row r="1272">
      <c r="A1272" s="12">
        <v>42846.0</v>
      </c>
      <c r="B1272" s="12" t="s">
        <v>2332</v>
      </c>
      <c r="C1272" s="2">
        <v>42851.0</v>
      </c>
      <c r="D1272" s="15" t="str">
        <f t="shared" si="1"/>
        <v>Apr</v>
      </c>
      <c r="E1272" s="2" t="str">
        <f t="shared" si="2"/>
        <v>2017</v>
      </c>
      <c r="F1272" s="13" t="s">
        <v>41</v>
      </c>
      <c r="G1272" s="13" t="s">
        <v>2729</v>
      </c>
      <c r="H1272" s="13" t="s">
        <v>2730</v>
      </c>
      <c r="I1272" s="13" t="s">
        <v>34</v>
      </c>
      <c r="J1272" s="13" t="s">
        <v>188</v>
      </c>
      <c r="K1272" s="13" t="s">
        <v>135</v>
      </c>
      <c r="L1272" s="13" t="s">
        <v>71</v>
      </c>
      <c r="M1272" s="13" t="s">
        <v>38</v>
      </c>
      <c r="N1272" s="14">
        <v>48.792</v>
      </c>
      <c r="O1272" s="14">
        <v>48.47</v>
      </c>
      <c r="P1272" s="13">
        <v>6.0</v>
      </c>
      <c r="Q1272" s="14">
        <f t="shared" si="3"/>
        <v>292.752</v>
      </c>
      <c r="R1272" s="14">
        <f t="shared" si="4"/>
        <v>244.282</v>
      </c>
      <c r="S1272" s="14">
        <f t="shared" si="5"/>
        <v>48.47</v>
      </c>
    </row>
    <row r="1273">
      <c r="A1273" s="12">
        <v>42846.0</v>
      </c>
      <c r="B1273" s="12" t="s">
        <v>2332</v>
      </c>
      <c r="C1273" s="2">
        <v>42851.0</v>
      </c>
      <c r="D1273" s="15" t="str">
        <f t="shared" si="1"/>
        <v>Apr</v>
      </c>
      <c r="E1273" s="2" t="str">
        <f t="shared" si="2"/>
        <v>2017</v>
      </c>
      <c r="F1273" s="13" t="s">
        <v>41</v>
      </c>
      <c r="G1273" s="13" t="s">
        <v>2729</v>
      </c>
      <c r="H1273" s="13" t="s">
        <v>2730</v>
      </c>
      <c r="I1273" s="13" t="s">
        <v>34</v>
      </c>
      <c r="J1273" s="13" t="s">
        <v>188</v>
      </c>
      <c r="K1273" s="13" t="s">
        <v>135</v>
      </c>
      <c r="L1273" s="13" t="s">
        <v>71</v>
      </c>
      <c r="M1273" s="13" t="s">
        <v>38</v>
      </c>
      <c r="N1273" s="14">
        <v>44.848</v>
      </c>
      <c r="O1273" s="14">
        <v>44.72</v>
      </c>
      <c r="P1273" s="13">
        <v>6.0</v>
      </c>
      <c r="Q1273" s="14">
        <f t="shared" si="3"/>
        <v>269.088</v>
      </c>
      <c r="R1273" s="14">
        <f t="shared" si="4"/>
        <v>224.368</v>
      </c>
      <c r="S1273" s="14">
        <f t="shared" si="5"/>
        <v>44.72</v>
      </c>
    </row>
    <row r="1274">
      <c r="A1274" s="12">
        <v>42881.0</v>
      </c>
      <c r="B1274" s="12" t="s">
        <v>2335</v>
      </c>
      <c r="C1274" s="2">
        <v>42881.0</v>
      </c>
      <c r="D1274" s="15" t="str">
        <f t="shared" si="1"/>
        <v>May</v>
      </c>
      <c r="E1274" s="2" t="str">
        <f t="shared" si="2"/>
        <v>2017</v>
      </c>
      <c r="F1274" s="13" t="s">
        <v>717</v>
      </c>
      <c r="G1274" s="13" t="s">
        <v>2880</v>
      </c>
      <c r="H1274" s="13" t="s">
        <v>2881</v>
      </c>
      <c r="I1274" s="13" t="s">
        <v>23</v>
      </c>
      <c r="J1274" s="13" t="s">
        <v>69</v>
      </c>
      <c r="K1274" s="13" t="s">
        <v>70</v>
      </c>
      <c r="L1274" s="13" t="s">
        <v>71</v>
      </c>
      <c r="M1274" s="13" t="s">
        <v>38</v>
      </c>
      <c r="N1274" s="14">
        <v>10.368</v>
      </c>
      <c r="O1274" s="14">
        <v>9.44</v>
      </c>
      <c r="P1274" s="13">
        <v>7.0</v>
      </c>
      <c r="Q1274" s="14">
        <f t="shared" si="3"/>
        <v>72.576</v>
      </c>
      <c r="R1274" s="14">
        <f t="shared" si="4"/>
        <v>63.136</v>
      </c>
      <c r="S1274" s="14">
        <f t="shared" si="5"/>
        <v>9.44</v>
      </c>
    </row>
    <row r="1275">
      <c r="A1275" s="12">
        <v>42881.0</v>
      </c>
      <c r="B1275" s="12" t="s">
        <v>2335</v>
      </c>
      <c r="C1275" s="2">
        <v>42881.0</v>
      </c>
      <c r="D1275" s="15" t="str">
        <f t="shared" si="1"/>
        <v>May</v>
      </c>
      <c r="E1275" s="2" t="str">
        <f t="shared" si="2"/>
        <v>2017</v>
      </c>
      <c r="F1275" s="13" t="s">
        <v>717</v>
      </c>
      <c r="G1275" s="13" t="s">
        <v>2880</v>
      </c>
      <c r="H1275" s="13" t="s">
        <v>2881</v>
      </c>
      <c r="I1275" s="13" t="s">
        <v>23</v>
      </c>
      <c r="J1275" s="13" t="s">
        <v>69</v>
      </c>
      <c r="K1275" s="13" t="s">
        <v>70</v>
      </c>
      <c r="L1275" s="13" t="s">
        <v>71</v>
      </c>
      <c r="M1275" s="13" t="s">
        <v>27</v>
      </c>
      <c r="N1275" s="14">
        <v>388.43</v>
      </c>
      <c r="O1275" s="14">
        <v>388.36</v>
      </c>
      <c r="P1275" s="13">
        <v>7.0</v>
      </c>
      <c r="Q1275" s="14">
        <f t="shared" si="3"/>
        <v>2719.01</v>
      </c>
      <c r="R1275" s="14">
        <f t="shared" si="4"/>
        <v>2330.65</v>
      </c>
      <c r="S1275" s="14">
        <f t="shared" si="5"/>
        <v>388.36</v>
      </c>
    </row>
    <row r="1276">
      <c r="A1276" s="12">
        <v>42881.0</v>
      </c>
      <c r="B1276" s="12" t="s">
        <v>2335</v>
      </c>
      <c r="C1276" s="2">
        <v>42881.0</v>
      </c>
      <c r="D1276" s="15" t="str">
        <f t="shared" si="1"/>
        <v>May</v>
      </c>
      <c r="E1276" s="2" t="str">
        <f t="shared" si="2"/>
        <v>2017</v>
      </c>
      <c r="F1276" s="13" t="s">
        <v>717</v>
      </c>
      <c r="G1276" s="13" t="s">
        <v>2880</v>
      </c>
      <c r="H1276" s="13" t="s">
        <v>2881</v>
      </c>
      <c r="I1276" s="13" t="s">
        <v>23</v>
      </c>
      <c r="J1276" s="13" t="s">
        <v>69</v>
      </c>
      <c r="K1276" s="13" t="s">
        <v>70</v>
      </c>
      <c r="L1276" s="13" t="s">
        <v>71</v>
      </c>
      <c r="M1276" s="13" t="s">
        <v>38</v>
      </c>
      <c r="N1276" s="14">
        <v>14.352</v>
      </c>
      <c r="O1276" s="14">
        <v>13.52</v>
      </c>
      <c r="P1276" s="13">
        <v>7.0</v>
      </c>
      <c r="Q1276" s="14">
        <f t="shared" si="3"/>
        <v>100.464</v>
      </c>
      <c r="R1276" s="14">
        <f t="shared" si="4"/>
        <v>86.944</v>
      </c>
      <c r="S1276" s="14">
        <f t="shared" si="5"/>
        <v>13.52</v>
      </c>
    </row>
    <row r="1277">
      <c r="A1277" s="12">
        <v>42881.0</v>
      </c>
      <c r="B1277" s="12" t="s">
        <v>2335</v>
      </c>
      <c r="C1277" s="2">
        <v>42881.0</v>
      </c>
      <c r="D1277" s="15" t="str">
        <f t="shared" si="1"/>
        <v>May</v>
      </c>
      <c r="E1277" s="2" t="str">
        <f t="shared" si="2"/>
        <v>2017</v>
      </c>
      <c r="F1277" s="13" t="s">
        <v>717</v>
      </c>
      <c r="G1277" s="13" t="s">
        <v>2880</v>
      </c>
      <c r="H1277" s="13" t="s">
        <v>2881</v>
      </c>
      <c r="I1277" s="13" t="s">
        <v>23</v>
      </c>
      <c r="J1277" s="13" t="s">
        <v>69</v>
      </c>
      <c r="K1277" s="13" t="s">
        <v>70</v>
      </c>
      <c r="L1277" s="13" t="s">
        <v>71</v>
      </c>
      <c r="M1277" s="13" t="s">
        <v>51</v>
      </c>
      <c r="N1277" s="14">
        <v>63.992</v>
      </c>
      <c r="O1277" s="14">
        <v>63.77</v>
      </c>
      <c r="P1277" s="13">
        <v>7.0</v>
      </c>
      <c r="Q1277" s="14">
        <f t="shared" si="3"/>
        <v>447.944</v>
      </c>
      <c r="R1277" s="14">
        <f t="shared" si="4"/>
        <v>384.174</v>
      </c>
      <c r="S1277" s="14">
        <f t="shared" si="5"/>
        <v>63.77</v>
      </c>
    </row>
    <row r="1278">
      <c r="A1278" s="12">
        <v>42771.0</v>
      </c>
      <c r="B1278" s="12" t="s">
        <v>2431</v>
      </c>
      <c r="C1278" s="2">
        <v>42921.0</v>
      </c>
      <c r="D1278" s="15" t="str">
        <f t="shared" si="1"/>
        <v>Jul</v>
      </c>
      <c r="E1278" s="2" t="str">
        <f t="shared" si="2"/>
        <v>2017</v>
      </c>
      <c r="F1278" s="13" t="s">
        <v>41</v>
      </c>
      <c r="G1278" s="13" t="s">
        <v>2781</v>
      </c>
      <c r="H1278" s="13" t="s">
        <v>2915</v>
      </c>
      <c r="I1278" s="13" t="s">
        <v>23</v>
      </c>
      <c r="J1278" s="13" t="s">
        <v>129</v>
      </c>
      <c r="K1278" s="13" t="s">
        <v>70</v>
      </c>
      <c r="L1278" s="13" t="s">
        <v>71</v>
      </c>
      <c r="M1278" s="13" t="s">
        <v>38</v>
      </c>
      <c r="N1278" s="14">
        <v>86.352</v>
      </c>
      <c r="O1278" s="14">
        <v>85.45</v>
      </c>
      <c r="P1278" s="13">
        <v>7.0</v>
      </c>
      <c r="Q1278" s="14">
        <f t="shared" si="3"/>
        <v>604.464</v>
      </c>
      <c r="R1278" s="14">
        <f t="shared" si="4"/>
        <v>519.014</v>
      </c>
      <c r="S1278" s="14">
        <f t="shared" si="5"/>
        <v>85.45</v>
      </c>
    </row>
    <row r="1279">
      <c r="A1279" s="12">
        <v>42225.0</v>
      </c>
      <c r="B1279" s="12" t="s">
        <v>2322</v>
      </c>
      <c r="C1279" s="2">
        <v>42317.0</v>
      </c>
      <c r="D1279" s="15" t="str">
        <f t="shared" si="1"/>
        <v>Nov</v>
      </c>
      <c r="E1279" s="2" t="str">
        <f t="shared" si="2"/>
        <v>2015</v>
      </c>
      <c r="F1279" s="13" t="s">
        <v>121</v>
      </c>
      <c r="G1279" s="13" t="s">
        <v>2388</v>
      </c>
      <c r="H1279" s="13" t="s">
        <v>2834</v>
      </c>
      <c r="I1279" s="13" t="s">
        <v>34</v>
      </c>
      <c r="J1279" s="13" t="s">
        <v>2018</v>
      </c>
      <c r="K1279" s="13" t="s">
        <v>707</v>
      </c>
      <c r="L1279" s="13" t="s">
        <v>26</v>
      </c>
      <c r="M1279" s="13" t="s">
        <v>51</v>
      </c>
      <c r="N1279" s="14">
        <v>32.97</v>
      </c>
      <c r="O1279" s="14">
        <v>32.51</v>
      </c>
      <c r="P1279" s="13">
        <v>3.0</v>
      </c>
      <c r="Q1279" s="14">
        <f t="shared" si="3"/>
        <v>98.91</v>
      </c>
      <c r="R1279" s="14">
        <f t="shared" si="4"/>
        <v>66.4</v>
      </c>
      <c r="S1279" s="14">
        <f t="shared" si="5"/>
        <v>32.51</v>
      </c>
    </row>
    <row r="1280">
      <c r="A1280" s="12">
        <v>42225.0</v>
      </c>
      <c r="B1280" s="12" t="s">
        <v>2322</v>
      </c>
      <c r="C1280" s="2">
        <v>42317.0</v>
      </c>
      <c r="D1280" s="15" t="str">
        <f t="shared" si="1"/>
        <v>Nov</v>
      </c>
      <c r="E1280" s="2" t="str">
        <f t="shared" si="2"/>
        <v>2015</v>
      </c>
      <c r="F1280" s="13" t="s">
        <v>121</v>
      </c>
      <c r="G1280" s="13" t="s">
        <v>2388</v>
      </c>
      <c r="H1280" s="13" t="s">
        <v>2834</v>
      </c>
      <c r="I1280" s="13" t="s">
        <v>34</v>
      </c>
      <c r="J1280" s="13" t="s">
        <v>2018</v>
      </c>
      <c r="K1280" s="13" t="s">
        <v>707</v>
      </c>
      <c r="L1280" s="13" t="s">
        <v>26</v>
      </c>
      <c r="M1280" s="13" t="s">
        <v>51</v>
      </c>
      <c r="N1280" s="14">
        <v>83.88</v>
      </c>
      <c r="O1280" s="14">
        <v>83.08</v>
      </c>
      <c r="P1280" s="13">
        <v>3.0</v>
      </c>
      <c r="Q1280" s="14">
        <f t="shared" si="3"/>
        <v>251.64</v>
      </c>
      <c r="R1280" s="14">
        <f t="shared" si="4"/>
        <v>168.56</v>
      </c>
      <c r="S1280" s="14">
        <f t="shared" si="5"/>
        <v>83.08</v>
      </c>
    </row>
    <row r="1281">
      <c r="A1281" s="12">
        <v>42864.0</v>
      </c>
      <c r="B1281" s="12" t="s">
        <v>2335</v>
      </c>
      <c r="C1281" s="2">
        <v>42895.0</v>
      </c>
      <c r="D1281" s="15" t="str">
        <f t="shared" si="1"/>
        <v>Jun</v>
      </c>
      <c r="E1281" s="2" t="str">
        <f t="shared" si="2"/>
        <v>2017</v>
      </c>
      <c r="F1281" s="13" t="s">
        <v>121</v>
      </c>
      <c r="G1281" s="13" t="s">
        <v>2794</v>
      </c>
      <c r="H1281" s="13" t="s">
        <v>2795</v>
      </c>
      <c r="I1281" s="13" t="s">
        <v>23</v>
      </c>
      <c r="J1281" s="13" t="s">
        <v>2020</v>
      </c>
      <c r="K1281" s="13" t="s">
        <v>298</v>
      </c>
      <c r="L1281" s="13" t="s">
        <v>71</v>
      </c>
      <c r="M1281" s="13" t="s">
        <v>51</v>
      </c>
      <c r="N1281" s="14">
        <v>278.4</v>
      </c>
      <c r="O1281" s="14">
        <v>278.21</v>
      </c>
      <c r="P1281" s="13">
        <v>5.0</v>
      </c>
      <c r="Q1281" s="14">
        <f t="shared" si="3"/>
        <v>1392</v>
      </c>
      <c r="R1281" s="14">
        <f t="shared" si="4"/>
        <v>1113.79</v>
      </c>
      <c r="S1281" s="14">
        <f t="shared" si="5"/>
        <v>278.21</v>
      </c>
    </row>
    <row r="1282">
      <c r="A1282" s="12">
        <v>43347.0</v>
      </c>
      <c r="B1282" s="12" t="s">
        <v>2329</v>
      </c>
      <c r="C1282" s="2">
        <v>43408.0</v>
      </c>
      <c r="D1282" s="15" t="str">
        <f t="shared" si="1"/>
        <v>Nov</v>
      </c>
      <c r="E1282" s="2" t="str">
        <f t="shared" si="2"/>
        <v>2018</v>
      </c>
      <c r="F1282" s="13" t="s">
        <v>121</v>
      </c>
      <c r="G1282" s="13" t="s">
        <v>2916</v>
      </c>
      <c r="H1282" s="13" t="s">
        <v>923</v>
      </c>
      <c r="I1282" s="13" t="s">
        <v>23</v>
      </c>
      <c r="J1282" s="13" t="s">
        <v>849</v>
      </c>
      <c r="K1282" s="13" t="s">
        <v>145</v>
      </c>
      <c r="L1282" s="13" t="s">
        <v>26</v>
      </c>
      <c r="M1282" s="13" t="s">
        <v>38</v>
      </c>
      <c r="N1282" s="14">
        <v>15.12</v>
      </c>
      <c r="O1282" s="14">
        <v>14.77</v>
      </c>
      <c r="P1282" s="13">
        <v>3.0</v>
      </c>
      <c r="Q1282" s="14">
        <f t="shared" si="3"/>
        <v>45.36</v>
      </c>
      <c r="R1282" s="14">
        <f t="shared" si="4"/>
        <v>30.59</v>
      </c>
      <c r="S1282" s="14">
        <f t="shared" si="5"/>
        <v>14.77</v>
      </c>
    </row>
    <row r="1283">
      <c r="A1283" s="12">
        <v>43347.0</v>
      </c>
      <c r="B1283" s="12" t="s">
        <v>2329</v>
      </c>
      <c r="C1283" s="2">
        <v>43408.0</v>
      </c>
      <c r="D1283" s="15" t="str">
        <f t="shared" si="1"/>
        <v>Nov</v>
      </c>
      <c r="E1283" s="2" t="str">
        <f t="shared" si="2"/>
        <v>2018</v>
      </c>
      <c r="F1283" s="13" t="s">
        <v>121</v>
      </c>
      <c r="G1283" s="13" t="s">
        <v>2916</v>
      </c>
      <c r="H1283" s="16" t="s">
        <v>923</v>
      </c>
      <c r="I1283" s="13" t="s">
        <v>23</v>
      </c>
      <c r="J1283" s="13" t="s">
        <v>849</v>
      </c>
      <c r="K1283" s="13" t="s">
        <v>145</v>
      </c>
      <c r="L1283" s="13" t="s">
        <v>26</v>
      </c>
      <c r="M1283" s="13" t="s">
        <v>38</v>
      </c>
      <c r="N1283" s="14">
        <v>17.43</v>
      </c>
      <c r="O1283" s="14">
        <v>17.32</v>
      </c>
      <c r="P1283" s="13">
        <v>3.0</v>
      </c>
      <c r="Q1283" s="14">
        <f t="shared" si="3"/>
        <v>52.29</v>
      </c>
      <c r="R1283" s="14">
        <f t="shared" si="4"/>
        <v>34.97</v>
      </c>
      <c r="S1283" s="14">
        <f t="shared" si="5"/>
        <v>17.32</v>
      </c>
    </row>
    <row r="1284">
      <c r="A1284" s="12">
        <v>43347.0</v>
      </c>
      <c r="B1284" s="12" t="s">
        <v>2329</v>
      </c>
      <c r="C1284" s="2">
        <v>43408.0</v>
      </c>
      <c r="D1284" s="15" t="str">
        <f t="shared" si="1"/>
        <v>Nov</v>
      </c>
      <c r="E1284" s="2" t="str">
        <f t="shared" si="2"/>
        <v>2018</v>
      </c>
      <c r="F1284" s="13" t="s">
        <v>121</v>
      </c>
      <c r="G1284" s="13" t="s">
        <v>2916</v>
      </c>
      <c r="H1284" s="13" t="s">
        <v>923</v>
      </c>
      <c r="I1284" s="13" t="s">
        <v>23</v>
      </c>
      <c r="J1284" s="13" t="s">
        <v>849</v>
      </c>
      <c r="K1284" s="13" t="s">
        <v>145</v>
      </c>
      <c r="L1284" s="13" t="s">
        <v>26</v>
      </c>
      <c r="M1284" s="13" t="s">
        <v>38</v>
      </c>
      <c r="N1284" s="14">
        <v>251.64</v>
      </c>
      <c r="O1284" s="14">
        <v>251.01</v>
      </c>
      <c r="P1284" s="13">
        <v>3.0</v>
      </c>
      <c r="Q1284" s="14">
        <f t="shared" si="3"/>
        <v>754.92</v>
      </c>
      <c r="R1284" s="14">
        <f t="shared" si="4"/>
        <v>503.91</v>
      </c>
      <c r="S1284" s="14">
        <f t="shared" si="5"/>
        <v>251.01</v>
      </c>
    </row>
    <row r="1285">
      <c r="A1285" s="12">
        <v>42533.0</v>
      </c>
      <c r="B1285" s="12" t="s">
        <v>2374</v>
      </c>
      <c r="C1285" s="2">
        <v>42716.0</v>
      </c>
      <c r="D1285" s="15" t="str">
        <f t="shared" si="1"/>
        <v>Dec</v>
      </c>
      <c r="E1285" s="2" t="str">
        <f t="shared" si="2"/>
        <v>2016</v>
      </c>
      <c r="F1285" s="13" t="s">
        <v>41</v>
      </c>
      <c r="G1285" s="13" t="s">
        <v>2571</v>
      </c>
      <c r="H1285" s="13" t="s">
        <v>2572</v>
      </c>
      <c r="I1285" s="13" t="s">
        <v>23</v>
      </c>
      <c r="J1285" s="13" t="s">
        <v>685</v>
      </c>
      <c r="K1285" s="13" t="s">
        <v>70</v>
      </c>
      <c r="L1285" s="13" t="s">
        <v>71</v>
      </c>
      <c r="M1285" s="13" t="s">
        <v>38</v>
      </c>
      <c r="N1285" s="14">
        <v>2.772</v>
      </c>
      <c r="O1285" s="14">
        <v>2.43</v>
      </c>
      <c r="P1285" s="13">
        <v>7.0</v>
      </c>
      <c r="Q1285" s="14">
        <f t="shared" si="3"/>
        <v>19.404</v>
      </c>
      <c r="R1285" s="14">
        <f t="shared" si="4"/>
        <v>16.974</v>
      </c>
      <c r="S1285" s="14">
        <f t="shared" si="5"/>
        <v>2.43</v>
      </c>
    </row>
    <row r="1286">
      <c r="A1286" s="12">
        <v>42912.0</v>
      </c>
      <c r="B1286" s="12" t="s">
        <v>2374</v>
      </c>
      <c r="C1286" s="2">
        <v>42801.0</v>
      </c>
      <c r="D1286" s="15" t="str">
        <f t="shared" si="1"/>
        <v>Mar</v>
      </c>
      <c r="E1286" s="2" t="str">
        <f t="shared" si="2"/>
        <v>2017</v>
      </c>
      <c r="F1286" s="13" t="s">
        <v>41</v>
      </c>
      <c r="G1286" s="13" t="s">
        <v>2361</v>
      </c>
      <c r="H1286" s="13" t="s">
        <v>2917</v>
      </c>
      <c r="I1286" s="13" t="s">
        <v>23</v>
      </c>
      <c r="J1286" s="13" t="s">
        <v>2026</v>
      </c>
      <c r="K1286" s="13" t="s">
        <v>782</v>
      </c>
      <c r="L1286" s="13" t="s">
        <v>100</v>
      </c>
      <c r="M1286" s="13" t="s">
        <v>38</v>
      </c>
      <c r="N1286" s="14">
        <v>14.9</v>
      </c>
      <c r="O1286" s="14">
        <v>14.79</v>
      </c>
      <c r="P1286" s="13">
        <v>2.0</v>
      </c>
      <c r="Q1286" s="14">
        <f t="shared" si="3"/>
        <v>29.8</v>
      </c>
      <c r="R1286" s="14">
        <f t="shared" si="4"/>
        <v>15.01</v>
      </c>
      <c r="S1286" s="14">
        <f t="shared" si="5"/>
        <v>14.79</v>
      </c>
    </row>
    <row r="1287">
      <c r="A1287" s="12">
        <v>42467.0</v>
      </c>
      <c r="B1287" s="12" t="s">
        <v>2332</v>
      </c>
      <c r="C1287" s="2">
        <v>42589.0</v>
      </c>
      <c r="D1287" s="15" t="str">
        <f t="shared" si="1"/>
        <v>Aug</v>
      </c>
      <c r="E1287" s="2" t="str">
        <f t="shared" si="2"/>
        <v>2016</v>
      </c>
      <c r="F1287" s="13" t="s">
        <v>41</v>
      </c>
      <c r="G1287" s="13" t="s">
        <v>2438</v>
      </c>
      <c r="H1287" s="13" t="s">
        <v>2439</v>
      </c>
      <c r="I1287" s="13" t="s">
        <v>68</v>
      </c>
      <c r="J1287" s="13" t="s">
        <v>174</v>
      </c>
      <c r="K1287" s="13" t="s">
        <v>175</v>
      </c>
      <c r="L1287" s="13" t="s">
        <v>100</v>
      </c>
      <c r="M1287" s="13" t="s">
        <v>38</v>
      </c>
      <c r="N1287" s="14">
        <v>15.48</v>
      </c>
      <c r="O1287" s="14">
        <v>14.59</v>
      </c>
      <c r="P1287" s="13">
        <v>1.0</v>
      </c>
      <c r="Q1287" s="14">
        <f t="shared" si="3"/>
        <v>15.48</v>
      </c>
      <c r="R1287" s="14">
        <f t="shared" si="4"/>
        <v>0.89</v>
      </c>
      <c r="S1287" s="14">
        <f t="shared" si="5"/>
        <v>14.59</v>
      </c>
    </row>
    <row r="1288">
      <c r="A1288" s="12">
        <v>43061.0</v>
      </c>
      <c r="B1288" s="12" t="s">
        <v>2326</v>
      </c>
      <c r="C1288" s="2">
        <v>43065.0</v>
      </c>
      <c r="D1288" s="15" t="str">
        <f t="shared" si="1"/>
        <v>Nov</v>
      </c>
      <c r="E1288" s="2" t="str">
        <f t="shared" si="2"/>
        <v>2017</v>
      </c>
      <c r="F1288" s="13" t="s">
        <v>41</v>
      </c>
      <c r="G1288" s="13" t="s">
        <v>2918</v>
      </c>
      <c r="H1288" s="13" t="s">
        <v>2919</v>
      </c>
      <c r="I1288" s="13" t="s">
        <v>34</v>
      </c>
      <c r="J1288" s="13" t="s">
        <v>174</v>
      </c>
      <c r="K1288" s="13" t="s">
        <v>175</v>
      </c>
      <c r="L1288" s="13" t="s">
        <v>100</v>
      </c>
      <c r="M1288" s="13" t="s">
        <v>27</v>
      </c>
      <c r="N1288" s="14">
        <v>39.88</v>
      </c>
      <c r="O1288" s="14">
        <v>39.11</v>
      </c>
      <c r="P1288" s="13">
        <v>1.0</v>
      </c>
      <c r="Q1288" s="14">
        <f t="shared" si="3"/>
        <v>39.88</v>
      </c>
      <c r="R1288" s="14">
        <f t="shared" si="4"/>
        <v>0.77</v>
      </c>
      <c r="S1288" s="14">
        <f t="shared" si="5"/>
        <v>39.11</v>
      </c>
    </row>
    <row r="1289">
      <c r="A1289" s="12">
        <v>43061.0</v>
      </c>
      <c r="B1289" s="12" t="s">
        <v>2326</v>
      </c>
      <c r="C1289" s="2">
        <v>43065.0</v>
      </c>
      <c r="D1289" s="15" t="str">
        <f t="shared" si="1"/>
        <v>Nov</v>
      </c>
      <c r="E1289" s="2" t="str">
        <f t="shared" si="2"/>
        <v>2017</v>
      </c>
      <c r="F1289" s="13" t="s">
        <v>41</v>
      </c>
      <c r="G1289" s="13" t="s">
        <v>2918</v>
      </c>
      <c r="H1289" s="13" t="s">
        <v>2919</v>
      </c>
      <c r="I1289" s="13" t="s">
        <v>34</v>
      </c>
      <c r="J1289" s="13" t="s">
        <v>174</v>
      </c>
      <c r="K1289" s="13" t="s">
        <v>175</v>
      </c>
      <c r="L1289" s="13" t="s">
        <v>100</v>
      </c>
      <c r="M1289" s="13" t="s">
        <v>38</v>
      </c>
      <c r="N1289" s="14">
        <v>12.192</v>
      </c>
      <c r="O1289" s="14">
        <v>11.29</v>
      </c>
      <c r="P1289" s="13">
        <v>1.0</v>
      </c>
      <c r="Q1289" s="14">
        <f t="shared" si="3"/>
        <v>12.192</v>
      </c>
      <c r="R1289" s="14">
        <f t="shared" si="4"/>
        <v>0.902</v>
      </c>
      <c r="S1289" s="14">
        <f t="shared" si="5"/>
        <v>11.29</v>
      </c>
    </row>
    <row r="1290">
      <c r="A1290" s="12">
        <v>43061.0</v>
      </c>
      <c r="B1290" s="12" t="s">
        <v>2326</v>
      </c>
      <c r="C1290" s="2">
        <v>43065.0</v>
      </c>
      <c r="D1290" s="15" t="str">
        <f t="shared" si="1"/>
        <v>Nov</v>
      </c>
      <c r="E1290" s="2" t="str">
        <f t="shared" si="2"/>
        <v>2017</v>
      </c>
      <c r="F1290" s="13" t="s">
        <v>41</v>
      </c>
      <c r="G1290" s="13" t="s">
        <v>2918</v>
      </c>
      <c r="H1290" s="13" t="s">
        <v>2919</v>
      </c>
      <c r="I1290" s="13" t="s">
        <v>34</v>
      </c>
      <c r="J1290" s="13" t="s">
        <v>174</v>
      </c>
      <c r="K1290" s="13" t="s">
        <v>175</v>
      </c>
      <c r="L1290" s="13" t="s">
        <v>100</v>
      </c>
      <c r="M1290" s="13" t="s">
        <v>38</v>
      </c>
      <c r="N1290" s="14">
        <v>20.82</v>
      </c>
      <c r="O1290" s="14">
        <v>20.78</v>
      </c>
      <c r="P1290" s="13">
        <v>1.0</v>
      </c>
      <c r="Q1290" s="14">
        <f t="shared" si="3"/>
        <v>20.82</v>
      </c>
      <c r="R1290" s="14">
        <f t="shared" si="4"/>
        <v>0.04</v>
      </c>
      <c r="S1290" s="14">
        <f t="shared" si="5"/>
        <v>20.78</v>
      </c>
    </row>
    <row r="1291">
      <c r="A1291" s="12">
        <v>43019.0</v>
      </c>
      <c r="B1291" s="12" t="s">
        <v>2358</v>
      </c>
      <c r="C1291" s="2">
        <v>43080.0</v>
      </c>
      <c r="D1291" s="15" t="str">
        <f t="shared" si="1"/>
        <v>Dec</v>
      </c>
      <c r="E1291" s="2" t="str">
        <f t="shared" si="2"/>
        <v>2017</v>
      </c>
      <c r="F1291" s="13" t="s">
        <v>121</v>
      </c>
      <c r="G1291" s="13" t="s">
        <v>2721</v>
      </c>
      <c r="H1291" s="13" t="s">
        <v>2722</v>
      </c>
      <c r="I1291" s="13" t="s">
        <v>68</v>
      </c>
      <c r="J1291" s="13" t="s">
        <v>87</v>
      </c>
      <c r="K1291" s="13" t="s">
        <v>52</v>
      </c>
      <c r="L1291" s="13" t="s">
        <v>37</v>
      </c>
      <c r="M1291" s="13" t="s">
        <v>38</v>
      </c>
      <c r="N1291" s="14">
        <v>13.216</v>
      </c>
      <c r="O1291" s="14">
        <v>13.11</v>
      </c>
      <c r="P1291" s="13">
        <v>9.0</v>
      </c>
      <c r="Q1291" s="14">
        <f t="shared" si="3"/>
        <v>118.944</v>
      </c>
      <c r="R1291" s="14">
        <f t="shared" si="4"/>
        <v>105.834</v>
      </c>
      <c r="S1291" s="14">
        <f t="shared" si="5"/>
        <v>13.11</v>
      </c>
    </row>
    <row r="1292">
      <c r="A1292" s="12">
        <v>43019.0</v>
      </c>
      <c r="B1292" s="12" t="s">
        <v>2358</v>
      </c>
      <c r="C1292" s="2">
        <v>43080.0</v>
      </c>
      <c r="D1292" s="15" t="str">
        <f t="shared" si="1"/>
        <v>Dec</v>
      </c>
      <c r="E1292" s="2" t="str">
        <f t="shared" si="2"/>
        <v>2017</v>
      </c>
      <c r="F1292" s="13" t="s">
        <v>121</v>
      </c>
      <c r="G1292" s="13" t="s">
        <v>2721</v>
      </c>
      <c r="H1292" s="13" t="s">
        <v>2722</v>
      </c>
      <c r="I1292" s="13" t="s">
        <v>68</v>
      </c>
      <c r="J1292" s="13" t="s">
        <v>87</v>
      </c>
      <c r="K1292" s="13" t="s">
        <v>52</v>
      </c>
      <c r="L1292" s="13" t="s">
        <v>37</v>
      </c>
      <c r="M1292" s="13" t="s">
        <v>38</v>
      </c>
      <c r="N1292" s="14">
        <v>32.4</v>
      </c>
      <c r="O1292" s="14">
        <v>32.35</v>
      </c>
      <c r="P1292" s="13">
        <v>9.0</v>
      </c>
      <c r="Q1292" s="14">
        <f t="shared" si="3"/>
        <v>291.6</v>
      </c>
      <c r="R1292" s="14">
        <f t="shared" si="4"/>
        <v>259.25</v>
      </c>
      <c r="S1292" s="14">
        <f t="shared" si="5"/>
        <v>32.35</v>
      </c>
    </row>
    <row r="1293">
      <c r="A1293" s="12">
        <v>42609.0</v>
      </c>
      <c r="B1293" s="12" t="s">
        <v>2322</v>
      </c>
      <c r="C1293" s="2">
        <v>42378.0</v>
      </c>
      <c r="D1293" s="15" t="str">
        <f t="shared" si="1"/>
        <v>Jan</v>
      </c>
      <c r="E1293" s="2" t="str">
        <f t="shared" si="2"/>
        <v>2016</v>
      </c>
      <c r="F1293" s="13" t="s">
        <v>41</v>
      </c>
      <c r="G1293" s="13" t="s">
        <v>2440</v>
      </c>
      <c r="H1293" s="13" t="s">
        <v>2441</v>
      </c>
      <c r="I1293" s="13" t="s">
        <v>23</v>
      </c>
      <c r="J1293" s="13" t="s">
        <v>542</v>
      </c>
      <c r="K1293" s="13" t="s">
        <v>52</v>
      </c>
      <c r="L1293" s="13" t="s">
        <v>37</v>
      </c>
      <c r="M1293" s="13" t="s">
        <v>38</v>
      </c>
      <c r="N1293" s="14">
        <v>32.94</v>
      </c>
      <c r="O1293" s="14">
        <v>32.26</v>
      </c>
      <c r="P1293" s="13">
        <v>9.0</v>
      </c>
      <c r="Q1293" s="14">
        <f t="shared" si="3"/>
        <v>296.46</v>
      </c>
      <c r="R1293" s="14">
        <f t="shared" si="4"/>
        <v>264.2</v>
      </c>
      <c r="S1293" s="14">
        <f t="shared" si="5"/>
        <v>32.26</v>
      </c>
    </row>
    <row r="1294">
      <c r="A1294" s="12">
        <v>42609.0</v>
      </c>
      <c r="B1294" s="12" t="s">
        <v>2322</v>
      </c>
      <c r="C1294" s="2">
        <v>42378.0</v>
      </c>
      <c r="D1294" s="15" t="str">
        <f t="shared" si="1"/>
        <v>Jan</v>
      </c>
      <c r="E1294" s="2" t="str">
        <f t="shared" si="2"/>
        <v>2016</v>
      </c>
      <c r="F1294" s="13" t="s">
        <v>41</v>
      </c>
      <c r="G1294" s="13" t="s">
        <v>2440</v>
      </c>
      <c r="H1294" s="13" t="s">
        <v>2441</v>
      </c>
      <c r="I1294" s="13" t="s">
        <v>23</v>
      </c>
      <c r="J1294" s="13" t="s">
        <v>542</v>
      </c>
      <c r="K1294" s="13" t="s">
        <v>52</v>
      </c>
      <c r="L1294" s="13" t="s">
        <v>37</v>
      </c>
      <c r="M1294" s="13" t="s">
        <v>38</v>
      </c>
      <c r="N1294" s="14">
        <v>114.2</v>
      </c>
      <c r="O1294" s="14">
        <v>113.35</v>
      </c>
      <c r="P1294" s="13">
        <v>9.0</v>
      </c>
      <c r="Q1294" s="14">
        <f t="shared" si="3"/>
        <v>1027.8</v>
      </c>
      <c r="R1294" s="14">
        <f t="shared" si="4"/>
        <v>914.45</v>
      </c>
      <c r="S1294" s="14">
        <f t="shared" si="5"/>
        <v>113.35</v>
      </c>
    </row>
    <row r="1295">
      <c r="A1295" s="12">
        <v>42609.0</v>
      </c>
      <c r="B1295" s="12" t="s">
        <v>2322</v>
      </c>
      <c r="C1295" s="2">
        <v>42378.0</v>
      </c>
      <c r="D1295" s="15" t="str">
        <f t="shared" si="1"/>
        <v>Jan</v>
      </c>
      <c r="E1295" s="2" t="str">
        <f t="shared" si="2"/>
        <v>2016</v>
      </c>
      <c r="F1295" s="13" t="s">
        <v>41</v>
      </c>
      <c r="G1295" s="13" t="s">
        <v>2440</v>
      </c>
      <c r="H1295" s="13" t="s">
        <v>2441</v>
      </c>
      <c r="I1295" s="13" t="s">
        <v>23</v>
      </c>
      <c r="J1295" s="13" t="s">
        <v>542</v>
      </c>
      <c r="K1295" s="13" t="s">
        <v>52</v>
      </c>
      <c r="L1295" s="13" t="s">
        <v>37</v>
      </c>
      <c r="M1295" s="13" t="s">
        <v>38</v>
      </c>
      <c r="N1295" s="14">
        <v>3.08</v>
      </c>
      <c r="O1295" s="14">
        <v>3.07</v>
      </c>
      <c r="P1295" s="13">
        <v>9.0</v>
      </c>
      <c r="Q1295" s="14">
        <f t="shared" si="3"/>
        <v>27.72</v>
      </c>
      <c r="R1295" s="14">
        <f t="shared" si="4"/>
        <v>24.65</v>
      </c>
      <c r="S1295" s="14">
        <f t="shared" si="5"/>
        <v>3.07</v>
      </c>
    </row>
    <row r="1296">
      <c r="A1296" s="12">
        <v>42515.0</v>
      </c>
      <c r="B1296" s="12" t="s">
        <v>2335</v>
      </c>
      <c r="C1296" s="2">
        <v>42519.0</v>
      </c>
      <c r="D1296" s="15" t="str">
        <f t="shared" si="1"/>
        <v>May</v>
      </c>
      <c r="E1296" s="2" t="str">
        <f t="shared" si="2"/>
        <v>2016</v>
      </c>
      <c r="F1296" s="13" t="s">
        <v>41</v>
      </c>
      <c r="G1296" s="13" t="s">
        <v>2456</v>
      </c>
      <c r="H1296" s="13" t="s">
        <v>2920</v>
      </c>
      <c r="I1296" s="13" t="s">
        <v>23</v>
      </c>
      <c r="J1296" s="13" t="s">
        <v>2038</v>
      </c>
      <c r="K1296" s="13" t="s">
        <v>279</v>
      </c>
      <c r="L1296" s="13" t="s">
        <v>37</v>
      </c>
      <c r="M1296" s="13" t="s">
        <v>38</v>
      </c>
      <c r="N1296" s="14">
        <v>845.728</v>
      </c>
      <c r="O1296" s="14">
        <v>844.99</v>
      </c>
      <c r="P1296" s="13">
        <v>8.0</v>
      </c>
      <c r="Q1296" s="14">
        <f t="shared" si="3"/>
        <v>6765.824</v>
      </c>
      <c r="R1296" s="14">
        <f t="shared" si="4"/>
        <v>5920.834</v>
      </c>
      <c r="S1296" s="14">
        <f t="shared" si="5"/>
        <v>844.99</v>
      </c>
    </row>
    <row r="1297">
      <c r="A1297" s="12">
        <v>43464.0</v>
      </c>
      <c r="B1297" s="12" t="s">
        <v>2325</v>
      </c>
      <c r="C1297" s="2">
        <v>43525.0</v>
      </c>
      <c r="D1297" s="15" t="str">
        <f t="shared" si="1"/>
        <v>Mar</v>
      </c>
      <c r="E1297" s="2" t="str">
        <f t="shared" si="2"/>
        <v>2019</v>
      </c>
      <c r="F1297" s="13" t="s">
        <v>41</v>
      </c>
      <c r="G1297" s="13" t="s">
        <v>2786</v>
      </c>
      <c r="H1297" s="13" t="s">
        <v>2659</v>
      </c>
      <c r="I1297" s="13" t="s">
        <v>34</v>
      </c>
      <c r="J1297" s="13" t="s">
        <v>434</v>
      </c>
      <c r="K1297" s="13" t="s">
        <v>52</v>
      </c>
      <c r="L1297" s="13" t="s">
        <v>37</v>
      </c>
      <c r="M1297" s="13" t="s">
        <v>38</v>
      </c>
      <c r="N1297" s="14">
        <v>13.904</v>
      </c>
      <c r="O1297" s="14">
        <v>13.62</v>
      </c>
      <c r="P1297" s="13">
        <v>9.0</v>
      </c>
      <c r="Q1297" s="14">
        <f t="shared" si="3"/>
        <v>125.136</v>
      </c>
      <c r="R1297" s="14">
        <f t="shared" si="4"/>
        <v>111.516</v>
      </c>
      <c r="S1297" s="14">
        <f t="shared" si="5"/>
        <v>13.62</v>
      </c>
    </row>
    <row r="1298">
      <c r="A1298" s="12">
        <v>43464.0</v>
      </c>
      <c r="B1298" s="12" t="s">
        <v>2325</v>
      </c>
      <c r="C1298" s="2">
        <v>43525.0</v>
      </c>
      <c r="D1298" s="15" t="str">
        <f t="shared" si="1"/>
        <v>Mar</v>
      </c>
      <c r="E1298" s="2" t="str">
        <f t="shared" si="2"/>
        <v>2019</v>
      </c>
      <c r="F1298" s="13" t="s">
        <v>41</v>
      </c>
      <c r="G1298" s="13" t="s">
        <v>2786</v>
      </c>
      <c r="H1298" s="13" t="s">
        <v>2659</v>
      </c>
      <c r="I1298" s="13" t="s">
        <v>34</v>
      </c>
      <c r="J1298" s="13" t="s">
        <v>434</v>
      </c>
      <c r="K1298" s="13" t="s">
        <v>52</v>
      </c>
      <c r="L1298" s="13" t="s">
        <v>37</v>
      </c>
      <c r="M1298" s="13" t="s">
        <v>38</v>
      </c>
      <c r="N1298" s="14">
        <v>20.72</v>
      </c>
      <c r="O1298" s="14">
        <v>19.89</v>
      </c>
      <c r="P1298" s="13">
        <v>9.0</v>
      </c>
      <c r="Q1298" s="14">
        <f t="shared" si="3"/>
        <v>186.48</v>
      </c>
      <c r="R1298" s="14">
        <f t="shared" si="4"/>
        <v>166.59</v>
      </c>
      <c r="S1298" s="14">
        <f t="shared" si="5"/>
        <v>19.89</v>
      </c>
    </row>
    <row r="1299">
      <c r="A1299" s="12">
        <v>42959.0</v>
      </c>
      <c r="B1299" s="12" t="s">
        <v>2322</v>
      </c>
      <c r="C1299" s="2">
        <v>43081.0</v>
      </c>
      <c r="D1299" s="15" t="str">
        <f t="shared" si="1"/>
        <v>Dec</v>
      </c>
      <c r="E1299" s="2" t="str">
        <f t="shared" si="2"/>
        <v>2017</v>
      </c>
      <c r="F1299" s="13" t="s">
        <v>20</v>
      </c>
      <c r="G1299" s="13" t="s">
        <v>733</v>
      </c>
      <c r="H1299" s="13" t="s">
        <v>2471</v>
      </c>
      <c r="I1299" s="13" t="s">
        <v>34</v>
      </c>
      <c r="J1299" s="13" t="s">
        <v>267</v>
      </c>
      <c r="K1299" s="13" t="s">
        <v>151</v>
      </c>
      <c r="L1299" s="13" t="s">
        <v>71</v>
      </c>
      <c r="M1299" s="13" t="s">
        <v>51</v>
      </c>
      <c r="N1299" s="14">
        <v>114.95</v>
      </c>
      <c r="O1299" s="14">
        <v>113.97</v>
      </c>
      <c r="P1299" s="13">
        <v>5.0</v>
      </c>
      <c r="Q1299" s="14">
        <f t="shared" si="3"/>
        <v>574.75</v>
      </c>
      <c r="R1299" s="14">
        <f t="shared" si="4"/>
        <v>460.78</v>
      </c>
      <c r="S1299" s="14">
        <f t="shared" si="5"/>
        <v>113.97</v>
      </c>
    </row>
    <row r="1300">
      <c r="A1300" s="12">
        <v>42470.0</v>
      </c>
      <c r="B1300" s="12" t="s">
        <v>2332</v>
      </c>
      <c r="C1300" s="2">
        <v>42561.0</v>
      </c>
      <c r="D1300" s="15" t="str">
        <f t="shared" si="1"/>
        <v>Jul</v>
      </c>
      <c r="E1300" s="2" t="str">
        <f t="shared" si="2"/>
        <v>2016</v>
      </c>
      <c r="F1300" s="13" t="s">
        <v>121</v>
      </c>
      <c r="G1300" s="13" t="s">
        <v>2889</v>
      </c>
      <c r="H1300" s="13" t="s">
        <v>2890</v>
      </c>
      <c r="I1300" s="13" t="s">
        <v>23</v>
      </c>
      <c r="J1300" s="13" t="s">
        <v>87</v>
      </c>
      <c r="K1300" s="13" t="s">
        <v>52</v>
      </c>
      <c r="L1300" s="13" t="s">
        <v>37</v>
      </c>
      <c r="M1300" s="13" t="s">
        <v>38</v>
      </c>
      <c r="N1300" s="14">
        <v>26.96</v>
      </c>
      <c r="O1300" s="14">
        <v>26.06</v>
      </c>
      <c r="P1300" s="13">
        <v>9.0</v>
      </c>
      <c r="Q1300" s="14">
        <f t="shared" si="3"/>
        <v>242.64</v>
      </c>
      <c r="R1300" s="14">
        <f t="shared" si="4"/>
        <v>216.58</v>
      </c>
      <c r="S1300" s="14">
        <f t="shared" si="5"/>
        <v>26.06</v>
      </c>
    </row>
    <row r="1301">
      <c r="A1301" s="12">
        <v>43092.0</v>
      </c>
      <c r="B1301" s="12" t="s">
        <v>2325</v>
      </c>
      <c r="C1301" s="2">
        <v>43094.0</v>
      </c>
      <c r="D1301" s="15" t="str">
        <f t="shared" si="1"/>
        <v>Dec</v>
      </c>
      <c r="E1301" s="2" t="str">
        <f t="shared" si="2"/>
        <v>2017</v>
      </c>
      <c r="F1301" s="13" t="s">
        <v>20</v>
      </c>
      <c r="G1301" s="13" t="s">
        <v>2499</v>
      </c>
      <c r="H1301" s="13" t="s">
        <v>2500</v>
      </c>
      <c r="I1301" s="13" t="s">
        <v>23</v>
      </c>
      <c r="J1301" s="13" t="s">
        <v>197</v>
      </c>
      <c r="K1301" s="13" t="s">
        <v>198</v>
      </c>
      <c r="L1301" s="13" t="s">
        <v>26</v>
      </c>
      <c r="M1301" s="13" t="s">
        <v>27</v>
      </c>
      <c r="N1301" s="14">
        <v>572.76</v>
      </c>
      <c r="O1301" s="14">
        <v>572.23</v>
      </c>
      <c r="P1301" s="13">
        <v>2.0</v>
      </c>
      <c r="Q1301" s="14">
        <f t="shared" si="3"/>
        <v>1145.52</v>
      </c>
      <c r="R1301" s="14">
        <f t="shared" si="4"/>
        <v>573.29</v>
      </c>
      <c r="S1301" s="14">
        <f t="shared" si="5"/>
        <v>572.23</v>
      </c>
    </row>
    <row r="1302">
      <c r="A1302" s="12">
        <v>43092.0</v>
      </c>
      <c r="B1302" s="12" t="s">
        <v>2325</v>
      </c>
      <c r="C1302" s="2">
        <v>43094.0</v>
      </c>
      <c r="D1302" s="15" t="str">
        <f t="shared" si="1"/>
        <v>Dec</v>
      </c>
      <c r="E1302" s="2" t="str">
        <f t="shared" si="2"/>
        <v>2017</v>
      </c>
      <c r="F1302" s="13" t="s">
        <v>20</v>
      </c>
      <c r="G1302" s="13" t="s">
        <v>2499</v>
      </c>
      <c r="H1302" s="13" t="s">
        <v>2500</v>
      </c>
      <c r="I1302" s="13" t="s">
        <v>23</v>
      </c>
      <c r="J1302" s="13" t="s">
        <v>197</v>
      </c>
      <c r="K1302" s="13" t="s">
        <v>198</v>
      </c>
      <c r="L1302" s="13" t="s">
        <v>26</v>
      </c>
      <c r="M1302" s="13" t="s">
        <v>27</v>
      </c>
      <c r="N1302" s="14">
        <v>286.38</v>
      </c>
      <c r="O1302" s="14">
        <v>285.56</v>
      </c>
      <c r="P1302" s="13">
        <v>2.0</v>
      </c>
      <c r="Q1302" s="14">
        <f t="shared" si="3"/>
        <v>572.76</v>
      </c>
      <c r="R1302" s="14">
        <f t="shared" si="4"/>
        <v>287.2</v>
      </c>
      <c r="S1302" s="14">
        <f t="shared" si="5"/>
        <v>285.56</v>
      </c>
    </row>
    <row r="1303">
      <c r="A1303" s="12">
        <v>42632.0</v>
      </c>
      <c r="B1303" s="12" t="s">
        <v>2329</v>
      </c>
      <c r="C1303" s="2">
        <v>42637.0</v>
      </c>
      <c r="D1303" s="15" t="str">
        <f t="shared" si="1"/>
        <v>Sep</v>
      </c>
      <c r="E1303" s="2" t="str">
        <f t="shared" si="2"/>
        <v>2016</v>
      </c>
      <c r="F1303" s="13" t="s">
        <v>20</v>
      </c>
      <c r="G1303" s="13" t="s">
        <v>2356</v>
      </c>
      <c r="H1303" s="13" t="s">
        <v>2528</v>
      </c>
      <c r="I1303" s="13" t="s">
        <v>68</v>
      </c>
      <c r="J1303" s="13" t="s">
        <v>628</v>
      </c>
      <c r="K1303" s="13" t="s">
        <v>198</v>
      </c>
      <c r="L1303" s="13" t="s">
        <v>26</v>
      </c>
      <c r="M1303" s="13" t="s">
        <v>27</v>
      </c>
      <c r="N1303" s="14">
        <v>61.96</v>
      </c>
      <c r="O1303" s="14">
        <v>61.66</v>
      </c>
      <c r="P1303" s="13">
        <v>2.0</v>
      </c>
      <c r="Q1303" s="14">
        <f t="shared" si="3"/>
        <v>123.92</v>
      </c>
      <c r="R1303" s="14">
        <f t="shared" si="4"/>
        <v>62.26</v>
      </c>
      <c r="S1303" s="14">
        <f t="shared" si="5"/>
        <v>61.66</v>
      </c>
    </row>
    <row r="1304">
      <c r="A1304" s="12">
        <v>43166.0</v>
      </c>
      <c r="B1304" s="12" t="s">
        <v>2399</v>
      </c>
      <c r="C1304" s="2">
        <v>43288.0</v>
      </c>
      <c r="D1304" s="15" t="str">
        <f t="shared" si="1"/>
        <v>Jul</v>
      </c>
      <c r="E1304" s="2" t="str">
        <f t="shared" si="2"/>
        <v>2018</v>
      </c>
      <c r="F1304" s="13" t="s">
        <v>41</v>
      </c>
      <c r="G1304" s="13" t="s">
        <v>2721</v>
      </c>
      <c r="H1304" s="13" t="s">
        <v>2921</v>
      </c>
      <c r="I1304" s="13" t="s">
        <v>23</v>
      </c>
      <c r="J1304" s="13" t="s">
        <v>303</v>
      </c>
      <c r="K1304" s="13" t="s">
        <v>707</v>
      </c>
      <c r="L1304" s="13" t="s">
        <v>26</v>
      </c>
      <c r="M1304" s="13" t="s">
        <v>27</v>
      </c>
      <c r="N1304" s="14">
        <v>23.99</v>
      </c>
      <c r="O1304" s="14">
        <v>23.25</v>
      </c>
      <c r="P1304" s="13">
        <v>3.0</v>
      </c>
      <c r="Q1304" s="14">
        <f t="shared" si="3"/>
        <v>71.97</v>
      </c>
      <c r="R1304" s="14">
        <f t="shared" si="4"/>
        <v>48.72</v>
      </c>
      <c r="S1304" s="14">
        <f t="shared" si="5"/>
        <v>23.25</v>
      </c>
    </row>
    <row r="1305">
      <c r="A1305" s="12">
        <v>43166.0</v>
      </c>
      <c r="B1305" s="12" t="s">
        <v>2399</v>
      </c>
      <c r="C1305" s="2">
        <v>43288.0</v>
      </c>
      <c r="D1305" s="15" t="str">
        <f t="shared" si="1"/>
        <v>Jul</v>
      </c>
      <c r="E1305" s="2" t="str">
        <f t="shared" si="2"/>
        <v>2018</v>
      </c>
      <c r="F1305" s="13" t="s">
        <v>41</v>
      </c>
      <c r="G1305" s="13" t="s">
        <v>2721</v>
      </c>
      <c r="H1305" s="13" t="s">
        <v>2921</v>
      </c>
      <c r="I1305" s="13" t="s">
        <v>23</v>
      </c>
      <c r="J1305" s="13" t="s">
        <v>303</v>
      </c>
      <c r="K1305" s="13" t="s">
        <v>707</v>
      </c>
      <c r="L1305" s="13" t="s">
        <v>26</v>
      </c>
      <c r="M1305" s="13" t="s">
        <v>51</v>
      </c>
      <c r="N1305" s="14">
        <v>287.97</v>
      </c>
      <c r="O1305" s="14">
        <v>287.78</v>
      </c>
      <c r="P1305" s="13">
        <v>3.0</v>
      </c>
      <c r="Q1305" s="14">
        <f t="shared" si="3"/>
        <v>863.91</v>
      </c>
      <c r="R1305" s="14">
        <f t="shared" si="4"/>
        <v>576.13</v>
      </c>
      <c r="S1305" s="14">
        <f t="shared" si="5"/>
        <v>287.78</v>
      </c>
    </row>
    <row r="1306">
      <c r="A1306" s="12">
        <v>42930.0</v>
      </c>
      <c r="B1306" s="12" t="s">
        <v>2348</v>
      </c>
      <c r="C1306" s="2">
        <v>42932.0</v>
      </c>
      <c r="D1306" s="15" t="str">
        <f t="shared" si="1"/>
        <v>Jul</v>
      </c>
      <c r="E1306" s="2" t="str">
        <f t="shared" si="2"/>
        <v>2017</v>
      </c>
      <c r="F1306" s="13" t="s">
        <v>20</v>
      </c>
      <c r="G1306" s="13" t="s">
        <v>2781</v>
      </c>
      <c r="H1306" s="13" t="s">
        <v>2782</v>
      </c>
      <c r="I1306" s="13" t="s">
        <v>23</v>
      </c>
      <c r="J1306" s="13" t="s">
        <v>129</v>
      </c>
      <c r="K1306" s="13" t="s">
        <v>70</v>
      </c>
      <c r="L1306" s="13" t="s">
        <v>71</v>
      </c>
      <c r="M1306" s="13" t="s">
        <v>51</v>
      </c>
      <c r="N1306" s="14">
        <v>419.944</v>
      </c>
      <c r="O1306" s="14">
        <v>419.72</v>
      </c>
      <c r="P1306" s="13">
        <v>7.0</v>
      </c>
      <c r="Q1306" s="14">
        <f t="shared" si="3"/>
        <v>2939.608</v>
      </c>
      <c r="R1306" s="14">
        <f t="shared" si="4"/>
        <v>2519.888</v>
      </c>
      <c r="S1306" s="14">
        <f t="shared" si="5"/>
        <v>419.72</v>
      </c>
    </row>
    <row r="1307">
      <c r="A1307" s="12">
        <v>42906.0</v>
      </c>
      <c r="B1307" s="12" t="s">
        <v>2374</v>
      </c>
      <c r="C1307" s="2">
        <v>42907.0</v>
      </c>
      <c r="D1307" s="15" t="str">
        <f t="shared" si="1"/>
        <v>Jun</v>
      </c>
      <c r="E1307" s="2" t="str">
        <f t="shared" si="2"/>
        <v>2017</v>
      </c>
      <c r="F1307" s="13" t="s">
        <v>121</v>
      </c>
      <c r="G1307" s="13" t="s">
        <v>2527</v>
      </c>
      <c r="H1307" s="13" t="s">
        <v>2528</v>
      </c>
      <c r="I1307" s="13" t="s">
        <v>23</v>
      </c>
      <c r="J1307" s="13" t="s">
        <v>355</v>
      </c>
      <c r="K1307" s="13" t="s">
        <v>52</v>
      </c>
      <c r="L1307" s="13" t="s">
        <v>37</v>
      </c>
      <c r="M1307" s="13" t="s">
        <v>38</v>
      </c>
      <c r="N1307" s="14">
        <v>46.76</v>
      </c>
      <c r="O1307" s="14">
        <v>46.62</v>
      </c>
      <c r="P1307" s="13">
        <v>9.0</v>
      </c>
      <c r="Q1307" s="14">
        <f t="shared" si="3"/>
        <v>420.84</v>
      </c>
      <c r="R1307" s="14">
        <f t="shared" si="4"/>
        <v>374.22</v>
      </c>
      <c r="S1307" s="14">
        <f t="shared" si="5"/>
        <v>46.62</v>
      </c>
    </row>
    <row r="1308">
      <c r="A1308" s="12">
        <v>42906.0</v>
      </c>
      <c r="B1308" s="12" t="s">
        <v>2374</v>
      </c>
      <c r="C1308" s="2">
        <v>42907.0</v>
      </c>
      <c r="D1308" s="15" t="str">
        <f t="shared" si="1"/>
        <v>Jun</v>
      </c>
      <c r="E1308" s="2" t="str">
        <f t="shared" si="2"/>
        <v>2017</v>
      </c>
      <c r="F1308" s="13" t="s">
        <v>121</v>
      </c>
      <c r="G1308" s="13" t="s">
        <v>2527</v>
      </c>
      <c r="H1308" s="13" t="s">
        <v>2528</v>
      </c>
      <c r="I1308" s="13" t="s">
        <v>23</v>
      </c>
      <c r="J1308" s="13" t="s">
        <v>355</v>
      </c>
      <c r="K1308" s="13" t="s">
        <v>52</v>
      </c>
      <c r="L1308" s="13" t="s">
        <v>37</v>
      </c>
      <c r="M1308" s="13" t="s">
        <v>38</v>
      </c>
      <c r="N1308" s="14">
        <v>17.712</v>
      </c>
      <c r="O1308" s="14">
        <v>17.71</v>
      </c>
      <c r="P1308" s="13">
        <v>9.0</v>
      </c>
      <c r="Q1308" s="14">
        <f t="shared" si="3"/>
        <v>159.408</v>
      </c>
      <c r="R1308" s="14">
        <f t="shared" si="4"/>
        <v>141.698</v>
      </c>
      <c r="S1308" s="14">
        <f t="shared" si="5"/>
        <v>17.71</v>
      </c>
    </row>
    <row r="1309">
      <c r="A1309" s="12">
        <v>42906.0</v>
      </c>
      <c r="B1309" s="12" t="s">
        <v>2374</v>
      </c>
      <c r="C1309" s="2">
        <v>42907.0</v>
      </c>
      <c r="D1309" s="15" t="str">
        <f t="shared" si="1"/>
        <v>Jun</v>
      </c>
      <c r="E1309" s="2" t="str">
        <f t="shared" si="2"/>
        <v>2017</v>
      </c>
      <c r="F1309" s="13" t="s">
        <v>121</v>
      </c>
      <c r="G1309" s="13" t="s">
        <v>2527</v>
      </c>
      <c r="H1309" s="13" t="s">
        <v>2528</v>
      </c>
      <c r="I1309" s="13" t="s">
        <v>23</v>
      </c>
      <c r="J1309" s="13" t="s">
        <v>355</v>
      </c>
      <c r="K1309" s="13" t="s">
        <v>52</v>
      </c>
      <c r="L1309" s="13" t="s">
        <v>37</v>
      </c>
      <c r="M1309" s="13" t="s">
        <v>38</v>
      </c>
      <c r="N1309" s="14">
        <v>21.78</v>
      </c>
      <c r="O1309" s="14">
        <v>21.26</v>
      </c>
      <c r="P1309" s="13">
        <v>9.0</v>
      </c>
      <c r="Q1309" s="14">
        <f t="shared" si="3"/>
        <v>196.02</v>
      </c>
      <c r="R1309" s="14">
        <f t="shared" si="4"/>
        <v>174.76</v>
      </c>
      <c r="S1309" s="14">
        <f t="shared" si="5"/>
        <v>21.26</v>
      </c>
    </row>
    <row r="1310">
      <c r="A1310" s="12">
        <v>42906.0</v>
      </c>
      <c r="B1310" s="12" t="s">
        <v>2374</v>
      </c>
      <c r="C1310" s="2">
        <v>42907.0</v>
      </c>
      <c r="D1310" s="15" t="str">
        <f t="shared" si="1"/>
        <v>Jun</v>
      </c>
      <c r="E1310" s="2" t="str">
        <f t="shared" si="2"/>
        <v>2017</v>
      </c>
      <c r="F1310" s="13" t="s">
        <v>121</v>
      </c>
      <c r="G1310" s="13" t="s">
        <v>2527</v>
      </c>
      <c r="H1310" s="13" t="s">
        <v>2528</v>
      </c>
      <c r="I1310" s="13" t="s">
        <v>23</v>
      </c>
      <c r="J1310" s="13" t="s">
        <v>355</v>
      </c>
      <c r="K1310" s="13" t="s">
        <v>52</v>
      </c>
      <c r="L1310" s="13" t="s">
        <v>37</v>
      </c>
      <c r="M1310" s="13" t="s">
        <v>38</v>
      </c>
      <c r="N1310" s="14">
        <v>161.94</v>
      </c>
      <c r="O1310" s="14">
        <v>161.45</v>
      </c>
      <c r="P1310" s="13">
        <v>9.0</v>
      </c>
      <c r="Q1310" s="14">
        <f t="shared" si="3"/>
        <v>1457.46</v>
      </c>
      <c r="R1310" s="14">
        <f t="shared" si="4"/>
        <v>1296.01</v>
      </c>
      <c r="S1310" s="14">
        <f t="shared" si="5"/>
        <v>161.45</v>
      </c>
    </row>
    <row r="1311">
      <c r="A1311" s="12">
        <v>42906.0</v>
      </c>
      <c r="B1311" s="12" t="s">
        <v>2374</v>
      </c>
      <c r="C1311" s="2">
        <v>42907.0</v>
      </c>
      <c r="D1311" s="15" t="str">
        <f t="shared" si="1"/>
        <v>Jun</v>
      </c>
      <c r="E1311" s="2" t="str">
        <f t="shared" si="2"/>
        <v>2017</v>
      </c>
      <c r="F1311" s="13" t="s">
        <v>121</v>
      </c>
      <c r="G1311" s="13" t="s">
        <v>2527</v>
      </c>
      <c r="H1311" s="13" t="s">
        <v>2528</v>
      </c>
      <c r="I1311" s="13" t="s">
        <v>23</v>
      </c>
      <c r="J1311" s="13" t="s">
        <v>355</v>
      </c>
      <c r="K1311" s="13" t="s">
        <v>52</v>
      </c>
      <c r="L1311" s="13" t="s">
        <v>37</v>
      </c>
      <c r="M1311" s="13" t="s">
        <v>27</v>
      </c>
      <c r="N1311" s="14">
        <v>161.568</v>
      </c>
      <c r="O1311" s="14">
        <v>161.22</v>
      </c>
      <c r="P1311" s="13">
        <v>9.0</v>
      </c>
      <c r="Q1311" s="14">
        <f t="shared" si="3"/>
        <v>1454.112</v>
      </c>
      <c r="R1311" s="14">
        <f t="shared" si="4"/>
        <v>1292.892</v>
      </c>
      <c r="S1311" s="14">
        <f t="shared" si="5"/>
        <v>161.22</v>
      </c>
    </row>
    <row r="1312">
      <c r="A1312" s="12">
        <v>42990.0</v>
      </c>
      <c r="B1312" s="12" t="s">
        <v>2329</v>
      </c>
      <c r="C1312" s="2">
        <v>43082.0</v>
      </c>
      <c r="D1312" s="15" t="str">
        <f t="shared" si="1"/>
        <v>Dec</v>
      </c>
      <c r="E1312" s="2" t="str">
        <f t="shared" si="2"/>
        <v>2017</v>
      </c>
      <c r="F1312" s="13" t="s">
        <v>41</v>
      </c>
      <c r="G1312" s="13" t="s">
        <v>2494</v>
      </c>
      <c r="H1312" s="13" t="s">
        <v>2715</v>
      </c>
      <c r="I1312" s="13" t="s">
        <v>23</v>
      </c>
      <c r="J1312" s="13" t="s">
        <v>822</v>
      </c>
      <c r="K1312" s="13" t="s">
        <v>694</v>
      </c>
      <c r="L1312" s="13" t="s">
        <v>100</v>
      </c>
      <c r="M1312" s="13" t="s">
        <v>38</v>
      </c>
      <c r="N1312" s="14">
        <v>3.69</v>
      </c>
      <c r="O1312" s="14">
        <v>2.7</v>
      </c>
      <c r="P1312" s="13">
        <v>1.0</v>
      </c>
      <c r="Q1312" s="14">
        <f t="shared" si="3"/>
        <v>3.69</v>
      </c>
      <c r="R1312" s="14">
        <f t="shared" si="4"/>
        <v>0.99</v>
      </c>
      <c r="S1312" s="14">
        <f t="shared" si="5"/>
        <v>2.7</v>
      </c>
    </row>
    <row r="1313">
      <c r="A1313" s="12">
        <v>42990.0</v>
      </c>
      <c r="B1313" s="12" t="s">
        <v>2329</v>
      </c>
      <c r="C1313" s="2">
        <v>43082.0</v>
      </c>
      <c r="D1313" s="15" t="str">
        <f t="shared" si="1"/>
        <v>Dec</v>
      </c>
      <c r="E1313" s="2" t="str">
        <f t="shared" si="2"/>
        <v>2017</v>
      </c>
      <c r="F1313" s="13" t="s">
        <v>41</v>
      </c>
      <c r="G1313" s="13" t="s">
        <v>2494</v>
      </c>
      <c r="H1313" s="13" t="s">
        <v>2715</v>
      </c>
      <c r="I1313" s="13" t="s">
        <v>23</v>
      </c>
      <c r="J1313" s="13" t="s">
        <v>822</v>
      </c>
      <c r="K1313" s="13" t="s">
        <v>694</v>
      </c>
      <c r="L1313" s="13" t="s">
        <v>100</v>
      </c>
      <c r="M1313" s="13" t="s">
        <v>38</v>
      </c>
      <c r="N1313" s="14">
        <v>122.12</v>
      </c>
      <c r="O1313" s="14">
        <v>121.37</v>
      </c>
      <c r="P1313" s="13">
        <v>1.0</v>
      </c>
      <c r="Q1313" s="14">
        <f t="shared" si="3"/>
        <v>122.12</v>
      </c>
      <c r="R1313" s="14">
        <f t="shared" si="4"/>
        <v>0.75</v>
      </c>
      <c r="S1313" s="14">
        <f t="shared" si="5"/>
        <v>121.37</v>
      </c>
    </row>
    <row r="1314">
      <c r="A1314" s="12">
        <v>43002.0</v>
      </c>
      <c r="B1314" s="12" t="s">
        <v>2329</v>
      </c>
      <c r="C1314" s="2">
        <v>42745.0</v>
      </c>
      <c r="D1314" s="15" t="str">
        <f t="shared" si="1"/>
        <v>Jan</v>
      </c>
      <c r="E1314" s="2" t="str">
        <f t="shared" si="2"/>
        <v>2017</v>
      </c>
      <c r="F1314" s="13" t="s">
        <v>41</v>
      </c>
      <c r="G1314" s="13" t="s">
        <v>2340</v>
      </c>
      <c r="H1314" s="13" t="s">
        <v>2341</v>
      </c>
      <c r="I1314" s="13" t="s">
        <v>23</v>
      </c>
      <c r="J1314" s="13" t="s">
        <v>303</v>
      </c>
      <c r="K1314" s="13" t="s">
        <v>304</v>
      </c>
      <c r="L1314" s="13" t="s">
        <v>100</v>
      </c>
      <c r="M1314" s="13" t="s">
        <v>27</v>
      </c>
      <c r="N1314" s="14">
        <v>155.372</v>
      </c>
      <c r="O1314" s="14">
        <v>154.79</v>
      </c>
      <c r="P1314" s="13">
        <v>4.0</v>
      </c>
      <c r="Q1314" s="14">
        <f t="shared" si="3"/>
        <v>621.488</v>
      </c>
      <c r="R1314" s="14">
        <f t="shared" si="4"/>
        <v>466.698</v>
      </c>
      <c r="S1314" s="14">
        <f t="shared" si="5"/>
        <v>154.79</v>
      </c>
    </row>
    <row r="1315">
      <c r="A1315" s="12">
        <v>43087.0</v>
      </c>
      <c r="B1315" s="12" t="s">
        <v>2325</v>
      </c>
      <c r="C1315" s="2">
        <v>43092.0</v>
      </c>
      <c r="D1315" s="15" t="str">
        <f t="shared" si="1"/>
        <v>Dec</v>
      </c>
      <c r="E1315" s="2" t="str">
        <f t="shared" si="2"/>
        <v>2017</v>
      </c>
      <c r="F1315" s="13" t="s">
        <v>41</v>
      </c>
      <c r="G1315" s="13" t="s">
        <v>2390</v>
      </c>
      <c r="H1315" s="13" t="s">
        <v>2922</v>
      </c>
      <c r="I1315" s="13" t="s">
        <v>34</v>
      </c>
      <c r="J1315" s="13" t="s">
        <v>35</v>
      </c>
      <c r="K1315" s="13" t="s">
        <v>52</v>
      </c>
      <c r="L1315" s="13" t="s">
        <v>37</v>
      </c>
      <c r="M1315" s="13" t="s">
        <v>38</v>
      </c>
      <c r="N1315" s="14">
        <v>38.88</v>
      </c>
      <c r="O1315" s="14">
        <v>38.0</v>
      </c>
      <c r="P1315" s="13">
        <v>9.0</v>
      </c>
      <c r="Q1315" s="14">
        <f t="shared" si="3"/>
        <v>349.92</v>
      </c>
      <c r="R1315" s="14">
        <f t="shared" si="4"/>
        <v>311.92</v>
      </c>
      <c r="S1315" s="14">
        <f t="shared" si="5"/>
        <v>38</v>
      </c>
    </row>
    <row r="1316">
      <c r="A1316" s="12">
        <v>43087.0</v>
      </c>
      <c r="B1316" s="12" t="s">
        <v>2325</v>
      </c>
      <c r="C1316" s="2">
        <v>43092.0</v>
      </c>
      <c r="D1316" s="15" t="str">
        <f t="shared" si="1"/>
        <v>Dec</v>
      </c>
      <c r="E1316" s="2" t="str">
        <f t="shared" si="2"/>
        <v>2017</v>
      </c>
      <c r="F1316" s="13" t="s">
        <v>41</v>
      </c>
      <c r="G1316" s="13" t="s">
        <v>2390</v>
      </c>
      <c r="H1316" s="13" t="s">
        <v>2922</v>
      </c>
      <c r="I1316" s="13" t="s">
        <v>34</v>
      </c>
      <c r="J1316" s="13" t="s">
        <v>35</v>
      </c>
      <c r="K1316" s="13" t="s">
        <v>52</v>
      </c>
      <c r="L1316" s="13" t="s">
        <v>37</v>
      </c>
      <c r="M1316" s="13" t="s">
        <v>27</v>
      </c>
      <c r="N1316" s="14">
        <v>183.84</v>
      </c>
      <c r="O1316" s="14">
        <v>183.21</v>
      </c>
      <c r="P1316" s="13">
        <v>9.0</v>
      </c>
      <c r="Q1316" s="14">
        <f t="shared" si="3"/>
        <v>1654.56</v>
      </c>
      <c r="R1316" s="14">
        <f t="shared" si="4"/>
        <v>1471.35</v>
      </c>
      <c r="S1316" s="14">
        <f t="shared" si="5"/>
        <v>183.21</v>
      </c>
    </row>
    <row r="1317">
      <c r="A1317" s="12">
        <v>43087.0</v>
      </c>
      <c r="B1317" s="12" t="s">
        <v>2325</v>
      </c>
      <c r="C1317" s="2">
        <v>43092.0</v>
      </c>
      <c r="D1317" s="15" t="str">
        <f t="shared" si="1"/>
        <v>Dec</v>
      </c>
      <c r="E1317" s="2" t="str">
        <f t="shared" si="2"/>
        <v>2017</v>
      </c>
      <c r="F1317" s="13" t="s">
        <v>41</v>
      </c>
      <c r="G1317" s="13" t="s">
        <v>2390</v>
      </c>
      <c r="H1317" s="13" t="s">
        <v>2922</v>
      </c>
      <c r="I1317" s="13" t="s">
        <v>34</v>
      </c>
      <c r="J1317" s="13" t="s">
        <v>35</v>
      </c>
      <c r="K1317" s="13" t="s">
        <v>52</v>
      </c>
      <c r="L1317" s="13" t="s">
        <v>37</v>
      </c>
      <c r="M1317" s="13" t="s">
        <v>38</v>
      </c>
      <c r="N1317" s="14">
        <v>579.3</v>
      </c>
      <c r="O1317" s="14">
        <v>579.25</v>
      </c>
      <c r="P1317" s="13">
        <v>9.0</v>
      </c>
      <c r="Q1317" s="14">
        <f t="shared" si="3"/>
        <v>5213.7</v>
      </c>
      <c r="R1317" s="14">
        <f t="shared" si="4"/>
        <v>4634.45</v>
      </c>
      <c r="S1317" s="14">
        <f t="shared" si="5"/>
        <v>579.25</v>
      </c>
    </row>
    <row r="1318">
      <c r="A1318" s="12">
        <v>43385.0</v>
      </c>
      <c r="B1318" s="12" t="s">
        <v>2358</v>
      </c>
      <c r="C1318" s="2">
        <v>43448.0</v>
      </c>
      <c r="D1318" s="15" t="str">
        <f t="shared" si="1"/>
        <v>Dec</v>
      </c>
      <c r="E1318" s="2" t="str">
        <f t="shared" si="2"/>
        <v>2018</v>
      </c>
      <c r="F1318" s="13" t="s">
        <v>41</v>
      </c>
      <c r="G1318" s="13" t="s">
        <v>2452</v>
      </c>
      <c r="H1318" s="13" t="s">
        <v>2453</v>
      </c>
      <c r="I1318" s="13" t="s">
        <v>23</v>
      </c>
      <c r="J1318" s="13" t="s">
        <v>98</v>
      </c>
      <c r="K1318" s="13" t="s">
        <v>99</v>
      </c>
      <c r="L1318" s="13" t="s">
        <v>100</v>
      </c>
      <c r="M1318" s="13" t="s">
        <v>51</v>
      </c>
      <c r="N1318" s="14">
        <v>14.2</v>
      </c>
      <c r="O1318" s="14">
        <v>13.64</v>
      </c>
      <c r="P1318" s="13">
        <v>1.0</v>
      </c>
      <c r="Q1318" s="14">
        <f t="shared" si="3"/>
        <v>14.2</v>
      </c>
      <c r="R1318" s="14">
        <f t="shared" si="4"/>
        <v>0.56</v>
      </c>
      <c r="S1318" s="14">
        <f t="shared" si="5"/>
        <v>13.64</v>
      </c>
    </row>
    <row r="1319">
      <c r="A1319" s="12">
        <v>42011.0</v>
      </c>
      <c r="B1319" s="12" t="s">
        <v>2353</v>
      </c>
      <c r="C1319" s="2">
        <v>42131.0</v>
      </c>
      <c r="D1319" s="15" t="str">
        <f t="shared" si="1"/>
        <v>May</v>
      </c>
      <c r="E1319" s="2" t="str">
        <f t="shared" si="2"/>
        <v>2015</v>
      </c>
      <c r="F1319" s="13" t="s">
        <v>41</v>
      </c>
      <c r="G1319" s="13" t="s">
        <v>2503</v>
      </c>
      <c r="H1319" s="13" t="s">
        <v>2923</v>
      </c>
      <c r="I1319" s="13" t="s">
        <v>34</v>
      </c>
      <c r="J1319" s="13" t="s">
        <v>2068</v>
      </c>
      <c r="K1319" s="13" t="s">
        <v>145</v>
      </c>
      <c r="L1319" s="13" t="s">
        <v>26</v>
      </c>
      <c r="M1319" s="13" t="s">
        <v>51</v>
      </c>
      <c r="N1319" s="14">
        <v>575.92</v>
      </c>
      <c r="O1319" s="14">
        <v>574.96</v>
      </c>
      <c r="P1319" s="13">
        <v>3.0</v>
      </c>
      <c r="Q1319" s="14">
        <f t="shared" si="3"/>
        <v>1727.76</v>
      </c>
      <c r="R1319" s="14">
        <f t="shared" si="4"/>
        <v>1152.8</v>
      </c>
      <c r="S1319" s="14">
        <f t="shared" si="5"/>
        <v>574.96</v>
      </c>
    </row>
    <row r="1320">
      <c r="A1320" s="12">
        <v>42011.0</v>
      </c>
      <c r="B1320" s="12" t="s">
        <v>2353</v>
      </c>
      <c r="C1320" s="2">
        <v>42131.0</v>
      </c>
      <c r="D1320" s="15" t="str">
        <f t="shared" si="1"/>
        <v>May</v>
      </c>
      <c r="E1320" s="2" t="str">
        <f t="shared" si="2"/>
        <v>2015</v>
      </c>
      <c r="F1320" s="13" t="s">
        <v>41</v>
      </c>
      <c r="G1320" s="13" t="s">
        <v>2503</v>
      </c>
      <c r="H1320" s="13" t="s">
        <v>2923</v>
      </c>
      <c r="I1320" s="13" t="s">
        <v>34</v>
      </c>
      <c r="J1320" s="13" t="s">
        <v>2068</v>
      </c>
      <c r="K1320" s="13" t="s">
        <v>145</v>
      </c>
      <c r="L1320" s="13" t="s">
        <v>26</v>
      </c>
      <c r="M1320" s="13" t="s">
        <v>38</v>
      </c>
      <c r="N1320" s="14">
        <v>5.184</v>
      </c>
      <c r="O1320" s="14">
        <v>4.82</v>
      </c>
      <c r="P1320" s="13">
        <v>3.0</v>
      </c>
      <c r="Q1320" s="14">
        <f t="shared" si="3"/>
        <v>15.552</v>
      </c>
      <c r="R1320" s="14">
        <f t="shared" si="4"/>
        <v>10.732</v>
      </c>
      <c r="S1320" s="14">
        <f t="shared" si="5"/>
        <v>4.82</v>
      </c>
    </row>
    <row r="1321">
      <c r="A1321" s="12">
        <v>43161.0</v>
      </c>
      <c r="B1321" s="12" t="s">
        <v>2399</v>
      </c>
      <c r="C1321" s="2">
        <v>43314.0</v>
      </c>
      <c r="D1321" s="15" t="str">
        <f t="shared" si="1"/>
        <v>Aug</v>
      </c>
      <c r="E1321" s="2" t="str">
        <f t="shared" si="2"/>
        <v>2018</v>
      </c>
      <c r="F1321" s="13" t="s">
        <v>41</v>
      </c>
      <c r="G1321" s="13" t="s">
        <v>2359</v>
      </c>
      <c r="H1321" s="13" t="s">
        <v>2528</v>
      </c>
      <c r="I1321" s="13" t="s">
        <v>23</v>
      </c>
      <c r="J1321" s="13" t="s">
        <v>579</v>
      </c>
      <c r="K1321" s="13" t="s">
        <v>304</v>
      </c>
      <c r="L1321" s="13" t="s">
        <v>100</v>
      </c>
      <c r="M1321" s="13" t="s">
        <v>38</v>
      </c>
      <c r="N1321" s="14">
        <v>5.229</v>
      </c>
      <c r="O1321" s="14">
        <v>4.59</v>
      </c>
      <c r="P1321" s="13">
        <v>4.0</v>
      </c>
      <c r="Q1321" s="14">
        <f t="shared" si="3"/>
        <v>20.916</v>
      </c>
      <c r="R1321" s="14">
        <f t="shared" si="4"/>
        <v>16.326</v>
      </c>
      <c r="S1321" s="14">
        <f t="shared" si="5"/>
        <v>4.59</v>
      </c>
    </row>
    <row r="1322">
      <c r="A1322" s="12">
        <v>43161.0</v>
      </c>
      <c r="B1322" s="12" t="s">
        <v>2399</v>
      </c>
      <c r="C1322" s="2">
        <v>43314.0</v>
      </c>
      <c r="D1322" s="15" t="str">
        <f t="shared" si="1"/>
        <v>Aug</v>
      </c>
      <c r="E1322" s="2" t="str">
        <f t="shared" si="2"/>
        <v>2018</v>
      </c>
      <c r="F1322" s="13" t="s">
        <v>41</v>
      </c>
      <c r="G1322" s="13" t="s">
        <v>2359</v>
      </c>
      <c r="H1322" s="13" t="s">
        <v>2528</v>
      </c>
      <c r="I1322" s="13" t="s">
        <v>23</v>
      </c>
      <c r="J1322" s="13" t="s">
        <v>579</v>
      </c>
      <c r="K1322" s="13" t="s">
        <v>304</v>
      </c>
      <c r="L1322" s="13" t="s">
        <v>100</v>
      </c>
      <c r="M1322" s="13" t="s">
        <v>38</v>
      </c>
      <c r="N1322" s="14">
        <v>285.552</v>
      </c>
      <c r="O1322" s="14">
        <v>285.41</v>
      </c>
      <c r="P1322" s="13">
        <v>4.0</v>
      </c>
      <c r="Q1322" s="14">
        <f t="shared" si="3"/>
        <v>1142.208</v>
      </c>
      <c r="R1322" s="14">
        <f t="shared" si="4"/>
        <v>856.798</v>
      </c>
      <c r="S1322" s="14">
        <f t="shared" si="5"/>
        <v>285.41</v>
      </c>
    </row>
    <row r="1323">
      <c r="A1323" s="12">
        <v>43162.0</v>
      </c>
      <c r="B1323" s="12" t="s">
        <v>2399</v>
      </c>
      <c r="C1323" s="2">
        <v>43315.0</v>
      </c>
      <c r="D1323" s="15" t="str">
        <f t="shared" si="1"/>
        <v>Aug</v>
      </c>
      <c r="E1323" s="2" t="str">
        <f t="shared" si="2"/>
        <v>2018</v>
      </c>
      <c r="F1323" s="13" t="s">
        <v>41</v>
      </c>
      <c r="G1323" s="13" t="s">
        <v>2666</v>
      </c>
      <c r="H1323" s="13" t="s">
        <v>2599</v>
      </c>
      <c r="I1323" s="13" t="s">
        <v>23</v>
      </c>
      <c r="J1323" s="13" t="s">
        <v>2075</v>
      </c>
      <c r="K1323" s="13" t="s">
        <v>25</v>
      </c>
      <c r="L1323" s="13" t="s">
        <v>26</v>
      </c>
      <c r="M1323" s="13" t="s">
        <v>38</v>
      </c>
      <c r="N1323" s="14">
        <v>72.8</v>
      </c>
      <c r="O1323" s="14">
        <v>72.63</v>
      </c>
      <c r="P1323" s="13">
        <v>4.0</v>
      </c>
      <c r="Q1323" s="14">
        <f t="shared" si="3"/>
        <v>291.2</v>
      </c>
      <c r="R1323" s="14">
        <f t="shared" si="4"/>
        <v>218.57</v>
      </c>
      <c r="S1323" s="14">
        <f t="shared" si="5"/>
        <v>72.63</v>
      </c>
    </row>
    <row r="1324">
      <c r="A1324" s="12">
        <v>43353.0</v>
      </c>
      <c r="B1324" s="12" t="s">
        <v>2329</v>
      </c>
      <c r="C1324" s="2">
        <v>43383.0</v>
      </c>
      <c r="D1324" s="15" t="str">
        <f t="shared" si="1"/>
        <v>Oct</v>
      </c>
      <c r="E1324" s="2" t="str">
        <f t="shared" si="2"/>
        <v>2018</v>
      </c>
      <c r="F1324" s="13" t="s">
        <v>121</v>
      </c>
      <c r="G1324" s="13" t="s">
        <v>2924</v>
      </c>
      <c r="H1324" s="13" t="s">
        <v>2925</v>
      </c>
      <c r="I1324" s="13" t="s">
        <v>23</v>
      </c>
      <c r="J1324" s="13" t="s">
        <v>315</v>
      </c>
      <c r="K1324" s="13" t="s">
        <v>58</v>
      </c>
      <c r="L1324" s="13" t="s">
        <v>26</v>
      </c>
      <c r="M1324" s="13" t="s">
        <v>38</v>
      </c>
      <c r="N1324" s="14">
        <v>10.816</v>
      </c>
      <c r="O1324" s="14">
        <v>10.77</v>
      </c>
      <c r="P1324" s="13">
        <v>2.0</v>
      </c>
      <c r="Q1324" s="14">
        <f t="shared" si="3"/>
        <v>21.632</v>
      </c>
      <c r="R1324" s="14">
        <f t="shared" si="4"/>
        <v>10.862</v>
      </c>
      <c r="S1324" s="14">
        <f t="shared" si="5"/>
        <v>10.77</v>
      </c>
    </row>
    <row r="1325">
      <c r="A1325" s="12">
        <v>42275.0</v>
      </c>
      <c r="B1325" s="12" t="s">
        <v>2329</v>
      </c>
      <c r="C1325" s="2">
        <v>42073.0</v>
      </c>
      <c r="D1325" s="15" t="str">
        <f t="shared" si="1"/>
        <v>Mar</v>
      </c>
      <c r="E1325" s="2" t="str">
        <f t="shared" si="2"/>
        <v>2015</v>
      </c>
      <c r="F1325" s="13" t="s">
        <v>41</v>
      </c>
      <c r="G1325" s="13" t="s">
        <v>2822</v>
      </c>
      <c r="H1325" s="13" t="s">
        <v>2926</v>
      </c>
      <c r="I1325" s="13" t="s">
        <v>34</v>
      </c>
      <c r="J1325" s="13" t="s">
        <v>822</v>
      </c>
      <c r="K1325" s="13" t="s">
        <v>694</v>
      </c>
      <c r="L1325" s="13" t="s">
        <v>100</v>
      </c>
      <c r="M1325" s="13" t="s">
        <v>38</v>
      </c>
      <c r="N1325" s="14">
        <v>46.26</v>
      </c>
      <c r="O1325" s="14">
        <v>45.29</v>
      </c>
      <c r="P1325" s="13">
        <v>1.0</v>
      </c>
      <c r="Q1325" s="14">
        <f t="shared" si="3"/>
        <v>46.26</v>
      </c>
      <c r="R1325" s="14">
        <f t="shared" si="4"/>
        <v>0.97</v>
      </c>
      <c r="S1325" s="14">
        <f t="shared" si="5"/>
        <v>45.29</v>
      </c>
    </row>
    <row r="1326">
      <c r="A1326" s="12">
        <v>42151.0</v>
      </c>
      <c r="B1326" s="12" t="s">
        <v>2335</v>
      </c>
      <c r="C1326" s="2">
        <v>42154.0</v>
      </c>
      <c r="D1326" s="15" t="str">
        <f t="shared" si="1"/>
        <v>May</v>
      </c>
      <c r="E1326" s="2" t="str">
        <f t="shared" si="2"/>
        <v>2015</v>
      </c>
      <c r="F1326" s="13" t="s">
        <v>121</v>
      </c>
      <c r="G1326" s="13" t="s">
        <v>2503</v>
      </c>
      <c r="H1326" s="13" t="s">
        <v>2504</v>
      </c>
      <c r="I1326" s="13" t="s">
        <v>23</v>
      </c>
      <c r="J1326" s="13" t="s">
        <v>188</v>
      </c>
      <c r="K1326" s="13" t="s">
        <v>135</v>
      </c>
      <c r="L1326" s="13" t="s">
        <v>71</v>
      </c>
      <c r="M1326" s="13" t="s">
        <v>38</v>
      </c>
      <c r="N1326" s="14">
        <v>17.46</v>
      </c>
      <c r="O1326" s="14">
        <v>16.75</v>
      </c>
      <c r="P1326" s="13">
        <v>6.0</v>
      </c>
      <c r="Q1326" s="14">
        <f t="shared" si="3"/>
        <v>104.76</v>
      </c>
      <c r="R1326" s="14">
        <f t="shared" si="4"/>
        <v>88.01</v>
      </c>
      <c r="S1326" s="14">
        <f t="shared" si="5"/>
        <v>16.75</v>
      </c>
    </row>
    <row r="1327">
      <c r="A1327" s="12">
        <v>42535.0</v>
      </c>
      <c r="B1327" s="12" t="s">
        <v>2374</v>
      </c>
      <c r="C1327" s="2">
        <v>42539.0</v>
      </c>
      <c r="D1327" s="15" t="str">
        <f t="shared" si="1"/>
        <v>Jun</v>
      </c>
      <c r="E1327" s="2" t="str">
        <f t="shared" si="2"/>
        <v>2016</v>
      </c>
      <c r="F1327" s="13" t="s">
        <v>41</v>
      </c>
      <c r="G1327" s="13" t="s">
        <v>2438</v>
      </c>
      <c r="H1327" s="13" t="s">
        <v>2439</v>
      </c>
      <c r="I1327" s="13" t="s">
        <v>68</v>
      </c>
      <c r="J1327" s="13" t="s">
        <v>98</v>
      </c>
      <c r="K1327" s="13" t="s">
        <v>99</v>
      </c>
      <c r="L1327" s="13" t="s">
        <v>100</v>
      </c>
      <c r="M1327" s="13" t="s">
        <v>27</v>
      </c>
      <c r="N1327" s="14">
        <v>51.072</v>
      </c>
      <c r="O1327" s="14">
        <v>50.77</v>
      </c>
      <c r="P1327" s="13">
        <v>1.0</v>
      </c>
      <c r="Q1327" s="14">
        <f t="shared" si="3"/>
        <v>51.072</v>
      </c>
      <c r="R1327" s="14">
        <f t="shared" si="4"/>
        <v>0.302</v>
      </c>
      <c r="S1327" s="14">
        <f t="shared" si="5"/>
        <v>50.77</v>
      </c>
    </row>
    <row r="1328">
      <c r="A1328" s="12">
        <v>42824.0</v>
      </c>
      <c r="B1328" s="12" t="s">
        <v>2399</v>
      </c>
      <c r="C1328" s="2">
        <v>42739.0</v>
      </c>
      <c r="D1328" s="15" t="str">
        <f t="shared" si="1"/>
        <v>Jan</v>
      </c>
      <c r="E1328" s="2" t="str">
        <f t="shared" si="2"/>
        <v>2017</v>
      </c>
      <c r="F1328" s="13" t="s">
        <v>121</v>
      </c>
      <c r="G1328" s="13" t="s">
        <v>2896</v>
      </c>
      <c r="H1328" s="13" t="s">
        <v>2927</v>
      </c>
      <c r="I1328" s="13" t="s">
        <v>34</v>
      </c>
      <c r="J1328" s="13" t="s">
        <v>2089</v>
      </c>
      <c r="K1328" s="13" t="s">
        <v>435</v>
      </c>
      <c r="L1328" s="13" t="s">
        <v>100</v>
      </c>
      <c r="M1328" s="13" t="s">
        <v>38</v>
      </c>
      <c r="N1328" s="14">
        <v>11.34</v>
      </c>
      <c r="O1328" s="14">
        <v>11.27</v>
      </c>
      <c r="P1328" s="13">
        <v>6.0</v>
      </c>
      <c r="Q1328" s="14">
        <f t="shared" si="3"/>
        <v>68.04</v>
      </c>
      <c r="R1328" s="14">
        <f t="shared" si="4"/>
        <v>56.77</v>
      </c>
      <c r="S1328" s="14">
        <f t="shared" si="5"/>
        <v>11.27</v>
      </c>
    </row>
    <row r="1329">
      <c r="A1329" s="12">
        <v>43388.0</v>
      </c>
      <c r="B1329" s="12" t="s">
        <v>2358</v>
      </c>
      <c r="C1329" s="2">
        <v>43391.0</v>
      </c>
      <c r="D1329" s="15" t="str">
        <f t="shared" si="1"/>
        <v>Oct</v>
      </c>
      <c r="E1329" s="2" t="str">
        <f t="shared" si="2"/>
        <v>2018</v>
      </c>
      <c r="F1329" s="13" t="s">
        <v>20</v>
      </c>
      <c r="G1329" s="13" t="s">
        <v>2483</v>
      </c>
      <c r="H1329" s="13" t="s">
        <v>2455</v>
      </c>
      <c r="I1329" s="13" t="s">
        <v>68</v>
      </c>
      <c r="J1329" s="13" t="s">
        <v>87</v>
      </c>
      <c r="K1329" s="13" t="s">
        <v>52</v>
      </c>
      <c r="L1329" s="13" t="s">
        <v>37</v>
      </c>
      <c r="M1329" s="13" t="s">
        <v>38</v>
      </c>
      <c r="N1329" s="14">
        <v>87.92</v>
      </c>
      <c r="O1329" s="14">
        <v>87.9</v>
      </c>
      <c r="P1329" s="13">
        <v>9.0</v>
      </c>
      <c r="Q1329" s="14">
        <f t="shared" si="3"/>
        <v>791.28</v>
      </c>
      <c r="R1329" s="14">
        <f t="shared" si="4"/>
        <v>703.38</v>
      </c>
      <c r="S1329" s="14">
        <f t="shared" si="5"/>
        <v>87.9</v>
      </c>
    </row>
    <row r="1330">
      <c r="A1330" s="12">
        <v>42878.0</v>
      </c>
      <c r="B1330" s="12" t="s">
        <v>2335</v>
      </c>
      <c r="C1330" s="2">
        <v>42882.0</v>
      </c>
      <c r="D1330" s="15" t="str">
        <f t="shared" si="1"/>
        <v>May</v>
      </c>
      <c r="E1330" s="2" t="str">
        <f t="shared" si="2"/>
        <v>2017</v>
      </c>
      <c r="F1330" s="13" t="s">
        <v>41</v>
      </c>
      <c r="G1330" s="13" t="s">
        <v>2773</v>
      </c>
      <c r="H1330" s="13" t="s">
        <v>2875</v>
      </c>
      <c r="I1330" s="13" t="s">
        <v>23</v>
      </c>
      <c r="J1330" s="13" t="s">
        <v>87</v>
      </c>
      <c r="K1330" s="13" t="s">
        <v>52</v>
      </c>
      <c r="L1330" s="13" t="s">
        <v>37</v>
      </c>
      <c r="M1330" s="13" t="s">
        <v>27</v>
      </c>
      <c r="N1330" s="14">
        <v>37.05</v>
      </c>
      <c r="O1330" s="14">
        <v>36.89</v>
      </c>
      <c r="P1330" s="13">
        <v>9.0</v>
      </c>
      <c r="Q1330" s="14">
        <f t="shared" si="3"/>
        <v>333.45</v>
      </c>
      <c r="R1330" s="14">
        <f t="shared" si="4"/>
        <v>296.56</v>
      </c>
      <c r="S1330" s="14">
        <f t="shared" si="5"/>
        <v>36.89</v>
      </c>
    </row>
    <row r="1331">
      <c r="A1331" s="12">
        <v>43137.0</v>
      </c>
      <c r="B1331" s="12" t="s">
        <v>2431</v>
      </c>
      <c r="C1331" s="2">
        <v>43257.0</v>
      </c>
      <c r="D1331" s="15" t="str">
        <f t="shared" si="1"/>
        <v>Jun</v>
      </c>
      <c r="E1331" s="2" t="str">
        <f t="shared" si="2"/>
        <v>2018</v>
      </c>
      <c r="F1331" s="13" t="s">
        <v>41</v>
      </c>
      <c r="G1331" s="13" t="s">
        <v>2342</v>
      </c>
      <c r="H1331" s="13" t="s">
        <v>2928</v>
      </c>
      <c r="I1331" s="13" t="s">
        <v>68</v>
      </c>
      <c r="J1331" s="13" t="s">
        <v>1472</v>
      </c>
      <c r="K1331" s="13" t="s">
        <v>304</v>
      </c>
      <c r="L1331" s="13" t="s">
        <v>100</v>
      </c>
      <c r="M1331" s="13" t="s">
        <v>51</v>
      </c>
      <c r="N1331" s="14">
        <v>2.97</v>
      </c>
      <c r="O1331" s="14">
        <v>2.87</v>
      </c>
      <c r="P1331" s="13">
        <v>4.0</v>
      </c>
      <c r="Q1331" s="14">
        <f t="shared" si="3"/>
        <v>11.88</v>
      </c>
      <c r="R1331" s="14">
        <f t="shared" si="4"/>
        <v>9.01</v>
      </c>
      <c r="S1331" s="14">
        <f t="shared" si="5"/>
        <v>2.87</v>
      </c>
    </row>
    <row r="1332">
      <c r="A1332" s="12">
        <v>43137.0</v>
      </c>
      <c r="B1332" s="12" t="s">
        <v>2431</v>
      </c>
      <c r="C1332" s="2">
        <v>43257.0</v>
      </c>
      <c r="D1332" s="15" t="str">
        <f t="shared" si="1"/>
        <v>Jun</v>
      </c>
      <c r="E1332" s="2" t="str">
        <f t="shared" si="2"/>
        <v>2018</v>
      </c>
      <c r="F1332" s="13" t="s">
        <v>41</v>
      </c>
      <c r="G1332" s="13" t="s">
        <v>2342</v>
      </c>
      <c r="H1332" s="13" t="s">
        <v>2928</v>
      </c>
      <c r="I1332" s="13" t="s">
        <v>68</v>
      </c>
      <c r="J1332" s="13" t="s">
        <v>1472</v>
      </c>
      <c r="K1332" s="13" t="s">
        <v>304</v>
      </c>
      <c r="L1332" s="13" t="s">
        <v>100</v>
      </c>
      <c r="M1332" s="13" t="s">
        <v>38</v>
      </c>
      <c r="N1332" s="14">
        <v>27.44</v>
      </c>
      <c r="O1332" s="14">
        <v>27.29</v>
      </c>
      <c r="P1332" s="13">
        <v>4.0</v>
      </c>
      <c r="Q1332" s="14">
        <f t="shared" si="3"/>
        <v>109.76</v>
      </c>
      <c r="R1332" s="14">
        <f t="shared" si="4"/>
        <v>82.47</v>
      </c>
      <c r="S1332" s="14">
        <f t="shared" si="5"/>
        <v>27.29</v>
      </c>
    </row>
    <row r="1333">
      <c r="A1333" s="12">
        <v>42051.0</v>
      </c>
      <c r="B1333" s="12" t="s">
        <v>2431</v>
      </c>
      <c r="C1333" s="2">
        <v>42056.0</v>
      </c>
      <c r="D1333" s="15" t="str">
        <f t="shared" si="1"/>
        <v>Feb</v>
      </c>
      <c r="E1333" s="2" t="str">
        <f t="shared" si="2"/>
        <v>2015</v>
      </c>
      <c r="F1333" s="13" t="s">
        <v>41</v>
      </c>
      <c r="G1333" s="13" t="s">
        <v>2507</v>
      </c>
      <c r="H1333" s="13" t="s">
        <v>2364</v>
      </c>
      <c r="I1333" s="13" t="s">
        <v>23</v>
      </c>
      <c r="J1333" s="13" t="s">
        <v>480</v>
      </c>
      <c r="K1333" s="13" t="s">
        <v>70</v>
      </c>
      <c r="L1333" s="13" t="s">
        <v>71</v>
      </c>
      <c r="M1333" s="13" t="s">
        <v>38</v>
      </c>
      <c r="N1333" s="14">
        <v>1.08</v>
      </c>
      <c r="O1333" s="14">
        <v>0.93</v>
      </c>
      <c r="P1333" s="13">
        <v>7.0</v>
      </c>
      <c r="Q1333" s="14">
        <f t="shared" si="3"/>
        <v>7.56</v>
      </c>
      <c r="R1333" s="14">
        <f t="shared" si="4"/>
        <v>6.63</v>
      </c>
      <c r="S1333" s="14">
        <f t="shared" si="5"/>
        <v>0.93</v>
      </c>
    </row>
    <row r="1334">
      <c r="A1334" s="12">
        <v>42051.0</v>
      </c>
      <c r="B1334" s="12" t="s">
        <v>2431</v>
      </c>
      <c r="C1334" s="2">
        <v>42056.0</v>
      </c>
      <c r="D1334" s="15" t="str">
        <f t="shared" si="1"/>
        <v>Feb</v>
      </c>
      <c r="E1334" s="2" t="str">
        <f t="shared" si="2"/>
        <v>2015</v>
      </c>
      <c r="F1334" s="13" t="s">
        <v>41</v>
      </c>
      <c r="G1334" s="13" t="s">
        <v>2507</v>
      </c>
      <c r="H1334" s="13" t="s">
        <v>2364</v>
      </c>
      <c r="I1334" s="13" t="s">
        <v>23</v>
      </c>
      <c r="J1334" s="13" t="s">
        <v>480</v>
      </c>
      <c r="K1334" s="13" t="s">
        <v>70</v>
      </c>
      <c r="L1334" s="13" t="s">
        <v>71</v>
      </c>
      <c r="M1334" s="13" t="s">
        <v>38</v>
      </c>
      <c r="N1334" s="14">
        <v>7.96</v>
      </c>
      <c r="O1334" s="14">
        <v>7.64</v>
      </c>
      <c r="P1334" s="13">
        <v>7.0</v>
      </c>
      <c r="Q1334" s="14">
        <f t="shared" si="3"/>
        <v>55.72</v>
      </c>
      <c r="R1334" s="14">
        <f t="shared" si="4"/>
        <v>48.08</v>
      </c>
      <c r="S1334" s="14">
        <f t="shared" si="5"/>
        <v>7.64</v>
      </c>
    </row>
    <row r="1335">
      <c r="A1335" s="12">
        <v>42160.0</v>
      </c>
      <c r="B1335" s="12" t="s">
        <v>2374</v>
      </c>
      <c r="C1335" s="2">
        <v>42282.0</v>
      </c>
      <c r="D1335" s="15" t="str">
        <f t="shared" si="1"/>
        <v>Oct</v>
      </c>
      <c r="E1335" s="2" t="str">
        <f t="shared" si="2"/>
        <v>2015</v>
      </c>
      <c r="F1335" s="13" t="s">
        <v>41</v>
      </c>
      <c r="G1335" s="13" t="s">
        <v>2338</v>
      </c>
      <c r="H1335" s="13" t="s">
        <v>2339</v>
      </c>
      <c r="I1335" s="13" t="s">
        <v>68</v>
      </c>
      <c r="J1335" s="13" t="s">
        <v>35</v>
      </c>
      <c r="K1335" s="13" t="s">
        <v>52</v>
      </c>
      <c r="L1335" s="13" t="s">
        <v>37</v>
      </c>
      <c r="M1335" s="13" t="s">
        <v>38</v>
      </c>
      <c r="N1335" s="14">
        <v>140.736</v>
      </c>
      <c r="O1335" s="14">
        <v>139.83</v>
      </c>
      <c r="P1335" s="13">
        <v>9.0</v>
      </c>
      <c r="Q1335" s="14">
        <f t="shared" si="3"/>
        <v>1266.624</v>
      </c>
      <c r="R1335" s="14">
        <f t="shared" si="4"/>
        <v>1126.794</v>
      </c>
      <c r="S1335" s="14">
        <f t="shared" si="5"/>
        <v>139.83</v>
      </c>
    </row>
    <row r="1336">
      <c r="A1336" s="12">
        <v>42871.0</v>
      </c>
      <c r="B1336" s="12" t="s">
        <v>2335</v>
      </c>
      <c r="C1336" s="2">
        <v>42878.0</v>
      </c>
      <c r="D1336" s="15" t="str">
        <f t="shared" si="1"/>
        <v>May</v>
      </c>
      <c r="E1336" s="2" t="str">
        <f t="shared" si="2"/>
        <v>2017</v>
      </c>
      <c r="F1336" s="13" t="s">
        <v>41</v>
      </c>
      <c r="G1336" s="13" t="s">
        <v>2407</v>
      </c>
      <c r="H1336" s="13" t="s">
        <v>2692</v>
      </c>
      <c r="I1336" s="13" t="s">
        <v>23</v>
      </c>
      <c r="J1336" s="13" t="s">
        <v>2109</v>
      </c>
      <c r="K1336" s="13" t="s">
        <v>435</v>
      </c>
      <c r="L1336" s="13" t="s">
        <v>100</v>
      </c>
      <c r="M1336" s="13" t="s">
        <v>38</v>
      </c>
      <c r="N1336" s="14">
        <v>552.56</v>
      </c>
      <c r="O1336" s="14">
        <v>551.95</v>
      </c>
      <c r="P1336" s="13">
        <v>6.0</v>
      </c>
      <c r="Q1336" s="14">
        <f t="shared" si="3"/>
        <v>3315.36</v>
      </c>
      <c r="R1336" s="14">
        <f t="shared" si="4"/>
        <v>2763.41</v>
      </c>
      <c r="S1336" s="14">
        <f t="shared" si="5"/>
        <v>551.95</v>
      </c>
    </row>
    <row r="1337">
      <c r="A1337" s="12">
        <v>43135.0</v>
      </c>
      <c r="B1337" s="12" t="s">
        <v>2431</v>
      </c>
      <c r="C1337" s="2">
        <v>43285.0</v>
      </c>
      <c r="D1337" s="15" t="str">
        <f t="shared" si="1"/>
        <v>Jul</v>
      </c>
      <c r="E1337" s="2" t="str">
        <f t="shared" si="2"/>
        <v>2018</v>
      </c>
      <c r="F1337" s="13" t="s">
        <v>41</v>
      </c>
      <c r="G1337" s="13" t="s">
        <v>2929</v>
      </c>
      <c r="H1337" s="13" t="s">
        <v>2930</v>
      </c>
      <c r="I1337" s="13" t="s">
        <v>23</v>
      </c>
      <c r="J1337" s="13" t="s">
        <v>35</v>
      </c>
      <c r="K1337" s="13" t="s">
        <v>52</v>
      </c>
      <c r="L1337" s="13" t="s">
        <v>37</v>
      </c>
      <c r="M1337" s="13" t="s">
        <v>27</v>
      </c>
      <c r="N1337" s="14">
        <v>25.11</v>
      </c>
      <c r="O1337" s="14">
        <v>24.28</v>
      </c>
      <c r="P1337" s="13">
        <v>9.0</v>
      </c>
      <c r="Q1337" s="14">
        <f t="shared" si="3"/>
        <v>225.99</v>
      </c>
      <c r="R1337" s="14">
        <f t="shared" si="4"/>
        <v>201.71</v>
      </c>
      <c r="S1337" s="14">
        <f t="shared" si="5"/>
        <v>24.28</v>
      </c>
    </row>
    <row r="1338">
      <c r="A1338" s="12">
        <v>43190.0</v>
      </c>
      <c r="B1338" s="12" t="s">
        <v>2399</v>
      </c>
      <c r="C1338" s="2">
        <v>43135.0</v>
      </c>
      <c r="D1338" s="15" t="str">
        <f t="shared" si="1"/>
        <v>Feb</v>
      </c>
      <c r="E1338" s="2" t="str">
        <f t="shared" si="2"/>
        <v>2018</v>
      </c>
      <c r="F1338" s="13" t="s">
        <v>20</v>
      </c>
      <c r="G1338" s="13" t="s">
        <v>2473</v>
      </c>
      <c r="H1338" s="13" t="s">
        <v>2931</v>
      </c>
      <c r="I1338" s="13" t="s">
        <v>23</v>
      </c>
      <c r="J1338" s="13" t="s">
        <v>174</v>
      </c>
      <c r="K1338" s="13" t="s">
        <v>175</v>
      </c>
      <c r="L1338" s="13" t="s">
        <v>100</v>
      </c>
      <c r="M1338" s="13" t="s">
        <v>27</v>
      </c>
      <c r="N1338" s="14">
        <v>29.78</v>
      </c>
      <c r="O1338" s="14">
        <v>29.58</v>
      </c>
      <c r="P1338" s="13">
        <v>1.0</v>
      </c>
      <c r="Q1338" s="14">
        <f t="shared" si="3"/>
        <v>29.78</v>
      </c>
      <c r="R1338" s="14">
        <f t="shared" si="4"/>
        <v>0.2</v>
      </c>
      <c r="S1338" s="14">
        <f t="shared" si="5"/>
        <v>29.58</v>
      </c>
    </row>
    <row r="1339">
      <c r="A1339" s="12">
        <v>43190.0</v>
      </c>
      <c r="B1339" s="12" t="s">
        <v>2399</v>
      </c>
      <c r="C1339" s="2">
        <v>43135.0</v>
      </c>
      <c r="D1339" s="15" t="str">
        <f t="shared" si="1"/>
        <v>Feb</v>
      </c>
      <c r="E1339" s="2" t="str">
        <f t="shared" si="2"/>
        <v>2018</v>
      </c>
      <c r="F1339" s="13" t="s">
        <v>20</v>
      </c>
      <c r="G1339" s="13" t="s">
        <v>2473</v>
      </c>
      <c r="H1339" s="13" t="s">
        <v>2931</v>
      </c>
      <c r="I1339" s="13" t="s">
        <v>23</v>
      </c>
      <c r="J1339" s="13" t="s">
        <v>174</v>
      </c>
      <c r="K1339" s="13" t="s">
        <v>175</v>
      </c>
      <c r="L1339" s="13" t="s">
        <v>100</v>
      </c>
      <c r="M1339" s="13" t="s">
        <v>51</v>
      </c>
      <c r="N1339" s="14">
        <v>677.58</v>
      </c>
      <c r="O1339" s="14">
        <v>677.48</v>
      </c>
      <c r="P1339" s="13">
        <v>1.0</v>
      </c>
      <c r="Q1339" s="14">
        <f t="shared" si="3"/>
        <v>677.58</v>
      </c>
      <c r="R1339" s="14">
        <f t="shared" si="4"/>
        <v>0.1</v>
      </c>
      <c r="S1339" s="14">
        <f t="shared" si="5"/>
        <v>677.48</v>
      </c>
    </row>
    <row r="1340">
      <c r="A1340" s="12">
        <v>43190.0</v>
      </c>
      <c r="B1340" s="12" t="s">
        <v>2399</v>
      </c>
      <c r="C1340" s="2">
        <v>43135.0</v>
      </c>
      <c r="D1340" s="15" t="str">
        <f t="shared" si="1"/>
        <v>Feb</v>
      </c>
      <c r="E1340" s="2" t="str">
        <f t="shared" si="2"/>
        <v>2018</v>
      </c>
      <c r="F1340" s="13" t="s">
        <v>20</v>
      </c>
      <c r="G1340" s="13" t="s">
        <v>2473</v>
      </c>
      <c r="H1340" s="13" t="s">
        <v>2931</v>
      </c>
      <c r="I1340" s="13" t="s">
        <v>23</v>
      </c>
      <c r="J1340" s="13" t="s">
        <v>174</v>
      </c>
      <c r="K1340" s="13" t="s">
        <v>175</v>
      </c>
      <c r="L1340" s="13" t="s">
        <v>100</v>
      </c>
      <c r="M1340" s="13" t="s">
        <v>38</v>
      </c>
      <c r="N1340" s="14">
        <v>75.04</v>
      </c>
      <c r="O1340" s="14">
        <v>74.14</v>
      </c>
      <c r="P1340" s="13">
        <v>1.0</v>
      </c>
      <c r="Q1340" s="14">
        <f t="shared" si="3"/>
        <v>75.04</v>
      </c>
      <c r="R1340" s="14">
        <f t="shared" si="4"/>
        <v>0.9</v>
      </c>
      <c r="S1340" s="14">
        <f t="shared" si="5"/>
        <v>74.14</v>
      </c>
    </row>
    <row r="1341">
      <c r="A1341" s="12">
        <v>43132.0</v>
      </c>
      <c r="B1341" s="12" t="s">
        <v>2431</v>
      </c>
      <c r="C1341" s="2">
        <v>43191.0</v>
      </c>
      <c r="D1341" s="15" t="str">
        <f t="shared" si="1"/>
        <v>Apr</v>
      </c>
      <c r="E1341" s="2" t="str">
        <f t="shared" si="2"/>
        <v>2018</v>
      </c>
      <c r="F1341" s="13" t="s">
        <v>121</v>
      </c>
      <c r="G1341" s="13" t="s">
        <v>2932</v>
      </c>
      <c r="H1341" s="13" t="s">
        <v>2933</v>
      </c>
      <c r="I1341" s="13" t="s">
        <v>34</v>
      </c>
      <c r="J1341" s="13" t="s">
        <v>849</v>
      </c>
      <c r="K1341" s="13" t="s">
        <v>58</v>
      </c>
      <c r="L1341" s="13" t="s">
        <v>26</v>
      </c>
      <c r="M1341" s="13" t="s">
        <v>51</v>
      </c>
      <c r="N1341" s="14">
        <v>695.7</v>
      </c>
      <c r="O1341" s="14">
        <v>695.28</v>
      </c>
      <c r="P1341" s="13">
        <v>2.0</v>
      </c>
      <c r="Q1341" s="14">
        <f t="shared" si="3"/>
        <v>1391.4</v>
      </c>
      <c r="R1341" s="14">
        <f t="shared" si="4"/>
        <v>696.12</v>
      </c>
      <c r="S1341" s="14">
        <f t="shared" si="5"/>
        <v>695.28</v>
      </c>
    </row>
    <row r="1342">
      <c r="A1342" s="12">
        <v>43132.0</v>
      </c>
      <c r="B1342" s="12" t="s">
        <v>2431</v>
      </c>
      <c r="C1342" s="2">
        <v>43191.0</v>
      </c>
      <c r="D1342" s="15" t="str">
        <f t="shared" si="1"/>
        <v>Apr</v>
      </c>
      <c r="E1342" s="2" t="str">
        <f t="shared" si="2"/>
        <v>2018</v>
      </c>
      <c r="F1342" s="13" t="s">
        <v>121</v>
      </c>
      <c r="G1342" s="13" t="s">
        <v>2932</v>
      </c>
      <c r="H1342" s="13" t="s">
        <v>2933</v>
      </c>
      <c r="I1342" s="13" t="s">
        <v>34</v>
      </c>
      <c r="J1342" s="13" t="s">
        <v>849</v>
      </c>
      <c r="K1342" s="13" t="s">
        <v>58</v>
      </c>
      <c r="L1342" s="13" t="s">
        <v>26</v>
      </c>
      <c r="M1342" s="13" t="s">
        <v>38</v>
      </c>
      <c r="N1342" s="14">
        <v>15.66</v>
      </c>
      <c r="O1342" s="14">
        <v>14.93</v>
      </c>
      <c r="P1342" s="13">
        <v>2.0</v>
      </c>
      <c r="Q1342" s="14">
        <f t="shared" si="3"/>
        <v>31.32</v>
      </c>
      <c r="R1342" s="14">
        <f t="shared" si="4"/>
        <v>16.39</v>
      </c>
      <c r="S1342" s="14">
        <f t="shared" si="5"/>
        <v>14.93</v>
      </c>
    </row>
    <row r="1343">
      <c r="A1343" s="12">
        <v>43132.0</v>
      </c>
      <c r="B1343" s="12" t="s">
        <v>2431</v>
      </c>
      <c r="C1343" s="2">
        <v>43191.0</v>
      </c>
      <c r="D1343" s="15" t="str">
        <f t="shared" si="1"/>
        <v>Apr</v>
      </c>
      <c r="E1343" s="2" t="str">
        <f t="shared" si="2"/>
        <v>2018</v>
      </c>
      <c r="F1343" s="13" t="s">
        <v>121</v>
      </c>
      <c r="G1343" s="13" t="s">
        <v>2932</v>
      </c>
      <c r="H1343" s="13" t="s">
        <v>2933</v>
      </c>
      <c r="I1343" s="13" t="s">
        <v>34</v>
      </c>
      <c r="J1343" s="13" t="s">
        <v>849</v>
      </c>
      <c r="K1343" s="13" t="s">
        <v>58</v>
      </c>
      <c r="L1343" s="13" t="s">
        <v>26</v>
      </c>
      <c r="M1343" s="13" t="s">
        <v>38</v>
      </c>
      <c r="N1343" s="14">
        <v>28.854</v>
      </c>
      <c r="O1343" s="14">
        <v>28.41</v>
      </c>
      <c r="P1343" s="13">
        <v>2.0</v>
      </c>
      <c r="Q1343" s="14">
        <f t="shared" si="3"/>
        <v>57.708</v>
      </c>
      <c r="R1343" s="14">
        <f t="shared" si="4"/>
        <v>29.298</v>
      </c>
      <c r="S1343" s="14">
        <f t="shared" si="5"/>
        <v>28.41</v>
      </c>
    </row>
    <row r="1344">
      <c r="A1344" s="12">
        <v>42518.0</v>
      </c>
      <c r="B1344" s="12" t="s">
        <v>2335</v>
      </c>
      <c r="C1344" s="2">
        <v>42375.0</v>
      </c>
      <c r="D1344" s="15" t="str">
        <f t="shared" si="1"/>
        <v>Jan</v>
      </c>
      <c r="E1344" s="2" t="str">
        <f t="shared" si="2"/>
        <v>2016</v>
      </c>
      <c r="F1344" s="13" t="s">
        <v>41</v>
      </c>
      <c r="G1344" s="13" t="s">
        <v>2409</v>
      </c>
      <c r="H1344" s="13" t="s">
        <v>2410</v>
      </c>
      <c r="I1344" s="13" t="s">
        <v>23</v>
      </c>
      <c r="J1344" s="13" t="s">
        <v>2120</v>
      </c>
      <c r="K1344" s="13" t="s">
        <v>175</v>
      </c>
      <c r="L1344" s="13" t="s">
        <v>100</v>
      </c>
      <c r="M1344" s="13" t="s">
        <v>38</v>
      </c>
      <c r="N1344" s="14">
        <v>47.82</v>
      </c>
      <c r="O1344" s="14">
        <v>47.44</v>
      </c>
      <c r="P1344" s="13">
        <v>1.0</v>
      </c>
      <c r="Q1344" s="14">
        <f t="shared" si="3"/>
        <v>47.82</v>
      </c>
      <c r="R1344" s="14">
        <f t="shared" si="4"/>
        <v>0.38</v>
      </c>
      <c r="S1344" s="14">
        <f t="shared" si="5"/>
        <v>47.44</v>
      </c>
    </row>
    <row r="1345">
      <c r="A1345" s="12">
        <v>42518.0</v>
      </c>
      <c r="B1345" s="12" t="s">
        <v>2335</v>
      </c>
      <c r="C1345" s="2">
        <v>42375.0</v>
      </c>
      <c r="D1345" s="15" t="str">
        <f t="shared" si="1"/>
        <v>Jan</v>
      </c>
      <c r="E1345" s="2" t="str">
        <f t="shared" si="2"/>
        <v>2016</v>
      </c>
      <c r="F1345" s="13" t="s">
        <v>41</v>
      </c>
      <c r="G1345" s="13" t="s">
        <v>2409</v>
      </c>
      <c r="H1345" s="13" t="s">
        <v>2410</v>
      </c>
      <c r="I1345" s="13" t="s">
        <v>23</v>
      </c>
      <c r="J1345" s="13" t="s">
        <v>2120</v>
      </c>
      <c r="K1345" s="13" t="s">
        <v>175</v>
      </c>
      <c r="L1345" s="13" t="s">
        <v>100</v>
      </c>
      <c r="M1345" s="13" t="s">
        <v>38</v>
      </c>
      <c r="N1345" s="14">
        <v>13.05</v>
      </c>
      <c r="O1345" s="14">
        <v>12.85</v>
      </c>
      <c r="P1345" s="13">
        <v>1.0</v>
      </c>
      <c r="Q1345" s="14">
        <f t="shared" si="3"/>
        <v>13.05</v>
      </c>
      <c r="R1345" s="14">
        <f t="shared" si="4"/>
        <v>0.2</v>
      </c>
      <c r="S1345" s="14">
        <f t="shared" si="5"/>
        <v>12.85</v>
      </c>
    </row>
    <row r="1346">
      <c r="A1346" s="12">
        <v>42080.0</v>
      </c>
      <c r="B1346" s="12" t="s">
        <v>2399</v>
      </c>
      <c r="C1346" s="2">
        <v>42087.0</v>
      </c>
      <c r="D1346" s="15" t="str">
        <f t="shared" si="1"/>
        <v>Mar</v>
      </c>
      <c r="E1346" s="2" t="str">
        <f t="shared" si="2"/>
        <v>2015</v>
      </c>
      <c r="F1346" s="13" t="s">
        <v>41</v>
      </c>
      <c r="G1346" s="13" t="s">
        <v>2652</v>
      </c>
      <c r="H1346" s="13" t="s">
        <v>2364</v>
      </c>
      <c r="I1346" s="13" t="s">
        <v>23</v>
      </c>
      <c r="J1346" s="13" t="s">
        <v>533</v>
      </c>
      <c r="K1346" s="13" t="s">
        <v>151</v>
      </c>
      <c r="L1346" s="13" t="s">
        <v>71</v>
      </c>
      <c r="M1346" s="13" t="s">
        <v>38</v>
      </c>
      <c r="N1346" s="14">
        <v>93.78</v>
      </c>
      <c r="O1346" s="14">
        <v>93.01</v>
      </c>
      <c r="P1346" s="13">
        <v>5.0</v>
      </c>
      <c r="Q1346" s="14">
        <f t="shared" si="3"/>
        <v>468.9</v>
      </c>
      <c r="R1346" s="14">
        <f t="shared" si="4"/>
        <v>375.89</v>
      </c>
      <c r="S1346" s="14">
        <f t="shared" si="5"/>
        <v>93.01</v>
      </c>
    </row>
    <row r="1347">
      <c r="A1347" s="12">
        <v>42080.0</v>
      </c>
      <c r="B1347" s="12" t="s">
        <v>2399</v>
      </c>
      <c r="C1347" s="2">
        <v>42087.0</v>
      </c>
      <c r="D1347" s="15" t="str">
        <f t="shared" si="1"/>
        <v>Mar</v>
      </c>
      <c r="E1347" s="2" t="str">
        <f t="shared" si="2"/>
        <v>2015</v>
      </c>
      <c r="F1347" s="13" t="s">
        <v>41</v>
      </c>
      <c r="G1347" s="13" t="s">
        <v>2652</v>
      </c>
      <c r="H1347" s="13" t="s">
        <v>2364</v>
      </c>
      <c r="I1347" s="13" t="s">
        <v>23</v>
      </c>
      <c r="J1347" s="13" t="s">
        <v>533</v>
      </c>
      <c r="K1347" s="13" t="s">
        <v>151</v>
      </c>
      <c r="L1347" s="13" t="s">
        <v>71</v>
      </c>
      <c r="M1347" s="13" t="s">
        <v>38</v>
      </c>
      <c r="N1347" s="14">
        <v>47.18</v>
      </c>
      <c r="O1347" s="14">
        <v>46.28</v>
      </c>
      <c r="P1347" s="13">
        <v>5.0</v>
      </c>
      <c r="Q1347" s="14">
        <f t="shared" si="3"/>
        <v>235.9</v>
      </c>
      <c r="R1347" s="14">
        <f t="shared" si="4"/>
        <v>189.62</v>
      </c>
      <c r="S1347" s="14">
        <f t="shared" si="5"/>
        <v>46.28</v>
      </c>
    </row>
    <row r="1348">
      <c r="A1348" s="12">
        <v>42080.0</v>
      </c>
      <c r="B1348" s="12" t="s">
        <v>2399</v>
      </c>
      <c r="C1348" s="2">
        <v>42087.0</v>
      </c>
      <c r="D1348" s="15" t="str">
        <f t="shared" si="1"/>
        <v>Mar</v>
      </c>
      <c r="E1348" s="2" t="str">
        <f t="shared" si="2"/>
        <v>2015</v>
      </c>
      <c r="F1348" s="13" t="s">
        <v>41</v>
      </c>
      <c r="G1348" s="13" t="s">
        <v>2652</v>
      </c>
      <c r="H1348" s="13" t="s">
        <v>2364</v>
      </c>
      <c r="I1348" s="13" t="s">
        <v>23</v>
      </c>
      <c r="J1348" s="13" t="s">
        <v>533</v>
      </c>
      <c r="K1348" s="13" t="s">
        <v>151</v>
      </c>
      <c r="L1348" s="13" t="s">
        <v>71</v>
      </c>
      <c r="M1348" s="13" t="s">
        <v>38</v>
      </c>
      <c r="N1348" s="14">
        <v>19.68</v>
      </c>
      <c r="O1348" s="14">
        <v>19.03</v>
      </c>
      <c r="P1348" s="13">
        <v>5.0</v>
      </c>
      <c r="Q1348" s="14">
        <f t="shared" si="3"/>
        <v>98.4</v>
      </c>
      <c r="R1348" s="14">
        <f t="shared" si="4"/>
        <v>79.37</v>
      </c>
      <c r="S1348" s="14">
        <f t="shared" si="5"/>
        <v>19.03</v>
      </c>
    </row>
    <row r="1349">
      <c r="A1349" s="12">
        <v>42080.0</v>
      </c>
      <c r="B1349" s="12" t="s">
        <v>2399</v>
      </c>
      <c r="C1349" s="2">
        <v>42087.0</v>
      </c>
      <c r="D1349" s="15" t="str">
        <f t="shared" si="1"/>
        <v>Mar</v>
      </c>
      <c r="E1349" s="2" t="str">
        <f t="shared" si="2"/>
        <v>2015</v>
      </c>
      <c r="F1349" s="13" t="s">
        <v>41</v>
      </c>
      <c r="G1349" s="13" t="s">
        <v>2652</v>
      </c>
      <c r="H1349" s="13" t="s">
        <v>2364</v>
      </c>
      <c r="I1349" s="13" t="s">
        <v>23</v>
      </c>
      <c r="J1349" s="13" t="s">
        <v>533</v>
      </c>
      <c r="K1349" s="13" t="s">
        <v>151</v>
      </c>
      <c r="L1349" s="13" t="s">
        <v>71</v>
      </c>
      <c r="M1349" s="13" t="s">
        <v>38</v>
      </c>
      <c r="N1349" s="14">
        <v>53.4</v>
      </c>
      <c r="O1349" s="14">
        <v>52.76</v>
      </c>
      <c r="P1349" s="13">
        <v>5.0</v>
      </c>
      <c r="Q1349" s="14">
        <f t="shared" si="3"/>
        <v>267</v>
      </c>
      <c r="R1349" s="14">
        <f t="shared" si="4"/>
        <v>214.24</v>
      </c>
      <c r="S1349" s="14">
        <f t="shared" si="5"/>
        <v>52.76</v>
      </c>
    </row>
    <row r="1350">
      <c r="A1350" s="12">
        <v>42080.0</v>
      </c>
      <c r="B1350" s="12" t="s">
        <v>2399</v>
      </c>
      <c r="C1350" s="2">
        <v>42087.0</v>
      </c>
      <c r="D1350" s="15" t="str">
        <f t="shared" si="1"/>
        <v>Mar</v>
      </c>
      <c r="E1350" s="2" t="str">
        <f t="shared" si="2"/>
        <v>2015</v>
      </c>
      <c r="F1350" s="13" t="s">
        <v>41</v>
      </c>
      <c r="G1350" s="13" t="s">
        <v>2652</v>
      </c>
      <c r="H1350" s="13" t="s">
        <v>2364</v>
      </c>
      <c r="I1350" s="13" t="s">
        <v>23</v>
      </c>
      <c r="J1350" s="13" t="s">
        <v>533</v>
      </c>
      <c r="K1350" s="13" t="s">
        <v>151</v>
      </c>
      <c r="L1350" s="13" t="s">
        <v>71</v>
      </c>
      <c r="M1350" s="13" t="s">
        <v>38</v>
      </c>
      <c r="N1350" s="14">
        <v>35.88</v>
      </c>
      <c r="O1350" s="14">
        <v>35.3</v>
      </c>
      <c r="P1350" s="13">
        <v>5.0</v>
      </c>
      <c r="Q1350" s="14">
        <f t="shared" si="3"/>
        <v>179.4</v>
      </c>
      <c r="R1350" s="14">
        <f t="shared" si="4"/>
        <v>144.1</v>
      </c>
      <c r="S1350" s="14">
        <f t="shared" si="5"/>
        <v>35.3</v>
      </c>
    </row>
    <row r="1351">
      <c r="A1351" s="12">
        <v>42073.0</v>
      </c>
      <c r="B1351" s="12" t="s">
        <v>2399</v>
      </c>
      <c r="C1351" s="2">
        <v>42226.0</v>
      </c>
      <c r="D1351" s="15" t="str">
        <f t="shared" si="1"/>
        <v>Aug</v>
      </c>
      <c r="E1351" s="2" t="str">
        <f t="shared" si="2"/>
        <v>2015</v>
      </c>
      <c r="F1351" s="13" t="s">
        <v>20</v>
      </c>
      <c r="G1351" s="13" t="s">
        <v>2934</v>
      </c>
      <c r="H1351" s="13" t="s">
        <v>2466</v>
      </c>
      <c r="I1351" s="13" t="s">
        <v>23</v>
      </c>
      <c r="J1351" s="13" t="s">
        <v>1329</v>
      </c>
      <c r="K1351" s="13" t="s">
        <v>135</v>
      </c>
      <c r="L1351" s="13" t="s">
        <v>71</v>
      </c>
      <c r="M1351" s="13" t="s">
        <v>27</v>
      </c>
      <c r="N1351" s="14">
        <v>258.279</v>
      </c>
      <c r="O1351" s="14">
        <v>257.86</v>
      </c>
      <c r="P1351" s="13">
        <v>6.0</v>
      </c>
      <c r="Q1351" s="14">
        <f t="shared" si="3"/>
        <v>1549.674</v>
      </c>
      <c r="R1351" s="14">
        <f t="shared" si="4"/>
        <v>1291.814</v>
      </c>
      <c r="S1351" s="14">
        <f t="shared" si="5"/>
        <v>257.86</v>
      </c>
    </row>
    <row r="1352">
      <c r="A1352" s="12">
        <v>42822.0</v>
      </c>
      <c r="B1352" s="12" t="s">
        <v>2399</v>
      </c>
      <c r="C1352" s="2">
        <v>42825.0</v>
      </c>
      <c r="D1352" s="15" t="str">
        <f t="shared" si="1"/>
        <v>Mar</v>
      </c>
      <c r="E1352" s="2" t="str">
        <f t="shared" si="2"/>
        <v>2017</v>
      </c>
      <c r="F1352" s="13" t="s">
        <v>121</v>
      </c>
      <c r="G1352" s="13" t="s">
        <v>2932</v>
      </c>
      <c r="H1352" s="13" t="s">
        <v>2933</v>
      </c>
      <c r="I1352" s="13" t="s">
        <v>34</v>
      </c>
      <c r="J1352" s="13" t="s">
        <v>628</v>
      </c>
      <c r="K1352" s="13" t="s">
        <v>198</v>
      </c>
      <c r="L1352" s="13" t="s">
        <v>26</v>
      </c>
      <c r="M1352" s="13" t="s">
        <v>38</v>
      </c>
      <c r="N1352" s="14">
        <v>31.4</v>
      </c>
      <c r="O1352" s="14">
        <v>30.72</v>
      </c>
      <c r="P1352" s="13">
        <v>2.0</v>
      </c>
      <c r="Q1352" s="14">
        <f t="shared" si="3"/>
        <v>62.8</v>
      </c>
      <c r="R1352" s="14">
        <f t="shared" si="4"/>
        <v>32.08</v>
      </c>
      <c r="S1352" s="14">
        <f t="shared" si="5"/>
        <v>30.72</v>
      </c>
    </row>
    <row r="1353">
      <c r="A1353" s="12">
        <v>43195.0</v>
      </c>
      <c r="B1353" s="12" t="s">
        <v>2332</v>
      </c>
      <c r="C1353" s="2">
        <v>43348.0</v>
      </c>
      <c r="D1353" s="15" t="str">
        <f t="shared" si="1"/>
        <v>Sep</v>
      </c>
      <c r="E1353" s="2" t="str">
        <f t="shared" si="2"/>
        <v>2018</v>
      </c>
      <c r="F1353" s="13" t="s">
        <v>41</v>
      </c>
      <c r="G1353" s="13" t="s">
        <v>2443</v>
      </c>
      <c r="H1353" s="13" t="s">
        <v>2825</v>
      </c>
      <c r="I1353" s="13" t="s">
        <v>34</v>
      </c>
      <c r="J1353" s="13" t="s">
        <v>87</v>
      </c>
      <c r="K1353" s="13" t="s">
        <v>52</v>
      </c>
      <c r="L1353" s="13" t="s">
        <v>37</v>
      </c>
      <c r="M1353" s="13" t="s">
        <v>51</v>
      </c>
      <c r="N1353" s="14">
        <v>183.96</v>
      </c>
      <c r="O1353" s="14">
        <v>183.21</v>
      </c>
      <c r="P1353" s="13">
        <v>9.0</v>
      </c>
      <c r="Q1353" s="14">
        <f t="shared" si="3"/>
        <v>1655.64</v>
      </c>
      <c r="R1353" s="14">
        <f t="shared" si="4"/>
        <v>1472.43</v>
      </c>
      <c r="S1353" s="14">
        <f t="shared" si="5"/>
        <v>183.21</v>
      </c>
    </row>
    <row r="1354">
      <c r="A1354" s="12">
        <v>43195.0</v>
      </c>
      <c r="B1354" s="12" t="s">
        <v>2332</v>
      </c>
      <c r="C1354" s="2">
        <v>43348.0</v>
      </c>
      <c r="D1354" s="15" t="str">
        <f t="shared" si="1"/>
        <v>Sep</v>
      </c>
      <c r="E1354" s="2" t="str">
        <f t="shared" si="2"/>
        <v>2018</v>
      </c>
      <c r="F1354" s="13" t="s">
        <v>41</v>
      </c>
      <c r="G1354" s="13" t="s">
        <v>2443</v>
      </c>
      <c r="H1354" s="13" t="s">
        <v>2825</v>
      </c>
      <c r="I1354" s="13" t="s">
        <v>34</v>
      </c>
      <c r="J1354" s="13" t="s">
        <v>87</v>
      </c>
      <c r="K1354" s="13" t="s">
        <v>52</v>
      </c>
      <c r="L1354" s="13" t="s">
        <v>37</v>
      </c>
      <c r="M1354" s="13" t="s">
        <v>38</v>
      </c>
      <c r="N1354" s="14">
        <v>17.61</v>
      </c>
      <c r="O1354" s="14">
        <v>16.73</v>
      </c>
      <c r="P1354" s="13">
        <v>9.0</v>
      </c>
      <c r="Q1354" s="14">
        <f t="shared" si="3"/>
        <v>158.49</v>
      </c>
      <c r="R1354" s="14">
        <f t="shared" si="4"/>
        <v>141.76</v>
      </c>
      <c r="S1354" s="14">
        <f t="shared" si="5"/>
        <v>16.73</v>
      </c>
    </row>
    <row r="1355">
      <c r="A1355" s="12">
        <v>43195.0</v>
      </c>
      <c r="B1355" s="12" t="s">
        <v>2332</v>
      </c>
      <c r="C1355" s="2">
        <v>43348.0</v>
      </c>
      <c r="D1355" s="15" t="str">
        <f t="shared" si="1"/>
        <v>Sep</v>
      </c>
      <c r="E1355" s="2" t="str">
        <f t="shared" si="2"/>
        <v>2018</v>
      </c>
      <c r="F1355" s="13" t="s">
        <v>41</v>
      </c>
      <c r="G1355" s="13" t="s">
        <v>2443</v>
      </c>
      <c r="H1355" s="13" t="s">
        <v>2825</v>
      </c>
      <c r="I1355" s="13" t="s">
        <v>34</v>
      </c>
      <c r="J1355" s="13" t="s">
        <v>87</v>
      </c>
      <c r="K1355" s="13" t="s">
        <v>52</v>
      </c>
      <c r="L1355" s="13" t="s">
        <v>37</v>
      </c>
      <c r="M1355" s="13" t="s">
        <v>27</v>
      </c>
      <c r="N1355" s="14">
        <v>300.904</v>
      </c>
      <c r="O1355" s="14">
        <v>299.98</v>
      </c>
      <c r="P1355" s="13">
        <v>9.0</v>
      </c>
      <c r="Q1355" s="14">
        <f t="shared" si="3"/>
        <v>2708.136</v>
      </c>
      <c r="R1355" s="14">
        <f t="shared" si="4"/>
        <v>2408.156</v>
      </c>
      <c r="S1355" s="14">
        <f t="shared" si="5"/>
        <v>299.98</v>
      </c>
    </row>
    <row r="1356">
      <c r="A1356" s="12">
        <v>42131.0</v>
      </c>
      <c r="B1356" s="12" t="s">
        <v>2335</v>
      </c>
      <c r="C1356" s="2">
        <v>42131.0</v>
      </c>
      <c r="D1356" s="15" t="str">
        <f t="shared" si="1"/>
        <v>May</v>
      </c>
      <c r="E1356" s="2" t="str">
        <f t="shared" si="2"/>
        <v>2015</v>
      </c>
      <c r="F1356" s="13" t="s">
        <v>717</v>
      </c>
      <c r="G1356" s="13" t="s">
        <v>2521</v>
      </c>
      <c r="H1356" s="13" t="s">
        <v>2914</v>
      </c>
      <c r="I1356" s="13" t="s">
        <v>23</v>
      </c>
      <c r="J1356" s="13" t="s">
        <v>129</v>
      </c>
      <c r="K1356" s="13" t="s">
        <v>70</v>
      </c>
      <c r="L1356" s="13" t="s">
        <v>71</v>
      </c>
      <c r="M1356" s="13" t="s">
        <v>38</v>
      </c>
      <c r="N1356" s="14">
        <v>220.776</v>
      </c>
      <c r="O1356" s="14">
        <v>220.33</v>
      </c>
      <c r="P1356" s="13">
        <v>7.0</v>
      </c>
      <c r="Q1356" s="14">
        <f t="shared" si="3"/>
        <v>1545.432</v>
      </c>
      <c r="R1356" s="14">
        <f t="shared" si="4"/>
        <v>1325.102</v>
      </c>
      <c r="S1356" s="14">
        <f t="shared" si="5"/>
        <v>220.33</v>
      </c>
    </row>
    <row r="1357">
      <c r="A1357" s="12">
        <v>42131.0</v>
      </c>
      <c r="B1357" s="12" t="s">
        <v>2335</v>
      </c>
      <c r="C1357" s="2">
        <v>42131.0</v>
      </c>
      <c r="D1357" s="15" t="str">
        <f t="shared" si="1"/>
        <v>May</v>
      </c>
      <c r="E1357" s="2" t="str">
        <f t="shared" si="2"/>
        <v>2015</v>
      </c>
      <c r="F1357" s="13" t="s">
        <v>717</v>
      </c>
      <c r="G1357" s="13" t="s">
        <v>2521</v>
      </c>
      <c r="H1357" s="13" t="s">
        <v>2914</v>
      </c>
      <c r="I1357" s="13" t="s">
        <v>23</v>
      </c>
      <c r="J1357" s="13" t="s">
        <v>129</v>
      </c>
      <c r="K1357" s="13" t="s">
        <v>70</v>
      </c>
      <c r="L1357" s="13" t="s">
        <v>71</v>
      </c>
      <c r="M1357" s="13" t="s">
        <v>38</v>
      </c>
      <c r="N1357" s="14">
        <v>281.424</v>
      </c>
      <c r="O1357" s="14">
        <v>281.24</v>
      </c>
      <c r="P1357" s="13">
        <v>7.0</v>
      </c>
      <c r="Q1357" s="14">
        <f t="shared" si="3"/>
        <v>1969.968</v>
      </c>
      <c r="R1357" s="14">
        <f t="shared" si="4"/>
        <v>1688.728</v>
      </c>
      <c r="S1357" s="14">
        <f t="shared" si="5"/>
        <v>281.24</v>
      </c>
    </row>
    <row r="1358">
      <c r="A1358" s="12">
        <v>42860.0</v>
      </c>
      <c r="B1358" s="12" t="s">
        <v>2335</v>
      </c>
      <c r="C1358" s="2">
        <v>42921.0</v>
      </c>
      <c r="D1358" s="15" t="str">
        <f t="shared" si="1"/>
        <v>Jul</v>
      </c>
      <c r="E1358" s="2" t="str">
        <f t="shared" si="2"/>
        <v>2017</v>
      </c>
      <c r="F1358" s="13" t="s">
        <v>121</v>
      </c>
      <c r="G1358" s="13" t="s">
        <v>2614</v>
      </c>
      <c r="H1358" s="13" t="s">
        <v>2875</v>
      </c>
      <c r="I1358" s="13" t="s">
        <v>23</v>
      </c>
      <c r="J1358" s="13" t="s">
        <v>818</v>
      </c>
      <c r="K1358" s="13" t="s">
        <v>25</v>
      </c>
      <c r="L1358" s="13" t="s">
        <v>26</v>
      </c>
      <c r="M1358" s="13" t="s">
        <v>38</v>
      </c>
      <c r="N1358" s="14">
        <v>79.14</v>
      </c>
      <c r="O1358" s="14">
        <v>78.65</v>
      </c>
      <c r="P1358" s="13">
        <v>4.0</v>
      </c>
      <c r="Q1358" s="14">
        <f t="shared" si="3"/>
        <v>316.56</v>
      </c>
      <c r="R1358" s="14">
        <f t="shared" si="4"/>
        <v>237.91</v>
      </c>
      <c r="S1358" s="14">
        <f t="shared" si="5"/>
        <v>78.65</v>
      </c>
    </row>
    <row r="1359">
      <c r="A1359" s="12">
        <v>43216.0</v>
      </c>
      <c r="B1359" s="12" t="s">
        <v>2332</v>
      </c>
      <c r="C1359" s="2">
        <v>43217.0</v>
      </c>
      <c r="D1359" s="15" t="str">
        <f t="shared" si="1"/>
        <v>Apr</v>
      </c>
      <c r="E1359" s="2" t="str">
        <f t="shared" si="2"/>
        <v>2018</v>
      </c>
      <c r="F1359" s="13" t="s">
        <v>121</v>
      </c>
      <c r="G1359" s="13" t="s">
        <v>2891</v>
      </c>
      <c r="H1359" s="13" t="s">
        <v>2935</v>
      </c>
      <c r="I1359" s="13" t="s">
        <v>23</v>
      </c>
      <c r="J1359" s="13" t="s">
        <v>69</v>
      </c>
      <c r="K1359" s="13" t="s">
        <v>70</v>
      </c>
      <c r="L1359" s="13" t="s">
        <v>71</v>
      </c>
      <c r="M1359" s="13" t="s">
        <v>27</v>
      </c>
      <c r="N1359" s="14">
        <v>1.988</v>
      </c>
      <c r="O1359" s="14">
        <v>1.11</v>
      </c>
      <c r="P1359" s="13">
        <v>7.0</v>
      </c>
      <c r="Q1359" s="14">
        <f t="shared" si="3"/>
        <v>13.916</v>
      </c>
      <c r="R1359" s="14">
        <f t="shared" si="4"/>
        <v>12.806</v>
      </c>
      <c r="S1359" s="14">
        <f t="shared" si="5"/>
        <v>1.11</v>
      </c>
    </row>
    <row r="1360">
      <c r="A1360" s="12">
        <v>42273.0</v>
      </c>
      <c r="B1360" s="12" t="s">
        <v>2329</v>
      </c>
      <c r="C1360" s="2">
        <v>42014.0</v>
      </c>
      <c r="D1360" s="15" t="str">
        <f t="shared" si="1"/>
        <v>Jan</v>
      </c>
      <c r="E1360" s="2" t="str">
        <f t="shared" si="2"/>
        <v>2015</v>
      </c>
      <c r="F1360" s="13" t="s">
        <v>20</v>
      </c>
      <c r="G1360" s="13" t="s">
        <v>2902</v>
      </c>
      <c r="H1360" s="13" t="s">
        <v>2936</v>
      </c>
      <c r="I1360" s="13" t="s">
        <v>23</v>
      </c>
      <c r="J1360" s="13" t="s">
        <v>35</v>
      </c>
      <c r="K1360" s="13" t="s">
        <v>52</v>
      </c>
      <c r="L1360" s="13" t="s">
        <v>37</v>
      </c>
      <c r="M1360" s="13" t="s">
        <v>27</v>
      </c>
      <c r="N1360" s="14">
        <v>145.568</v>
      </c>
      <c r="O1360" s="14">
        <v>145.04</v>
      </c>
      <c r="P1360" s="13">
        <v>9.0</v>
      </c>
      <c r="Q1360" s="14">
        <f t="shared" si="3"/>
        <v>1310.112</v>
      </c>
      <c r="R1360" s="14">
        <f t="shared" si="4"/>
        <v>1165.072</v>
      </c>
      <c r="S1360" s="14">
        <f t="shared" si="5"/>
        <v>145.04</v>
      </c>
    </row>
    <row r="1361">
      <c r="A1361" s="12">
        <v>43392.0</v>
      </c>
      <c r="B1361" s="12" t="s">
        <v>2358</v>
      </c>
      <c r="C1361" s="2">
        <v>43398.0</v>
      </c>
      <c r="D1361" s="15" t="str">
        <f t="shared" si="1"/>
        <v>Oct</v>
      </c>
      <c r="E1361" s="2" t="str">
        <f t="shared" si="2"/>
        <v>2018</v>
      </c>
      <c r="F1361" s="13" t="s">
        <v>41</v>
      </c>
      <c r="G1361" s="13" t="s">
        <v>2937</v>
      </c>
      <c r="H1361" s="13" t="s">
        <v>2938</v>
      </c>
      <c r="I1361" s="13" t="s">
        <v>34</v>
      </c>
      <c r="J1361" s="13" t="s">
        <v>98</v>
      </c>
      <c r="K1361" s="13" t="s">
        <v>99</v>
      </c>
      <c r="L1361" s="13" t="s">
        <v>100</v>
      </c>
      <c r="M1361" s="13" t="s">
        <v>38</v>
      </c>
      <c r="N1361" s="14">
        <v>123.256</v>
      </c>
      <c r="O1361" s="14">
        <v>122.68</v>
      </c>
      <c r="P1361" s="13">
        <v>1.0</v>
      </c>
      <c r="Q1361" s="14">
        <f t="shared" si="3"/>
        <v>123.256</v>
      </c>
      <c r="R1361" s="14">
        <f t="shared" si="4"/>
        <v>0.576</v>
      </c>
      <c r="S1361" s="14">
        <f t="shared" si="5"/>
        <v>122.68</v>
      </c>
    </row>
    <row r="1362">
      <c r="A1362" s="12">
        <v>43392.0</v>
      </c>
      <c r="B1362" s="12" t="s">
        <v>2358</v>
      </c>
      <c r="C1362" s="2">
        <v>43398.0</v>
      </c>
      <c r="D1362" s="15" t="str">
        <f t="shared" si="1"/>
        <v>Oct</v>
      </c>
      <c r="E1362" s="2" t="str">
        <f t="shared" si="2"/>
        <v>2018</v>
      </c>
      <c r="F1362" s="13" t="s">
        <v>41</v>
      </c>
      <c r="G1362" s="13" t="s">
        <v>2937</v>
      </c>
      <c r="H1362" s="13" t="s">
        <v>2938</v>
      </c>
      <c r="I1362" s="13" t="s">
        <v>34</v>
      </c>
      <c r="J1362" s="13" t="s">
        <v>98</v>
      </c>
      <c r="K1362" s="13" t="s">
        <v>99</v>
      </c>
      <c r="L1362" s="13" t="s">
        <v>100</v>
      </c>
      <c r="M1362" s="13" t="s">
        <v>38</v>
      </c>
      <c r="N1362" s="14">
        <v>23.68</v>
      </c>
      <c r="O1362" s="14">
        <v>22.7</v>
      </c>
      <c r="P1362" s="13">
        <v>1.0</v>
      </c>
      <c r="Q1362" s="14">
        <f t="shared" si="3"/>
        <v>23.68</v>
      </c>
      <c r="R1362" s="14">
        <f t="shared" si="4"/>
        <v>0.98</v>
      </c>
      <c r="S1362" s="14">
        <f t="shared" si="5"/>
        <v>22.7</v>
      </c>
    </row>
    <row r="1363">
      <c r="A1363" s="12">
        <v>43392.0</v>
      </c>
      <c r="B1363" s="12" t="s">
        <v>2358</v>
      </c>
      <c r="C1363" s="2">
        <v>43398.0</v>
      </c>
      <c r="D1363" s="15" t="str">
        <f t="shared" si="1"/>
        <v>Oct</v>
      </c>
      <c r="E1363" s="2" t="str">
        <f t="shared" si="2"/>
        <v>2018</v>
      </c>
      <c r="F1363" s="13" t="s">
        <v>41</v>
      </c>
      <c r="G1363" s="13" t="s">
        <v>2937</v>
      </c>
      <c r="H1363" s="13" t="s">
        <v>2938</v>
      </c>
      <c r="I1363" s="13" t="s">
        <v>34</v>
      </c>
      <c r="J1363" s="13" t="s">
        <v>98</v>
      </c>
      <c r="K1363" s="13" t="s">
        <v>99</v>
      </c>
      <c r="L1363" s="13" t="s">
        <v>100</v>
      </c>
      <c r="M1363" s="13" t="s">
        <v>51</v>
      </c>
      <c r="N1363" s="14">
        <v>309.576</v>
      </c>
      <c r="O1363" s="14">
        <v>308.69</v>
      </c>
      <c r="P1363" s="13">
        <v>1.0</v>
      </c>
      <c r="Q1363" s="14">
        <f t="shared" si="3"/>
        <v>309.576</v>
      </c>
      <c r="R1363" s="14">
        <f t="shared" si="4"/>
        <v>0.886</v>
      </c>
      <c r="S1363" s="14">
        <f t="shared" si="5"/>
        <v>308.69</v>
      </c>
    </row>
    <row r="1364">
      <c r="A1364" s="12">
        <v>43384.0</v>
      </c>
      <c r="B1364" s="12" t="s">
        <v>2358</v>
      </c>
      <c r="C1364" s="2">
        <v>43415.0</v>
      </c>
      <c r="D1364" s="15" t="str">
        <f t="shared" si="1"/>
        <v>Nov</v>
      </c>
      <c r="E1364" s="2" t="str">
        <f t="shared" si="2"/>
        <v>2018</v>
      </c>
      <c r="F1364" s="13" t="s">
        <v>121</v>
      </c>
      <c r="G1364" s="13" t="s">
        <v>2845</v>
      </c>
      <c r="H1364" s="13" t="s">
        <v>2939</v>
      </c>
      <c r="I1364" s="13" t="s">
        <v>34</v>
      </c>
      <c r="J1364" s="13" t="s">
        <v>729</v>
      </c>
      <c r="K1364" s="13" t="s">
        <v>193</v>
      </c>
      <c r="L1364" s="13" t="s">
        <v>37</v>
      </c>
      <c r="M1364" s="13" t="s">
        <v>38</v>
      </c>
      <c r="N1364" s="14">
        <v>38.388</v>
      </c>
      <c r="O1364" s="14">
        <v>38.26</v>
      </c>
      <c r="P1364" s="13">
        <v>8.0</v>
      </c>
      <c r="Q1364" s="14">
        <f t="shared" si="3"/>
        <v>307.104</v>
      </c>
      <c r="R1364" s="14">
        <f t="shared" si="4"/>
        <v>268.844</v>
      </c>
      <c r="S1364" s="14">
        <f t="shared" si="5"/>
        <v>38.26</v>
      </c>
    </row>
    <row r="1365">
      <c r="A1365" s="12">
        <v>43384.0</v>
      </c>
      <c r="B1365" s="12" t="s">
        <v>2358</v>
      </c>
      <c r="C1365" s="2">
        <v>43415.0</v>
      </c>
      <c r="D1365" s="15" t="str">
        <f t="shared" si="1"/>
        <v>Nov</v>
      </c>
      <c r="E1365" s="2" t="str">
        <f t="shared" si="2"/>
        <v>2018</v>
      </c>
      <c r="F1365" s="13" t="s">
        <v>121</v>
      </c>
      <c r="G1365" s="13" t="s">
        <v>2845</v>
      </c>
      <c r="H1365" s="13" t="s">
        <v>2939</v>
      </c>
      <c r="I1365" s="13" t="s">
        <v>34</v>
      </c>
      <c r="J1365" s="13" t="s">
        <v>729</v>
      </c>
      <c r="K1365" s="13" t="s">
        <v>193</v>
      </c>
      <c r="L1365" s="13" t="s">
        <v>37</v>
      </c>
      <c r="M1365" s="13" t="s">
        <v>51</v>
      </c>
      <c r="N1365" s="14">
        <v>95.994</v>
      </c>
      <c r="O1365" s="14">
        <v>95.61</v>
      </c>
      <c r="P1365" s="13">
        <v>8.0</v>
      </c>
      <c r="Q1365" s="14">
        <f t="shared" si="3"/>
        <v>767.952</v>
      </c>
      <c r="R1365" s="14">
        <f t="shared" si="4"/>
        <v>672.342</v>
      </c>
      <c r="S1365" s="14">
        <f t="shared" si="5"/>
        <v>95.61</v>
      </c>
    </row>
    <row r="1366">
      <c r="A1366" s="12">
        <v>43384.0</v>
      </c>
      <c r="B1366" s="12" t="s">
        <v>2358</v>
      </c>
      <c r="C1366" s="2">
        <v>43415.0</v>
      </c>
      <c r="D1366" s="15" t="str">
        <f t="shared" si="1"/>
        <v>Nov</v>
      </c>
      <c r="E1366" s="2" t="str">
        <f t="shared" si="2"/>
        <v>2018</v>
      </c>
      <c r="F1366" s="13" t="s">
        <v>121</v>
      </c>
      <c r="G1366" s="13" t="s">
        <v>2845</v>
      </c>
      <c r="H1366" s="13" t="s">
        <v>2939</v>
      </c>
      <c r="I1366" s="13" t="s">
        <v>34</v>
      </c>
      <c r="J1366" s="13" t="s">
        <v>729</v>
      </c>
      <c r="K1366" s="13" t="s">
        <v>193</v>
      </c>
      <c r="L1366" s="13" t="s">
        <v>37</v>
      </c>
      <c r="M1366" s="13" t="s">
        <v>51</v>
      </c>
      <c r="N1366" s="14">
        <v>239.952</v>
      </c>
      <c r="O1366" s="14">
        <v>238.97</v>
      </c>
      <c r="P1366" s="13">
        <v>8.0</v>
      </c>
      <c r="Q1366" s="14">
        <f t="shared" si="3"/>
        <v>1919.616</v>
      </c>
      <c r="R1366" s="14">
        <f t="shared" si="4"/>
        <v>1680.646</v>
      </c>
      <c r="S1366" s="14">
        <f t="shared" si="5"/>
        <v>238.97</v>
      </c>
    </row>
    <row r="1367">
      <c r="A1367" s="12">
        <v>43384.0</v>
      </c>
      <c r="B1367" s="12" t="s">
        <v>2358</v>
      </c>
      <c r="C1367" s="2">
        <v>43415.0</v>
      </c>
      <c r="D1367" s="15" t="str">
        <f t="shared" si="1"/>
        <v>Nov</v>
      </c>
      <c r="E1367" s="2" t="str">
        <f t="shared" si="2"/>
        <v>2018</v>
      </c>
      <c r="F1367" s="13" t="s">
        <v>121</v>
      </c>
      <c r="G1367" s="13" t="s">
        <v>2845</v>
      </c>
      <c r="H1367" s="13" t="s">
        <v>2939</v>
      </c>
      <c r="I1367" s="13" t="s">
        <v>34</v>
      </c>
      <c r="J1367" s="13" t="s">
        <v>729</v>
      </c>
      <c r="K1367" s="13" t="s">
        <v>193</v>
      </c>
      <c r="L1367" s="13" t="s">
        <v>37</v>
      </c>
      <c r="M1367" s="13" t="s">
        <v>51</v>
      </c>
      <c r="N1367" s="14">
        <v>201.584</v>
      </c>
      <c r="O1367" s="14">
        <v>201.48</v>
      </c>
      <c r="P1367" s="13">
        <v>8.0</v>
      </c>
      <c r="Q1367" s="14">
        <f t="shared" si="3"/>
        <v>1612.672</v>
      </c>
      <c r="R1367" s="14">
        <f t="shared" si="4"/>
        <v>1411.192</v>
      </c>
      <c r="S1367" s="14">
        <f t="shared" si="5"/>
        <v>201.48</v>
      </c>
    </row>
    <row r="1368">
      <c r="A1368" s="12">
        <v>43384.0</v>
      </c>
      <c r="B1368" s="12" t="s">
        <v>2358</v>
      </c>
      <c r="C1368" s="2">
        <v>43415.0</v>
      </c>
      <c r="D1368" s="15" t="str">
        <f t="shared" si="1"/>
        <v>Nov</v>
      </c>
      <c r="E1368" s="2" t="str">
        <f t="shared" si="2"/>
        <v>2018</v>
      </c>
      <c r="F1368" s="13" t="s">
        <v>121</v>
      </c>
      <c r="G1368" s="13" t="s">
        <v>2845</v>
      </c>
      <c r="H1368" s="13" t="s">
        <v>2939</v>
      </c>
      <c r="I1368" s="13" t="s">
        <v>34</v>
      </c>
      <c r="J1368" s="13" t="s">
        <v>729</v>
      </c>
      <c r="K1368" s="13" t="s">
        <v>193</v>
      </c>
      <c r="L1368" s="13" t="s">
        <v>37</v>
      </c>
      <c r="M1368" s="13" t="s">
        <v>27</v>
      </c>
      <c r="N1368" s="14">
        <v>899.136</v>
      </c>
      <c r="O1368" s="14">
        <v>898.82</v>
      </c>
      <c r="P1368" s="13">
        <v>8.0</v>
      </c>
      <c r="Q1368" s="14">
        <f t="shared" si="3"/>
        <v>7193.088</v>
      </c>
      <c r="R1368" s="14">
        <f t="shared" si="4"/>
        <v>6294.268</v>
      </c>
      <c r="S1368" s="14">
        <f t="shared" si="5"/>
        <v>898.82</v>
      </c>
    </row>
    <row r="1369">
      <c r="A1369" s="12">
        <v>43319.0</v>
      </c>
      <c r="B1369" s="12" t="s">
        <v>2322</v>
      </c>
      <c r="C1369" s="2">
        <v>43411.0</v>
      </c>
      <c r="D1369" s="15" t="str">
        <f t="shared" si="1"/>
        <v>Nov</v>
      </c>
      <c r="E1369" s="2" t="str">
        <f t="shared" si="2"/>
        <v>2018</v>
      </c>
      <c r="F1369" s="13" t="s">
        <v>121</v>
      </c>
      <c r="G1369" s="13" t="s">
        <v>2940</v>
      </c>
      <c r="H1369" s="13" t="s">
        <v>2941</v>
      </c>
      <c r="I1369" s="13" t="s">
        <v>68</v>
      </c>
      <c r="J1369" s="13" t="s">
        <v>2149</v>
      </c>
      <c r="K1369" s="13" t="s">
        <v>52</v>
      </c>
      <c r="L1369" s="13" t="s">
        <v>37</v>
      </c>
      <c r="M1369" s="13" t="s">
        <v>27</v>
      </c>
      <c r="N1369" s="14">
        <v>145.9</v>
      </c>
      <c r="O1369" s="14">
        <v>145.41</v>
      </c>
      <c r="P1369" s="13">
        <v>9.0</v>
      </c>
      <c r="Q1369" s="14">
        <f t="shared" si="3"/>
        <v>1313.1</v>
      </c>
      <c r="R1369" s="14">
        <f t="shared" si="4"/>
        <v>1167.69</v>
      </c>
      <c r="S1369" s="14">
        <f t="shared" si="5"/>
        <v>145.41</v>
      </c>
    </row>
    <row r="1370">
      <c r="A1370" s="12">
        <v>42728.0</v>
      </c>
      <c r="B1370" s="12" t="s">
        <v>2325</v>
      </c>
      <c r="C1370" s="2">
        <v>42732.0</v>
      </c>
      <c r="D1370" s="15" t="str">
        <f t="shared" si="1"/>
        <v>Dec</v>
      </c>
      <c r="E1370" s="2" t="str">
        <f t="shared" si="2"/>
        <v>2016</v>
      </c>
      <c r="F1370" s="13" t="s">
        <v>41</v>
      </c>
      <c r="G1370" s="13" t="s">
        <v>2407</v>
      </c>
      <c r="H1370" s="13" t="s">
        <v>2692</v>
      </c>
      <c r="I1370" s="13" t="s">
        <v>23</v>
      </c>
      <c r="J1370" s="13" t="s">
        <v>610</v>
      </c>
      <c r="K1370" s="13" t="s">
        <v>279</v>
      </c>
      <c r="L1370" s="13" t="s">
        <v>37</v>
      </c>
      <c r="M1370" s="13" t="s">
        <v>27</v>
      </c>
      <c r="N1370" s="14">
        <v>590.058</v>
      </c>
      <c r="O1370" s="14">
        <v>589.64</v>
      </c>
      <c r="P1370" s="13">
        <v>8.0</v>
      </c>
      <c r="Q1370" s="14">
        <f t="shared" si="3"/>
        <v>4720.464</v>
      </c>
      <c r="R1370" s="14">
        <f t="shared" si="4"/>
        <v>4130.824</v>
      </c>
      <c r="S1370" s="14">
        <f t="shared" si="5"/>
        <v>589.64</v>
      </c>
    </row>
    <row r="1371">
      <c r="A1371" s="12">
        <v>42728.0</v>
      </c>
      <c r="B1371" s="12" t="s">
        <v>2325</v>
      </c>
      <c r="C1371" s="2">
        <v>42732.0</v>
      </c>
      <c r="D1371" s="15" t="str">
        <f t="shared" si="1"/>
        <v>Dec</v>
      </c>
      <c r="E1371" s="2" t="str">
        <f t="shared" si="2"/>
        <v>2016</v>
      </c>
      <c r="F1371" s="13" t="s">
        <v>41</v>
      </c>
      <c r="G1371" s="13" t="s">
        <v>2407</v>
      </c>
      <c r="H1371" s="13" t="s">
        <v>2692</v>
      </c>
      <c r="I1371" s="13" t="s">
        <v>23</v>
      </c>
      <c r="J1371" s="13" t="s">
        <v>610</v>
      </c>
      <c r="K1371" s="13" t="s">
        <v>279</v>
      </c>
      <c r="L1371" s="13" t="s">
        <v>37</v>
      </c>
      <c r="M1371" s="13" t="s">
        <v>38</v>
      </c>
      <c r="N1371" s="14">
        <v>14.04</v>
      </c>
      <c r="O1371" s="14">
        <v>13.66</v>
      </c>
      <c r="P1371" s="13">
        <v>8.0</v>
      </c>
      <c r="Q1371" s="14">
        <f t="shared" si="3"/>
        <v>112.32</v>
      </c>
      <c r="R1371" s="14">
        <f t="shared" si="4"/>
        <v>98.66</v>
      </c>
      <c r="S1371" s="14">
        <f t="shared" si="5"/>
        <v>13.66</v>
      </c>
    </row>
    <row r="1372">
      <c r="A1372" s="12">
        <v>43284.0</v>
      </c>
      <c r="B1372" s="12" t="s">
        <v>2348</v>
      </c>
      <c r="C1372" s="2">
        <v>43437.0</v>
      </c>
      <c r="D1372" s="15" t="str">
        <f t="shared" si="1"/>
        <v>Dec</v>
      </c>
      <c r="E1372" s="2" t="str">
        <f t="shared" si="2"/>
        <v>2018</v>
      </c>
      <c r="F1372" s="13" t="s">
        <v>41</v>
      </c>
      <c r="G1372" s="13" t="s">
        <v>2507</v>
      </c>
      <c r="H1372" s="13" t="s">
        <v>2942</v>
      </c>
      <c r="I1372" s="13" t="s">
        <v>68</v>
      </c>
      <c r="J1372" s="13" t="s">
        <v>1828</v>
      </c>
      <c r="K1372" s="13" t="s">
        <v>1542</v>
      </c>
      <c r="L1372" s="13" t="s">
        <v>100</v>
      </c>
      <c r="M1372" s="13" t="s">
        <v>51</v>
      </c>
      <c r="N1372" s="14">
        <v>49.08</v>
      </c>
      <c r="O1372" s="14">
        <v>48.6</v>
      </c>
      <c r="P1372" s="13">
        <v>2.0</v>
      </c>
      <c r="Q1372" s="14">
        <f t="shared" si="3"/>
        <v>98.16</v>
      </c>
      <c r="R1372" s="14">
        <f t="shared" si="4"/>
        <v>49.56</v>
      </c>
      <c r="S1372" s="14">
        <f t="shared" si="5"/>
        <v>48.6</v>
      </c>
    </row>
    <row r="1373">
      <c r="A1373" s="12">
        <v>42008.0</v>
      </c>
      <c r="B1373" s="12" t="s">
        <v>2353</v>
      </c>
      <c r="C1373" s="2">
        <v>42159.0</v>
      </c>
      <c r="D1373" s="15" t="str">
        <f t="shared" si="1"/>
        <v>Jun</v>
      </c>
      <c r="E1373" s="2" t="str">
        <f t="shared" si="2"/>
        <v>2015</v>
      </c>
      <c r="F1373" s="13" t="s">
        <v>20</v>
      </c>
      <c r="G1373" s="13" t="s">
        <v>2383</v>
      </c>
      <c r="H1373" s="13" t="s">
        <v>2384</v>
      </c>
      <c r="I1373" s="13" t="s">
        <v>23</v>
      </c>
      <c r="J1373" s="13" t="s">
        <v>1166</v>
      </c>
      <c r="K1373" s="13" t="s">
        <v>52</v>
      </c>
      <c r="L1373" s="13" t="s">
        <v>37</v>
      </c>
      <c r="M1373" s="13" t="s">
        <v>38</v>
      </c>
      <c r="N1373" s="14">
        <v>29.6</v>
      </c>
      <c r="O1373" s="14">
        <v>29.5</v>
      </c>
      <c r="P1373" s="13">
        <v>9.0</v>
      </c>
      <c r="Q1373" s="14">
        <f t="shared" si="3"/>
        <v>266.4</v>
      </c>
      <c r="R1373" s="14">
        <f t="shared" si="4"/>
        <v>236.9</v>
      </c>
      <c r="S1373" s="14">
        <f t="shared" si="5"/>
        <v>29.5</v>
      </c>
    </row>
    <row r="1374">
      <c r="A1374" s="12">
        <v>42008.0</v>
      </c>
      <c r="B1374" s="12" t="s">
        <v>2353</v>
      </c>
      <c r="C1374" s="2">
        <v>42159.0</v>
      </c>
      <c r="D1374" s="15" t="str">
        <f t="shared" si="1"/>
        <v>Jun</v>
      </c>
      <c r="E1374" s="2" t="str">
        <f t="shared" si="2"/>
        <v>2015</v>
      </c>
      <c r="F1374" s="13" t="s">
        <v>20</v>
      </c>
      <c r="G1374" s="13" t="s">
        <v>2383</v>
      </c>
      <c r="H1374" s="13" t="s">
        <v>2384</v>
      </c>
      <c r="I1374" s="13" t="s">
        <v>23</v>
      </c>
      <c r="J1374" s="13" t="s">
        <v>1166</v>
      </c>
      <c r="K1374" s="13" t="s">
        <v>52</v>
      </c>
      <c r="L1374" s="13" t="s">
        <v>37</v>
      </c>
      <c r="M1374" s="13" t="s">
        <v>38</v>
      </c>
      <c r="N1374" s="14">
        <v>17.088</v>
      </c>
      <c r="O1374" s="14">
        <v>16.94</v>
      </c>
      <c r="P1374" s="13">
        <v>9.0</v>
      </c>
      <c r="Q1374" s="14">
        <f t="shared" si="3"/>
        <v>153.792</v>
      </c>
      <c r="R1374" s="14">
        <f t="shared" si="4"/>
        <v>136.852</v>
      </c>
      <c r="S1374" s="14">
        <f t="shared" si="5"/>
        <v>16.94</v>
      </c>
    </row>
    <row r="1375">
      <c r="A1375" s="12">
        <v>42627.0</v>
      </c>
      <c r="B1375" s="12" t="s">
        <v>2329</v>
      </c>
      <c r="C1375" s="2">
        <v>42632.0</v>
      </c>
      <c r="D1375" s="15" t="str">
        <f t="shared" si="1"/>
        <v>Sep</v>
      </c>
      <c r="E1375" s="2" t="str">
        <f t="shared" si="2"/>
        <v>2016</v>
      </c>
      <c r="F1375" s="13" t="s">
        <v>41</v>
      </c>
      <c r="G1375" s="13" t="s">
        <v>2707</v>
      </c>
      <c r="H1375" s="13" t="s">
        <v>2708</v>
      </c>
      <c r="I1375" s="13" t="s">
        <v>23</v>
      </c>
      <c r="J1375" s="13" t="s">
        <v>2157</v>
      </c>
      <c r="K1375" s="13" t="s">
        <v>83</v>
      </c>
      <c r="L1375" s="13" t="s">
        <v>37</v>
      </c>
      <c r="M1375" s="13" t="s">
        <v>27</v>
      </c>
      <c r="N1375" s="14">
        <v>912.75</v>
      </c>
      <c r="O1375" s="14">
        <v>912.27</v>
      </c>
      <c r="P1375" s="13">
        <v>8.0</v>
      </c>
      <c r="Q1375" s="14">
        <f t="shared" si="3"/>
        <v>7302</v>
      </c>
      <c r="R1375" s="14">
        <f t="shared" si="4"/>
        <v>6389.73</v>
      </c>
      <c r="S1375" s="14">
        <f t="shared" si="5"/>
        <v>912.27</v>
      </c>
    </row>
    <row r="1376">
      <c r="A1376" s="12">
        <v>42102.0</v>
      </c>
      <c r="B1376" s="12" t="s">
        <v>2332</v>
      </c>
      <c r="C1376" s="2">
        <v>42255.0</v>
      </c>
      <c r="D1376" s="15" t="str">
        <f t="shared" si="1"/>
        <v>Sep</v>
      </c>
      <c r="E1376" s="2" t="str">
        <f t="shared" si="2"/>
        <v>2015</v>
      </c>
      <c r="F1376" s="13" t="s">
        <v>20</v>
      </c>
      <c r="G1376" s="13" t="s">
        <v>2493</v>
      </c>
      <c r="H1376" s="13" t="s">
        <v>2439</v>
      </c>
      <c r="I1376" s="13" t="s">
        <v>23</v>
      </c>
      <c r="J1376" s="13" t="s">
        <v>2159</v>
      </c>
      <c r="K1376" s="13" t="s">
        <v>83</v>
      </c>
      <c r="L1376" s="13" t="s">
        <v>37</v>
      </c>
      <c r="M1376" s="13" t="s">
        <v>38</v>
      </c>
      <c r="N1376" s="14">
        <v>1089.75</v>
      </c>
      <c r="O1376" s="14">
        <v>1089.44</v>
      </c>
      <c r="P1376" s="13">
        <v>8.0</v>
      </c>
      <c r="Q1376" s="14">
        <f t="shared" si="3"/>
        <v>8718</v>
      </c>
      <c r="R1376" s="14">
        <f t="shared" si="4"/>
        <v>7628.56</v>
      </c>
      <c r="S1376" s="14">
        <f t="shared" si="5"/>
        <v>1089.44</v>
      </c>
    </row>
    <row r="1377">
      <c r="A1377" s="12">
        <v>42102.0</v>
      </c>
      <c r="B1377" s="12" t="s">
        <v>2332</v>
      </c>
      <c r="C1377" s="2">
        <v>42255.0</v>
      </c>
      <c r="D1377" s="15" t="str">
        <f t="shared" si="1"/>
        <v>Sep</v>
      </c>
      <c r="E1377" s="2" t="str">
        <f t="shared" si="2"/>
        <v>2015</v>
      </c>
      <c r="F1377" s="13" t="s">
        <v>20</v>
      </c>
      <c r="G1377" s="13" t="s">
        <v>2493</v>
      </c>
      <c r="H1377" s="13" t="s">
        <v>2439</v>
      </c>
      <c r="I1377" s="13" t="s">
        <v>23</v>
      </c>
      <c r="J1377" s="13" t="s">
        <v>2159</v>
      </c>
      <c r="K1377" s="13" t="s">
        <v>83</v>
      </c>
      <c r="L1377" s="13" t="s">
        <v>37</v>
      </c>
      <c r="M1377" s="13" t="s">
        <v>38</v>
      </c>
      <c r="N1377" s="14">
        <v>447.84</v>
      </c>
      <c r="O1377" s="14">
        <v>447.4</v>
      </c>
      <c r="P1377" s="13">
        <v>8.0</v>
      </c>
      <c r="Q1377" s="14">
        <f t="shared" si="3"/>
        <v>3582.72</v>
      </c>
      <c r="R1377" s="14">
        <f t="shared" si="4"/>
        <v>3135.32</v>
      </c>
      <c r="S1377" s="14">
        <f t="shared" si="5"/>
        <v>447.4</v>
      </c>
    </row>
    <row r="1378">
      <c r="A1378" s="12">
        <v>42102.0</v>
      </c>
      <c r="B1378" s="12" t="s">
        <v>2332</v>
      </c>
      <c r="C1378" s="2">
        <v>42255.0</v>
      </c>
      <c r="D1378" s="15" t="str">
        <f t="shared" si="1"/>
        <v>Sep</v>
      </c>
      <c r="E1378" s="2" t="str">
        <f t="shared" si="2"/>
        <v>2015</v>
      </c>
      <c r="F1378" s="13" t="s">
        <v>20</v>
      </c>
      <c r="G1378" s="13" t="s">
        <v>2493</v>
      </c>
      <c r="H1378" s="13" t="s">
        <v>2439</v>
      </c>
      <c r="I1378" s="13" t="s">
        <v>23</v>
      </c>
      <c r="J1378" s="13" t="s">
        <v>2159</v>
      </c>
      <c r="K1378" s="13" t="s">
        <v>83</v>
      </c>
      <c r="L1378" s="13" t="s">
        <v>37</v>
      </c>
      <c r="M1378" s="13" t="s">
        <v>38</v>
      </c>
      <c r="N1378" s="14">
        <v>16.4</v>
      </c>
      <c r="O1378" s="14">
        <v>15.73</v>
      </c>
      <c r="P1378" s="13">
        <v>8.0</v>
      </c>
      <c r="Q1378" s="14">
        <f t="shared" si="3"/>
        <v>131.2</v>
      </c>
      <c r="R1378" s="14">
        <f t="shared" si="4"/>
        <v>115.47</v>
      </c>
      <c r="S1378" s="14">
        <f t="shared" si="5"/>
        <v>15.73</v>
      </c>
    </row>
    <row r="1379">
      <c r="A1379" s="12">
        <v>42102.0</v>
      </c>
      <c r="B1379" s="12" t="s">
        <v>2332</v>
      </c>
      <c r="C1379" s="2">
        <v>42255.0</v>
      </c>
      <c r="D1379" s="15" t="str">
        <f t="shared" si="1"/>
        <v>Sep</v>
      </c>
      <c r="E1379" s="2" t="str">
        <f t="shared" si="2"/>
        <v>2015</v>
      </c>
      <c r="F1379" s="13" t="s">
        <v>20</v>
      </c>
      <c r="G1379" s="13" t="s">
        <v>2493</v>
      </c>
      <c r="H1379" s="13" t="s">
        <v>2439</v>
      </c>
      <c r="I1379" s="13" t="s">
        <v>23</v>
      </c>
      <c r="J1379" s="13" t="s">
        <v>2159</v>
      </c>
      <c r="K1379" s="13" t="s">
        <v>83</v>
      </c>
      <c r="L1379" s="13" t="s">
        <v>37</v>
      </c>
      <c r="M1379" s="13" t="s">
        <v>51</v>
      </c>
      <c r="N1379" s="14">
        <v>399.96</v>
      </c>
      <c r="O1379" s="14">
        <v>399.87</v>
      </c>
      <c r="P1379" s="13">
        <v>8.0</v>
      </c>
      <c r="Q1379" s="14">
        <f t="shared" si="3"/>
        <v>3199.68</v>
      </c>
      <c r="R1379" s="14">
        <f t="shared" si="4"/>
        <v>2799.81</v>
      </c>
      <c r="S1379" s="14">
        <f t="shared" si="5"/>
        <v>399.87</v>
      </c>
    </row>
    <row r="1380">
      <c r="A1380" s="12">
        <v>42102.0</v>
      </c>
      <c r="B1380" s="12" t="s">
        <v>2332</v>
      </c>
      <c r="C1380" s="2">
        <v>42255.0</v>
      </c>
      <c r="D1380" s="15" t="str">
        <f t="shared" si="1"/>
        <v>Sep</v>
      </c>
      <c r="E1380" s="2" t="str">
        <f t="shared" si="2"/>
        <v>2015</v>
      </c>
      <c r="F1380" s="13" t="s">
        <v>20</v>
      </c>
      <c r="G1380" s="13" t="s">
        <v>2493</v>
      </c>
      <c r="H1380" s="13" t="s">
        <v>2439</v>
      </c>
      <c r="I1380" s="13" t="s">
        <v>23</v>
      </c>
      <c r="J1380" s="13" t="s">
        <v>2159</v>
      </c>
      <c r="K1380" s="13" t="s">
        <v>83</v>
      </c>
      <c r="L1380" s="13" t="s">
        <v>37</v>
      </c>
      <c r="M1380" s="13" t="s">
        <v>38</v>
      </c>
      <c r="N1380" s="14">
        <v>158.9</v>
      </c>
      <c r="O1380" s="14">
        <v>158.17</v>
      </c>
      <c r="P1380" s="13">
        <v>8.0</v>
      </c>
      <c r="Q1380" s="14">
        <f t="shared" si="3"/>
        <v>1271.2</v>
      </c>
      <c r="R1380" s="14">
        <f t="shared" si="4"/>
        <v>1113.03</v>
      </c>
      <c r="S1380" s="14">
        <f t="shared" si="5"/>
        <v>158.17</v>
      </c>
    </row>
    <row r="1381">
      <c r="A1381" s="12">
        <v>42102.0</v>
      </c>
      <c r="B1381" s="12" t="s">
        <v>2332</v>
      </c>
      <c r="C1381" s="2">
        <v>42255.0</v>
      </c>
      <c r="D1381" s="15" t="str">
        <f t="shared" si="1"/>
        <v>Sep</v>
      </c>
      <c r="E1381" s="2" t="str">
        <f t="shared" si="2"/>
        <v>2015</v>
      </c>
      <c r="F1381" s="13" t="s">
        <v>20</v>
      </c>
      <c r="G1381" s="13" t="s">
        <v>2493</v>
      </c>
      <c r="H1381" s="13" t="s">
        <v>2439</v>
      </c>
      <c r="I1381" s="13" t="s">
        <v>23</v>
      </c>
      <c r="J1381" s="13" t="s">
        <v>2159</v>
      </c>
      <c r="K1381" s="13" t="s">
        <v>83</v>
      </c>
      <c r="L1381" s="13" t="s">
        <v>37</v>
      </c>
      <c r="M1381" s="13" t="s">
        <v>38</v>
      </c>
      <c r="N1381" s="14">
        <v>13.184</v>
      </c>
      <c r="O1381" s="14">
        <v>12.9</v>
      </c>
      <c r="P1381" s="13">
        <v>8.0</v>
      </c>
      <c r="Q1381" s="14">
        <f t="shared" si="3"/>
        <v>105.472</v>
      </c>
      <c r="R1381" s="14">
        <f t="shared" si="4"/>
        <v>92.572</v>
      </c>
      <c r="S1381" s="14">
        <f t="shared" si="5"/>
        <v>12.9</v>
      </c>
    </row>
    <row r="1382">
      <c r="A1382" s="12">
        <v>42803.0</v>
      </c>
      <c r="B1382" s="12" t="s">
        <v>2399</v>
      </c>
      <c r="C1382" s="2">
        <v>42987.0</v>
      </c>
      <c r="D1382" s="15" t="str">
        <f t="shared" si="1"/>
        <v>Sep</v>
      </c>
      <c r="E1382" s="2" t="str">
        <f t="shared" si="2"/>
        <v>2017</v>
      </c>
      <c r="F1382" s="13" t="s">
        <v>41</v>
      </c>
      <c r="G1382" s="13" t="s">
        <v>2400</v>
      </c>
      <c r="H1382" s="13" t="s">
        <v>2341</v>
      </c>
      <c r="I1382" s="13" t="s">
        <v>68</v>
      </c>
      <c r="J1382" s="13" t="s">
        <v>278</v>
      </c>
      <c r="K1382" s="13" t="s">
        <v>135</v>
      </c>
      <c r="L1382" s="13" t="s">
        <v>71</v>
      </c>
      <c r="M1382" s="13" t="s">
        <v>27</v>
      </c>
      <c r="N1382" s="14">
        <v>83.952</v>
      </c>
      <c r="O1382" s="14">
        <v>83.39</v>
      </c>
      <c r="P1382" s="13">
        <v>6.0</v>
      </c>
      <c r="Q1382" s="14">
        <f t="shared" si="3"/>
        <v>503.712</v>
      </c>
      <c r="R1382" s="14">
        <f t="shared" si="4"/>
        <v>420.322</v>
      </c>
      <c r="S1382" s="14">
        <f t="shared" si="5"/>
        <v>83.39</v>
      </c>
    </row>
    <row r="1383">
      <c r="A1383" s="12">
        <v>42857.0</v>
      </c>
      <c r="B1383" s="12" t="s">
        <v>2335</v>
      </c>
      <c r="C1383" s="2">
        <v>42857.0</v>
      </c>
      <c r="D1383" s="15" t="str">
        <f t="shared" si="1"/>
        <v>May</v>
      </c>
      <c r="E1383" s="2" t="str">
        <f t="shared" si="2"/>
        <v>2017</v>
      </c>
      <c r="F1383" s="13" t="s">
        <v>717</v>
      </c>
      <c r="G1383" s="13" t="s">
        <v>1839</v>
      </c>
      <c r="H1383" s="13" t="s">
        <v>2943</v>
      </c>
      <c r="I1383" s="13" t="s">
        <v>68</v>
      </c>
      <c r="J1383" s="13" t="s">
        <v>2166</v>
      </c>
      <c r="K1383" s="13" t="s">
        <v>707</v>
      </c>
      <c r="L1383" s="13" t="s">
        <v>26</v>
      </c>
      <c r="M1383" s="13" t="s">
        <v>38</v>
      </c>
      <c r="N1383" s="14">
        <v>80.98</v>
      </c>
      <c r="O1383" s="14">
        <v>80.76</v>
      </c>
      <c r="P1383" s="13">
        <v>3.0</v>
      </c>
      <c r="Q1383" s="14">
        <f t="shared" si="3"/>
        <v>242.94</v>
      </c>
      <c r="R1383" s="14">
        <f t="shared" si="4"/>
        <v>162.18</v>
      </c>
      <c r="S1383" s="14">
        <f t="shared" si="5"/>
        <v>80.76</v>
      </c>
    </row>
    <row r="1384">
      <c r="A1384" s="12">
        <v>42857.0</v>
      </c>
      <c r="B1384" s="12" t="s">
        <v>2335</v>
      </c>
      <c r="C1384" s="2">
        <v>42857.0</v>
      </c>
      <c r="D1384" s="15" t="str">
        <f t="shared" si="1"/>
        <v>May</v>
      </c>
      <c r="E1384" s="2" t="str">
        <f t="shared" si="2"/>
        <v>2017</v>
      </c>
      <c r="F1384" s="13" t="s">
        <v>717</v>
      </c>
      <c r="G1384" s="13" t="s">
        <v>1839</v>
      </c>
      <c r="H1384" s="13" t="s">
        <v>2943</v>
      </c>
      <c r="I1384" s="13" t="s">
        <v>68</v>
      </c>
      <c r="J1384" s="13" t="s">
        <v>2166</v>
      </c>
      <c r="K1384" s="13" t="s">
        <v>707</v>
      </c>
      <c r="L1384" s="13" t="s">
        <v>26</v>
      </c>
      <c r="M1384" s="13" t="s">
        <v>38</v>
      </c>
      <c r="N1384" s="14">
        <v>348.84</v>
      </c>
      <c r="O1384" s="14">
        <v>348.73</v>
      </c>
      <c r="P1384" s="13">
        <v>3.0</v>
      </c>
      <c r="Q1384" s="14">
        <f t="shared" si="3"/>
        <v>1046.52</v>
      </c>
      <c r="R1384" s="14">
        <f t="shared" si="4"/>
        <v>697.79</v>
      </c>
      <c r="S1384" s="14">
        <f t="shared" si="5"/>
        <v>348.73</v>
      </c>
    </row>
    <row r="1385">
      <c r="A1385" s="12">
        <v>42857.0</v>
      </c>
      <c r="B1385" s="12" t="s">
        <v>2335</v>
      </c>
      <c r="C1385" s="2">
        <v>42857.0</v>
      </c>
      <c r="D1385" s="15" t="str">
        <f t="shared" si="1"/>
        <v>May</v>
      </c>
      <c r="E1385" s="2" t="str">
        <f t="shared" si="2"/>
        <v>2017</v>
      </c>
      <c r="F1385" s="13" t="s">
        <v>717</v>
      </c>
      <c r="G1385" s="13" t="s">
        <v>1839</v>
      </c>
      <c r="H1385" s="13" t="s">
        <v>2943</v>
      </c>
      <c r="I1385" s="13" t="s">
        <v>68</v>
      </c>
      <c r="J1385" s="13" t="s">
        <v>2166</v>
      </c>
      <c r="K1385" s="13" t="s">
        <v>707</v>
      </c>
      <c r="L1385" s="13" t="s">
        <v>26</v>
      </c>
      <c r="M1385" s="13" t="s">
        <v>38</v>
      </c>
      <c r="N1385" s="14">
        <v>9.45</v>
      </c>
      <c r="O1385" s="14">
        <v>9.13</v>
      </c>
      <c r="P1385" s="13">
        <v>3.0</v>
      </c>
      <c r="Q1385" s="14">
        <f t="shared" si="3"/>
        <v>28.35</v>
      </c>
      <c r="R1385" s="14">
        <f t="shared" si="4"/>
        <v>19.22</v>
      </c>
      <c r="S1385" s="14">
        <f t="shared" si="5"/>
        <v>9.13</v>
      </c>
    </row>
    <row r="1386">
      <c r="A1386" s="12">
        <v>42857.0</v>
      </c>
      <c r="B1386" s="12" t="s">
        <v>2335</v>
      </c>
      <c r="C1386" s="2">
        <v>42857.0</v>
      </c>
      <c r="D1386" s="15" t="str">
        <f t="shared" si="1"/>
        <v>May</v>
      </c>
      <c r="E1386" s="2" t="str">
        <f t="shared" si="2"/>
        <v>2017</v>
      </c>
      <c r="F1386" s="13" t="s">
        <v>717</v>
      </c>
      <c r="G1386" s="13" t="s">
        <v>1839</v>
      </c>
      <c r="H1386" s="13" t="s">
        <v>2943</v>
      </c>
      <c r="I1386" s="13" t="s">
        <v>68</v>
      </c>
      <c r="J1386" s="13" t="s">
        <v>2166</v>
      </c>
      <c r="K1386" s="13" t="s">
        <v>707</v>
      </c>
      <c r="L1386" s="13" t="s">
        <v>26</v>
      </c>
      <c r="M1386" s="13" t="s">
        <v>27</v>
      </c>
      <c r="N1386" s="14">
        <v>18.84</v>
      </c>
      <c r="O1386" s="14">
        <v>18.47</v>
      </c>
      <c r="P1386" s="13">
        <v>3.0</v>
      </c>
      <c r="Q1386" s="14">
        <f t="shared" si="3"/>
        <v>56.52</v>
      </c>
      <c r="R1386" s="14">
        <f t="shared" si="4"/>
        <v>38.05</v>
      </c>
      <c r="S1386" s="14">
        <f t="shared" si="5"/>
        <v>18.47</v>
      </c>
    </row>
    <row r="1387">
      <c r="A1387" s="12">
        <v>42857.0</v>
      </c>
      <c r="B1387" s="12" t="s">
        <v>2335</v>
      </c>
      <c r="C1387" s="2">
        <v>42857.0</v>
      </c>
      <c r="D1387" s="15" t="str">
        <f t="shared" si="1"/>
        <v>May</v>
      </c>
      <c r="E1387" s="2" t="str">
        <f t="shared" si="2"/>
        <v>2017</v>
      </c>
      <c r="F1387" s="13" t="s">
        <v>717</v>
      </c>
      <c r="G1387" s="13" t="s">
        <v>1839</v>
      </c>
      <c r="H1387" s="13" t="s">
        <v>2943</v>
      </c>
      <c r="I1387" s="13" t="s">
        <v>68</v>
      </c>
      <c r="J1387" s="13" t="s">
        <v>2166</v>
      </c>
      <c r="K1387" s="13" t="s">
        <v>707</v>
      </c>
      <c r="L1387" s="13" t="s">
        <v>26</v>
      </c>
      <c r="M1387" s="13" t="s">
        <v>27</v>
      </c>
      <c r="N1387" s="14">
        <v>239.98</v>
      </c>
      <c r="O1387" s="14">
        <v>239.85</v>
      </c>
      <c r="P1387" s="13">
        <v>3.0</v>
      </c>
      <c r="Q1387" s="14">
        <f t="shared" si="3"/>
        <v>719.94</v>
      </c>
      <c r="R1387" s="14">
        <f t="shared" si="4"/>
        <v>480.09</v>
      </c>
      <c r="S1387" s="14">
        <f t="shared" si="5"/>
        <v>239.85</v>
      </c>
    </row>
    <row r="1388">
      <c r="A1388" s="12">
        <v>42857.0</v>
      </c>
      <c r="B1388" s="12" t="s">
        <v>2335</v>
      </c>
      <c r="C1388" s="2">
        <v>42857.0</v>
      </c>
      <c r="D1388" s="15" t="str">
        <f t="shared" si="1"/>
        <v>May</v>
      </c>
      <c r="E1388" s="2" t="str">
        <f t="shared" si="2"/>
        <v>2017</v>
      </c>
      <c r="F1388" s="13" t="s">
        <v>717</v>
      </c>
      <c r="G1388" s="13" t="s">
        <v>1839</v>
      </c>
      <c r="H1388" s="13" t="s">
        <v>2943</v>
      </c>
      <c r="I1388" s="13" t="s">
        <v>68</v>
      </c>
      <c r="J1388" s="13" t="s">
        <v>2166</v>
      </c>
      <c r="K1388" s="13" t="s">
        <v>707</v>
      </c>
      <c r="L1388" s="13" t="s">
        <v>26</v>
      </c>
      <c r="M1388" s="13" t="s">
        <v>38</v>
      </c>
      <c r="N1388" s="14">
        <v>167.96</v>
      </c>
      <c r="O1388" s="14">
        <v>167.15</v>
      </c>
      <c r="P1388" s="13">
        <v>3.0</v>
      </c>
      <c r="Q1388" s="14">
        <f t="shared" si="3"/>
        <v>503.88</v>
      </c>
      <c r="R1388" s="14">
        <f t="shared" si="4"/>
        <v>336.73</v>
      </c>
      <c r="S1388" s="14">
        <f t="shared" si="5"/>
        <v>167.15</v>
      </c>
    </row>
    <row r="1389">
      <c r="A1389" s="12">
        <v>42857.0</v>
      </c>
      <c r="B1389" s="12" t="s">
        <v>2335</v>
      </c>
      <c r="C1389" s="2">
        <v>42857.0</v>
      </c>
      <c r="D1389" s="15" t="str">
        <f t="shared" si="1"/>
        <v>May</v>
      </c>
      <c r="E1389" s="2" t="str">
        <f t="shared" si="2"/>
        <v>2017</v>
      </c>
      <c r="F1389" s="13" t="s">
        <v>717</v>
      </c>
      <c r="G1389" s="13" t="s">
        <v>1839</v>
      </c>
      <c r="H1389" s="13" t="s">
        <v>2943</v>
      </c>
      <c r="I1389" s="13" t="s">
        <v>68</v>
      </c>
      <c r="J1389" s="13" t="s">
        <v>2166</v>
      </c>
      <c r="K1389" s="13" t="s">
        <v>707</v>
      </c>
      <c r="L1389" s="13" t="s">
        <v>26</v>
      </c>
      <c r="M1389" s="13" t="s">
        <v>51</v>
      </c>
      <c r="N1389" s="14">
        <v>104.85</v>
      </c>
      <c r="O1389" s="14">
        <v>104.15</v>
      </c>
      <c r="P1389" s="13">
        <v>3.0</v>
      </c>
      <c r="Q1389" s="14">
        <f t="shared" si="3"/>
        <v>314.55</v>
      </c>
      <c r="R1389" s="14">
        <f t="shared" si="4"/>
        <v>210.4</v>
      </c>
      <c r="S1389" s="14">
        <f t="shared" si="5"/>
        <v>104.15</v>
      </c>
    </row>
    <row r="1390">
      <c r="A1390" s="12">
        <v>42857.0</v>
      </c>
      <c r="B1390" s="12" t="s">
        <v>2335</v>
      </c>
      <c r="C1390" s="2">
        <v>42857.0</v>
      </c>
      <c r="D1390" s="15" t="str">
        <f t="shared" si="1"/>
        <v>May</v>
      </c>
      <c r="E1390" s="2" t="str">
        <f t="shared" si="2"/>
        <v>2017</v>
      </c>
      <c r="F1390" s="13" t="s">
        <v>717</v>
      </c>
      <c r="G1390" s="13" t="s">
        <v>1839</v>
      </c>
      <c r="H1390" s="13" t="s">
        <v>2943</v>
      </c>
      <c r="I1390" s="13" t="s">
        <v>68</v>
      </c>
      <c r="J1390" s="13" t="s">
        <v>2166</v>
      </c>
      <c r="K1390" s="13" t="s">
        <v>707</v>
      </c>
      <c r="L1390" s="13" t="s">
        <v>26</v>
      </c>
      <c r="M1390" s="13" t="s">
        <v>51</v>
      </c>
      <c r="N1390" s="14">
        <v>484.83</v>
      </c>
      <c r="O1390" s="14">
        <v>484.55</v>
      </c>
      <c r="P1390" s="13">
        <v>3.0</v>
      </c>
      <c r="Q1390" s="14">
        <f t="shared" si="3"/>
        <v>1454.49</v>
      </c>
      <c r="R1390" s="14">
        <f t="shared" si="4"/>
        <v>969.94</v>
      </c>
      <c r="S1390" s="14">
        <f t="shared" si="5"/>
        <v>484.55</v>
      </c>
    </row>
    <row r="1391">
      <c r="A1391" s="12">
        <v>42857.0</v>
      </c>
      <c r="B1391" s="12" t="s">
        <v>2335</v>
      </c>
      <c r="C1391" s="2">
        <v>42857.0</v>
      </c>
      <c r="D1391" s="15" t="str">
        <f t="shared" si="1"/>
        <v>May</v>
      </c>
      <c r="E1391" s="2" t="str">
        <f t="shared" si="2"/>
        <v>2017</v>
      </c>
      <c r="F1391" s="13" t="s">
        <v>717</v>
      </c>
      <c r="G1391" s="13" t="s">
        <v>1839</v>
      </c>
      <c r="H1391" s="13" t="s">
        <v>2943</v>
      </c>
      <c r="I1391" s="13" t="s">
        <v>68</v>
      </c>
      <c r="J1391" s="13" t="s">
        <v>2166</v>
      </c>
      <c r="K1391" s="13" t="s">
        <v>707</v>
      </c>
      <c r="L1391" s="13" t="s">
        <v>26</v>
      </c>
      <c r="M1391" s="13" t="s">
        <v>38</v>
      </c>
      <c r="N1391" s="14">
        <v>122.97</v>
      </c>
      <c r="O1391" s="14">
        <v>122.82</v>
      </c>
      <c r="P1391" s="13">
        <v>3.0</v>
      </c>
      <c r="Q1391" s="14">
        <f t="shared" si="3"/>
        <v>368.91</v>
      </c>
      <c r="R1391" s="14">
        <f t="shared" si="4"/>
        <v>246.09</v>
      </c>
      <c r="S1391" s="14">
        <f t="shared" si="5"/>
        <v>122.82</v>
      </c>
    </row>
    <row r="1392">
      <c r="A1392" s="12">
        <v>42857.0</v>
      </c>
      <c r="B1392" s="12" t="s">
        <v>2335</v>
      </c>
      <c r="C1392" s="2">
        <v>42857.0</v>
      </c>
      <c r="D1392" s="15" t="str">
        <f t="shared" si="1"/>
        <v>May</v>
      </c>
      <c r="E1392" s="2" t="str">
        <f t="shared" si="2"/>
        <v>2017</v>
      </c>
      <c r="F1392" s="13" t="s">
        <v>717</v>
      </c>
      <c r="G1392" s="13" t="s">
        <v>1839</v>
      </c>
      <c r="H1392" s="13" t="s">
        <v>2943</v>
      </c>
      <c r="I1392" s="13" t="s">
        <v>68</v>
      </c>
      <c r="J1392" s="13" t="s">
        <v>2166</v>
      </c>
      <c r="K1392" s="13" t="s">
        <v>707</v>
      </c>
      <c r="L1392" s="13" t="s">
        <v>26</v>
      </c>
      <c r="M1392" s="13" t="s">
        <v>38</v>
      </c>
      <c r="N1392" s="14">
        <v>154.44</v>
      </c>
      <c r="O1392" s="14">
        <v>154.18</v>
      </c>
      <c r="P1392" s="13">
        <v>3.0</v>
      </c>
      <c r="Q1392" s="14">
        <f t="shared" si="3"/>
        <v>463.32</v>
      </c>
      <c r="R1392" s="14">
        <f t="shared" si="4"/>
        <v>309.14</v>
      </c>
      <c r="S1392" s="14">
        <f t="shared" si="5"/>
        <v>154.18</v>
      </c>
    </row>
    <row r="1393">
      <c r="A1393" s="12">
        <v>42857.0</v>
      </c>
      <c r="B1393" s="12" t="s">
        <v>2335</v>
      </c>
      <c r="C1393" s="2">
        <v>42857.0</v>
      </c>
      <c r="D1393" s="15" t="str">
        <f t="shared" si="1"/>
        <v>May</v>
      </c>
      <c r="E1393" s="2" t="str">
        <f t="shared" si="2"/>
        <v>2017</v>
      </c>
      <c r="F1393" s="13" t="s">
        <v>717</v>
      </c>
      <c r="G1393" s="13" t="s">
        <v>1839</v>
      </c>
      <c r="H1393" s="13" t="s">
        <v>2943</v>
      </c>
      <c r="I1393" s="13" t="s">
        <v>68</v>
      </c>
      <c r="J1393" s="13" t="s">
        <v>2166</v>
      </c>
      <c r="K1393" s="13" t="s">
        <v>707</v>
      </c>
      <c r="L1393" s="13" t="s">
        <v>26</v>
      </c>
      <c r="M1393" s="13" t="s">
        <v>38</v>
      </c>
      <c r="N1393" s="14">
        <v>342.37</v>
      </c>
      <c r="O1393" s="14">
        <v>342.3</v>
      </c>
      <c r="P1393" s="13">
        <v>3.0</v>
      </c>
      <c r="Q1393" s="14">
        <f t="shared" si="3"/>
        <v>1027.11</v>
      </c>
      <c r="R1393" s="14">
        <f t="shared" si="4"/>
        <v>684.81</v>
      </c>
      <c r="S1393" s="14">
        <f t="shared" si="5"/>
        <v>342.3</v>
      </c>
    </row>
    <row r="1394">
      <c r="A1394" s="12">
        <v>43166.0</v>
      </c>
      <c r="B1394" s="12" t="s">
        <v>2399</v>
      </c>
      <c r="C1394" s="2">
        <v>43197.0</v>
      </c>
      <c r="D1394" s="15" t="str">
        <f t="shared" si="1"/>
        <v>Apr</v>
      </c>
      <c r="E1394" s="2" t="str">
        <f t="shared" si="2"/>
        <v>2018</v>
      </c>
      <c r="F1394" s="13" t="s">
        <v>121</v>
      </c>
      <c r="G1394" s="13" t="s">
        <v>2944</v>
      </c>
      <c r="H1394" s="13" t="s">
        <v>2945</v>
      </c>
      <c r="I1394" s="13" t="s">
        <v>34</v>
      </c>
      <c r="J1394" s="13" t="s">
        <v>1237</v>
      </c>
      <c r="K1394" s="13" t="s">
        <v>58</v>
      </c>
      <c r="L1394" s="13" t="s">
        <v>26</v>
      </c>
      <c r="M1394" s="13" t="s">
        <v>38</v>
      </c>
      <c r="N1394" s="14">
        <v>9.552</v>
      </c>
      <c r="O1394" s="14">
        <v>8.62</v>
      </c>
      <c r="P1394" s="13">
        <v>2.0</v>
      </c>
      <c r="Q1394" s="14">
        <f t="shared" si="3"/>
        <v>19.104</v>
      </c>
      <c r="R1394" s="14">
        <f t="shared" si="4"/>
        <v>10.484</v>
      </c>
      <c r="S1394" s="14">
        <f t="shared" si="5"/>
        <v>8.62</v>
      </c>
    </row>
    <row r="1395">
      <c r="A1395" s="12">
        <v>43353.0</v>
      </c>
      <c r="B1395" s="12" t="s">
        <v>2329</v>
      </c>
      <c r="C1395" s="2">
        <v>43387.0</v>
      </c>
      <c r="D1395" s="15" t="str">
        <f t="shared" si="1"/>
        <v>Oct</v>
      </c>
      <c r="E1395" s="2" t="str">
        <f t="shared" si="2"/>
        <v>2018</v>
      </c>
      <c r="F1395" s="13" t="s">
        <v>41</v>
      </c>
      <c r="G1395" s="13" t="s">
        <v>2802</v>
      </c>
      <c r="H1395" s="13" t="s">
        <v>2803</v>
      </c>
      <c r="I1395" s="13" t="s">
        <v>34</v>
      </c>
      <c r="J1395" s="13" t="s">
        <v>278</v>
      </c>
      <c r="K1395" s="13" t="s">
        <v>135</v>
      </c>
      <c r="L1395" s="13" t="s">
        <v>71</v>
      </c>
      <c r="M1395" s="13" t="s">
        <v>27</v>
      </c>
      <c r="N1395" s="14">
        <v>652.45</v>
      </c>
      <c r="O1395" s="14">
        <v>651.81</v>
      </c>
      <c r="P1395" s="13">
        <v>6.0</v>
      </c>
      <c r="Q1395" s="14">
        <f t="shared" si="3"/>
        <v>3914.7</v>
      </c>
      <c r="R1395" s="14">
        <f t="shared" si="4"/>
        <v>3262.89</v>
      </c>
      <c r="S1395" s="14">
        <f t="shared" si="5"/>
        <v>651.81</v>
      </c>
    </row>
    <row r="1396">
      <c r="A1396" s="12">
        <v>43353.0</v>
      </c>
      <c r="B1396" s="12" t="s">
        <v>2329</v>
      </c>
      <c r="C1396" s="2">
        <v>43387.0</v>
      </c>
      <c r="D1396" s="15" t="str">
        <f t="shared" si="1"/>
        <v>Oct</v>
      </c>
      <c r="E1396" s="2" t="str">
        <f t="shared" si="2"/>
        <v>2018</v>
      </c>
      <c r="F1396" s="13" t="s">
        <v>41</v>
      </c>
      <c r="G1396" s="13" t="s">
        <v>2802</v>
      </c>
      <c r="H1396" s="13" t="s">
        <v>2803</v>
      </c>
      <c r="I1396" s="13" t="s">
        <v>34</v>
      </c>
      <c r="J1396" s="13" t="s">
        <v>278</v>
      </c>
      <c r="K1396" s="13" t="s">
        <v>135</v>
      </c>
      <c r="L1396" s="13" t="s">
        <v>71</v>
      </c>
      <c r="M1396" s="13" t="s">
        <v>27</v>
      </c>
      <c r="N1396" s="14">
        <v>66.645</v>
      </c>
      <c r="O1396" s="14">
        <v>66.17</v>
      </c>
      <c r="P1396" s="13">
        <v>6.0</v>
      </c>
      <c r="Q1396" s="14">
        <f t="shared" si="3"/>
        <v>399.87</v>
      </c>
      <c r="R1396" s="14">
        <f t="shared" si="4"/>
        <v>333.7</v>
      </c>
      <c r="S1396" s="14">
        <f t="shared" si="5"/>
        <v>66.17</v>
      </c>
    </row>
    <row r="1397">
      <c r="A1397" s="12">
        <v>43063.0</v>
      </c>
      <c r="B1397" s="12" t="s">
        <v>2326</v>
      </c>
      <c r="C1397" s="2">
        <v>43065.0</v>
      </c>
      <c r="D1397" s="15" t="str">
        <f t="shared" si="1"/>
        <v>Nov</v>
      </c>
      <c r="E1397" s="2" t="str">
        <f t="shared" si="2"/>
        <v>2017</v>
      </c>
      <c r="F1397" s="13" t="s">
        <v>121</v>
      </c>
      <c r="G1397" s="13" t="s">
        <v>2705</v>
      </c>
      <c r="H1397" s="13" t="s">
        <v>2689</v>
      </c>
      <c r="I1397" s="13" t="s">
        <v>23</v>
      </c>
      <c r="J1397" s="13" t="s">
        <v>174</v>
      </c>
      <c r="K1397" s="13" t="s">
        <v>175</v>
      </c>
      <c r="L1397" s="13" t="s">
        <v>100</v>
      </c>
      <c r="M1397" s="13" t="s">
        <v>38</v>
      </c>
      <c r="N1397" s="14">
        <v>17.216</v>
      </c>
      <c r="O1397" s="14">
        <v>17.02</v>
      </c>
      <c r="P1397" s="13">
        <v>1.0</v>
      </c>
      <c r="Q1397" s="14">
        <f t="shared" si="3"/>
        <v>17.216</v>
      </c>
      <c r="R1397" s="14">
        <f t="shared" si="4"/>
        <v>0.196</v>
      </c>
      <c r="S1397" s="14">
        <f t="shared" si="5"/>
        <v>17.02</v>
      </c>
    </row>
    <row r="1398">
      <c r="A1398" s="12">
        <v>43063.0</v>
      </c>
      <c r="B1398" s="12" t="s">
        <v>2326</v>
      </c>
      <c r="C1398" s="2">
        <v>43065.0</v>
      </c>
      <c r="D1398" s="15" t="str">
        <f t="shared" si="1"/>
        <v>Nov</v>
      </c>
      <c r="E1398" s="2" t="str">
        <f t="shared" si="2"/>
        <v>2017</v>
      </c>
      <c r="F1398" s="13" t="s">
        <v>121</v>
      </c>
      <c r="G1398" s="13" t="s">
        <v>2705</v>
      </c>
      <c r="H1398" s="13" t="s">
        <v>2689</v>
      </c>
      <c r="I1398" s="13" t="s">
        <v>23</v>
      </c>
      <c r="J1398" s="13" t="s">
        <v>174</v>
      </c>
      <c r="K1398" s="13" t="s">
        <v>175</v>
      </c>
      <c r="L1398" s="13" t="s">
        <v>100</v>
      </c>
      <c r="M1398" s="13" t="s">
        <v>38</v>
      </c>
      <c r="N1398" s="14">
        <v>11.56</v>
      </c>
      <c r="O1398" s="14">
        <v>10.77</v>
      </c>
      <c r="P1398" s="13">
        <v>1.0</v>
      </c>
      <c r="Q1398" s="14">
        <f t="shared" si="3"/>
        <v>11.56</v>
      </c>
      <c r="R1398" s="14">
        <f t="shared" si="4"/>
        <v>0.79</v>
      </c>
      <c r="S1398" s="14">
        <f t="shared" si="5"/>
        <v>10.77</v>
      </c>
    </row>
    <row r="1399">
      <c r="A1399" s="12">
        <v>43063.0</v>
      </c>
      <c r="B1399" s="12" t="s">
        <v>2326</v>
      </c>
      <c r="C1399" s="2">
        <v>43065.0</v>
      </c>
      <c r="D1399" s="15" t="str">
        <f t="shared" si="1"/>
        <v>Nov</v>
      </c>
      <c r="E1399" s="2" t="str">
        <f t="shared" si="2"/>
        <v>2017</v>
      </c>
      <c r="F1399" s="13" t="s">
        <v>121</v>
      </c>
      <c r="G1399" s="13" t="s">
        <v>2705</v>
      </c>
      <c r="H1399" s="13" t="s">
        <v>2689</v>
      </c>
      <c r="I1399" s="13" t="s">
        <v>23</v>
      </c>
      <c r="J1399" s="13" t="s">
        <v>174</v>
      </c>
      <c r="K1399" s="13" t="s">
        <v>175</v>
      </c>
      <c r="L1399" s="13" t="s">
        <v>100</v>
      </c>
      <c r="M1399" s="13" t="s">
        <v>51</v>
      </c>
      <c r="N1399" s="14">
        <v>88.4</v>
      </c>
      <c r="O1399" s="14">
        <v>87.67</v>
      </c>
      <c r="P1399" s="13">
        <v>1.0</v>
      </c>
      <c r="Q1399" s="14">
        <f t="shared" si="3"/>
        <v>88.4</v>
      </c>
      <c r="R1399" s="14">
        <f t="shared" si="4"/>
        <v>0.73</v>
      </c>
      <c r="S1399" s="14">
        <f t="shared" si="5"/>
        <v>87.67</v>
      </c>
    </row>
    <row r="1400">
      <c r="A1400" s="12">
        <v>43063.0</v>
      </c>
      <c r="B1400" s="12" t="s">
        <v>2326</v>
      </c>
      <c r="C1400" s="2">
        <v>43065.0</v>
      </c>
      <c r="D1400" s="15" t="str">
        <f t="shared" si="1"/>
        <v>Nov</v>
      </c>
      <c r="E1400" s="2" t="str">
        <f t="shared" si="2"/>
        <v>2017</v>
      </c>
      <c r="F1400" s="13" t="s">
        <v>121</v>
      </c>
      <c r="G1400" s="13" t="s">
        <v>2705</v>
      </c>
      <c r="H1400" s="13" t="s">
        <v>2689</v>
      </c>
      <c r="I1400" s="13" t="s">
        <v>23</v>
      </c>
      <c r="J1400" s="13" t="s">
        <v>174</v>
      </c>
      <c r="K1400" s="13" t="s">
        <v>175</v>
      </c>
      <c r="L1400" s="13" t="s">
        <v>100</v>
      </c>
      <c r="M1400" s="13" t="s">
        <v>38</v>
      </c>
      <c r="N1400" s="14">
        <v>6.48</v>
      </c>
      <c r="O1400" s="14">
        <v>6.44</v>
      </c>
      <c r="P1400" s="13">
        <v>1.0</v>
      </c>
      <c r="Q1400" s="14">
        <f t="shared" si="3"/>
        <v>6.48</v>
      </c>
      <c r="R1400" s="14">
        <f t="shared" si="4"/>
        <v>0.04</v>
      </c>
      <c r="S1400" s="14">
        <f t="shared" si="5"/>
        <v>6.44</v>
      </c>
    </row>
    <row r="1401">
      <c r="A1401" s="12">
        <v>42746.0</v>
      </c>
      <c r="B1401" s="12" t="s">
        <v>2353</v>
      </c>
      <c r="C1401" s="2">
        <v>42866.0</v>
      </c>
      <c r="D1401" s="15" t="str">
        <f t="shared" si="1"/>
        <v>May</v>
      </c>
      <c r="E1401" s="2" t="str">
        <f t="shared" si="2"/>
        <v>2017</v>
      </c>
      <c r="F1401" s="13" t="s">
        <v>41</v>
      </c>
      <c r="G1401" s="13" t="s">
        <v>2415</v>
      </c>
      <c r="H1401" s="13" t="s">
        <v>2075</v>
      </c>
      <c r="I1401" s="13" t="s">
        <v>68</v>
      </c>
      <c r="J1401" s="13" t="s">
        <v>1095</v>
      </c>
      <c r="K1401" s="13" t="s">
        <v>198</v>
      </c>
      <c r="L1401" s="13" t="s">
        <v>26</v>
      </c>
      <c r="M1401" s="13" t="s">
        <v>51</v>
      </c>
      <c r="N1401" s="14">
        <v>21.8</v>
      </c>
      <c r="O1401" s="14">
        <v>21.02</v>
      </c>
      <c r="P1401" s="13">
        <v>2.0</v>
      </c>
      <c r="Q1401" s="14">
        <f t="shared" si="3"/>
        <v>43.6</v>
      </c>
      <c r="R1401" s="14">
        <f t="shared" si="4"/>
        <v>22.58</v>
      </c>
      <c r="S1401" s="14">
        <f t="shared" si="5"/>
        <v>21.02</v>
      </c>
    </row>
    <row r="1402">
      <c r="A1402" s="12">
        <v>42746.0</v>
      </c>
      <c r="B1402" s="12" t="s">
        <v>2353</v>
      </c>
      <c r="C1402" s="2">
        <v>42866.0</v>
      </c>
      <c r="D1402" s="15" t="str">
        <f t="shared" si="1"/>
        <v>May</v>
      </c>
      <c r="E1402" s="2" t="str">
        <f t="shared" si="2"/>
        <v>2017</v>
      </c>
      <c r="F1402" s="13" t="s">
        <v>41</v>
      </c>
      <c r="G1402" s="13" t="s">
        <v>2415</v>
      </c>
      <c r="H1402" s="13" t="s">
        <v>2075</v>
      </c>
      <c r="I1402" s="13" t="s">
        <v>68</v>
      </c>
      <c r="J1402" s="13" t="s">
        <v>1095</v>
      </c>
      <c r="K1402" s="13" t="s">
        <v>198</v>
      </c>
      <c r="L1402" s="13" t="s">
        <v>26</v>
      </c>
      <c r="M1402" s="13" t="s">
        <v>38</v>
      </c>
      <c r="N1402" s="14">
        <v>251.79</v>
      </c>
      <c r="O1402" s="14">
        <v>250.81</v>
      </c>
      <c r="P1402" s="13">
        <v>2.0</v>
      </c>
      <c r="Q1402" s="14">
        <f t="shared" si="3"/>
        <v>503.58</v>
      </c>
      <c r="R1402" s="14">
        <f t="shared" si="4"/>
        <v>252.77</v>
      </c>
      <c r="S1402" s="14">
        <f t="shared" si="5"/>
        <v>250.81</v>
      </c>
    </row>
    <row r="1403">
      <c r="A1403" s="12">
        <v>42844.0</v>
      </c>
      <c r="B1403" s="12" t="s">
        <v>2332</v>
      </c>
      <c r="C1403" s="2">
        <v>42850.0</v>
      </c>
      <c r="D1403" s="15" t="str">
        <f t="shared" si="1"/>
        <v>Apr</v>
      </c>
      <c r="E1403" s="2" t="str">
        <f t="shared" si="2"/>
        <v>2017</v>
      </c>
      <c r="F1403" s="13" t="s">
        <v>41</v>
      </c>
      <c r="G1403" s="13" t="s">
        <v>2405</v>
      </c>
      <c r="H1403" s="13" t="s">
        <v>2406</v>
      </c>
      <c r="I1403" s="13" t="s">
        <v>68</v>
      </c>
      <c r="J1403" s="13" t="s">
        <v>303</v>
      </c>
      <c r="K1403" s="13" t="s">
        <v>304</v>
      </c>
      <c r="L1403" s="13" t="s">
        <v>100</v>
      </c>
      <c r="M1403" s="13" t="s">
        <v>27</v>
      </c>
      <c r="N1403" s="14">
        <v>205.176</v>
      </c>
      <c r="O1403" s="14">
        <v>204.56</v>
      </c>
      <c r="P1403" s="13">
        <v>4.0</v>
      </c>
      <c r="Q1403" s="14">
        <f t="shared" si="3"/>
        <v>820.704</v>
      </c>
      <c r="R1403" s="14">
        <f t="shared" si="4"/>
        <v>616.144</v>
      </c>
      <c r="S1403" s="14">
        <f t="shared" si="5"/>
        <v>204.56</v>
      </c>
    </row>
    <row r="1404">
      <c r="A1404" s="12">
        <v>42844.0</v>
      </c>
      <c r="B1404" s="12" t="s">
        <v>2332</v>
      </c>
      <c r="C1404" s="2">
        <v>42850.0</v>
      </c>
      <c r="D1404" s="15" t="str">
        <f t="shared" si="1"/>
        <v>Apr</v>
      </c>
      <c r="E1404" s="2" t="str">
        <f t="shared" si="2"/>
        <v>2017</v>
      </c>
      <c r="F1404" s="13" t="s">
        <v>41</v>
      </c>
      <c r="G1404" s="13" t="s">
        <v>2405</v>
      </c>
      <c r="H1404" s="13" t="s">
        <v>2406</v>
      </c>
      <c r="I1404" s="13" t="s">
        <v>68</v>
      </c>
      <c r="J1404" s="13" t="s">
        <v>303</v>
      </c>
      <c r="K1404" s="13" t="s">
        <v>304</v>
      </c>
      <c r="L1404" s="13" t="s">
        <v>100</v>
      </c>
      <c r="M1404" s="13" t="s">
        <v>38</v>
      </c>
      <c r="N1404" s="14">
        <v>419.4</v>
      </c>
      <c r="O1404" s="14">
        <v>418.98</v>
      </c>
      <c r="P1404" s="13">
        <v>4.0</v>
      </c>
      <c r="Q1404" s="14">
        <f t="shared" si="3"/>
        <v>1677.6</v>
      </c>
      <c r="R1404" s="14">
        <f t="shared" si="4"/>
        <v>1258.62</v>
      </c>
      <c r="S1404" s="14">
        <f t="shared" si="5"/>
        <v>418.98</v>
      </c>
    </row>
    <row r="1405">
      <c r="A1405" s="12">
        <v>42159.0</v>
      </c>
      <c r="B1405" s="12" t="s">
        <v>2374</v>
      </c>
      <c r="C1405" s="2">
        <v>42220.0</v>
      </c>
      <c r="D1405" s="15" t="str">
        <f t="shared" si="1"/>
        <v>Aug</v>
      </c>
      <c r="E1405" s="2" t="str">
        <f t="shared" si="2"/>
        <v>2015</v>
      </c>
      <c r="F1405" s="13" t="s">
        <v>121</v>
      </c>
      <c r="G1405" s="13" t="s">
        <v>2477</v>
      </c>
      <c r="H1405" s="13" t="s">
        <v>2389</v>
      </c>
      <c r="I1405" s="13" t="s">
        <v>68</v>
      </c>
      <c r="J1405" s="13" t="s">
        <v>98</v>
      </c>
      <c r="K1405" s="13" t="s">
        <v>99</v>
      </c>
      <c r="L1405" s="13" t="s">
        <v>100</v>
      </c>
      <c r="M1405" s="13" t="s">
        <v>38</v>
      </c>
      <c r="N1405" s="14">
        <v>10.304</v>
      </c>
      <c r="O1405" s="14">
        <v>10.24</v>
      </c>
      <c r="P1405" s="13">
        <v>1.0</v>
      </c>
      <c r="Q1405" s="14">
        <f t="shared" si="3"/>
        <v>10.304</v>
      </c>
      <c r="R1405" s="14">
        <f t="shared" si="4"/>
        <v>0.064</v>
      </c>
      <c r="S1405" s="14">
        <f t="shared" si="5"/>
        <v>10.24</v>
      </c>
    </row>
    <row r="1406">
      <c r="A1406" s="12">
        <v>42159.0</v>
      </c>
      <c r="B1406" s="12" t="s">
        <v>2374</v>
      </c>
      <c r="C1406" s="2">
        <v>42220.0</v>
      </c>
      <c r="D1406" s="15" t="str">
        <f t="shared" si="1"/>
        <v>Aug</v>
      </c>
      <c r="E1406" s="2" t="str">
        <f t="shared" si="2"/>
        <v>2015</v>
      </c>
      <c r="F1406" s="13" t="s">
        <v>121</v>
      </c>
      <c r="G1406" s="13" t="s">
        <v>2477</v>
      </c>
      <c r="H1406" s="13" t="s">
        <v>2389</v>
      </c>
      <c r="I1406" s="13" t="s">
        <v>68</v>
      </c>
      <c r="J1406" s="13" t="s">
        <v>98</v>
      </c>
      <c r="K1406" s="13" t="s">
        <v>99</v>
      </c>
      <c r="L1406" s="13" t="s">
        <v>100</v>
      </c>
      <c r="M1406" s="13" t="s">
        <v>27</v>
      </c>
      <c r="N1406" s="14">
        <v>154.764</v>
      </c>
      <c r="O1406" s="14">
        <v>154.54</v>
      </c>
      <c r="P1406" s="13">
        <v>1.0</v>
      </c>
      <c r="Q1406" s="14">
        <f t="shared" si="3"/>
        <v>154.764</v>
      </c>
      <c r="R1406" s="14">
        <f t="shared" si="4"/>
        <v>0.224</v>
      </c>
      <c r="S1406" s="14">
        <f t="shared" si="5"/>
        <v>154.54</v>
      </c>
    </row>
    <row r="1407">
      <c r="A1407" s="12">
        <v>42159.0</v>
      </c>
      <c r="B1407" s="12" t="s">
        <v>2374</v>
      </c>
      <c r="C1407" s="2">
        <v>42220.0</v>
      </c>
      <c r="D1407" s="15" t="str">
        <f t="shared" si="1"/>
        <v>Aug</v>
      </c>
      <c r="E1407" s="2" t="str">
        <f t="shared" si="2"/>
        <v>2015</v>
      </c>
      <c r="F1407" s="13" t="s">
        <v>121</v>
      </c>
      <c r="G1407" s="13" t="s">
        <v>2477</v>
      </c>
      <c r="H1407" s="13" t="s">
        <v>2389</v>
      </c>
      <c r="I1407" s="13" t="s">
        <v>68</v>
      </c>
      <c r="J1407" s="13" t="s">
        <v>98</v>
      </c>
      <c r="K1407" s="13" t="s">
        <v>99</v>
      </c>
      <c r="L1407" s="13" t="s">
        <v>100</v>
      </c>
      <c r="M1407" s="13" t="s">
        <v>51</v>
      </c>
      <c r="N1407" s="14">
        <v>116.784</v>
      </c>
      <c r="O1407" s="14">
        <v>115.93</v>
      </c>
      <c r="P1407" s="13">
        <v>1.0</v>
      </c>
      <c r="Q1407" s="14">
        <f t="shared" si="3"/>
        <v>116.784</v>
      </c>
      <c r="R1407" s="14">
        <f t="shared" si="4"/>
        <v>0.854</v>
      </c>
      <c r="S1407" s="14">
        <f t="shared" si="5"/>
        <v>115.93</v>
      </c>
    </row>
    <row r="1408">
      <c r="A1408" s="12">
        <v>42775.0</v>
      </c>
      <c r="B1408" s="12" t="s">
        <v>2431</v>
      </c>
      <c r="C1408" s="2">
        <v>42895.0</v>
      </c>
      <c r="D1408" s="15" t="str">
        <f t="shared" si="1"/>
        <v>Jun</v>
      </c>
      <c r="E1408" s="2" t="str">
        <f t="shared" si="2"/>
        <v>2017</v>
      </c>
      <c r="F1408" s="13" t="s">
        <v>41</v>
      </c>
      <c r="G1408" s="13" t="s">
        <v>2388</v>
      </c>
      <c r="H1408" s="13" t="s">
        <v>2389</v>
      </c>
      <c r="I1408" s="13" t="s">
        <v>23</v>
      </c>
      <c r="J1408" s="13" t="s">
        <v>174</v>
      </c>
      <c r="K1408" s="13" t="s">
        <v>175</v>
      </c>
      <c r="L1408" s="13" t="s">
        <v>100</v>
      </c>
      <c r="M1408" s="13" t="s">
        <v>38</v>
      </c>
      <c r="N1408" s="14">
        <v>75.48</v>
      </c>
      <c r="O1408" s="14">
        <v>75.15</v>
      </c>
      <c r="P1408" s="13">
        <v>1.0</v>
      </c>
      <c r="Q1408" s="14">
        <f t="shared" si="3"/>
        <v>75.48</v>
      </c>
      <c r="R1408" s="14">
        <f t="shared" si="4"/>
        <v>0.33</v>
      </c>
      <c r="S1408" s="14">
        <f t="shared" si="5"/>
        <v>75.15</v>
      </c>
    </row>
    <row r="1409">
      <c r="A1409" s="12">
        <v>42775.0</v>
      </c>
      <c r="B1409" s="12" t="s">
        <v>2431</v>
      </c>
      <c r="C1409" s="2">
        <v>42895.0</v>
      </c>
      <c r="D1409" s="15" t="str">
        <f t="shared" si="1"/>
        <v>Jun</v>
      </c>
      <c r="E1409" s="2" t="str">
        <f t="shared" si="2"/>
        <v>2017</v>
      </c>
      <c r="F1409" s="13" t="s">
        <v>41</v>
      </c>
      <c r="G1409" s="13" t="s">
        <v>2388</v>
      </c>
      <c r="H1409" s="13" t="s">
        <v>2389</v>
      </c>
      <c r="I1409" s="13" t="s">
        <v>23</v>
      </c>
      <c r="J1409" s="13" t="s">
        <v>174</v>
      </c>
      <c r="K1409" s="13" t="s">
        <v>175</v>
      </c>
      <c r="L1409" s="13" t="s">
        <v>100</v>
      </c>
      <c r="M1409" s="13" t="s">
        <v>27</v>
      </c>
      <c r="N1409" s="14">
        <v>39.98</v>
      </c>
      <c r="O1409" s="14">
        <v>39.14</v>
      </c>
      <c r="P1409" s="13">
        <v>1.0</v>
      </c>
      <c r="Q1409" s="14">
        <f t="shared" si="3"/>
        <v>39.98</v>
      </c>
      <c r="R1409" s="14">
        <f t="shared" si="4"/>
        <v>0.84</v>
      </c>
      <c r="S1409" s="14">
        <f t="shared" si="5"/>
        <v>39.14</v>
      </c>
    </row>
    <row r="1410">
      <c r="A1410" s="12">
        <v>43003.0</v>
      </c>
      <c r="B1410" s="12" t="s">
        <v>2329</v>
      </c>
      <c r="C1410" s="2">
        <v>43008.0</v>
      </c>
      <c r="D1410" s="15" t="str">
        <f t="shared" si="1"/>
        <v>Sep</v>
      </c>
      <c r="E1410" s="2" t="str">
        <f t="shared" si="2"/>
        <v>2017</v>
      </c>
      <c r="F1410" s="13" t="s">
        <v>41</v>
      </c>
      <c r="G1410" s="13" t="s">
        <v>2668</v>
      </c>
      <c r="H1410" s="13" t="s">
        <v>2946</v>
      </c>
      <c r="I1410" s="13" t="s">
        <v>23</v>
      </c>
      <c r="J1410" s="13" t="s">
        <v>328</v>
      </c>
      <c r="K1410" s="13" t="s">
        <v>193</v>
      </c>
      <c r="L1410" s="13" t="s">
        <v>37</v>
      </c>
      <c r="M1410" s="13" t="s">
        <v>27</v>
      </c>
      <c r="N1410" s="14">
        <v>393.165</v>
      </c>
      <c r="O1410" s="14">
        <v>392.91</v>
      </c>
      <c r="P1410" s="13">
        <v>8.0</v>
      </c>
      <c r="Q1410" s="14">
        <f t="shared" si="3"/>
        <v>3145.32</v>
      </c>
      <c r="R1410" s="14">
        <f t="shared" si="4"/>
        <v>2752.41</v>
      </c>
      <c r="S1410" s="14">
        <f t="shared" si="5"/>
        <v>392.91</v>
      </c>
    </row>
    <row r="1411">
      <c r="A1411" s="12">
        <v>43201.0</v>
      </c>
      <c r="B1411" s="12" t="s">
        <v>2332</v>
      </c>
      <c r="C1411" s="2">
        <v>43415.0</v>
      </c>
      <c r="D1411" s="15" t="str">
        <f t="shared" si="1"/>
        <v>Nov</v>
      </c>
      <c r="E1411" s="2" t="str">
        <f t="shared" si="2"/>
        <v>2018</v>
      </c>
      <c r="F1411" s="13" t="s">
        <v>41</v>
      </c>
      <c r="G1411" s="13" t="s">
        <v>2940</v>
      </c>
      <c r="H1411" s="13" t="s">
        <v>2941</v>
      </c>
      <c r="I1411" s="13" t="s">
        <v>68</v>
      </c>
      <c r="J1411" s="13" t="s">
        <v>443</v>
      </c>
      <c r="K1411" s="13" t="s">
        <v>70</v>
      </c>
      <c r="L1411" s="13" t="s">
        <v>71</v>
      </c>
      <c r="M1411" s="13" t="s">
        <v>38</v>
      </c>
      <c r="N1411" s="14">
        <v>23.68</v>
      </c>
      <c r="O1411" s="14">
        <v>23.61</v>
      </c>
      <c r="P1411" s="13">
        <v>7.0</v>
      </c>
      <c r="Q1411" s="14">
        <f t="shared" si="3"/>
        <v>165.76</v>
      </c>
      <c r="R1411" s="14">
        <f t="shared" si="4"/>
        <v>142.15</v>
      </c>
      <c r="S1411" s="14">
        <f t="shared" si="5"/>
        <v>23.61</v>
      </c>
    </row>
    <row r="1412">
      <c r="A1412" s="12">
        <v>42985.0</v>
      </c>
      <c r="B1412" s="12" t="s">
        <v>2329</v>
      </c>
      <c r="C1412" s="2">
        <v>42929.0</v>
      </c>
      <c r="D1412" s="15" t="str">
        <f t="shared" si="1"/>
        <v>Jul</v>
      </c>
      <c r="E1412" s="2" t="str">
        <f t="shared" si="2"/>
        <v>2017</v>
      </c>
      <c r="F1412" s="13" t="s">
        <v>41</v>
      </c>
      <c r="G1412" s="13" t="s">
        <v>2447</v>
      </c>
      <c r="H1412" s="13" t="s">
        <v>2448</v>
      </c>
      <c r="I1412" s="13" t="s">
        <v>34</v>
      </c>
      <c r="J1412" s="13" t="s">
        <v>174</v>
      </c>
      <c r="K1412" s="13" t="s">
        <v>175</v>
      </c>
      <c r="L1412" s="13" t="s">
        <v>100</v>
      </c>
      <c r="M1412" s="13" t="s">
        <v>27</v>
      </c>
      <c r="N1412" s="14">
        <v>408.006</v>
      </c>
      <c r="O1412" s="14">
        <v>407.19</v>
      </c>
      <c r="P1412" s="13">
        <v>1.0</v>
      </c>
      <c r="Q1412" s="14">
        <f t="shared" si="3"/>
        <v>408.006</v>
      </c>
      <c r="R1412" s="14">
        <f t="shared" si="4"/>
        <v>0.816</v>
      </c>
      <c r="S1412" s="14">
        <f t="shared" si="5"/>
        <v>407.19</v>
      </c>
    </row>
    <row r="1413">
      <c r="A1413" s="12">
        <v>42985.0</v>
      </c>
      <c r="B1413" s="12" t="s">
        <v>2329</v>
      </c>
      <c r="C1413" s="2">
        <v>42929.0</v>
      </c>
      <c r="D1413" s="15" t="str">
        <f t="shared" si="1"/>
        <v>Jul</v>
      </c>
      <c r="E1413" s="2" t="str">
        <f t="shared" si="2"/>
        <v>2017</v>
      </c>
      <c r="F1413" s="13" t="s">
        <v>41</v>
      </c>
      <c r="G1413" s="13" t="s">
        <v>2447</v>
      </c>
      <c r="H1413" s="13" t="s">
        <v>2448</v>
      </c>
      <c r="I1413" s="13" t="s">
        <v>34</v>
      </c>
      <c r="J1413" s="13" t="s">
        <v>174</v>
      </c>
      <c r="K1413" s="13" t="s">
        <v>175</v>
      </c>
      <c r="L1413" s="13" t="s">
        <v>100</v>
      </c>
      <c r="M1413" s="13" t="s">
        <v>27</v>
      </c>
      <c r="N1413" s="14">
        <v>165.28</v>
      </c>
      <c r="O1413" s="14">
        <v>164.67</v>
      </c>
      <c r="P1413" s="13">
        <v>1.0</v>
      </c>
      <c r="Q1413" s="14">
        <f t="shared" si="3"/>
        <v>165.28</v>
      </c>
      <c r="R1413" s="14">
        <f t="shared" si="4"/>
        <v>0.61</v>
      </c>
      <c r="S1413" s="14">
        <f t="shared" si="5"/>
        <v>164.67</v>
      </c>
    </row>
    <row r="1414">
      <c r="A1414" s="12">
        <v>42185.0</v>
      </c>
      <c r="B1414" s="12" t="s">
        <v>2374</v>
      </c>
      <c r="C1414" s="2">
        <v>42131.0</v>
      </c>
      <c r="D1414" s="15" t="str">
        <f t="shared" si="1"/>
        <v>May</v>
      </c>
      <c r="E1414" s="2" t="str">
        <f t="shared" si="2"/>
        <v>2015</v>
      </c>
      <c r="F1414" s="13" t="s">
        <v>41</v>
      </c>
      <c r="G1414" s="13" t="s">
        <v>2452</v>
      </c>
      <c r="H1414" s="13" t="s">
        <v>2360</v>
      </c>
      <c r="I1414" s="13" t="s">
        <v>23</v>
      </c>
      <c r="J1414" s="13" t="s">
        <v>174</v>
      </c>
      <c r="K1414" s="13" t="s">
        <v>175</v>
      </c>
      <c r="L1414" s="13" t="s">
        <v>100</v>
      </c>
      <c r="M1414" s="13" t="s">
        <v>38</v>
      </c>
      <c r="N1414" s="14">
        <v>334.768</v>
      </c>
      <c r="O1414" s="14">
        <v>334.11</v>
      </c>
      <c r="P1414" s="13">
        <v>1.0</v>
      </c>
      <c r="Q1414" s="14">
        <f t="shared" si="3"/>
        <v>334.768</v>
      </c>
      <c r="R1414" s="14">
        <f t="shared" si="4"/>
        <v>0.658</v>
      </c>
      <c r="S1414" s="14">
        <f t="shared" si="5"/>
        <v>334.11</v>
      </c>
    </row>
    <row r="1415">
      <c r="A1415" s="12">
        <v>43128.0</v>
      </c>
      <c r="B1415" s="12" t="s">
        <v>2353</v>
      </c>
      <c r="C1415" s="2">
        <v>43131.0</v>
      </c>
      <c r="D1415" s="15" t="str">
        <f t="shared" si="1"/>
        <v>Jan</v>
      </c>
      <c r="E1415" s="2" t="str">
        <f t="shared" si="2"/>
        <v>2018</v>
      </c>
      <c r="F1415" s="13" t="s">
        <v>20</v>
      </c>
      <c r="G1415" s="13" t="s">
        <v>2934</v>
      </c>
      <c r="H1415" s="13" t="s">
        <v>2783</v>
      </c>
      <c r="I1415" s="13" t="s">
        <v>68</v>
      </c>
      <c r="J1415" s="13" t="s">
        <v>947</v>
      </c>
      <c r="K1415" s="13" t="s">
        <v>52</v>
      </c>
      <c r="L1415" s="13" t="s">
        <v>37</v>
      </c>
      <c r="M1415" s="13" t="s">
        <v>51</v>
      </c>
      <c r="N1415" s="14">
        <v>239.97</v>
      </c>
      <c r="O1415" s="14">
        <v>239.38</v>
      </c>
      <c r="P1415" s="13">
        <v>9.0</v>
      </c>
      <c r="Q1415" s="14">
        <f t="shared" si="3"/>
        <v>2159.73</v>
      </c>
      <c r="R1415" s="14">
        <f t="shared" si="4"/>
        <v>1920.35</v>
      </c>
      <c r="S1415" s="14">
        <f t="shared" si="5"/>
        <v>239.38</v>
      </c>
    </row>
    <row r="1416">
      <c r="A1416" s="12">
        <v>43128.0</v>
      </c>
      <c r="B1416" s="12" t="s">
        <v>2353</v>
      </c>
      <c r="C1416" s="2">
        <v>43131.0</v>
      </c>
      <c r="D1416" s="15" t="str">
        <f t="shared" si="1"/>
        <v>Jan</v>
      </c>
      <c r="E1416" s="2" t="str">
        <f t="shared" si="2"/>
        <v>2018</v>
      </c>
      <c r="F1416" s="13" t="s">
        <v>20</v>
      </c>
      <c r="G1416" s="13" t="s">
        <v>2934</v>
      </c>
      <c r="H1416" s="13" t="s">
        <v>2783</v>
      </c>
      <c r="I1416" s="13" t="s">
        <v>68</v>
      </c>
      <c r="J1416" s="13" t="s">
        <v>947</v>
      </c>
      <c r="K1416" s="13" t="s">
        <v>52</v>
      </c>
      <c r="L1416" s="13" t="s">
        <v>37</v>
      </c>
      <c r="M1416" s="13" t="s">
        <v>27</v>
      </c>
      <c r="N1416" s="14">
        <v>37.74</v>
      </c>
      <c r="O1416" s="14">
        <v>37.36</v>
      </c>
      <c r="P1416" s="13">
        <v>9.0</v>
      </c>
      <c r="Q1416" s="14">
        <f t="shared" si="3"/>
        <v>339.66</v>
      </c>
      <c r="R1416" s="14">
        <f t="shared" si="4"/>
        <v>302.3</v>
      </c>
      <c r="S1416" s="14">
        <f t="shared" si="5"/>
        <v>37.36</v>
      </c>
    </row>
    <row r="1417">
      <c r="A1417" s="12">
        <v>42634.0</v>
      </c>
      <c r="B1417" s="12" t="s">
        <v>2329</v>
      </c>
      <c r="C1417" s="2">
        <v>42637.0</v>
      </c>
      <c r="D1417" s="15" t="str">
        <f t="shared" si="1"/>
        <v>Sep</v>
      </c>
      <c r="E1417" s="2" t="str">
        <f t="shared" si="2"/>
        <v>2016</v>
      </c>
      <c r="F1417" s="13" t="s">
        <v>121</v>
      </c>
      <c r="G1417" s="13" t="s">
        <v>2947</v>
      </c>
      <c r="H1417" s="13" t="s">
        <v>2948</v>
      </c>
      <c r="I1417" s="13" t="s">
        <v>34</v>
      </c>
      <c r="J1417" s="13" t="s">
        <v>129</v>
      </c>
      <c r="K1417" s="13" t="s">
        <v>70</v>
      </c>
      <c r="L1417" s="13" t="s">
        <v>71</v>
      </c>
      <c r="M1417" s="13" t="s">
        <v>51</v>
      </c>
      <c r="N1417" s="14">
        <v>946.344</v>
      </c>
      <c r="O1417" s="14">
        <v>945.88</v>
      </c>
      <c r="P1417" s="13">
        <v>7.0</v>
      </c>
      <c r="Q1417" s="14">
        <f t="shared" si="3"/>
        <v>6624.408</v>
      </c>
      <c r="R1417" s="14">
        <f t="shared" si="4"/>
        <v>5678.528</v>
      </c>
      <c r="S1417" s="14">
        <f t="shared" si="5"/>
        <v>945.88</v>
      </c>
    </row>
    <row r="1418">
      <c r="A1418" s="12">
        <v>42634.0</v>
      </c>
      <c r="B1418" s="12" t="s">
        <v>2329</v>
      </c>
      <c r="C1418" s="2">
        <v>42637.0</v>
      </c>
      <c r="D1418" s="15" t="str">
        <f t="shared" si="1"/>
        <v>Sep</v>
      </c>
      <c r="E1418" s="2" t="str">
        <f t="shared" si="2"/>
        <v>2016</v>
      </c>
      <c r="F1418" s="13" t="s">
        <v>121</v>
      </c>
      <c r="G1418" s="13" t="s">
        <v>2947</v>
      </c>
      <c r="H1418" s="13" t="s">
        <v>2948</v>
      </c>
      <c r="I1418" s="13" t="s">
        <v>34</v>
      </c>
      <c r="J1418" s="13" t="s">
        <v>129</v>
      </c>
      <c r="K1418" s="13" t="s">
        <v>70</v>
      </c>
      <c r="L1418" s="13" t="s">
        <v>71</v>
      </c>
      <c r="M1418" s="13" t="s">
        <v>51</v>
      </c>
      <c r="N1418" s="14">
        <v>151.2</v>
      </c>
      <c r="O1418" s="14">
        <v>151.06</v>
      </c>
      <c r="P1418" s="13">
        <v>7.0</v>
      </c>
      <c r="Q1418" s="14">
        <f t="shared" si="3"/>
        <v>1058.4</v>
      </c>
      <c r="R1418" s="14">
        <f t="shared" si="4"/>
        <v>907.34</v>
      </c>
      <c r="S1418" s="14">
        <f t="shared" si="5"/>
        <v>151.06</v>
      </c>
    </row>
    <row r="1419">
      <c r="A1419" s="12">
        <v>42634.0</v>
      </c>
      <c r="B1419" s="12" t="s">
        <v>2329</v>
      </c>
      <c r="C1419" s="2">
        <v>42637.0</v>
      </c>
      <c r="D1419" s="15" t="str">
        <f t="shared" si="1"/>
        <v>Sep</v>
      </c>
      <c r="E1419" s="2" t="str">
        <f t="shared" si="2"/>
        <v>2016</v>
      </c>
      <c r="F1419" s="13" t="s">
        <v>121</v>
      </c>
      <c r="G1419" s="13" t="s">
        <v>2947</v>
      </c>
      <c r="H1419" s="13" t="s">
        <v>2948</v>
      </c>
      <c r="I1419" s="13" t="s">
        <v>34</v>
      </c>
      <c r="J1419" s="13" t="s">
        <v>129</v>
      </c>
      <c r="K1419" s="13" t="s">
        <v>70</v>
      </c>
      <c r="L1419" s="13" t="s">
        <v>71</v>
      </c>
      <c r="M1419" s="13" t="s">
        <v>27</v>
      </c>
      <c r="N1419" s="14">
        <v>4.928</v>
      </c>
      <c r="O1419" s="14">
        <v>4.15</v>
      </c>
      <c r="P1419" s="13">
        <v>7.0</v>
      </c>
      <c r="Q1419" s="14">
        <f t="shared" si="3"/>
        <v>34.496</v>
      </c>
      <c r="R1419" s="14">
        <f t="shared" si="4"/>
        <v>30.346</v>
      </c>
      <c r="S1419" s="14">
        <f t="shared" si="5"/>
        <v>4.15</v>
      </c>
    </row>
    <row r="1420">
      <c r="A1420" s="12">
        <v>42639.0</v>
      </c>
      <c r="B1420" s="12" t="s">
        <v>2329</v>
      </c>
      <c r="C1420" s="2">
        <v>42643.0</v>
      </c>
      <c r="D1420" s="15" t="str">
        <f t="shared" si="1"/>
        <v>Sep</v>
      </c>
      <c r="E1420" s="2" t="str">
        <f t="shared" si="2"/>
        <v>2016</v>
      </c>
      <c r="F1420" s="13" t="s">
        <v>41</v>
      </c>
      <c r="G1420" s="13" t="s">
        <v>2419</v>
      </c>
      <c r="H1420" s="13" t="s">
        <v>2509</v>
      </c>
      <c r="I1420" s="13" t="s">
        <v>34</v>
      </c>
      <c r="J1420" s="13" t="s">
        <v>1009</v>
      </c>
      <c r="K1420" s="13" t="s">
        <v>193</v>
      </c>
      <c r="L1420" s="13" t="s">
        <v>37</v>
      </c>
      <c r="M1420" s="13" t="s">
        <v>38</v>
      </c>
      <c r="N1420" s="14">
        <v>86.272</v>
      </c>
      <c r="O1420" s="14">
        <v>85.73</v>
      </c>
      <c r="P1420" s="13">
        <v>8.0</v>
      </c>
      <c r="Q1420" s="14">
        <f t="shared" si="3"/>
        <v>690.176</v>
      </c>
      <c r="R1420" s="14">
        <f t="shared" si="4"/>
        <v>604.446</v>
      </c>
      <c r="S1420" s="14">
        <f t="shared" si="5"/>
        <v>85.73</v>
      </c>
    </row>
    <row r="1421">
      <c r="A1421" s="12">
        <v>42639.0</v>
      </c>
      <c r="B1421" s="12" t="s">
        <v>2329</v>
      </c>
      <c r="C1421" s="2">
        <v>42643.0</v>
      </c>
      <c r="D1421" s="15" t="str">
        <f t="shared" si="1"/>
        <v>Sep</v>
      </c>
      <c r="E1421" s="2" t="str">
        <f t="shared" si="2"/>
        <v>2016</v>
      </c>
      <c r="F1421" s="13" t="s">
        <v>41</v>
      </c>
      <c r="G1421" s="13" t="s">
        <v>2419</v>
      </c>
      <c r="H1421" s="13" t="s">
        <v>2509</v>
      </c>
      <c r="I1421" s="13" t="s">
        <v>34</v>
      </c>
      <c r="J1421" s="13" t="s">
        <v>1009</v>
      </c>
      <c r="K1421" s="13" t="s">
        <v>193</v>
      </c>
      <c r="L1421" s="13" t="s">
        <v>37</v>
      </c>
      <c r="M1421" s="13" t="s">
        <v>38</v>
      </c>
      <c r="N1421" s="14">
        <v>72.588</v>
      </c>
      <c r="O1421" s="14">
        <v>72.03</v>
      </c>
      <c r="P1421" s="13">
        <v>8.0</v>
      </c>
      <c r="Q1421" s="14">
        <f t="shared" si="3"/>
        <v>580.704</v>
      </c>
      <c r="R1421" s="14">
        <f t="shared" si="4"/>
        <v>508.674</v>
      </c>
      <c r="S1421" s="14">
        <f t="shared" si="5"/>
        <v>72.03</v>
      </c>
    </row>
    <row r="1422">
      <c r="A1422" s="12">
        <v>42639.0</v>
      </c>
      <c r="B1422" s="12" t="s">
        <v>2329</v>
      </c>
      <c r="C1422" s="2">
        <v>42643.0</v>
      </c>
      <c r="D1422" s="15" t="str">
        <f t="shared" si="1"/>
        <v>Sep</v>
      </c>
      <c r="E1422" s="2" t="str">
        <f t="shared" si="2"/>
        <v>2016</v>
      </c>
      <c r="F1422" s="13" t="s">
        <v>41</v>
      </c>
      <c r="G1422" s="13" t="s">
        <v>2419</v>
      </c>
      <c r="H1422" s="13" t="s">
        <v>2509</v>
      </c>
      <c r="I1422" s="13" t="s">
        <v>34</v>
      </c>
      <c r="J1422" s="13" t="s">
        <v>1009</v>
      </c>
      <c r="K1422" s="13" t="s">
        <v>193</v>
      </c>
      <c r="L1422" s="13" t="s">
        <v>37</v>
      </c>
      <c r="M1422" s="13" t="s">
        <v>38</v>
      </c>
      <c r="N1422" s="14">
        <v>60.672</v>
      </c>
      <c r="O1422" s="14">
        <v>59.89</v>
      </c>
      <c r="P1422" s="13">
        <v>8.0</v>
      </c>
      <c r="Q1422" s="14">
        <f t="shared" si="3"/>
        <v>485.376</v>
      </c>
      <c r="R1422" s="14">
        <f t="shared" si="4"/>
        <v>425.486</v>
      </c>
      <c r="S1422" s="14">
        <f t="shared" si="5"/>
        <v>59.89</v>
      </c>
    </row>
    <row r="1423">
      <c r="A1423" s="12">
        <v>42639.0</v>
      </c>
      <c r="B1423" s="12" t="s">
        <v>2329</v>
      </c>
      <c r="C1423" s="2">
        <v>42643.0</v>
      </c>
      <c r="D1423" s="15" t="str">
        <f t="shared" si="1"/>
        <v>Sep</v>
      </c>
      <c r="E1423" s="2" t="str">
        <f t="shared" si="2"/>
        <v>2016</v>
      </c>
      <c r="F1423" s="13" t="s">
        <v>41</v>
      </c>
      <c r="G1423" s="13" t="s">
        <v>2419</v>
      </c>
      <c r="H1423" s="13" t="s">
        <v>2509</v>
      </c>
      <c r="I1423" s="13" t="s">
        <v>34</v>
      </c>
      <c r="J1423" s="13" t="s">
        <v>1009</v>
      </c>
      <c r="K1423" s="13" t="s">
        <v>193</v>
      </c>
      <c r="L1423" s="13" t="s">
        <v>37</v>
      </c>
      <c r="M1423" s="13" t="s">
        <v>38</v>
      </c>
      <c r="N1423" s="14">
        <v>77.031</v>
      </c>
      <c r="O1423" s="14">
        <v>76.92</v>
      </c>
      <c r="P1423" s="13">
        <v>8.0</v>
      </c>
      <c r="Q1423" s="14">
        <f t="shared" si="3"/>
        <v>616.248</v>
      </c>
      <c r="R1423" s="14">
        <f t="shared" si="4"/>
        <v>539.328</v>
      </c>
      <c r="S1423" s="14">
        <f t="shared" si="5"/>
        <v>76.92</v>
      </c>
    </row>
    <row r="1424">
      <c r="A1424" s="12">
        <v>42639.0</v>
      </c>
      <c r="B1424" s="12" t="s">
        <v>2329</v>
      </c>
      <c r="C1424" s="2">
        <v>42643.0</v>
      </c>
      <c r="D1424" s="15" t="str">
        <f t="shared" si="1"/>
        <v>Sep</v>
      </c>
      <c r="E1424" s="2" t="str">
        <f t="shared" si="2"/>
        <v>2016</v>
      </c>
      <c r="F1424" s="13" t="s">
        <v>41</v>
      </c>
      <c r="G1424" s="13" t="s">
        <v>2419</v>
      </c>
      <c r="H1424" s="13" t="s">
        <v>2509</v>
      </c>
      <c r="I1424" s="13" t="s">
        <v>34</v>
      </c>
      <c r="J1424" s="13" t="s">
        <v>1009</v>
      </c>
      <c r="K1424" s="13" t="s">
        <v>193</v>
      </c>
      <c r="L1424" s="13" t="s">
        <v>37</v>
      </c>
      <c r="M1424" s="13" t="s">
        <v>38</v>
      </c>
      <c r="N1424" s="14">
        <v>119.904</v>
      </c>
      <c r="O1424" s="14">
        <v>119.34</v>
      </c>
      <c r="P1424" s="13">
        <v>8.0</v>
      </c>
      <c r="Q1424" s="14">
        <f t="shared" si="3"/>
        <v>959.232</v>
      </c>
      <c r="R1424" s="14">
        <f t="shared" si="4"/>
        <v>839.892</v>
      </c>
      <c r="S1424" s="14">
        <f t="shared" si="5"/>
        <v>119.34</v>
      </c>
    </row>
    <row r="1425">
      <c r="A1425" s="12">
        <v>42639.0</v>
      </c>
      <c r="B1425" s="12" t="s">
        <v>2329</v>
      </c>
      <c r="C1425" s="2">
        <v>42643.0</v>
      </c>
      <c r="D1425" s="15" t="str">
        <f t="shared" si="1"/>
        <v>Sep</v>
      </c>
      <c r="E1425" s="2" t="str">
        <f t="shared" si="2"/>
        <v>2016</v>
      </c>
      <c r="F1425" s="13" t="s">
        <v>41</v>
      </c>
      <c r="G1425" s="13" t="s">
        <v>2419</v>
      </c>
      <c r="H1425" s="13" t="s">
        <v>2509</v>
      </c>
      <c r="I1425" s="13" t="s">
        <v>34</v>
      </c>
      <c r="J1425" s="13" t="s">
        <v>1009</v>
      </c>
      <c r="K1425" s="13" t="s">
        <v>193</v>
      </c>
      <c r="L1425" s="13" t="s">
        <v>37</v>
      </c>
      <c r="M1425" s="13" t="s">
        <v>51</v>
      </c>
      <c r="N1425" s="14">
        <v>263.96</v>
      </c>
      <c r="O1425" s="14">
        <v>263.89</v>
      </c>
      <c r="P1425" s="13">
        <v>8.0</v>
      </c>
      <c r="Q1425" s="14">
        <f t="shared" si="3"/>
        <v>2111.68</v>
      </c>
      <c r="R1425" s="14">
        <f t="shared" si="4"/>
        <v>1847.79</v>
      </c>
      <c r="S1425" s="14">
        <f t="shared" si="5"/>
        <v>263.89</v>
      </c>
    </row>
    <row r="1426">
      <c r="A1426" s="12">
        <v>42639.0</v>
      </c>
      <c r="B1426" s="12" t="s">
        <v>2329</v>
      </c>
      <c r="C1426" s="2">
        <v>42643.0</v>
      </c>
      <c r="D1426" s="15" t="str">
        <f t="shared" si="1"/>
        <v>Sep</v>
      </c>
      <c r="E1426" s="2" t="str">
        <f t="shared" si="2"/>
        <v>2016</v>
      </c>
      <c r="F1426" s="13" t="s">
        <v>41</v>
      </c>
      <c r="G1426" s="13" t="s">
        <v>2419</v>
      </c>
      <c r="H1426" s="13" t="s">
        <v>2509</v>
      </c>
      <c r="I1426" s="13" t="s">
        <v>34</v>
      </c>
      <c r="J1426" s="13" t="s">
        <v>1009</v>
      </c>
      <c r="K1426" s="13" t="s">
        <v>193</v>
      </c>
      <c r="L1426" s="13" t="s">
        <v>37</v>
      </c>
      <c r="M1426" s="13" t="s">
        <v>38</v>
      </c>
      <c r="N1426" s="14">
        <v>363.648</v>
      </c>
      <c r="O1426" s="14">
        <v>363.08</v>
      </c>
      <c r="P1426" s="13">
        <v>8.0</v>
      </c>
      <c r="Q1426" s="14">
        <f t="shared" si="3"/>
        <v>2909.184</v>
      </c>
      <c r="R1426" s="14">
        <f t="shared" si="4"/>
        <v>2546.104</v>
      </c>
      <c r="S1426" s="14">
        <f t="shared" si="5"/>
        <v>363.08</v>
      </c>
    </row>
    <row r="1427">
      <c r="A1427" s="12">
        <v>42674.0</v>
      </c>
      <c r="B1427" s="12" t="s">
        <v>2358</v>
      </c>
      <c r="C1427" s="2">
        <v>42471.0</v>
      </c>
      <c r="D1427" s="15" t="str">
        <f t="shared" si="1"/>
        <v>Apr</v>
      </c>
      <c r="E1427" s="2" t="str">
        <f t="shared" si="2"/>
        <v>2016</v>
      </c>
      <c r="F1427" s="13" t="s">
        <v>20</v>
      </c>
      <c r="G1427" s="13" t="s">
        <v>2949</v>
      </c>
      <c r="H1427" s="13" t="s">
        <v>2950</v>
      </c>
      <c r="I1427" s="13" t="s">
        <v>34</v>
      </c>
      <c r="J1427" s="13" t="s">
        <v>1480</v>
      </c>
      <c r="K1427" s="13" t="s">
        <v>52</v>
      </c>
      <c r="L1427" s="13" t="s">
        <v>37</v>
      </c>
      <c r="M1427" s="13" t="s">
        <v>38</v>
      </c>
      <c r="N1427" s="14">
        <v>9.728</v>
      </c>
      <c r="O1427" s="14">
        <v>9.0</v>
      </c>
      <c r="P1427" s="13">
        <v>9.0</v>
      </c>
      <c r="Q1427" s="14">
        <f t="shared" si="3"/>
        <v>87.552</v>
      </c>
      <c r="R1427" s="14">
        <f t="shared" si="4"/>
        <v>78.552</v>
      </c>
      <c r="S1427" s="14">
        <f t="shared" si="5"/>
        <v>9</v>
      </c>
    </row>
    <row r="1428">
      <c r="A1428" s="12">
        <v>42674.0</v>
      </c>
      <c r="B1428" s="12" t="s">
        <v>2358</v>
      </c>
      <c r="C1428" s="2">
        <v>42471.0</v>
      </c>
      <c r="D1428" s="15" t="str">
        <f t="shared" si="1"/>
        <v>Apr</v>
      </c>
      <c r="E1428" s="2" t="str">
        <f t="shared" si="2"/>
        <v>2016</v>
      </c>
      <c r="F1428" s="13" t="s">
        <v>20</v>
      </c>
      <c r="G1428" s="13" t="s">
        <v>2949</v>
      </c>
      <c r="H1428" s="13" t="s">
        <v>2950</v>
      </c>
      <c r="I1428" s="13" t="s">
        <v>34</v>
      </c>
      <c r="J1428" s="13" t="s">
        <v>1480</v>
      </c>
      <c r="K1428" s="13" t="s">
        <v>52</v>
      </c>
      <c r="L1428" s="13" t="s">
        <v>37</v>
      </c>
      <c r="M1428" s="13" t="s">
        <v>38</v>
      </c>
      <c r="N1428" s="14">
        <v>14.75</v>
      </c>
      <c r="O1428" s="14">
        <v>14.38</v>
      </c>
      <c r="P1428" s="13">
        <v>9.0</v>
      </c>
      <c r="Q1428" s="14">
        <f t="shared" si="3"/>
        <v>132.75</v>
      </c>
      <c r="R1428" s="14">
        <f t="shared" si="4"/>
        <v>118.37</v>
      </c>
      <c r="S1428" s="14">
        <f t="shared" si="5"/>
        <v>14.38</v>
      </c>
    </row>
    <row r="1429">
      <c r="A1429" s="12">
        <v>42674.0</v>
      </c>
      <c r="B1429" s="12" t="s">
        <v>2358</v>
      </c>
      <c r="C1429" s="2">
        <v>42471.0</v>
      </c>
      <c r="D1429" s="15" t="str">
        <f t="shared" si="1"/>
        <v>Apr</v>
      </c>
      <c r="E1429" s="2" t="str">
        <f t="shared" si="2"/>
        <v>2016</v>
      </c>
      <c r="F1429" s="13" t="s">
        <v>20</v>
      </c>
      <c r="G1429" s="13" t="s">
        <v>2949</v>
      </c>
      <c r="H1429" s="13" t="s">
        <v>2950</v>
      </c>
      <c r="I1429" s="13" t="s">
        <v>34</v>
      </c>
      <c r="J1429" s="13" t="s">
        <v>1480</v>
      </c>
      <c r="K1429" s="13" t="s">
        <v>52</v>
      </c>
      <c r="L1429" s="13" t="s">
        <v>37</v>
      </c>
      <c r="M1429" s="13" t="s">
        <v>38</v>
      </c>
      <c r="N1429" s="14">
        <v>29.8</v>
      </c>
      <c r="O1429" s="14">
        <v>29.02</v>
      </c>
      <c r="P1429" s="13">
        <v>9.0</v>
      </c>
      <c r="Q1429" s="14">
        <f t="shared" si="3"/>
        <v>268.2</v>
      </c>
      <c r="R1429" s="14">
        <f t="shared" si="4"/>
        <v>239.18</v>
      </c>
      <c r="S1429" s="14">
        <f t="shared" si="5"/>
        <v>29.02</v>
      </c>
    </row>
    <row r="1430">
      <c r="A1430" s="12">
        <v>42674.0</v>
      </c>
      <c r="B1430" s="12" t="s">
        <v>2358</v>
      </c>
      <c r="C1430" s="2">
        <v>42471.0</v>
      </c>
      <c r="D1430" s="15" t="str">
        <f t="shared" si="1"/>
        <v>Apr</v>
      </c>
      <c r="E1430" s="2" t="str">
        <f t="shared" si="2"/>
        <v>2016</v>
      </c>
      <c r="F1430" s="13" t="s">
        <v>20</v>
      </c>
      <c r="G1430" s="13" t="s">
        <v>2949</v>
      </c>
      <c r="H1430" s="13" t="s">
        <v>2950</v>
      </c>
      <c r="I1430" s="13" t="s">
        <v>34</v>
      </c>
      <c r="J1430" s="13" t="s">
        <v>1480</v>
      </c>
      <c r="K1430" s="13" t="s">
        <v>52</v>
      </c>
      <c r="L1430" s="13" t="s">
        <v>37</v>
      </c>
      <c r="M1430" s="13" t="s">
        <v>38</v>
      </c>
      <c r="N1430" s="14">
        <v>427.42</v>
      </c>
      <c r="O1430" s="14">
        <v>427.03</v>
      </c>
      <c r="P1430" s="13">
        <v>9.0</v>
      </c>
      <c r="Q1430" s="14">
        <f t="shared" si="3"/>
        <v>3846.78</v>
      </c>
      <c r="R1430" s="14">
        <f t="shared" si="4"/>
        <v>3419.75</v>
      </c>
      <c r="S1430" s="14">
        <f t="shared" si="5"/>
        <v>427.03</v>
      </c>
    </row>
    <row r="1431">
      <c r="A1431" s="12">
        <v>43430.0</v>
      </c>
      <c r="B1431" s="12" t="s">
        <v>2326</v>
      </c>
      <c r="C1431" s="2">
        <v>43434.0</v>
      </c>
      <c r="D1431" s="15" t="str">
        <f t="shared" si="1"/>
        <v>Nov</v>
      </c>
      <c r="E1431" s="2" t="str">
        <f t="shared" si="2"/>
        <v>2018</v>
      </c>
      <c r="F1431" s="13" t="s">
        <v>41</v>
      </c>
      <c r="G1431" s="13" t="s">
        <v>2666</v>
      </c>
      <c r="H1431" s="13" t="s">
        <v>2783</v>
      </c>
      <c r="I1431" s="13" t="s">
        <v>23</v>
      </c>
      <c r="J1431" s="13" t="s">
        <v>303</v>
      </c>
      <c r="K1431" s="13" t="s">
        <v>304</v>
      </c>
      <c r="L1431" s="13" t="s">
        <v>100</v>
      </c>
      <c r="M1431" s="13" t="s">
        <v>51</v>
      </c>
      <c r="N1431" s="14">
        <v>220.752</v>
      </c>
      <c r="O1431" s="14">
        <v>220.67</v>
      </c>
      <c r="P1431" s="13">
        <v>4.0</v>
      </c>
      <c r="Q1431" s="14">
        <f t="shared" si="3"/>
        <v>883.008</v>
      </c>
      <c r="R1431" s="14">
        <f t="shared" si="4"/>
        <v>662.338</v>
      </c>
      <c r="S1431" s="14">
        <f t="shared" si="5"/>
        <v>220.67</v>
      </c>
    </row>
    <row r="1432">
      <c r="A1432" s="12">
        <v>42357.0</v>
      </c>
      <c r="B1432" s="12" t="s">
        <v>2325</v>
      </c>
      <c r="C1432" s="2">
        <v>42359.0</v>
      </c>
      <c r="D1432" s="15" t="str">
        <f t="shared" si="1"/>
        <v>Dec</v>
      </c>
      <c r="E1432" s="2" t="str">
        <f t="shared" si="2"/>
        <v>2015</v>
      </c>
      <c r="F1432" s="13" t="s">
        <v>20</v>
      </c>
      <c r="G1432" s="13" t="s">
        <v>2336</v>
      </c>
      <c r="H1432" s="13" t="s">
        <v>2337</v>
      </c>
      <c r="I1432" s="13" t="s">
        <v>23</v>
      </c>
      <c r="J1432" s="13" t="s">
        <v>1450</v>
      </c>
      <c r="K1432" s="13" t="s">
        <v>220</v>
      </c>
      <c r="L1432" s="13" t="s">
        <v>26</v>
      </c>
      <c r="M1432" s="13" t="s">
        <v>38</v>
      </c>
      <c r="N1432" s="14">
        <v>152.76</v>
      </c>
      <c r="O1432" s="14">
        <v>152.09</v>
      </c>
      <c r="P1432" s="13">
        <v>3.0</v>
      </c>
      <c r="Q1432" s="14">
        <f t="shared" si="3"/>
        <v>458.28</v>
      </c>
      <c r="R1432" s="14">
        <f t="shared" si="4"/>
        <v>306.19</v>
      </c>
      <c r="S1432" s="14">
        <f t="shared" si="5"/>
        <v>152.09</v>
      </c>
    </row>
    <row r="1433">
      <c r="A1433" s="12">
        <v>42357.0</v>
      </c>
      <c r="B1433" s="12" t="s">
        <v>2325</v>
      </c>
      <c r="C1433" s="2">
        <v>42359.0</v>
      </c>
      <c r="D1433" s="15" t="str">
        <f t="shared" si="1"/>
        <v>Dec</v>
      </c>
      <c r="E1433" s="2" t="str">
        <f t="shared" si="2"/>
        <v>2015</v>
      </c>
      <c r="F1433" s="13" t="s">
        <v>20</v>
      </c>
      <c r="G1433" s="13" t="s">
        <v>2336</v>
      </c>
      <c r="H1433" s="13" t="s">
        <v>2337</v>
      </c>
      <c r="I1433" s="13" t="s">
        <v>23</v>
      </c>
      <c r="J1433" s="13" t="s">
        <v>1450</v>
      </c>
      <c r="K1433" s="13" t="s">
        <v>220</v>
      </c>
      <c r="L1433" s="13" t="s">
        <v>26</v>
      </c>
      <c r="M1433" s="13" t="s">
        <v>38</v>
      </c>
      <c r="N1433" s="14">
        <v>7.27</v>
      </c>
      <c r="O1433" s="14">
        <v>6.34</v>
      </c>
      <c r="P1433" s="13">
        <v>3.0</v>
      </c>
      <c r="Q1433" s="14">
        <f t="shared" si="3"/>
        <v>21.81</v>
      </c>
      <c r="R1433" s="14">
        <f t="shared" si="4"/>
        <v>15.47</v>
      </c>
      <c r="S1433" s="14">
        <f t="shared" si="5"/>
        <v>6.34</v>
      </c>
    </row>
    <row r="1434">
      <c r="A1434" s="12">
        <v>42357.0</v>
      </c>
      <c r="B1434" s="12" t="s">
        <v>2325</v>
      </c>
      <c r="C1434" s="2">
        <v>42359.0</v>
      </c>
      <c r="D1434" s="15" t="str">
        <f t="shared" si="1"/>
        <v>Dec</v>
      </c>
      <c r="E1434" s="2" t="str">
        <f t="shared" si="2"/>
        <v>2015</v>
      </c>
      <c r="F1434" s="13" t="s">
        <v>20</v>
      </c>
      <c r="G1434" s="13" t="s">
        <v>2336</v>
      </c>
      <c r="H1434" s="13" t="s">
        <v>2337</v>
      </c>
      <c r="I1434" s="13" t="s">
        <v>23</v>
      </c>
      <c r="J1434" s="13" t="s">
        <v>1450</v>
      </c>
      <c r="K1434" s="13" t="s">
        <v>220</v>
      </c>
      <c r="L1434" s="13" t="s">
        <v>26</v>
      </c>
      <c r="M1434" s="13" t="s">
        <v>27</v>
      </c>
      <c r="N1434" s="14">
        <v>1819.86</v>
      </c>
      <c r="O1434" s="14">
        <v>1818.88</v>
      </c>
      <c r="P1434" s="13">
        <v>3.0</v>
      </c>
      <c r="Q1434" s="14">
        <f t="shared" si="3"/>
        <v>5459.58</v>
      </c>
      <c r="R1434" s="14">
        <f t="shared" si="4"/>
        <v>3640.7</v>
      </c>
      <c r="S1434" s="14">
        <f t="shared" si="5"/>
        <v>1818.88</v>
      </c>
    </row>
    <row r="1435">
      <c r="A1435" s="12">
        <v>43095.0</v>
      </c>
      <c r="B1435" s="12" t="s">
        <v>2325</v>
      </c>
      <c r="C1435" s="2">
        <v>43099.0</v>
      </c>
      <c r="D1435" s="15" t="str">
        <f t="shared" si="1"/>
        <v>Dec</v>
      </c>
      <c r="E1435" s="2" t="str">
        <f t="shared" si="2"/>
        <v>2017</v>
      </c>
      <c r="F1435" s="13" t="s">
        <v>41</v>
      </c>
      <c r="G1435" s="13" t="s">
        <v>2483</v>
      </c>
      <c r="H1435" s="13" t="s">
        <v>2599</v>
      </c>
      <c r="I1435" s="13" t="s">
        <v>23</v>
      </c>
      <c r="J1435" s="13" t="s">
        <v>62</v>
      </c>
      <c r="K1435" s="13" t="s">
        <v>63</v>
      </c>
      <c r="L1435" s="13" t="s">
        <v>37</v>
      </c>
      <c r="M1435" s="13" t="s">
        <v>38</v>
      </c>
      <c r="N1435" s="14">
        <v>33.9</v>
      </c>
      <c r="O1435" s="14">
        <v>33.02</v>
      </c>
      <c r="P1435" s="13">
        <v>9.0</v>
      </c>
      <c r="Q1435" s="14">
        <f t="shared" si="3"/>
        <v>305.1</v>
      </c>
      <c r="R1435" s="14">
        <f t="shared" si="4"/>
        <v>272.08</v>
      </c>
      <c r="S1435" s="14">
        <f t="shared" si="5"/>
        <v>33.02</v>
      </c>
    </row>
    <row r="1436">
      <c r="A1436" s="12">
        <v>43271.0</v>
      </c>
      <c r="B1436" s="12" t="s">
        <v>2374</v>
      </c>
      <c r="C1436" s="2">
        <v>43278.0</v>
      </c>
      <c r="D1436" s="15" t="str">
        <f t="shared" si="1"/>
        <v>Jun</v>
      </c>
      <c r="E1436" s="2" t="str">
        <f t="shared" si="2"/>
        <v>2018</v>
      </c>
      <c r="F1436" s="13" t="s">
        <v>41</v>
      </c>
      <c r="G1436" s="13" t="s">
        <v>2951</v>
      </c>
      <c r="H1436" s="13" t="s">
        <v>2952</v>
      </c>
      <c r="I1436" s="13" t="s">
        <v>23</v>
      </c>
      <c r="J1436" s="13" t="s">
        <v>2210</v>
      </c>
      <c r="K1436" s="13" t="s">
        <v>304</v>
      </c>
      <c r="L1436" s="13" t="s">
        <v>100</v>
      </c>
      <c r="M1436" s="13" t="s">
        <v>38</v>
      </c>
      <c r="N1436" s="14">
        <v>31.104</v>
      </c>
      <c r="O1436" s="14">
        <v>30.15</v>
      </c>
      <c r="P1436" s="13">
        <v>4.0</v>
      </c>
      <c r="Q1436" s="14">
        <f t="shared" si="3"/>
        <v>124.416</v>
      </c>
      <c r="R1436" s="14">
        <f t="shared" si="4"/>
        <v>94.266</v>
      </c>
      <c r="S1436" s="14">
        <f t="shared" si="5"/>
        <v>30.15</v>
      </c>
    </row>
    <row r="1437">
      <c r="A1437" s="12">
        <v>43271.0</v>
      </c>
      <c r="B1437" s="12" t="s">
        <v>2374</v>
      </c>
      <c r="C1437" s="2">
        <v>43278.0</v>
      </c>
      <c r="D1437" s="15" t="str">
        <f t="shared" si="1"/>
        <v>Jun</v>
      </c>
      <c r="E1437" s="2" t="str">
        <f t="shared" si="2"/>
        <v>2018</v>
      </c>
      <c r="F1437" s="13" t="s">
        <v>41</v>
      </c>
      <c r="G1437" s="13" t="s">
        <v>2951</v>
      </c>
      <c r="H1437" s="13" t="s">
        <v>2952</v>
      </c>
      <c r="I1437" s="13" t="s">
        <v>23</v>
      </c>
      <c r="J1437" s="13" t="s">
        <v>2210</v>
      </c>
      <c r="K1437" s="13" t="s">
        <v>304</v>
      </c>
      <c r="L1437" s="13" t="s">
        <v>100</v>
      </c>
      <c r="M1437" s="13" t="s">
        <v>38</v>
      </c>
      <c r="N1437" s="14">
        <v>5.248</v>
      </c>
      <c r="O1437" s="14">
        <v>4.85</v>
      </c>
      <c r="P1437" s="13">
        <v>4.0</v>
      </c>
      <c r="Q1437" s="14">
        <f t="shared" si="3"/>
        <v>20.992</v>
      </c>
      <c r="R1437" s="14">
        <f t="shared" si="4"/>
        <v>16.142</v>
      </c>
      <c r="S1437" s="14">
        <f t="shared" si="5"/>
        <v>4.85</v>
      </c>
    </row>
    <row r="1438">
      <c r="A1438" s="12">
        <v>42658.0</v>
      </c>
      <c r="B1438" s="12" t="s">
        <v>2358</v>
      </c>
      <c r="C1438" s="2">
        <v>42658.0</v>
      </c>
      <c r="D1438" s="15" t="str">
        <f t="shared" si="1"/>
        <v>Oct</v>
      </c>
      <c r="E1438" s="2" t="str">
        <f t="shared" si="2"/>
        <v>2016</v>
      </c>
      <c r="F1438" s="13" t="s">
        <v>717</v>
      </c>
      <c r="G1438" s="13" t="s">
        <v>2392</v>
      </c>
      <c r="H1438" s="13" t="s">
        <v>2393</v>
      </c>
      <c r="I1438" s="13" t="s">
        <v>23</v>
      </c>
      <c r="J1438" s="13" t="s">
        <v>891</v>
      </c>
      <c r="K1438" s="13" t="s">
        <v>70</v>
      </c>
      <c r="L1438" s="13" t="s">
        <v>71</v>
      </c>
      <c r="M1438" s="13" t="s">
        <v>51</v>
      </c>
      <c r="N1438" s="14">
        <v>263.88</v>
      </c>
      <c r="O1438" s="14">
        <v>263.71</v>
      </c>
      <c r="P1438" s="13">
        <v>7.0</v>
      </c>
      <c r="Q1438" s="14">
        <f t="shared" si="3"/>
        <v>1847.16</v>
      </c>
      <c r="R1438" s="14">
        <f t="shared" si="4"/>
        <v>1583.45</v>
      </c>
      <c r="S1438" s="14">
        <f t="shared" si="5"/>
        <v>263.71</v>
      </c>
    </row>
    <row r="1439">
      <c r="A1439" s="12">
        <v>42658.0</v>
      </c>
      <c r="B1439" s="12" t="s">
        <v>2358</v>
      </c>
      <c r="C1439" s="2">
        <v>42658.0</v>
      </c>
      <c r="D1439" s="15" t="str">
        <f t="shared" si="1"/>
        <v>Oct</v>
      </c>
      <c r="E1439" s="2" t="str">
        <f t="shared" si="2"/>
        <v>2016</v>
      </c>
      <c r="F1439" s="13" t="s">
        <v>717</v>
      </c>
      <c r="G1439" s="13" t="s">
        <v>2392</v>
      </c>
      <c r="H1439" s="13" t="s">
        <v>2393</v>
      </c>
      <c r="I1439" s="13" t="s">
        <v>23</v>
      </c>
      <c r="J1439" s="13" t="s">
        <v>891</v>
      </c>
      <c r="K1439" s="13" t="s">
        <v>70</v>
      </c>
      <c r="L1439" s="13" t="s">
        <v>71</v>
      </c>
      <c r="M1439" s="13" t="s">
        <v>27</v>
      </c>
      <c r="N1439" s="14">
        <v>2453.43</v>
      </c>
      <c r="O1439" s="14">
        <v>2452.69</v>
      </c>
      <c r="P1439" s="13">
        <v>7.0</v>
      </c>
      <c r="Q1439" s="14">
        <f t="shared" si="3"/>
        <v>17174.01</v>
      </c>
      <c r="R1439" s="14">
        <f t="shared" si="4"/>
        <v>14721.32</v>
      </c>
      <c r="S1439" s="14">
        <f t="shared" si="5"/>
        <v>2452.69</v>
      </c>
    </row>
    <row r="1440">
      <c r="A1440" s="12">
        <v>43438.0</v>
      </c>
      <c r="B1440" s="12" t="s">
        <v>2325</v>
      </c>
      <c r="C1440" s="2">
        <v>43205.0</v>
      </c>
      <c r="D1440" s="15" t="str">
        <f t="shared" si="1"/>
        <v>Apr</v>
      </c>
      <c r="E1440" s="2" t="str">
        <f t="shared" si="2"/>
        <v>2018</v>
      </c>
      <c r="F1440" s="13" t="s">
        <v>20</v>
      </c>
      <c r="G1440" s="13" t="s">
        <v>2670</v>
      </c>
      <c r="H1440" s="13" t="s">
        <v>2345</v>
      </c>
      <c r="I1440" s="13" t="s">
        <v>23</v>
      </c>
      <c r="J1440" s="13" t="s">
        <v>2026</v>
      </c>
      <c r="K1440" s="13" t="s">
        <v>782</v>
      </c>
      <c r="L1440" s="13" t="s">
        <v>100</v>
      </c>
      <c r="M1440" s="13" t="s">
        <v>38</v>
      </c>
      <c r="N1440" s="14">
        <v>29.7</v>
      </c>
      <c r="O1440" s="14">
        <v>29.43</v>
      </c>
      <c r="P1440" s="13">
        <v>2.0</v>
      </c>
      <c r="Q1440" s="14">
        <f t="shared" si="3"/>
        <v>59.4</v>
      </c>
      <c r="R1440" s="14">
        <f t="shared" si="4"/>
        <v>29.97</v>
      </c>
      <c r="S1440" s="14">
        <f t="shared" si="5"/>
        <v>29.43</v>
      </c>
    </row>
    <row r="1441">
      <c r="A1441" s="12">
        <v>43438.0</v>
      </c>
      <c r="B1441" s="12" t="s">
        <v>2325</v>
      </c>
      <c r="C1441" s="2">
        <v>43205.0</v>
      </c>
      <c r="D1441" s="15" t="str">
        <f t="shared" si="1"/>
        <v>Apr</v>
      </c>
      <c r="E1441" s="2" t="str">
        <f t="shared" si="2"/>
        <v>2018</v>
      </c>
      <c r="F1441" s="13" t="s">
        <v>20</v>
      </c>
      <c r="G1441" s="13" t="s">
        <v>2670</v>
      </c>
      <c r="H1441" s="13" t="s">
        <v>2345</v>
      </c>
      <c r="I1441" s="13" t="s">
        <v>23</v>
      </c>
      <c r="J1441" s="13" t="s">
        <v>2026</v>
      </c>
      <c r="K1441" s="13" t="s">
        <v>782</v>
      </c>
      <c r="L1441" s="13" t="s">
        <v>100</v>
      </c>
      <c r="M1441" s="13" t="s">
        <v>38</v>
      </c>
      <c r="N1441" s="14">
        <v>39.96</v>
      </c>
      <c r="O1441" s="14">
        <v>39.24</v>
      </c>
      <c r="P1441" s="13">
        <v>2.0</v>
      </c>
      <c r="Q1441" s="14">
        <f t="shared" si="3"/>
        <v>79.92</v>
      </c>
      <c r="R1441" s="14">
        <f t="shared" si="4"/>
        <v>40.68</v>
      </c>
      <c r="S1441" s="14">
        <f t="shared" si="5"/>
        <v>39.24</v>
      </c>
    </row>
    <row r="1442">
      <c r="A1442" s="12">
        <v>43453.0</v>
      </c>
      <c r="B1442" s="12" t="s">
        <v>2325</v>
      </c>
      <c r="C1442" s="2">
        <v>43458.0</v>
      </c>
      <c r="D1442" s="15" t="str">
        <f t="shared" si="1"/>
        <v>Dec</v>
      </c>
      <c r="E1442" s="2" t="str">
        <f t="shared" si="2"/>
        <v>2018</v>
      </c>
      <c r="F1442" s="13" t="s">
        <v>20</v>
      </c>
      <c r="G1442" s="13" t="s">
        <v>2507</v>
      </c>
      <c r="H1442" s="13" t="s">
        <v>2953</v>
      </c>
      <c r="I1442" s="13" t="s">
        <v>23</v>
      </c>
      <c r="J1442" s="13" t="s">
        <v>87</v>
      </c>
      <c r="K1442" s="13" t="s">
        <v>52</v>
      </c>
      <c r="L1442" s="13" t="s">
        <v>37</v>
      </c>
      <c r="M1442" s="13" t="s">
        <v>38</v>
      </c>
      <c r="N1442" s="14">
        <v>36.672</v>
      </c>
      <c r="O1442" s="14">
        <v>36.0</v>
      </c>
      <c r="P1442" s="13">
        <v>9.0</v>
      </c>
      <c r="Q1442" s="14">
        <f t="shared" si="3"/>
        <v>330.048</v>
      </c>
      <c r="R1442" s="14">
        <f t="shared" si="4"/>
        <v>294.048</v>
      </c>
      <c r="S1442" s="14">
        <f t="shared" si="5"/>
        <v>36</v>
      </c>
    </row>
    <row r="1443">
      <c r="A1443" s="12">
        <v>43228.0</v>
      </c>
      <c r="B1443" s="12" t="s">
        <v>2335</v>
      </c>
      <c r="C1443" s="2">
        <v>43320.0</v>
      </c>
      <c r="D1443" s="15" t="str">
        <f t="shared" si="1"/>
        <v>Aug</v>
      </c>
      <c r="E1443" s="2" t="str">
        <f t="shared" si="2"/>
        <v>2018</v>
      </c>
      <c r="F1443" s="13" t="s">
        <v>121</v>
      </c>
      <c r="G1443" s="13" t="s">
        <v>2792</v>
      </c>
      <c r="H1443" s="13" t="s">
        <v>2954</v>
      </c>
      <c r="I1443" s="13" t="s">
        <v>34</v>
      </c>
      <c r="J1443" s="13" t="s">
        <v>814</v>
      </c>
      <c r="K1443" s="13" t="s">
        <v>25</v>
      </c>
      <c r="L1443" s="13" t="s">
        <v>26</v>
      </c>
      <c r="M1443" s="13" t="s">
        <v>38</v>
      </c>
      <c r="N1443" s="14">
        <v>13.76</v>
      </c>
      <c r="O1443" s="14">
        <v>12.86</v>
      </c>
      <c r="P1443" s="13">
        <v>4.0</v>
      </c>
      <c r="Q1443" s="14">
        <f t="shared" si="3"/>
        <v>55.04</v>
      </c>
      <c r="R1443" s="14">
        <f t="shared" si="4"/>
        <v>42.18</v>
      </c>
      <c r="S1443" s="14">
        <f t="shared" si="5"/>
        <v>12.86</v>
      </c>
    </row>
    <row r="1444">
      <c r="A1444" s="12">
        <v>42379.0</v>
      </c>
      <c r="B1444" s="12" t="s">
        <v>2353</v>
      </c>
      <c r="C1444" s="2">
        <v>42531.0</v>
      </c>
      <c r="D1444" s="15" t="str">
        <f t="shared" si="1"/>
        <v>Jun</v>
      </c>
      <c r="E1444" s="2" t="str">
        <f t="shared" si="2"/>
        <v>2016</v>
      </c>
      <c r="F1444" s="13" t="s">
        <v>41</v>
      </c>
      <c r="G1444" s="13" t="s">
        <v>2955</v>
      </c>
      <c r="H1444" s="13" t="s">
        <v>2956</v>
      </c>
      <c r="I1444" s="13" t="s">
        <v>34</v>
      </c>
      <c r="J1444" s="13" t="s">
        <v>278</v>
      </c>
      <c r="K1444" s="13" t="s">
        <v>279</v>
      </c>
      <c r="L1444" s="13" t="s">
        <v>37</v>
      </c>
      <c r="M1444" s="13" t="s">
        <v>38</v>
      </c>
      <c r="N1444" s="14">
        <v>139.424</v>
      </c>
      <c r="O1444" s="14">
        <v>138.95</v>
      </c>
      <c r="P1444" s="13">
        <v>8.0</v>
      </c>
      <c r="Q1444" s="14">
        <f t="shared" si="3"/>
        <v>1115.392</v>
      </c>
      <c r="R1444" s="14">
        <f t="shared" si="4"/>
        <v>976.442</v>
      </c>
      <c r="S1444" s="14">
        <f t="shared" si="5"/>
        <v>138.95</v>
      </c>
    </row>
    <row r="1445">
      <c r="A1445" s="12">
        <v>42878.0</v>
      </c>
      <c r="B1445" s="12" t="s">
        <v>2335</v>
      </c>
      <c r="C1445" s="2">
        <v>42883.0</v>
      </c>
      <c r="D1445" s="15" t="str">
        <f t="shared" si="1"/>
        <v>May</v>
      </c>
      <c r="E1445" s="2" t="str">
        <f t="shared" si="2"/>
        <v>2017</v>
      </c>
      <c r="F1445" s="13" t="s">
        <v>41</v>
      </c>
      <c r="G1445" s="13" t="s">
        <v>2346</v>
      </c>
      <c r="H1445" s="13" t="s">
        <v>2514</v>
      </c>
      <c r="I1445" s="13" t="s">
        <v>23</v>
      </c>
      <c r="J1445" s="13" t="s">
        <v>188</v>
      </c>
      <c r="K1445" s="13" t="s">
        <v>135</v>
      </c>
      <c r="L1445" s="13" t="s">
        <v>71</v>
      </c>
      <c r="M1445" s="13" t="s">
        <v>51</v>
      </c>
      <c r="N1445" s="14">
        <v>1979.928</v>
      </c>
      <c r="O1445" s="14">
        <v>1978.98</v>
      </c>
      <c r="P1445" s="13">
        <v>6.0</v>
      </c>
      <c r="Q1445" s="14">
        <f t="shared" si="3"/>
        <v>11879.568</v>
      </c>
      <c r="R1445" s="14">
        <f t="shared" si="4"/>
        <v>9900.588</v>
      </c>
      <c r="S1445" s="14">
        <f t="shared" si="5"/>
        <v>1978.98</v>
      </c>
    </row>
    <row r="1446">
      <c r="A1446" s="12">
        <v>43264.0</v>
      </c>
      <c r="B1446" s="12" t="s">
        <v>2374</v>
      </c>
      <c r="C1446" s="2">
        <v>43267.0</v>
      </c>
      <c r="D1446" s="15" t="str">
        <f t="shared" si="1"/>
        <v>Jun</v>
      </c>
      <c r="E1446" s="2" t="str">
        <f t="shared" si="2"/>
        <v>2018</v>
      </c>
      <c r="F1446" s="13" t="s">
        <v>121</v>
      </c>
      <c r="G1446" s="13" t="s">
        <v>2477</v>
      </c>
      <c r="H1446" s="13" t="s">
        <v>2389</v>
      </c>
      <c r="I1446" s="13" t="s">
        <v>68</v>
      </c>
      <c r="J1446" s="13" t="s">
        <v>188</v>
      </c>
      <c r="K1446" s="13" t="s">
        <v>135</v>
      </c>
      <c r="L1446" s="13" t="s">
        <v>71</v>
      </c>
      <c r="M1446" s="13" t="s">
        <v>38</v>
      </c>
      <c r="N1446" s="14">
        <v>164.736</v>
      </c>
      <c r="O1446" s="14">
        <v>164.43</v>
      </c>
      <c r="P1446" s="13">
        <v>6.0</v>
      </c>
      <c r="Q1446" s="14">
        <f t="shared" si="3"/>
        <v>988.416</v>
      </c>
      <c r="R1446" s="14">
        <f t="shared" si="4"/>
        <v>823.986</v>
      </c>
      <c r="S1446" s="14">
        <f t="shared" si="5"/>
        <v>164.43</v>
      </c>
    </row>
    <row r="1447">
      <c r="A1447" s="12">
        <v>43264.0</v>
      </c>
      <c r="B1447" s="12" t="s">
        <v>2374</v>
      </c>
      <c r="C1447" s="2">
        <v>43267.0</v>
      </c>
      <c r="D1447" s="15" t="str">
        <f t="shared" si="1"/>
        <v>Jun</v>
      </c>
      <c r="E1447" s="2" t="str">
        <f t="shared" si="2"/>
        <v>2018</v>
      </c>
      <c r="F1447" s="13" t="s">
        <v>121</v>
      </c>
      <c r="G1447" s="13" t="s">
        <v>2477</v>
      </c>
      <c r="H1447" s="13" t="s">
        <v>2389</v>
      </c>
      <c r="I1447" s="13" t="s">
        <v>68</v>
      </c>
      <c r="J1447" s="13" t="s">
        <v>188</v>
      </c>
      <c r="K1447" s="13" t="s">
        <v>135</v>
      </c>
      <c r="L1447" s="13" t="s">
        <v>71</v>
      </c>
      <c r="M1447" s="13" t="s">
        <v>27</v>
      </c>
      <c r="N1447" s="14">
        <v>470.302</v>
      </c>
      <c r="O1447" s="14">
        <v>469.44</v>
      </c>
      <c r="P1447" s="13">
        <v>6.0</v>
      </c>
      <c r="Q1447" s="14">
        <f t="shared" si="3"/>
        <v>2821.812</v>
      </c>
      <c r="R1447" s="14">
        <f t="shared" si="4"/>
        <v>2352.372</v>
      </c>
      <c r="S1447" s="14">
        <f t="shared" si="5"/>
        <v>469.44</v>
      </c>
    </row>
    <row r="1448">
      <c r="A1448" s="12">
        <v>43264.0</v>
      </c>
      <c r="B1448" s="12" t="s">
        <v>2374</v>
      </c>
      <c r="C1448" s="2">
        <v>43267.0</v>
      </c>
      <c r="D1448" s="15" t="str">
        <f t="shared" si="1"/>
        <v>Jun</v>
      </c>
      <c r="E1448" s="2" t="str">
        <f t="shared" si="2"/>
        <v>2018</v>
      </c>
      <c r="F1448" s="13" t="s">
        <v>121</v>
      </c>
      <c r="G1448" s="13" t="s">
        <v>2477</v>
      </c>
      <c r="H1448" s="13" t="s">
        <v>2389</v>
      </c>
      <c r="I1448" s="13" t="s">
        <v>68</v>
      </c>
      <c r="J1448" s="13" t="s">
        <v>188</v>
      </c>
      <c r="K1448" s="13" t="s">
        <v>135</v>
      </c>
      <c r="L1448" s="13" t="s">
        <v>71</v>
      </c>
      <c r="M1448" s="13" t="s">
        <v>51</v>
      </c>
      <c r="N1448" s="14">
        <v>47.984</v>
      </c>
      <c r="O1448" s="14">
        <v>47.81</v>
      </c>
      <c r="P1448" s="13">
        <v>6.0</v>
      </c>
      <c r="Q1448" s="14">
        <f t="shared" si="3"/>
        <v>287.904</v>
      </c>
      <c r="R1448" s="14">
        <f t="shared" si="4"/>
        <v>240.094</v>
      </c>
      <c r="S1448" s="14">
        <f t="shared" si="5"/>
        <v>47.81</v>
      </c>
    </row>
    <row r="1449">
      <c r="A1449" s="12">
        <v>42117.0</v>
      </c>
      <c r="B1449" s="12" t="s">
        <v>2332</v>
      </c>
      <c r="C1449" s="2">
        <v>42118.0</v>
      </c>
      <c r="D1449" s="15" t="str">
        <f t="shared" si="1"/>
        <v>Apr</v>
      </c>
      <c r="E1449" s="2" t="str">
        <f t="shared" si="2"/>
        <v>2015</v>
      </c>
      <c r="F1449" s="13" t="s">
        <v>121</v>
      </c>
      <c r="G1449" s="13" t="s">
        <v>2873</v>
      </c>
      <c r="H1449" s="13" t="s">
        <v>2874</v>
      </c>
      <c r="I1449" s="13" t="s">
        <v>34</v>
      </c>
      <c r="J1449" s="13" t="s">
        <v>98</v>
      </c>
      <c r="K1449" s="13" t="s">
        <v>99</v>
      </c>
      <c r="L1449" s="13" t="s">
        <v>100</v>
      </c>
      <c r="M1449" s="13" t="s">
        <v>38</v>
      </c>
      <c r="N1449" s="14">
        <v>2.502</v>
      </c>
      <c r="O1449" s="14">
        <v>2.25</v>
      </c>
      <c r="P1449" s="13">
        <v>1.0</v>
      </c>
      <c r="Q1449" s="14">
        <f t="shared" si="3"/>
        <v>2.502</v>
      </c>
      <c r="R1449" s="14">
        <f t="shared" si="4"/>
        <v>0.252</v>
      </c>
      <c r="S1449" s="14">
        <f t="shared" si="5"/>
        <v>2.25</v>
      </c>
    </row>
    <row r="1450">
      <c r="A1450" s="12">
        <v>42374.0</v>
      </c>
      <c r="B1450" s="12" t="s">
        <v>2353</v>
      </c>
      <c r="C1450" s="2">
        <v>42556.0</v>
      </c>
      <c r="D1450" s="15" t="str">
        <f t="shared" si="1"/>
        <v>Jul</v>
      </c>
      <c r="E1450" s="2" t="str">
        <f t="shared" si="2"/>
        <v>2016</v>
      </c>
      <c r="F1450" s="13" t="s">
        <v>41</v>
      </c>
      <c r="G1450" s="13" t="s">
        <v>2475</v>
      </c>
      <c r="H1450" s="13" t="s">
        <v>2476</v>
      </c>
      <c r="I1450" s="13" t="s">
        <v>34</v>
      </c>
      <c r="J1450" s="13" t="s">
        <v>35</v>
      </c>
      <c r="K1450" s="13" t="s">
        <v>52</v>
      </c>
      <c r="L1450" s="13" t="s">
        <v>37</v>
      </c>
      <c r="M1450" s="13" t="s">
        <v>51</v>
      </c>
      <c r="N1450" s="14">
        <v>88.752</v>
      </c>
      <c r="O1450" s="14">
        <v>88.64</v>
      </c>
      <c r="P1450" s="13">
        <v>9.0</v>
      </c>
      <c r="Q1450" s="14">
        <f t="shared" si="3"/>
        <v>798.768</v>
      </c>
      <c r="R1450" s="14">
        <f t="shared" si="4"/>
        <v>710.128</v>
      </c>
      <c r="S1450" s="14">
        <f t="shared" si="5"/>
        <v>88.64</v>
      </c>
    </row>
    <row r="1451">
      <c r="A1451" s="12">
        <v>42570.0</v>
      </c>
      <c r="B1451" s="12" t="s">
        <v>2348</v>
      </c>
      <c r="C1451" s="2">
        <v>42571.0</v>
      </c>
      <c r="D1451" s="15" t="str">
        <f t="shared" si="1"/>
        <v>Jul</v>
      </c>
      <c r="E1451" s="2" t="str">
        <f t="shared" si="2"/>
        <v>2016</v>
      </c>
      <c r="F1451" s="13" t="s">
        <v>121</v>
      </c>
      <c r="G1451" s="13" t="s">
        <v>2957</v>
      </c>
      <c r="H1451" s="13" t="s">
        <v>2958</v>
      </c>
      <c r="I1451" s="13" t="s">
        <v>23</v>
      </c>
      <c r="J1451" s="13" t="s">
        <v>328</v>
      </c>
      <c r="K1451" s="13" t="s">
        <v>193</v>
      </c>
      <c r="L1451" s="13" t="s">
        <v>37</v>
      </c>
      <c r="M1451" s="13" t="s">
        <v>38</v>
      </c>
      <c r="N1451" s="14">
        <v>2.025</v>
      </c>
      <c r="O1451" s="14">
        <v>2.02</v>
      </c>
      <c r="P1451" s="13">
        <v>8.0</v>
      </c>
      <c r="Q1451" s="14">
        <f t="shared" si="3"/>
        <v>16.2</v>
      </c>
      <c r="R1451" s="14">
        <f t="shared" si="4"/>
        <v>14.18</v>
      </c>
      <c r="S1451" s="14">
        <f t="shared" si="5"/>
        <v>2.02</v>
      </c>
    </row>
    <row r="1452">
      <c r="A1452" s="12">
        <v>43065.0</v>
      </c>
      <c r="B1452" s="12" t="s">
        <v>2326</v>
      </c>
      <c r="C1452" s="2">
        <v>43068.0</v>
      </c>
      <c r="D1452" s="15" t="str">
        <f t="shared" si="1"/>
        <v>Nov</v>
      </c>
      <c r="E1452" s="2" t="str">
        <f t="shared" si="2"/>
        <v>2017</v>
      </c>
      <c r="F1452" s="13" t="s">
        <v>121</v>
      </c>
      <c r="G1452" s="13" t="s">
        <v>2487</v>
      </c>
      <c r="H1452" s="13" t="s">
        <v>2959</v>
      </c>
      <c r="I1452" s="13" t="s">
        <v>34</v>
      </c>
      <c r="J1452" s="13" t="s">
        <v>2238</v>
      </c>
      <c r="K1452" s="13" t="s">
        <v>220</v>
      </c>
      <c r="L1452" s="13" t="s">
        <v>26</v>
      </c>
      <c r="M1452" s="13" t="s">
        <v>38</v>
      </c>
      <c r="N1452" s="14">
        <v>70.98</v>
      </c>
      <c r="O1452" s="14">
        <v>70.53</v>
      </c>
      <c r="P1452" s="13">
        <v>3.0</v>
      </c>
      <c r="Q1452" s="14">
        <f t="shared" si="3"/>
        <v>212.94</v>
      </c>
      <c r="R1452" s="14">
        <f t="shared" si="4"/>
        <v>142.41</v>
      </c>
      <c r="S1452" s="14">
        <f t="shared" si="5"/>
        <v>70.53</v>
      </c>
    </row>
    <row r="1453">
      <c r="A1453" s="12">
        <v>43065.0</v>
      </c>
      <c r="B1453" s="12" t="s">
        <v>2326</v>
      </c>
      <c r="C1453" s="2">
        <v>43068.0</v>
      </c>
      <c r="D1453" s="15" t="str">
        <f t="shared" si="1"/>
        <v>Nov</v>
      </c>
      <c r="E1453" s="2" t="str">
        <f t="shared" si="2"/>
        <v>2017</v>
      </c>
      <c r="F1453" s="13" t="s">
        <v>121</v>
      </c>
      <c r="G1453" s="13" t="s">
        <v>2487</v>
      </c>
      <c r="H1453" s="13" t="s">
        <v>2959</v>
      </c>
      <c r="I1453" s="13" t="s">
        <v>34</v>
      </c>
      <c r="J1453" s="13" t="s">
        <v>2238</v>
      </c>
      <c r="K1453" s="13" t="s">
        <v>220</v>
      </c>
      <c r="L1453" s="13" t="s">
        <v>26</v>
      </c>
      <c r="M1453" s="13" t="s">
        <v>38</v>
      </c>
      <c r="N1453" s="14">
        <v>91.68</v>
      </c>
      <c r="O1453" s="14">
        <v>90.91</v>
      </c>
      <c r="P1453" s="13">
        <v>3.0</v>
      </c>
      <c r="Q1453" s="14">
        <f t="shared" si="3"/>
        <v>275.04</v>
      </c>
      <c r="R1453" s="14">
        <f t="shared" si="4"/>
        <v>184.13</v>
      </c>
      <c r="S1453" s="14">
        <f t="shared" si="5"/>
        <v>90.91</v>
      </c>
    </row>
    <row r="1454">
      <c r="A1454" s="12">
        <v>43065.0</v>
      </c>
      <c r="B1454" s="12" t="s">
        <v>2326</v>
      </c>
      <c r="C1454" s="2">
        <v>43068.0</v>
      </c>
      <c r="D1454" s="15" t="str">
        <f t="shared" si="1"/>
        <v>Nov</v>
      </c>
      <c r="E1454" s="2" t="str">
        <f t="shared" si="2"/>
        <v>2017</v>
      </c>
      <c r="F1454" s="13" t="s">
        <v>121</v>
      </c>
      <c r="G1454" s="13" t="s">
        <v>2487</v>
      </c>
      <c r="H1454" s="13" t="s">
        <v>2959</v>
      </c>
      <c r="I1454" s="13" t="s">
        <v>34</v>
      </c>
      <c r="J1454" s="13" t="s">
        <v>2238</v>
      </c>
      <c r="K1454" s="13" t="s">
        <v>220</v>
      </c>
      <c r="L1454" s="13" t="s">
        <v>26</v>
      </c>
      <c r="M1454" s="13" t="s">
        <v>38</v>
      </c>
      <c r="N1454" s="14">
        <v>33.75</v>
      </c>
      <c r="O1454" s="14">
        <v>33.13</v>
      </c>
      <c r="P1454" s="13">
        <v>3.0</v>
      </c>
      <c r="Q1454" s="14">
        <f t="shared" si="3"/>
        <v>101.25</v>
      </c>
      <c r="R1454" s="14">
        <f t="shared" si="4"/>
        <v>68.12</v>
      </c>
      <c r="S1454" s="14">
        <f t="shared" si="5"/>
        <v>33.13</v>
      </c>
    </row>
    <row r="1455">
      <c r="A1455" s="12">
        <v>43065.0</v>
      </c>
      <c r="B1455" s="12" t="s">
        <v>2326</v>
      </c>
      <c r="C1455" s="2">
        <v>43068.0</v>
      </c>
      <c r="D1455" s="15" t="str">
        <f t="shared" si="1"/>
        <v>Nov</v>
      </c>
      <c r="E1455" s="2" t="str">
        <f t="shared" si="2"/>
        <v>2017</v>
      </c>
      <c r="F1455" s="13" t="s">
        <v>121</v>
      </c>
      <c r="G1455" s="13" t="s">
        <v>2487</v>
      </c>
      <c r="H1455" s="13" t="s">
        <v>2959</v>
      </c>
      <c r="I1455" s="13" t="s">
        <v>34</v>
      </c>
      <c r="J1455" s="13" t="s">
        <v>2238</v>
      </c>
      <c r="K1455" s="13" t="s">
        <v>220</v>
      </c>
      <c r="L1455" s="13" t="s">
        <v>26</v>
      </c>
      <c r="M1455" s="13" t="s">
        <v>51</v>
      </c>
      <c r="N1455" s="14">
        <v>3040.0</v>
      </c>
      <c r="O1455" s="14">
        <v>3039.91</v>
      </c>
      <c r="P1455" s="13">
        <v>3.0</v>
      </c>
      <c r="Q1455" s="14">
        <f t="shared" si="3"/>
        <v>9120</v>
      </c>
      <c r="R1455" s="14">
        <f t="shared" si="4"/>
        <v>6080.09</v>
      </c>
      <c r="S1455" s="14">
        <f t="shared" si="5"/>
        <v>3039.91</v>
      </c>
    </row>
    <row r="1456">
      <c r="A1456" s="12">
        <v>43440.0</v>
      </c>
      <c r="B1456" s="12" t="s">
        <v>2325</v>
      </c>
      <c r="C1456" s="2">
        <v>43270.0</v>
      </c>
      <c r="D1456" s="15" t="str">
        <f t="shared" si="1"/>
        <v>Jun</v>
      </c>
      <c r="E1456" s="2" t="str">
        <f t="shared" si="2"/>
        <v>2018</v>
      </c>
      <c r="F1456" s="13" t="s">
        <v>41</v>
      </c>
      <c r="G1456" s="13" t="s">
        <v>2496</v>
      </c>
      <c r="H1456" s="13" t="s">
        <v>2960</v>
      </c>
      <c r="I1456" s="13" t="s">
        <v>68</v>
      </c>
      <c r="J1456" s="13" t="s">
        <v>303</v>
      </c>
      <c r="K1456" s="13" t="s">
        <v>707</v>
      </c>
      <c r="L1456" s="13" t="s">
        <v>26</v>
      </c>
      <c r="M1456" s="13" t="s">
        <v>38</v>
      </c>
      <c r="N1456" s="14">
        <v>91.2</v>
      </c>
      <c r="O1456" s="14">
        <v>90.82</v>
      </c>
      <c r="P1456" s="13">
        <v>3.0</v>
      </c>
      <c r="Q1456" s="14">
        <f t="shared" si="3"/>
        <v>273.6</v>
      </c>
      <c r="R1456" s="14">
        <f t="shared" si="4"/>
        <v>182.78</v>
      </c>
      <c r="S1456" s="14">
        <f t="shared" si="5"/>
        <v>90.82</v>
      </c>
    </row>
    <row r="1457">
      <c r="A1457" s="12">
        <v>43440.0</v>
      </c>
      <c r="B1457" s="12" t="s">
        <v>2325</v>
      </c>
      <c r="C1457" s="2">
        <v>43270.0</v>
      </c>
      <c r="D1457" s="15" t="str">
        <f t="shared" si="1"/>
        <v>Jun</v>
      </c>
      <c r="E1457" s="2" t="str">
        <f t="shared" si="2"/>
        <v>2018</v>
      </c>
      <c r="F1457" s="13" t="s">
        <v>41</v>
      </c>
      <c r="G1457" s="13" t="s">
        <v>2496</v>
      </c>
      <c r="H1457" s="13" t="s">
        <v>2960</v>
      </c>
      <c r="I1457" s="13" t="s">
        <v>68</v>
      </c>
      <c r="J1457" s="13" t="s">
        <v>303</v>
      </c>
      <c r="K1457" s="13" t="s">
        <v>707</v>
      </c>
      <c r="L1457" s="13" t="s">
        <v>26</v>
      </c>
      <c r="M1457" s="13" t="s">
        <v>27</v>
      </c>
      <c r="N1457" s="14">
        <v>452.94</v>
      </c>
      <c r="O1457" s="14">
        <v>452.59</v>
      </c>
      <c r="P1457" s="13">
        <v>3.0</v>
      </c>
      <c r="Q1457" s="14">
        <f t="shared" si="3"/>
        <v>1358.82</v>
      </c>
      <c r="R1457" s="14">
        <f t="shared" si="4"/>
        <v>906.23</v>
      </c>
      <c r="S1457" s="14">
        <f t="shared" si="5"/>
        <v>452.59</v>
      </c>
    </row>
    <row r="1458">
      <c r="A1458" s="12">
        <v>42599.0</v>
      </c>
      <c r="B1458" s="12" t="s">
        <v>2322</v>
      </c>
      <c r="C1458" s="2">
        <v>42603.0</v>
      </c>
      <c r="D1458" s="15" t="str">
        <f t="shared" si="1"/>
        <v>Aug</v>
      </c>
      <c r="E1458" s="2" t="str">
        <f t="shared" si="2"/>
        <v>2016</v>
      </c>
      <c r="F1458" s="13" t="s">
        <v>41</v>
      </c>
      <c r="G1458" s="13" t="s">
        <v>2955</v>
      </c>
      <c r="H1458" s="13" t="s">
        <v>2956</v>
      </c>
      <c r="I1458" s="13" t="s">
        <v>34</v>
      </c>
      <c r="J1458" s="13" t="s">
        <v>2244</v>
      </c>
      <c r="K1458" s="13" t="s">
        <v>694</v>
      </c>
      <c r="L1458" s="13" t="s">
        <v>100</v>
      </c>
      <c r="M1458" s="13" t="s">
        <v>38</v>
      </c>
      <c r="N1458" s="14">
        <v>52.2</v>
      </c>
      <c r="O1458" s="14">
        <v>51.92</v>
      </c>
      <c r="P1458" s="13">
        <v>2.0</v>
      </c>
      <c r="Q1458" s="14">
        <f t="shared" si="3"/>
        <v>104.4</v>
      </c>
      <c r="R1458" s="14">
        <f t="shared" si="4"/>
        <v>52.48</v>
      </c>
      <c r="S1458" s="14">
        <f t="shared" si="5"/>
        <v>51.92</v>
      </c>
    </row>
    <row r="1459">
      <c r="A1459" s="12">
        <v>43003.0</v>
      </c>
      <c r="B1459" s="12" t="s">
        <v>2329</v>
      </c>
      <c r="C1459" s="2">
        <v>42745.0</v>
      </c>
      <c r="D1459" s="15" t="str">
        <f t="shared" si="1"/>
        <v>Jan</v>
      </c>
      <c r="E1459" s="2" t="str">
        <f t="shared" si="2"/>
        <v>2017</v>
      </c>
      <c r="F1459" s="13" t="s">
        <v>41</v>
      </c>
      <c r="G1459" s="13" t="s">
        <v>2870</v>
      </c>
      <c r="H1459" s="13" t="s">
        <v>2787</v>
      </c>
      <c r="I1459" s="13" t="s">
        <v>34</v>
      </c>
      <c r="J1459" s="13" t="s">
        <v>2248</v>
      </c>
      <c r="K1459" s="13" t="s">
        <v>70</v>
      </c>
      <c r="L1459" s="13" t="s">
        <v>71</v>
      </c>
      <c r="M1459" s="13" t="s">
        <v>38</v>
      </c>
      <c r="N1459" s="14">
        <v>15.936</v>
      </c>
      <c r="O1459" s="14">
        <v>15.9</v>
      </c>
      <c r="P1459" s="13">
        <v>7.0</v>
      </c>
      <c r="Q1459" s="14">
        <f t="shared" si="3"/>
        <v>111.552</v>
      </c>
      <c r="R1459" s="14">
        <f t="shared" si="4"/>
        <v>95.652</v>
      </c>
      <c r="S1459" s="14">
        <f t="shared" si="5"/>
        <v>15.9</v>
      </c>
    </row>
    <row r="1460">
      <c r="A1460" s="12">
        <v>42099.0</v>
      </c>
      <c r="B1460" s="12" t="s">
        <v>2332</v>
      </c>
      <c r="C1460" s="2">
        <v>42099.0</v>
      </c>
      <c r="D1460" s="15" t="str">
        <f t="shared" si="1"/>
        <v>Apr</v>
      </c>
      <c r="E1460" s="2" t="str">
        <f t="shared" si="2"/>
        <v>2015</v>
      </c>
      <c r="F1460" s="13" t="s">
        <v>717</v>
      </c>
      <c r="G1460" s="13" t="s">
        <v>2333</v>
      </c>
      <c r="H1460" s="13" t="s">
        <v>2334</v>
      </c>
      <c r="I1460" s="13" t="s">
        <v>23</v>
      </c>
      <c r="J1460" s="13" t="s">
        <v>2109</v>
      </c>
      <c r="K1460" s="13" t="s">
        <v>435</v>
      </c>
      <c r="L1460" s="13" t="s">
        <v>100</v>
      </c>
      <c r="M1460" s="13" t="s">
        <v>27</v>
      </c>
      <c r="N1460" s="14">
        <v>27.46</v>
      </c>
      <c r="O1460" s="14">
        <v>27.22</v>
      </c>
      <c r="P1460" s="13">
        <v>6.0</v>
      </c>
      <c r="Q1460" s="14">
        <f t="shared" si="3"/>
        <v>164.76</v>
      </c>
      <c r="R1460" s="14">
        <f t="shared" si="4"/>
        <v>137.54</v>
      </c>
      <c r="S1460" s="14">
        <f t="shared" si="5"/>
        <v>27.22</v>
      </c>
    </row>
    <row r="1461">
      <c r="A1461" s="12">
        <v>42381.0</v>
      </c>
      <c r="B1461" s="12" t="s">
        <v>2353</v>
      </c>
      <c r="C1461" s="2">
        <v>42594.0</v>
      </c>
      <c r="D1461" s="15" t="str">
        <f t="shared" si="1"/>
        <v>Aug</v>
      </c>
      <c r="E1461" s="2" t="str">
        <f t="shared" si="2"/>
        <v>2016</v>
      </c>
      <c r="F1461" s="13" t="s">
        <v>41</v>
      </c>
      <c r="G1461" s="13" t="s">
        <v>2499</v>
      </c>
      <c r="H1461" s="13" t="s">
        <v>2500</v>
      </c>
      <c r="I1461" s="13" t="s">
        <v>23</v>
      </c>
      <c r="J1461" s="13" t="s">
        <v>62</v>
      </c>
      <c r="K1461" s="13" t="s">
        <v>63</v>
      </c>
      <c r="L1461" s="13" t="s">
        <v>37</v>
      </c>
      <c r="M1461" s="13" t="s">
        <v>38</v>
      </c>
      <c r="N1461" s="14">
        <v>55.424</v>
      </c>
      <c r="O1461" s="14">
        <v>55.24</v>
      </c>
      <c r="P1461" s="13">
        <v>9.0</v>
      </c>
      <c r="Q1461" s="14">
        <f t="shared" si="3"/>
        <v>498.816</v>
      </c>
      <c r="R1461" s="14">
        <f t="shared" si="4"/>
        <v>443.576</v>
      </c>
      <c r="S1461" s="14">
        <f t="shared" si="5"/>
        <v>55.24</v>
      </c>
    </row>
    <row r="1462">
      <c r="A1462" s="12">
        <v>43042.0</v>
      </c>
      <c r="B1462" s="12" t="s">
        <v>2326</v>
      </c>
      <c r="C1462" s="2">
        <v>42809.0</v>
      </c>
      <c r="D1462" s="15" t="str">
        <f t="shared" si="1"/>
        <v>Mar</v>
      </c>
      <c r="E1462" s="2" t="str">
        <f t="shared" si="2"/>
        <v>2017</v>
      </c>
      <c r="F1462" s="13" t="s">
        <v>41</v>
      </c>
      <c r="G1462" s="13" t="s">
        <v>2906</v>
      </c>
      <c r="H1462" s="13" t="s">
        <v>2613</v>
      </c>
      <c r="I1462" s="13" t="s">
        <v>23</v>
      </c>
      <c r="J1462" s="13" t="s">
        <v>2255</v>
      </c>
      <c r="K1462" s="13" t="s">
        <v>462</v>
      </c>
      <c r="L1462" s="13" t="s">
        <v>100</v>
      </c>
      <c r="M1462" s="13" t="s">
        <v>27</v>
      </c>
      <c r="N1462" s="14">
        <v>244.006</v>
      </c>
      <c r="O1462" s="14">
        <v>243.04</v>
      </c>
      <c r="P1462" s="13">
        <v>8.0</v>
      </c>
      <c r="Q1462" s="14">
        <f t="shared" si="3"/>
        <v>1952.048</v>
      </c>
      <c r="R1462" s="14">
        <f t="shared" si="4"/>
        <v>1709.008</v>
      </c>
      <c r="S1462" s="14">
        <f t="shared" si="5"/>
        <v>243.04</v>
      </c>
    </row>
    <row r="1463">
      <c r="A1463" s="12">
        <v>42973.0</v>
      </c>
      <c r="B1463" s="12" t="s">
        <v>2322</v>
      </c>
      <c r="C1463" s="2">
        <v>42975.0</v>
      </c>
      <c r="D1463" s="15" t="str">
        <f t="shared" si="1"/>
        <v>Aug</v>
      </c>
      <c r="E1463" s="2" t="str">
        <f t="shared" si="2"/>
        <v>2017</v>
      </c>
      <c r="F1463" s="13" t="s">
        <v>121</v>
      </c>
      <c r="G1463" s="13" t="s">
        <v>2365</v>
      </c>
      <c r="H1463" s="13" t="s">
        <v>2366</v>
      </c>
      <c r="I1463" s="13" t="s">
        <v>34</v>
      </c>
      <c r="J1463" s="13" t="s">
        <v>355</v>
      </c>
      <c r="K1463" s="13" t="s">
        <v>70</v>
      </c>
      <c r="L1463" s="13" t="s">
        <v>71</v>
      </c>
      <c r="M1463" s="13" t="s">
        <v>51</v>
      </c>
      <c r="N1463" s="14">
        <v>159.984</v>
      </c>
      <c r="O1463" s="14">
        <v>159.17</v>
      </c>
      <c r="P1463" s="13">
        <v>7.0</v>
      </c>
      <c r="Q1463" s="14">
        <f t="shared" si="3"/>
        <v>1119.888</v>
      </c>
      <c r="R1463" s="14">
        <f t="shared" si="4"/>
        <v>960.718</v>
      </c>
      <c r="S1463" s="14">
        <f t="shared" si="5"/>
        <v>159.17</v>
      </c>
    </row>
    <row r="1464">
      <c r="A1464" s="12">
        <v>42973.0</v>
      </c>
      <c r="B1464" s="12" t="s">
        <v>2322</v>
      </c>
      <c r="C1464" s="2">
        <v>42975.0</v>
      </c>
      <c r="D1464" s="15" t="str">
        <f t="shared" si="1"/>
        <v>Aug</v>
      </c>
      <c r="E1464" s="2" t="str">
        <f t="shared" si="2"/>
        <v>2017</v>
      </c>
      <c r="F1464" s="13" t="s">
        <v>121</v>
      </c>
      <c r="G1464" s="13" t="s">
        <v>2365</v>
      </c>
      <c r="H1464" s="13" t="s">
        <v>2366</v>
      </c>
      <c r="I1464" s="13" t="s">
        <v>34</v>
      </c>
      <c r="J1464" s="13" t="s">
        <v>355</v>
      </c>
      <c r="K1464" s="13" t="s">
        <v>70</v>
      </c>
      <c r="L1464" s="13" t="s">
        <v>71</v>
      </c>
      <c r="M1464" s="13" t="s">
        <v>27</v>
      </c>
      <c r="N1464" s="14">
        <v>1024.716</v>
      </c>
      <c r="O1464" s="14">
        <v>1024.26</v>
      </c>
      <c r="P1464" s="13">
        <v>7.0</v>
      </c>
      <c r="Q1464" s="14">
        <f t="shared" si="3"/>
        <v>7173.012</v>
      </c>
      <c r="R1464" s="14">
        <f t="shared" si="4"/>
        <v>6148.752</v>
      </c>
      <c r="S1464" s="14">
        <f t="shared" si="5"/>
        <v>1024.26</v>
      </c>
    </row>
    <row r="1465">
      <c r="A1465" s="12">
        <v>43085.0</v>
      </c>
      <c r="B1465" s="12" t="s">
        <v>2325</v>
      </c>
      <c r="C1465" s="2">
        <v>43088.0</v>
      </c>
      <c r="D1465" s="15" t="str">
        <f t="shared" si="1"/>
        <v>Dec</v>
      </c>
      <c r="E1465" s="2" t="str">
        <f t="shared" si="2"/>
        <v>2017</v>
      </c>
      <c r="F1465" s="13" t="s">
        <v>121</v>
      </c>
      <c r="G1465" s="13" t="s">
        <v>2607</v>
      </c>
      <c r="H1465" s="13" t="s">
        <v>2961</v>
      </c>
      <c r="I1465" s="13" t="s">
        <v>34</v>
      </c>
      <c r="J1465" s="13" t="s">
        <v>174</v>
      </c>
      <c r="K1465" s="13" t="s">
        <v>175</v>
      </c>
      <c r="L1465" s="13" t="s">
        <v>100</v>
      </c>
      <c r="M1465" s="13" t="s">
        <v>38</v>
      </c>
      <c r="N1465" s="14">
        <v>3.68</v>
      </c>
      <c r="O1465" s="14">
        <v>2.86</v>
      </c>
      <c r="P1465" s="13">
        <v>1.0</v>
      </c>
      <c r="Q1465" s="14">
        <f t="shared" si="3"/>
        <v>3.68</v>
      </c>
      <c r="R1465" s="14">
        <f t="shared" si="4"/>
        <v>0.82</v>
      </c>
      <c r="S1465" s="14">
        <f t="shared" si="5"/>
        <v>2.86</v>
      </c>
    </row>
    <row r="1466">
      <c r="A1466" s="12">
        <v>42224.0</v>
      </c>
      <c r="B1466" s="12" t="s">
        <v>2322</v>
      </c>
      <c r="C1466" s="2">
        <v>42230.0</v>
      </c>
      <c r="D1466" s="15" t="str">
        <f t="shared" si="1"/>
        <v>Aug</v>
      </c>
      <c r="E1466" s="2" t="str">
        <f t="shared" si="2"/>
        <v>2015</v>
      </c>
      <c r="F1466" s="13" t="s">
        <v>41</v>
      </c>
      <c r="G1466" s="13" t="s">
        <v>2496</v>
      </c>
      <c r="H1466" s="13" t="s">
        <v>2497</v>
      </c>
      <c r="I1466" s="13" t="s">
        <v>23</v>
      </c>
      <c r="J1466" s="13" t="s">
        <v>2262</v>
      </c>
      <c r="K1466" s="13" t="s">
        <v>193</v>
      </c>
      <c r="L1466" s="13" t="s">
        <v>37</v>
      </c>
      <c r="M1466" s="13" t="s">
        <v>27</v>
      </c>
      <c r="N1466" s="14">
        <v>121.376</v>
      </c>
      <c r="O1466" s="14">
        <v>120.6</v>
      </c>
      <c r="P1466" s="13">
        <v>8.0</v>
      </c>
      <c r="Q1466" s="14">
        <f t="shared" si="3"/>
        <v>971.008</v>
      </c>
      <c r="R1466" s="14">
        <f t="shared" si="4"/>
        <v>850.408</v>
      </c>
      <c r="S1466" s="14">
        <f t="shared" si="5"/>
        <v>120.6</v>
      </c>
    </row>
    <row r="1467">
      <c r="A1467" s="12">
        <v>42224.0</v>
      </c>
      <c r="B1467" s="12" t="s">
        <v>2322</v>
      </c>
      <c r="C1467" s="2">
        <v>42230.0</v>
      </c>
      <c r="D1467" s="15" t="str">
        <f t="shared" si="1"/>
        <v>Aug</v>
      </c>
      <c r="E1467" s="2" t="str">
        <f t="shared" si="2"/>
        <v>2015</v>
      </c>
      <c r="F1467" s="13" t="s">
        <v>41</v>
      </c>
      <c r="G1467" s="13" t="s">
        <v>2496</v>
      </c>
      <c r="H1467" s="13" t="s">
        <v>2497</v>
      </c>
      <c r="I1467" s="13" t="s">
        <v>23</v>
      </c>
      <c r="J1467" s="13" t="s">
        <v>2262</v>
      </c>
      <c r="K1467" s="13" t="s">
        <v>193</v>
      </c>
      <c r="L1467" s="13" t="s">
        <v>37</v>
      </c>
      <c r="M1467" s="13" t="s">
        <v>51</v>
      </c>
      <c r="N1467" s="14">
        <v>95.976</v>
      </c>
      <c r="O1467" s="14">
        <v>95.62</v>
      </c>
      <c r="P1467" s="13">
        <v>8.0</v>
      </c>
      <c r="Q1467" s="14">
        <f t="shared" si="3"/>
        <v>767.808</v>
      </c>
      <c r="R1467" s="14">
        <f t="shared" si="4"/>
        <v>672.188</v>
      </c>
      <c r="S1467" s="14">
        <f t="shared" si="5"/>
        <v>95.62</v>
      </c>
    </row>
    <row r="1468">
      <c r="A1468" s="12">
        <v>42506.0</v>
      </c>
      <c r="B1468" s="12" t="s">
        <v>2335</v>
      </c>
      <c r="C1468" s="2">
        <v>42506.0</v>
      </c>
      <c r="D1468" s="15" t="str">
        <f t="shared" si="1"/>
        <v>May</v>
      </c>
      <c r="E1468" s="2" t="str">
        <f t="shared" si="2"/>
        <v>2016</v>
      </c>
      <c r="F1468" s="13" t="s">
        <v>717</v>
      </c>
      <c r="G1468" s="13" t="s">
        <v>2356</v>
      </c>
      <c r="H1468" s="13" t="s">
        <v>2495</v>
      </c>
      <c r="I1468" s="13" t="s">
        <v>68</v>
      </c>
      <c r="J1468" s="13" t="s">
        <v>849</v>
      </c>
      <c r="K1468" s="13" t="s">
        <v>145</v>
      </c>
      <c r="L1468" s="13" t="s">
        <v>26</v>
      </c>
      <c r="M1468" s="13" t="s">
        <v>51</v>
      </c>
      <c r="N1468" s="14">
        <v>255.968</v>
      </c>
      <c r="O1468" s="14">
        <v>255.32</v>
      </c>
      <c r="P1468" s="13">
        <v>3.0</v>
      </c>
      <c r="Q1468" s="14">
        <f t="shared" si="3"/>
        <v>767.904</v>
      </c>
      <c r="R1468" s="14">
        <f t="shared" si="4"/>
        <v>512.584</v>
      </c>
      <c r="S1468" s="14">
        <f t="shared" si="5"/>
        <v>255.32</v>
      </c>
    </row>
    <row r="1469">
      <c r="A1469" s="12">
        <v>43355.0</v>
      </c>
      <c r="B1469" s="12" t="s">
        <v>2329</v>
      </c>
      <c r="C1469" s="2">
        <v>43447.0</v>
      </c>
      <c r="D1469" s="15" t="str">
        <f t="shared" si="1"/>
        <v>Dec</v>
      </c>
      <c r="E1469" s="2" t="str">
        <f t="shared" si="2"/>
        <v>2018</v>
      </c>
      <c r="F1469" s="13" t="s">
        <v>41</v>
      </c>
      <c r="G1469" s="13" t="s">
        <v>2949</v>
      </c>
      <c r="H1469" s="13" t="s">
        <v>2950</v>
      </c>
      <c r="I1469" s="13" t="s">
        <v>34</v>
      </c>
      <c r="J1469" s="13" t="s">
        <v>513</v>
      </c>
      <c r="K1469" s="13" t="s">
        <v>157</v>
      </c>
      <c r="L1469" s="13" t="s">
        <v>71</v>
      </c>
      <c r="M1469" s="13" t="s">
        <v>27</v>
      </c>
      <c r="N1469" s="14">
        <v>872.94</v>
      </c>
      <c r="O1469" s="14">
        <v>872.88</v>
      </c>
      <c r="P1469" s="13">
        <v>4.0</v>
      </c>
      <c r="Q1469" s="14">
        <f t="shared" si="3"/>
        <v>3491.76</v>
      </c>
      <c r="R1469" s="14">
        <f t="shared" si="4"/>
        <v>2618.88</v>
      </c>
      <c r="S1469" s="14">
        <f t="shared" si="5"/>
        <v>872.88</v>
      </c>
    </row>
    <row r="1470">
      <c r="A1470" s="12">
        <v>43355.0</v>
      </c>
      <c r="B1470" s="12" t="s">
        <v>2329</v>
      </c>
      <c r="C1470" s="2">
        <v>43447.0</v>
      </c>
      <c r="D1470" s="15" t="str">
        <f t="shared" si="1"/>
        <v>Dec</v>
      </c>
      <c r="E1470" s="2" t="str">
        <f t="shared" si="2"/>
        <v>2018</v>
      </c>
      <c r="F1470" s="13" t="s">
        <v>41</v>
      </c>
      <c r="G1470" s="13" t="s">
        <v>2949</v>
      </c>
      <c r="H1470" s="13" t="s">
        <v>2950</v>
      </c>
      <c r="I1470" s="13" t="s">
        <v>34</v>
      </c>
      <c r="J1470" s="13" t="s">
        <v>513</v>
      </c>
      <c r="K1470" s="13" t="s">
        <v>157</v>
      </c>
      <c r="L1470" s="13" t="s">
        <v>71</v>
      </c>
      <c r="M1470" s="13" t="s">
        <v>38</v>
      </c>
      <c r="N1470" s="14">
        <v>41.54</v>
      </c>
      <c r="O1470" s="14">
        <v>41.15</v>
      </c>
      <c r="P1470" s="13">
        <v>4.0</v>
      </c>
      <c r="Q1470" s="14">
        <f t="shared" si="3"/>
        <v>166.16</v>
      </c>
      <c r="R1470" s="14">
        <f t="shared" si="4"/>
        <v>125.01</v>
      </c>
      <c r="S1470" s="14">
        <f t="shared" si="5"/>
        <v>41.15</v>
      </c>
    </row>
    <row r="1471">
      <c r="A1471" s="12">
        <v>43355.0</v>
      </c>
      <c r="B1471" s="12" t="s">
        <v>2329</v>
      </c>
      <c r="C1471" s="2">
        <v>43447.0</v>
      </c>
      <c r="D1471" s="15" t="str">
        <f t="shared" si="1"/>
        <v>Dec</v>
      </c>
      <c r="E1471" s="2" t="str">
        <f t="shared" si="2"/>
        <v>2018</v>
      </c>
      <c r="F1471" s="13" t="s">
        <v>41</v>
      </c>
      <c r="G1471" s="13" t="s">
        <v>2949</v>
      </c>
      <c r="H1471" s="13" t="s">
        <v>2950</v>
      </c>
      <c r="I1471" s="13" t="s">
        <v>34</v>
      </c>
      <c r="J1471" s="13" t="s">
        <v>513</v>
      </c>
      <c r="K1471" s="13" t="s">
        <v>157</v>
      </c>
      <c r="L1471" s="13" t="s">
        <v>71</v>
      </c>
      <c r="M1471" s="13" t="s">
        <v>38</v>
      </c>
      <c r="N1471" s="14">
        <v>12.96</v>
      </c>
      <c r="O1471" s="14">
        <v>12.5</v>
      </c>
      <c r="P1471" s="13">
        <v>4.0</v>
      </c>
      <c r="Q1471" s="14">
        <f t="shared" si="3"/>
        <v>51.84</v>
      </c>
      <c r="R1471" s="14">
        <f t="shared" si="4"/>
        <v>39.34</v>
      </c>
      <c r="S1471" s="14">
        <f t="shared" si="5"/>
        <v>12.5</v>
      </c>
    </row>
    <row r="1472">
      <c r="A1472" s="12">
        <v>42637.0</v>
      </c>
      <c r="B1472" s="12" t="s">
        <v>2329</v>
      </c>
      <c r="C1472" s="2">
        <v>42640.0</v>
      </c>
      <c r="D1472" s="15" t="str">
        <f t="shared" si="1"/>
        <v>Sep</v>
      </c>
      <c r="E1472" s="2" t="str">
        <f t="shared" si="2"/>
        <v>2016</v>
      </c>
      <c r="F1472" s="13" t="s">
        <v>20</v>
      </c>
      <c r="G1472" s="13" t="s">
        <v>2371</v>
      </c>
      <c r="H1472" s="13" t="s">
        <v>2372</v>
      </c>
      <c r="I1472" s="13" t="s">
        <v>34</v>
      </c>
      <c r="J1472" s="13" t="s">
        <v>98</v>
      </c>
      <c r="K1472" s="13" t="s">
        <v>99</v>
      </c>
      <c r="L1472" s="13" t="s">
        <v>100</v>
      </c>
      <c r="M1472" s="13" t="s">
        <v>38</v>
      </c>
      <c r="N1472" s="14">
        <v>6.848</v>
      </c>
      <c r="O1472" s="14">
        <v>6.24</v>
      </c>
      <c r="P1472" s="13">
        <v>1.0</v>
      </c>
      <c r="Q1472" s="14">
        <f t="shared" si="3"/>
        <v>6.848</v>
      </c>
      <c r="R1472" s="14">
        <f t="shared" si="4"/>
        <v>0.608</v>
      </c>
      <c r="S1472" s="14">
        <f t="shared" si="5"/>
        <v>6.24</v>
      </c>
    </row>
    <row r="1473">
      <c r="A1473" s="12">
        <v>43411.0</v>
      </c>
      <c r="B1473" s="12" t="s">
        <v>2326</v>
      </c>
      <c r="C1473" s="2">
        <v>43296.0</v>
      </c>
      <c r="D1473" s="15" t="str">
        <f t="shared" si="1"/>
        <v>Jul</v>
      </c>
      <c r="E1473" s="2" t="str">
        <f t="shared" si="2"/>
        <v>2018</v>
      </c>
      <c r="F1473" s="13" t="s">
        <v>41</v>
      </c>
      <c r="G1473" s="13" t="s">
        <v>2415</v>
      </c>
      <c r="H1473" s="13" t="s">
        <v>2962</v>
      </c>
      <c r="I1473" s="13" t="s">
        <v>34</v>
      </c>
      <c r="J1473" s="13" t="s">
        <v>35</v>
      </c>
      <c r="K1473" s="13" t="s">
        <v>52</v>
      </c>
      <c r="L1473" s="13" t="s">
        <v>37</v>
      </c>
      <c r="M1473" s="13" t="s">
        <v>38</v>
      </c>
      <c r="N1473" s="14">
        <v>8.67</v>
      </c>
      <c r="O1473" s="14">
        <v>7.77</v>
      </c>
      <c r="P1473" s="13">
        <v>9.0</v>
      </c>
      <c r="Q1473" s="14">
        <f t="shared" si="3"/>
        <v>78.03</v>
      </c>
      <c r="R1473" s="14">
        <f t="shared" si="4"/>
        <v>70.26</v>
      </c>
      <c r="S1473" s="14">
        <f t="shared" si="5"/>
        <v>7.77</v>
      </c>
    </row>
    <row r="1474">
      <c r="A1474" s="12">
        <v>42381.0</v>
      </c>
      <c r="B1474" s="12" t="s">
        <v>2353</v>
      </c>
      <c r="C1474" s="2">
        <v>42412.0</v>
      </c>
      <c r="D1474" s="15" t="str">
        <f t="shared" si="1"/>
        <v>Feb</v>
      </c>
      <c r="E1474" s="2" t="str">
        <f t="shared" si="2"/>
        <v>2016</v>
      </c>
      <c r="F1474" s="13" t="s">
        <v>717</v>
      </c>
      <c r="G1474" s="13" t="s">
        <v>2885</v>
      </c>
      <c r="H1474" s="13" t="s">
        <v>2075</v>
      </c>
      <c r="I1474" s="13" t="s">
        <v>23</v>
      </c>
      <c r="J1474" s="13" t="s">
        <v>129</v>
      </c>
      <c r="K1474" s="13" t="s">
        <v>70</v>
      </c>
      <c r="L1474" s="13" t="s">
        <v>71</v>
      </c>
      <c r="M1474" s="13" t="s">
        <v>27</v>
      </c>
      <c r="N1474" s="14">
        <v>6.688</v>
      </c>
      <c r="O1474" s="14">
        <v>6.37</v>
      </c>
      <c r="P1474" s="13">
        <v>7.0</v>
      </c>
      <c r="Q1474" s="14">
        <f t="shared" si="3"/>
        <v>46.816</v>
      </c>
      <c r="R1474" s="14">
        <f t="shared" si="4"/>
        <v>40.446</v>
      </c>
      <c r="S1474" s="14">
        <f t="shared" si="5"/>
        <v>6.37</v>
      </c>
    </row>
    <row r="1475">
      <c r="A1475" s="12">
        <v>43058.0</v>
      </c>
      <c r="B1475" s="12" t="s">
        <v>2326</v>
      </c>
      <c r="C1475" s="2">
        <v>43064.0</v>
      </c>
      <c r="D1475" s="15" t="str">
        <f t="shared" si="1"/>
        <v>Nov</v>
      </c>
      <c r="E1475" s="2" t="str">
        <f t="shared" si="2"/>
        <v>2017</v>
      </c>
      <c r="F1475" s="13" t="s">
        <v>41</v>
      </c>
      <c r="G1475" s="13" t="s">
        <v>2465</v>
      </c>
      <c r="H1475" s="13" t="s">
        <v>2675</v>
      </c>
      <c r="I1475" s="13" t="s">
        <v>68</v>
      </c>
      <c r="J1475" s="13" t="s">
        <v>2276</v>
      </c>
      <c r="K1475" s="13" t="s">
        <v>175</v>
      </c>
      <c r="L1475" s="13" t="s">
        <v>100</v>
      </c>
      <c r="M1475" s="13" t="s">
        <v>38</v>
      </c>
      <c r="N1475" s="14">
        <v>17.28</v>
      </c>
      <c r="O1475" s="14">
        <v>16.39</v>
      </c>
      <c r="P1475" s="13">
        <v>1.0</v>
      </c>
      <c r="Q1475" s="14">
        <f t="shared" si="3"/>
        <v>17.28</v>
      </c>
      <c r="R1475" s="14">
        <f t="shared" si="4"/>
        <v>0.89</v>
      </c>
      <c r="S1475" s="14">
        <f t="shared" si="5"/>
        <v>16.39</v>
      </c>
    </row>
    <row r="1476">
      <c r="A1476" s="12">
        <v>43058.0</v>
      </c>
      <c r="B1476" s="12" t="s">
        <v>2326</v>
      </c>
      <c r="C1476" s="2">
        <v>43064.0</v>
      </c>
      <c r="D1476" s="15" t="str">
        <f t="shared" si="1"/>
        <v>Nov</v>
      </c>
      <c r="E1476" s="2" t="str">
        <f t="shared" si="2"/>
        <v>2017</v>
      </c>
      <c r="F1476" s="13" t="s">
        <v>41</v>
      </c>
      <c r="G1476" s="13" t="s">
        <v>2465</v>
      </c>
      <c r="H1476" s="13" t="s">
        <v>2675</v>
      </c>
      <c r="I1476" s="13" t="s">
        <v>68</v>
      </c>
      <c r="J1476" s="13" t="s">
        <v>2276</v>
      </c>
      <c r="K1476" s="13" t="s">
        <v>175</v>
      </c>
      <c r="L1476" s="13" t="s">
        <v>100</v>
      </c>
      <c r="M1476" s="13" t="s">
        <v>38</v>
      </c>
      <c r="N1476" s="14">
        <v>17.712</v>
      </c>
      <c r="O1476" s="14">
        <v>17.61</v>
      </c>
      <c r="P1476" s="13">
        <v>1.0</v>
      </c>
      <c r="Q1476" s="14">
        <f t="shared" si="3"/>
        <v>17.712</v>
      </c>
      <c r="R1476" s="14">
        <f t="shared" si="4"/>
        <v>0.102</v>
      </c>
      <c r="S1476" s="14">
        <f t="shared" si="5"/>
        <v>17.61</v>
      </c>
    </row>
    <row r="1477">
      <c r="A1477" s="12">
        <v>43178.0</v>
      </c>
      <c r="B1477" s="12" t="s">
        <v>2399</v>
      </c>
      <c r="C1477" s="2">
        <v>43183.0</v>
      </c>
      <c r="D1477" s="15" t="str">
        <f t="shared" si="1"/>
        <v>Mar</v>
      </c>
      <c r="E1477" s="2" t="str">
        <f t="shared" si="2"/>
        <v>2018</v>
      </c>
      <c r="F1477" s="13" t="s">
        <v>41</v>
      </c>
      <c r="G1477" s="13" t="s">
        <v>2830</v>
      </c>
      <c r="H1477" s="13" t="s">
        <v>2831</v>
      </c>
      <c r="I1477" s="13" t="s">
        <v>68</v>
      </c>
      <c r="J1477" s="13" t="s">
        <v>174</v>
      </c>
      <c r="K1477" s="13" t="s">
        <v>175</v>
      </c>
      <c r="L1477" s="13" t="s">
        <v>100</v>
      </c>
      <c r="M1477" s="13" t="s">
        <v>38</v>
      </c>
      <c r="N1477" s="14">
        <v>28.91</v>
      </c>
      <c r="O1477" s="14">
        <v>28.3</v>
      </c>
      <c r="P1477" s="13">
        <v>1.0</v>
      </c>
      <c r="Q1477" s="14">
        <f t="shared" si="3"/>
        <v>28.91</v>
      </c>
      <c r="R1477" s="14">
        <f t="shared" si="4"/>
        <v>0.61</v>
      </c>
      <c r="S1477" s="14">
        <f t="shared" si="5"/>
        <v>28.3</v>
      </c>
    </row>
    <row r="1478">
      <c r="A1478" s="12">
        <v>43052.0</v>
      </c>
      <c r="B1478" s="12" t="s">
        <v>2326</v>
      </c>
      <c r="C1478" s="2">
        <v>43056.0</v>
      </c>
      <c r="D1478" s="15" t="str">
        <f t="shared" si="1"/>
        <v>Nov</v>
      </c>
      <c r="E1478" s="2" t="str">
        <f t="shared" si="2"/>
        <v>2017</v>
      </c>
      <c r="F1478" s="13" t="s">
        <v>41</v>
      </c>
      <c r="G1478" s="13" t="s">
        <v>2963</v>
      </c>
      <c r="H1478" s="13" t="s">
        <v>2395</v>
      </c>
      <c r="I1478" s="13" t="s">
        <v>23</v>
      </c>
      <c r="J1478" s="13" t="s">
        <v>2282</v>
      </c>
      <c r="K1478" s="13" t="s">
        <v>58</v>
      </c>
      <c r="L1478" s="13" t="s">
        <v>26</v>
      </c>
      <c r="M1478" s="13" t="s">
        <v>38</v>
      </c>
      <c r="N1478" s="14">
        <v>52.136</v>
      </c>
      <c r="O1478" s="14">
        <v>51.76</v>
      </c>
      <c r="P1478" s="13">
        <v>2.0</v>
      </c>
      <c r="Q1478" s="14">
        <f t="shared" si="3"/>
        <v>104.272</v>
      </c>
      <c r="R1478" s="14">
        <f t="shared" si="4"/>
        <v>52.512</v>
      </c>
      <c r="S1478" s="14">
        <f t="shared" si="5"/>
        <v>51.76</v>
      </c>
    </row>
    <row r="1479">
      <c r="A1479" s="12">
        <v>43423.0</v>
      </c>
      <c r="B1479" s="12" t="s">
        <v>2326</v>
      </c>
      <c r="C1479" s="2">
        <v>43424.0</v>
      </c>
      <c r="D1479" s="15" t="str">
        <f t="shared" si="1"/>
        <v>Nov</v>
      </c>
      <c r="E1479" s="2" t="str">
        <f t="shared" si="2"/>
        <v>2018</v>
      </c>
      <c r="F1479" s="13" t="s">
        <v>121</v>
      </c>
      <c r="G1479" s="13" t="s">
        <v>2415</v>
      </c>
      <c r="H1479" s="13" t="s">
        <v>2416</v>
      </c>
      <c r="I1479" s="13" t="s">
        <v>23</v>
      </c>
      <c r="J1479" s="13" t="s">
        <v>2285</v>
      </c>
      <c r="K1479" s="13" t="s">
        <v>52</v>
      </c>
      <c r="L1479" s="13" t="s">
        <v>37</v>
      </c>
      <c r="M1479" s="13" t="s">
        <v>51</v>
      </c>
      <c r="N1479" s="14">
        <v>31.968</v>
      </c>
      <c r="O1479" s="14">
        <v>31.57</v>
      </c>
      <c r="P1479" s="13">
        <v>9.0</v>
      </c>
      <c r="Q1479" s="14">
        <f t="shared" si="3"/>
        <v>287.712</v>
      </c>
      <c r="R1479" s="14">
        <f t="shared" si="4"/>
        <v>256.142</v>
      </c>
      <c r="S1479" s="14">
        <f t="shared" si="5"/>
        <v>31.57</v>
      </c>
    </row>
    <row r="1480">
      <c r="A1480" s="12">
        <v>42778.0</v>
      </c>
      <c r="B1480" s="12" t="s">
        <v>2431</v>
      </c>
      <c r="C1480" s="2">
        <v>42959.0</v>
      </c>
      <c r="D1480" s="15" t="str">
        <f t="shared" si="1"/>
        <v>Aug</v>
      </c>
      <c r="E1480" s="2" t="str">
        <f t="shared" si="2"/>
        <v>2017</v>
      </c>
      <c r="F1480" s="13" t="s">
        <v>41</v>
      </c>
      <c r="G1480" s="13" t="s">
        <v>2592</v>
      </c>
      <c r="H1480" s="13" t="s">
        <v>2575</v>
      </c>
      <c r="I1480" s="13" t="s">
        <v>23</v>
      </c>
      <c r="J1480" s="13" t="s">
        <v>87</v>
      </c>
      <c r="K1480" s="13" t="s">
        <v>52</v>
      </c>
      <c r="L1480" s="13" t="s">
        <v>37</v>
      </c>
      <c r="M1480" s="13" t="s">
        <v>38</v>
      </c>
      <c r="N1480" s="14">
        <v>25.92</v>
      </c>
      <c r="O1480" s="14">
        <v>25.18</v>
      </c>
      <c r="P1480" s="13">
        <v>9.0</v>
      </c>
      <c r="Q1480" s="14">
        <f t="shared" si="3"/>
        <v>233.28</v>
      </c>
      <c r="R1480" s="14">
        <f t="shared" si="4"/>
        <v>208.1</v>
      </c>
      <c r="S1480" s="14">
        <f t="shared" si="5"/>
        <v>25.18</v>
      </c>
    </row>
    <row r="1481">
      <c r="A1481" s="12">
        <v>42778.0</v>
      </c>
      <c r="B1481" s="12" t="s">
        <v>2431</v>
      </c>
      <c r="C1481" s="2">
        <v>42959.0</v>
      </c>
      <c r="D1481" s="15" t="str">
        <f t="shared" si="1"/>
        <v>Aug</v>
      </c>
      <c r="E1481" s="2" t="str">
        <f t="shared" si="2"/>
        <v>2017</v>
      </c>
      <c r="F1481" s="13" t="s">
        <v>41</v>
      </c>
      <c r="G1481" s="13" t="s">
        <v>2592</v>
      </c>
      <c r="H1481" s="13" t="s">
        <v>2575</v>
      </c>
      <c r="I1481" s="13" t="s">
        <v>23</v>
      </c>
      <c r="J1481" s="13" t="s">
        <v>87</v>
      </c>
      <c r="K1481" s="13" t="s">
        <v>52</v>
      </c>
      <c r="L1481" s="13" t="s">
        <v>37</v>
      </c>
      <c r="M1481" s="13" t="s">
        <v>38</v>
      </c>
      <c r="N1481" s="14">
        <v>40.46</v>
      </c>
      <c r="O1481" s="14">
        <v>40.0</v>
      </c>
      <c r="P1481" s="13">
        <v>9.0</v>
      </c>
      <c r="Q1481" s="14">
        <f t="shared" si="3"/>
        <v>364.14</v>
      </c>
      <c r="R1481" s="14">
        <f t="shared" si="4"/>
        <v>324.14</v>
      </c>
      <c r="S1481" s="14">
        <f t="shared" si="5"/>
        <v>40</v>
      </c>
    </row>
    <row r="1482">
      <c r="A1482" s="12">
        <v>42778.0</v>
      </c>
      <c r="B1482" s="12" t="s">
        <v>2431</v>
      </c>
      <c r="C1482" s="2">
        <v>42959.0</v>
      </c>
      <c r="D1482" s="15" t="str">
        <f t="shared" si="1"/>
        <v>Aug</v>
      </c>
      <c r="E1482" s="2" t="str">
        <f t="shared" si="2"/>
        <v>2017</v>
      </c>
      <c r="F1482" s="13" t="s">
        <v>41</v>
      </c>
      <c r="G1482" s="13" t="s">
        <v>2592</v>
      </c>
      <c r="H1482" s="13" t="s">
        <v>2575</v>
      </c>
      <c r="I1482" s="13" t="s">
        <v>23</v>
      </c>
      <c r="J1482" s="13" t="s">
        <v>87</v>
      </c>
      <c r="K1482" s="13" t="s">
        <v>52</v>
      </c>
      <c r="L1482" s="13" t="s">
        <v>37</v>
      </c>
      <c r="M1482" s="13" t="s">
        <v>38</v>
      </c>
      <c r="N1482" s="14">
        <v>33.87</v>
      </c>
      <c r="O1482" s="14">
        <v>33.86</v>
      </c>
      <c r="P1482" s="13">
        <v>9.0</v>
      </c>
      <c r="Q1482" s="14">
        <f t="shared" si="3"/>
        <v>304.83</v>
      </c>
      <c r="R1482" s="14">
        <f t="shared" si="4"/>
        <v>270.97</v>
      </c>
      <c r="S1482" s="14">
        <f t="shared" si="5"/>
        <v>33.86</v>
      </c>
    </row>
    <row r="1483">
      <c r="A1483" s="12">
        <v>43337.0</v>
      </c>
      <c r="B1483" s="12" t="s">
        <v>2322</v>
      </c>
      <c r="C1483" s="2">
        <v>43340.0</v>
      </c>
      <c r="D1483" s="15" t="str">
        <f t="shared" si="1"/>
        <v>Aug</v>
      </c>
      <c r="E1483" s="2" t="str">
        <f t="shared" si="2"/>
        <v>2018</v>
      </c>
      <c r="F1483" s="13" t="s">
        <v>20</v>
      </c>
      <c r="G1483" s="13" t="s">
        <v>2558</v>
      </c>
      <c r="H1483" s="13" t="s">
        <v>2641</v>
      </c>
      <c r="I1483" s="13" t="s">
        <v>23</v>
      </c>
      <c r="J1483" s="13" t="s">
        <v>205</v>
      </c>
      <c r="K1483" s="13" t="s">
        <v>210</v>
      </c>
      <c r="L1483" s="13" t="s">
        <v>26</v>
      </c>
      <c r="M1483" s="13" t="s">
        <v>38</v>
      </c>
      <c r="N1483" s="14">
        <v>9.728</v>
      </c>
      <c r="O1483" s="14">
        <v>9.14</v>
      </c>
      <c r="P1483" s="13">
        <v>3.0</v>
      </c>
      <c r="Q1483" s="14">
        <f t="shared" si="3"/>
        <v>29.184</v>
      </c>
      <c r="R1483" s="14">
        <f t="shared" si="4"/>
        <v>20.044</v>
      </c>
      <c r="S1483" s="14">
        <f t="shared" si="5"/>
        <v>9.14</v>
      </c>
    </row>
    <row r="1484">
      <c r="A1484" s="12">
        <v>43337.0</v>
      </c>
      <c r="B1484" s="12" t="s">
        <v>2322</v>
      </c>
      <c r="C1484" s="2">
        <v>43340.0</v>
      </c>
      <c r="D1484" s="15" t="str">
        <f t="shared" si="1"/>
        <v>Aug</v>
      </c>
      <c r="E1484" s="2" t="str">
        <f t="shared" si="2"/>
        <v>2018</v>
      </c>
      <c r="F1484" s="13" t="s">
        <v>20</v>
      </c>
      <c r="G1484" s="13" t="s">
        <v>2558</v>
      </c>
      <c r="H1484" s="13" t="s">
        <v>2641</v>
      </c>
      <c r="I1484" s="13" t="s">
        <v>23</v>
      </c>
      <c r="J1484" s="13" t="s">
        <v>205</v>
      </c>
      <c r="K1484" s="13" t="s">
        <v>210</v>
      </c>
      <c r="L1484" s="13" t="s">
        <v>26</v>
      </c>
      <c r="M1484" s="13" t="s">
        <v>38</v>
      </c>
      <c r="N1484" s="14">
        <v>3.424</v>
      </c>
      <c r="O1484" s="14">
        <v>3.15</v>
      </c>
      <c r="P1484" s="13">
        <v>3.0</v>
      </c>
      <c r="Q1484" s="14">
        <f t="shared" si="3"/>
        <v>10.272</v>
      </c>
      <c r="R1484" s="14">
        <f t="shared" si="4"/>
        <v>7.122</v>
      </c>
      <c r="S1484" s="14">
        <f t="shared" si="5"/>
        <v>3.15</v>
      </c>
    </row>
    <row r="1485">
      <c r="A1485" s="12">
        <v>43022.0</v>
      </c>
      <c r="B1485" s="12" t="s">
        <v>2358</v>
      </c>
      <c r="C1485" s="2">
        <v>43026.0</v>
      </c>
      <c r="D1485" s="15" t="str">
        <f t="shared" si="1"/>
        <v>Oct</v>
      </c>
      <c r="E1485" s="2" t="str">
        <f t="shared" si="2"/>
        <v>2017</v>
      </c>
      <c r="F1485" s="13" t="s">
        <v>41</v>
      </c>
      <c r="G1485" s="13" t="s">
        <v>2532</v>
      </c>
      <c r="H1485" s="13" t="s">
        <v>2663</v>
      </c>
      <c r="I1485" s="13" t="s">
        <v>34</v>
      </c>
      <c r="J1485" s="13" t="s">
        <v>62</v>
      </c>
      <c r="K1485" s="13" t="s">
        <v>63</v>
      </c>
      <c r="L1485" s="13" t="s">
        <v>37</v>
      </c>
      <c r="M1485" s="13" t="s">
        <v>51</v>
      </c>
      <c r="N1485" s="14">
        <v>177.0</v>
      </c>
      <c r="O1485" s="14">
        <v>176.13</v>
      </c>
      <c r="P1485" s="13">
        <v>9.0</v>
      </c>
      <c r="Q1485" s="14">
        <f t="shared" si="3"/>
        <v>1593</v>
      </c>
      <c r="R1485" s="14">
        <f t="shared" si="4"/>
        <v>1416.87</v>
      </c>
      <c r="S1485" s="14">
        <f t="shared" si="5"/>
        <v>176.13</v>
      </c>
    </row>
    <row r="1486">
      <c r="A1486" s="12">
        <v>42335.0</v>
      </c>
      <c r="B1486" s="12" t="s">
        <v>2326</v>
      </c>
      <c r="C1486" s="2">
        <v>42075.0</v>
      </c>
      <c r="D1486" s="15" t="str">
        <f t="shared" si="1"/>
        <v>Mar</v>
      </c>
      <c r="E1486" s="2" t="str">
        <f t="shared" si="2"/>
        <v>2015</v>
      </c>
      <c r="F1486" s="13" t="s">
        <v>41</v>
      </c>
      <c r="G1486" s="13" t="s">
        <v>2964</v>
      </c>
      <c r="H1486" s="13" t="s">
        <v>2965</v>
      </c>
      <c r="I1486" s="13" t="s">
        <v>23</v>
      </c>
      <c r="J1486" s="13" t="s">
        <v>174</v>
      </c>
      <c r="K1486" s="13" t="s">
        <v>175</v>
      </c>
      <c r="L1486" s="13" t="s">
        <v>100</v>
      </c>
      <c r="M1486" s="13" t="s">
        <v>38</v>
      </c>
      <c r="N1486" s="14">
        <v>3.76</v>
      </c>
      <c r="O1486" s="14">
        <v>3.06</v>
      </c>
      <c r="P1486" s="13">
        <v>1.0</v>
      </c>
      <c r="Q1486" s="14">
        <f t="shared" si="3"/>
        <v>3.76</v>
      </c>
      <c r="R1486" s="14">
        <f t="shared" si="4"/>
        <v>0.7</v>
      </c>
      <c r="S1486" s="14">
        <f t="shared" si="5"/>
        <v>3.06</v>
      </c>
    </row>
    <row r="1487">
      <c r="A1487" s="12">
        <v>42440.0</v>
      </c>
      <c r="B1487" s="12" t="s">
        <v>2399</v>
      </c>
      <c r="C1487" s="2">
        <v>42562.0</v>
      </c>
      <c r="D1487" s="15" t="str">
        <f t="shared" si="1"/>
        <v>Jul</v>
      </c>
      <c r="E1487" s="2" t="str">
        <f t="shared" si="2"/>
        <v>2016</v>
      </c>
      <c r="F1487" s="13" t="s">
        <v>41</v>
      </c>
      <c r="G1487" s="13" t="s">
        <v>2966</v>
      </c>
      <c r="H1487" s="13" t="s">
        <v>2967</v>
      </c>
      <c r="I1487" s="13" t="s">
        <v>68</v>
      </c>
      <c r="J1487" s="13" t="s">
        <v>35</v>
      </c>
      <c r="K1487" s="13" t="s">
        <v>52</v>
      </c>
      <c r="L1487" s="13" t="s">
        <v>37</v>
      </c>
      <c r="M1487" s="13" t="s">
        <v>51</v>
      </c>
      <c r="N1487" s="14">
        <v>1212.848</v>
      </c>
      <c r="O1487" s="14">
        <v>1212.8</v>
      </c>
      <c r="P1487" s="13">
        <v>9.0</v>
      </c>
      <c r="Q1487" s="14">
        <f t="shared" si="3"/>
        <v>10915.632</v>
      </c>
      <c r="R1487" s="14">
        <f t="shared" si="4"/>
        <v>9702.832</v>
      </c>
      <c r="S1487" s="14">
        <f t="shared" si="5"/>
        <v>1212.8</v>
      </c>
    </row>
    <row r="1488">
      <c r="A1488" s="12">
        <v>42440.0</v>
      </c>
      <c r="B1488" s="12" t="s">
        <v>2399</v>
      </c>
      <c r="C1488" s="2">
        <v>42562.0</v>
      </c>
      <c r="D1488" s="15" t="str">
        <f t="shared" si="1"/>
        <v>Jul</v>
      </c>
      <c r="E1488" s="2" t="str">
        <f t="shared" si="2"/>
        <v>2016</v>
      </c>
      <c r="F1488" s="13" t="s">
        <v>41</v>
      </c>
      <c r="G1488" s="13" t="s">
        <v>2966</v>
      </c>
      <c r="H1488" s="13" t="s">
        <v>2967</v>
      </c>
      <c r="I1488" s="13" t="s">
        <v>68</v>
      </c>
      <c r="J1488" s="13" t="s">
        <v>35</v>
      </c>
      <c r="K1488" s="13" t="s">
        <v>52</v>
      </c>
      <c r="L1488" s="13" t="s">
        <v>37</v>
      </c>
      <c r="M1488" s="13" t="s">
        <v>51</v>
      </c>
      <c r="N1488" s="14">
        <v>89.97</v>
      </c>
      <c r="O1488" s="14">
        <v>89.31</v>
      </c>
      <c r="P1488" s="13">
        <v>9.0</v>
      </c>
      <c r="Q1488" s="14">
        <f t="shared" si="3"/>
        <v>809.73</v>
      </c>
      <c r="R1488" s="14">
        <f t="shared" si="4"/>
        <v>720.42</v>
      </c>
      <c r="S1488" s="14">
        <f t="shared" si="5"/>
        <v>89.31</v>
      </c>
    </row>
    <row r="1489">
      <c r="A1489" s="12">
        <v>42440.0</v>
      </c>
      <c r="B1489" s="12" t="s">
        <v>2399</v>
      </c>
      <c r="C1489" s="2">
        <v>42562.0</v>
      </c>
      <c r="D1489" s="15" t="str">
        <f t="shared" si="1"/>
        <v>Jul</v>
      </c>
      <c r="E1489" s="2" t="str">
        <f t="shared" si="2"/>
        <v>2016</v>
      </c>
      <c r="F1489" s="13" t="s">
        <v>41</v>
      </c>
      <c r="G1489" s="13" t="s">
        <v>2966</v>
      </c>
      <c r="H1489" s="13" t="s">
        <v>2967</v>
      </c>
      <c r="I1489" s="13" t="s">
        <v>68</v>
      </c>
      <c r="J1489" s="13" t="s">
        <v>35</v>
      </c>
      <c r="K1489" s="13" t="s">
        <v>52</v>
      </c>
      <c r="L1489" s="13" t="s">
        <v>37</v>
      </c>
      <c r="M1489" s="13" t="s">
        <v>27</v>
      </c>
      <c r="N1489" s="14">
        <v>42.6</v>
      </c>
      <c r="O1489" s="14">
        <v>41.61</v>
      </c>
      <c r="P1489" s="13">
        <v>9.0</v>
      </c>
      <c r="Q1489" s="14">
        <f t="shared" si="3"/>
        <v>383.4</v>
      </c>
      <c r="R1489" s="14">
        <f t="shared" si="4"/>
        <v>341.79</v>
      </c>
      <c r="S1489" s="14">
        <f t="shared" si="5"/>
        <v>41.61</v>
      </c>
    </row>
    <row r="1490">
      <c r="A1490" s="12">
        <v>42337.0</v>
      </c>
      <c r="B1490" s="12" t="s">
        <v>2326</v>
      </c>
      <c r="C1490" s="2">
        <v>42167.0</v>
      </c>
      <c r="D1490" s="15" t="str">
        <f t="shared" si="1"/>
        <v>Jun</v>
      </c>
      <c r="E1490" s="2" t="str">
        <f t="shared" si="2"/>
        <v>2015</v>
      </c>
      <c r="F1490" s="13" t="s">
        <v>41</v>
      </c>
      <c r="G1490" s="13" t="s">
        <v>2543</v>
      </c>
      <c r="H1490" s="13" t="s">
        <v>3000</v>
      </c>
      <c r="I1490" s="13" t="s">
        <v>23</v>
      </c>
      <c r="J1490" s="13" t="s">
        <v>98</v>
      </c>
      <c r="K1490" s="13" t="s">
        <v>99</v>
      </c>
      <c r="L1490" s="13" t="s">
        <v>100</v>
      </c>
      <c r="M1490" s="13" t="s">
        <v>38</v>
      </c>
      <c r="N1490" s="14">
        <v>5.04</v>
      </c>
      <c r="O1490" s="14">
        <v>4.89</v>
      </c>
      <c r="P1490" s="13">
        <v>1.0</v>
      </c>
      <c r="Q1490" s="14">
        <f t="shared" si="3"/>
        <v>5.04</v>
      </c>
      <c r="R1490" s="14">
        <f t="shared" si="4"/>
        <v>0.15</v>
      </c>
      <c r="S1490" s="14">
        <f t="shared" si="5"/>
        <v>4.89</v>
      </c>
    </row>
    <row r="1491">
      <c r="A1491" s="12">
        <v>43220.0</v>
      </c>
      <c r="B1491" s="12" t="s">
        <v>2332</v>
      </c>
      <c r="C1491" s="2">
        <v>43225.0</v>
      </c>
      <c r="D1491" s="15" t="str">
        <f t="shared" si="1"/>
        <v>May</v>
      </c>
      <c r="E1491" s="2" t="str">
        <f t="shared" si="2"/>
        <v>2018</v>
      </c>
      <c r="F1491" s="13" t="s">
        <v>20</v>
      </c>
      <c r="G1491" s="13" t="s">
        <v>2886</v>
      </c>
      <c r="H1491" s="13" t="s">
        <v>2887</v>
      </c>
      <c r="I1491" s="13" t="s">
        <v>34</v>
      </c>
      <c r="J1491" s="13" t="s">
        <v>174</v>
      </c>
      <c r="K1491" s="13" t="s">
        <v>175</v>
      </c>
      <c r="L1491" s="13" t="s">
        <v>100</v>
      </c>
      <c r="M1491" s="13" t="s">
        <v>38</v>
      </c>
      <c r="N1491" s="14">
        <v>62.96</v>
      </c>
      <c r="O1491" s="14">
        <v>62.24</v>
      </c>
      <c r="P1491" s="13">
        <v>1.0</v>
      </c>
      <c r="Q1491" s="14">
        <f t="shared" si="3"/>
        <v>62.96</v>
      </c>
      <c r="R1491" s="14">
        <f t="shared" si="4"/>
        <v>0.72</v>
      </c>
      <c r="S1491" s="14">
        <f t="shared" si="5"/>
        <v>62.24</v>
      </c>
    </row>
    <row r="1492">
      <c r="A1492" s="12">
        <v>43428.0</v>
      </c>
      <c r="B1492" s="12" t="s">
        <v>2326</v>
      </c>
      <c r="C1492" s="2">
        <v>43432.0</v>
      </c>
      <c r="D1492" s="15" t="str">
        <f t="shared" si="1"/>
        <v>Nov</v>
      </c>
      <c r="E1492" s="2" t="str">
        <f t="shared" si="2"/>
        <v>2018</v>
      </c>
      <c r="F1492" s="13" t="s">
        <v>41</v>
      </c>
      <c r="G1492" s="13" t="s">
        <v>2918</v>
      </c>
      <c r="H1492" s="13" t="s">
        <v>2968</v>
      </c>
      <c r="I1492" s="13" t="s">
        <v>34</v>
      </c>
      <c r="J1492" s="13" t="s">
        <v>174</v>
      </c>
      <c r="K1492" s="13" t="s">
        <v>175</v>
      </c>
      <c r="L1492" s="13" t="s">
        <v>100</v>
      </c>
      <c r="M1492" s="13" t="s">
        <v>38</v>
      </c>
      <c r="N1492" s="14">
        <v>5.88</v>
      </c>
      <c r="O1492" s="14">
        <v>5.88</v>
      </c>
      <c r="P1492" s="13">
        <v>1.0</v>
      </c>
      <c r="Q1492" s="14">
        <f t="shared" si="3"/>
        <v>5.88</v>
      </c>
      <c r="R1492" s="14">
        <f t="shared" si="4"/>
        <v>0</v>
      </c>
      <c r="S1492" s="14">
        <f t="shared" si="5"/>
        <v>5.88</v>
      </c>
    </row>
    <row r="1493">
      <c r="A1493" s="12">
        <v>43428.0</v>
      </c>
      <c r="B1493" s="12" t="s">
        <v>2326</v>
      </c>
      <c r="C1493" s="2">
        <v>43432.0</v>
      </c>
      <c r="D1493" s="15" t="str">
        <f t="shared" si="1"/>
        <v>Nov</v>
      </c>
      <c r="E1493" s="2" t="str">
        <f t="shared" si="2"/>
        <v>2018</v>
      </c>
      <c r="F1493" s="13" t="s">
        <v>41</v>
      </c>
      <c r="G1493" s="13" t="s">
        <v>2918</v>
      </c>
      <c r="H1493" s="13" t="s">
        <v>2968</v>
      </c>
      <c r="I1493" s="13" t="s">
        <v>34</v>
      </c>
      <c r="J1493" s="13" t="s">
        <v>174</v>
      </c>
      <c r="K1493" s="13" t="s">
        <v>175</v>
      </c>
      <c r="L1493" s="13" t="s">
        <v>100</v>
      </c>
      <c r="M1493" s="13" t="s">
        <v>27</v>
      </c>
      <c r="N1493" s="14">
        <v>977.292</v>
      </c>
      <c r="O1493" s="14">
        <v>977.05</v>
      </c>
      <c r="P1493" s="13">
        <v>1.0</v>
      </c>
      <c r="Q1493" s="14">
        <f t="shared" si="3"/>
        <v>977.292</v>
      </c>
      <c r="R1493" s="14">
        <f t="shared" si="4"/>
        <v>0.242</v>
      </c>
      <c r="S1493" s="14">
        <f t="shared" si="5"/>
        <v>977.05</v>
      </c>
    </row>
    <row r="1494">
      <c r="A1494" s="12">
        <v>43403.0</v>
      </c>
      <c r="B1494" s="12" t="s">
        <v>2358</v>
      </c>
      <c r="C1494" s="2">
        <v>43170.0</v>
      </c>
      <c r="D1494" s="15" t="str">
        <f t="shared" si="1"/>
        <v>Mar</v>
      </c>
      <c r="E1494" s="2" t="str">
        <f t="shared" si="2"/>
        <v>2018</v>
      </c>
      <c r="F1494" s="13" t="s">
        <v>41</v>
      </c>
      <c r="G1494" s="13" t="s">
        <v>2969</v>
      </c>
      <c r="H1494" s="13" t="s">
        <v>2970</v>
      </c>
      <c r="I1494" s="13" t="s">
        <v>34</v>
      </c>
      <c r="J1494" s="13" t="s">
        <v>1192</v>
      </c>
      <c r="K1494" s="13" t="s">
        <v>63</v>
      </c>
      <c r="L1494" s="13" t="s">
        <v>37</v>
      </c>
      <c r="M1494" s="13" t="s">
        <v>27</v>
      </c>
      <c r="N1494" s="14">
        <v>9.64</v>
      </c>
      <c r="O1494" s="14">
        <v>8.96</v>
      </c>
      <c r="P1494" s="13">
        <v>9.0</v>
      </c>
      <c r="Q1494" s="14">
        <f t="shared" si="3"/>
        <v>86.76</v>
      </c>
      <c r="R1494" s="14">
        <f t="shared" si="4"/>
        <v>77.8</v>
      </c>
      <c r="S1494" s="14">
        <f t="shared" si="5"/>
        <v>8.96</v>
      </c>
    </row>
    <row r="1495">
      <c r="A1495" s="12">
        <v>42355.0</v>
      </c>
      <c r="B1495" s="12" t="s">
        <v>2325</v>
      </c>
      <c r="C1495" s="2">
        <v>42357.0</v>
      </c>
      <c r="D1495" s="15" t="str">
        <f t="shared" si="1"/>
        <v>Dec</v>
      </c>
      <c r="E1495" s="2" t="str">
        <f t="shared" si="2"/>
        <v>2015</v>
      </c>
      <c r="F1495" s="13" t="s">
        <v>20</v>
      </c>
      <c r="G1495" s="13" t="s">
        <v>2527</v>
      </c>
      <c r="H1495" s="13" t="s">
        <v>2606</v>
      </c>
      <c r="I1495" s="13" t="s">
        <v>23</v>
      </c>
      <c r="J1495" s="13" t="s">
        <v>303</v>
      </c>
      <c r="K1495" s="13" t="s">
        <v>707</v>
      </c>
      <c r="L1495" s="13" t="s">
        <v>26</v>
      </c>
      <c r="M1495" s="13" t="s">
        <v>38</v>
      </c>
      <c r="N1495" s="14">
        <v>40.05</v>
      </c>
      <c r="O1495" s="14">
        <v>39.83</v>
      </c>
      <c r="P1495" s="13">
        <v>3.0</v>
      </c>
      <c r="Q1495" s="14">
        <f t="shared" si="3"/>
        <v>120.15</v>
      </c>
      <c r="R1495" s="14">
        <f t="shared" si="4"/>
        <v>80.32</v>
      </c>
      <c r="S1495" s="14">
        <f t="shared" si="5"/>
        <v>39.83</v>
      </c>
    </row>
    <row r="1496">
      <c r="A1496" s="12">
        <v>43199.0</v>
      </c>
      <c r="B1496" s="12" t="s">
        <v>2332</v>
      </c>
      <c r="C1496" s="2">
        <v>43321.0</v>
      </c>
      <c r="D1496" s="15" t="str">
        <f t="shared" si="1"/>
        <v>Aug</v>
      </c>
      <c r="E1496" s="2" t="str">
        <f t="shared" si="2"/>
        <v>2018</v>
      </c>
      <c r="F1496" s="13" t="s">
        <v>41</v>
      </c>
      <c r="G1496" s="13" t="s">
        <v>2560</v>
      </c>
      <c r="H1496" s="13" t="s">
        <v>2971</v>
      </c>
      <c r="I1496" s="13" t="s">
        <v>23</v>
      </c>
      <c r="J1496" s="13" t="s">
        <v>2311</v>
      </c>
      <c r="K1496" s="13" t="s">
        <v>70</v>
      </c>
      <c r="L1496" s="13" t="s">
        <v>71</v>
      </c>
      <c r="M1496" s="13" t="s">
        <v>38</v>
      </c>
      <c r="N1496" s="14">
        <v>10.192</v>
      </c>
      <c r="O1496" s="14">
        <v>9.79</v>
      </c>
      <c r="P1496" s="13">
        <v>7.0</v>
      </c>
      <c r="Q1496" s="14">
        <f t="shared" si="3"/>
        <v>71.344</v>
      </c>
      <c r="R1496" s="14">
        <f t="shared" si="4"/>
        <v>61.554</v>
      </c>
      <c r="S1496" s="14">
        <f t="shared" si="5"/>
        <v>9.79</v>
      </c>
    </row>
    <row r="1497">
      <c r="A1497" s="12">
        <v>43199.0</v>
      </c>
      <c r="B1497" s="12" t="s">
        <v>2332</v>
      </c>
      <c r="C1497" s="2">
        <v>43321.0</v>
      </c>
      <c r="D1497" s="15" t="str">
        <f t="shared" si="1"/>
        <v>Aug</v>
      </c>
      <c r="E1497" s="2" t="str">
        <f t="shared" si="2"/>
        <v>2018</v>
      </c>
      <c r="F1497" s="13" t="s">
        <v>41</v>
      </c>
      <c r="G1497" s="13" t="s">
        <v>2560</v>
      </c>
      <c r="H1497" s="13" t="s">
        <v>2971</v>
      </c>
      <c r="I1497" s="13" t="s">
        <v>23</v>
      </c>
      <c r="J1497" s="13" t="s">
        <v>2311</v>
      </c>
      <c r="K1497" s="13" t="s">
        <v>70</v>
      </c>
      <c r="L1497" s="13" t="s">
        <v>71</v>
      </c>
      <c r="M1497" s="13" t="s">
        <v>38</v>
      </c>
      <c r="N1497" s="14">
        <v>16.784</v>
      </c>
      <c r="O1497" s="14">
        <v>16.26</v>
      </c>
      <c r="P1497" s="13">
        <v>7.0</v>
      </c>
      <c r="Q1497" s="14">
        <f t="shared" si="3"/>
        <v>117.488</v>
      </c>
      <c r="R1497" s="14">
        <f t="shared" si="4"/>
        <v>101.228</v>
      </c>
      <c r="S1497" s="14">
        <f t="shared" si="5"/>
        <v>16.26</v>
      </c>
    </row>
    <row r="1498">
      <c r="A1498" s="12">
        <v>43199.0</v>
      </c>
      <c r="B1498" s="12" t="s">
        <v>2332</v>
      </c>
      <c r="C1498" s="2">
        <v>43321.0</v>
      </c>
      <c r="D1498" s="15" t="str">
        <f t="shared" si="1"/>
        <v>Aug</v>
      </c>
      <c r="E1498" s="2" t="str">
        <f t="shared" si="2"/>
        <v>2018</v>
      </c>
      <c r="F1498" s="13" t="s">
        <v>41</v>
      </c>
      <c r="G1498" s="13" t="s">
        <v>2560</v>
      </c>
      <c r="H1498" s="13" t="s">
        <v>2971</v>
      </c>
      <c r="I1498" s="13" t="s">
        <v>23</v>
      </c>
      <c r="J1498" s="13" t="s">
        <v>2311</v>
      </c>
      <c r="K1498" s="13" t="s">
        <v>70</v>
      </c>
      <c r="L1498" s="13" t="s">
        <v>71</v>
      </c>
      <c r="M1498" s="13" t="s">
        <v>38</v>
      </c>
      <c r="N1498" s="14">
        <v>13.12</v>
      </c>
      <c r="O1498" s="14">
        <v>12.32</v>
      </c>
      <c r="P1498" s="13">
        <v>7.0</v>
      </c>
      <c r="Q1498" s="14">
        <f t="shared" si="3"/>
        <v>91.84</v>
      </c>
      <c r="R1498" s="14">
        <f t="shared" si="4"/>
        <v>79.52</v>
      </c>
      <c r="S1498" s="14">
        <f t="shared" si="5"/>
        <v>12.32</v>
      </c>
    </row>
    <row r="1499">
      <c r="A1499" s="12">
        <v>43025.0</v>
      </c>
      <c r="B1499" s="12" t="s">
        <v>2358</v>
      </c>
      <c r="C1499" s="2">
        <v>43028.0</v>
      </c>
      <c r="D1499" s="15" t="str">
        <f t="shared" si="1"/>
        <v>Oct</v>
      </c>
      <c r="E1499" s="2" t="str">
        <f t="shared" si="2"/>
        <v>2017</v>
      </c>
      <c r="F1499" s="13" t="s">
        <v>121</v>
      </c>
      <c r="G1499" s="13" t="s">
        <v>2462</v>
      </c>
      <c r="H1499" s="13" t="s">
        <v>2463</v>
      </c>
      <c r="I1499" s="13" t="s">
        <v>68</v>
      </c>
      <c r="J1499" s="13" t="s">
        <v>87</v>
      </c>
      <c r="K1499" s="13" t="s">
        <v>52</v>
      </c>
      <c r="L1499" s="13" t="s">
        <v>37</v>
      </c>
      <c r="M1499" s="13" t="s">
        <v>38</v>
      </c>
      <c r="N1499" s="14">
        <v>18.16</v>
      </c>
      <c r="O1499" s="14">
        <v>17.91</v>
      </c>
      <c r="P1499" s="13">
        <v>9.0</v>
      </c>
      <c r="Q1499" s="14">
        <f t="shared" si="3"/>
        <v>163.44</v>
      </c>
      <c r="R1499" s="14">
        <f t="shared" si="4"/>
        <v>145.53</v>
      </c>
      <c r="S1499" s="14">
        <f t="shared" si="5"/>
        <v>17.91</v>
      </c>
    </row>
    <row r="1500">
      <c r="A1500" s="12">
        <v>43445.0</v>
      </c>
      <c r="B1500" s="12" t="s">
        <v>2325</v>
      </c>
      <c r="C1500" s="2">
        <v>43422.0</v>
      </c>
      <c r="D1500" s="15" t="str">
        <f t="shared" si="1"/>
        <v>Nov</v>
      </c>
      <c r="E1500" s="2" t="str">
        <f t="shared" si="2"/>
        <v>2018</v>
      </c>
      <c r="F1500" s="13" t="s">
        <v>41</v>
      </c>
      <c r="G1500" s="13" t="s">
        <v>2554</v>
      </c>
      <c r="H1500" s="13" t="s">
        <v>2591</v>
      </c>
      <c r="I1500" s="13" t="s">
        <v>23</v>
      </c>
      <c r="J1500" s="13" t="s">
        <v>685</v>
      </c>
      <c r="K1500" s="13" t="s">
        <v>70</v>
      </c>
      <c r="L1500" s="13" t="s">
        <v>71</v>
      </c>
      <c r="M1500" s="13" t="s">
        <v>38</v>
      </c>
      <c r="N1500" s="14">
        <v>16.056</v>
      </c>
      <c r="O1500" s="14">
        <v>15.52</v>
      </c>
      <c r="P1500" s="13">
        <v>7.0</v>
      </c>
      <c r="Q1500" s="14">
        <f t="shared" si="3"/>
        <v>112.392</v>
      </c>
      <c r="R1500" s="14">
        <f t="shared" si="4"/>
        <v>96.872</v>
      </c>
      <c r="S1500" s="14">
        <f t="shared" si="5"/>
        <v>15.52</v>
      </c>
    </row>
  </sheetData>
  <autoFilter ref="$A$1:$S$1500"/>
  <customSheetViews>
    <customSheetView guid="{4DA6FFBA-0C7B-4784-8C1A-59CC939BAA3A}" filter="1" showAutoFilter="1">
      <autoFilter ref="$A$1:$S$1500"/>
    </customSheetView>
  </customSheetView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7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8" max="8" width="16.5"/>
    <col customWidth="1" min="9" max="9" width="4.88"/>
    <col customWidth="1" min="13" max="13" width="12.63"/>
  </cols>
  <sheetData>
    <row r="1">
      <c r="A1" s="35"/>
      <c r="B1" s="36" t="s">
        <v>3011</v>
      </c>
      <c r="C1" s="35"/>
      <c r="D1" s="35"/>
      <c r="E1" s="37" t="s">
        <v>3012</v>
      </c>
      <c r="I1" s="35"/>
      <c r="J1" s="35"/>
      <c r="K1" s="35"/>
      <c r="L1" s="36" t="s">
        <v>3011</v>
      </c>
      <c r="M1" s="35"/>
    </row>
    <row r="2">
      <c r="A2" s="38" t="s">
        <v>3013</v>
      </c>
      <c r="B2" s="38" t="s">
        <v>3014</v>
      </c>
      <c r="C2" s="39" t="s">
        <v>3015</v>
      </c>
      <c r="D2" s="35"/>
      <c r="I2" s="35"/>
      <c r="J2" s="40"/>
      <c r="K2" s="38" t="s">
        <v>3013</v>
      </c>
      <c r="L2" s="38" t="s">
        <v>3014</v>
      </c>
      <c r="M2" s="39" t="s">
        <v>3015</v>
      </c>
    </row>
    <row r="3">
      <c r="A3" s="41">
        <v>92255.86999999998</v>
      </c>
      <c r="B3" s="41">
        <v>72917.86000000004</v>
      </c>
      <c r="C3" s="41">
        <v>101326.16999999991</v>
      </c>
      <c r="D3" s="35"/>
      <c r="E3" s="35"/>
      <c r="F3" s="35"/>
      <c r="G3" s="35"/>
      <c r="H3" s="35"/>
      <c r="I3" s="35"/>
      <c r="J3" s="42"/>
      <c r="K3" s="43">
        <v>479230.5675000001</v>
      </c>
      <c r="L3" s="43">
        <v>286707.6663999998</v>
      </c>
      <c r="M3" s="43">
        <v>367683.2021999996</v>
      </c>
    </row>
    <row r="4">
      <c r="A4" s="44" t="s">
        <v>3016</v>
      </c>
      <c r="B4" s="44" t="s">
        <v>3017</v>
      </c>
      <c r="C4" s="44" t="s">
        <v>3018</v>
      </c>
      <c r="D4" s="35"/>
      <c r="E4" s="35"/>
      <c r="F4" s="35"/>
      <c r="G4" s="35"/>
      <c r="H4" s="35"/>
      <c r="I4" s="35"/>
      <c r="J4" s="45"/>
      <c r="K4" s="44" t="s">
        <v>3016</v>
      </c>
      <c r="L4" s="44" t="s">
        <v>3017</v>
      </c>
      <c r="M4" s="44" t="s">
        <v>3018</v>
      </c>
    </row>
    <row r="5">
      <c r="A5" s="41">
        <v>80113.55999999998</v>
      </c>
      <c r="B5" s="41">
        <v>1714.2299999999998</v>
      </c>
      <c r="C5" s="41">
        <v>348327.68999999994</v>
      </c>
      <c r="D5" s="35"/>
      <c r="E5" s="35"/>
      <c r="F5" s="35"/>
      <c r="G5" s="35"/>
      <c r="H5" s="35"/>
      <c r="I5" s="35"/>
      <c r="J5" s="42"/>
      <c r="K5" s="43">
        <v>267412.2611000002</v>
      </c>
      <c r="L5" s="43">
        <v>7534.4076</v>
      </c>
      <c r="M5" s="43">
        <v>1408568.104799998</v>
      </c>
    </row>
    <row r="6">
      <c r="A6" s="35"/>
      <c r="B6" s="35"/>
      <c r="C6" s="35"/>
      <c r="D6" s="35"/>
      <c r="E6" s="35"/>
      <c r="F6" s="35"/>
      <c r="G6" s="35"/>
      <c r="H6" s="35"/>
      <c r="I6" s="35"/>
      <c r="J6" s="35"/>
      <c r="K6" s="35"/>
      <c r="L6" s="35"/>
      <c r="M6" s="35"/>
    </row>
    <row r="7">
      <c r="A7" s="35"/>
      <c r="B7" s="35"/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</row>
    <row r="8">
      <c r="A8" s="35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</row>
    <row r="9">
      <c r="A9" s="35"/>
      <c r="B9" s="35"/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</row>
    <row r="10">
      <c r="A10" s="35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</row>
    <row r="11">
      <c r="A11" s="35"/>
      <c r="B11" s="35"/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</row>
    <row r="12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</row>
    <row r="13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</row>
    <row r="14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</row>
    <row r="1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</row>
    <row r="16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</row>
    <row r="17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</row>
    <row r="18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</row>
    <row r="19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</row>
    <row r="20">
      <c r="A20" s="35"/>
      <c r="B20" s="35"/>
      <c r="C20" s="46"/>
      <c r="D20" s="35"/>
      <c r="E20" s="35"/>
      <c r="F20" s="35"/>
      <c r="G20" s="35"/>
      <c r="H20" s="35"/>
      <c r="I20" s="35"/>
      <c r="J20" s="35"/>
      <c r="K20" s="35"/>
      <c r="L20" s="35"/>
      <c r="M20" s="35"/>
    </row>
    <row r="21">
      <c r="A21" s="35"/>
      <c r="B21" s="35"/>
      <c r="C21" s="35"/>
      <c r="D21" s="35"/>
      <c r="E21" s="35"/>
      <c r="F21" s="42"/>
      <c r="G21" s="35"/>
      <c r="H21" s="35"/>
      <c r="I21" s="35"/>
      <c r="J21" s="35"/>
      <c r="K21" s="35"/>
      <c r="L21" s="35"/>
      <c r="M21" s="35"/>
    </row>
    <row r="22">
      <c r="A22" s="35"/>
      <c r="B22" s="35"/>
      <c r="C22" s="35"/>
      <c r="D22" s="35"/>
      <c r="E22" s="35"/>
      <c r="F22" s="42"/>
      <c r="G22" s="35"/>
      <c r="H22" s="35"/>
      <c r="I22" s="35"/>
      <c r="J22" s="35"/>
      <c r="K22" s="35"/>
      <c r="L22" s="35"/>
      <c r="M22" s="35"/>
    </row>
    <row r="23">
      <c r="A23" s="35"/>
      <c r="B23" s="35"/>
      <c r="C23" s="35"/>
      <c r="D23" s="35"/>
      <c r="E23" s="35"/>
      <c r="F23" s="42"/>
      <c r="G23" s="35"/>
      <c r="H23" s="35"/>
      <c r="I23" s="35"/>
      <c r="J23" s="35"/>
      <c r="K23" s="35"/>
      <c r="L23" s="35"/>
      <c r="M23" s="35"/>
    </row>
    <row r="24">
      <c r="A24" s="35"/>
      <c r="B24" s="35"/>
      <c r="C24" s="35"/>
      <c r="D24" s="35"/>
      <c r="E24" s="35"/>
      <c r="F24" s="42"/>
      <c r="G24" s="35"/>
      <c r="H24" s="35"/>
      <c r="I24" s="35"/>
      <c r="J24" s="35"/>
      <c r="K24" s="35"/>
      <c r="L24" s="35"/>
      <c r="M24" s="35"/>
    </row>
    <row r="25">
      <c r="A25" s="35"/>
      <c r="B25" s="35"/>
      <c r="C25" s="35"/>
      <c r="D25" s="35"/>
      <c r="E25" s="35"/>
      <c r="F25" s="42"/>
      <c r="G25" s="35"/>
      <c r="H25" s="35"/>
      <c r="I25" s="35"/>
      <c r="J25" s="35"/>
      <c r="K25" s="35"/>
      <c r="L25" s="35"/>
      <c r="M25" s="35"/>
    </row>
    <row r="26">
      <c r="A26" s="35"/>
      <c r="B26" s="35"/>
      <c r="C26" s="35"/>
      <c r="D26" s="35"/>
      <c r="E26" s="35"/>
      <c r="F26" s="42"/>
      <c r="G26" s="35"/>
      <c r="H26" s="35"/>
      <c r="I26" s="35"/>
      <c r="J26" s="35"/>
      <c r="K26" s="35"/>
      <c r="L26" s="35"/>
      <c r="M26" s="35"/>
    </row>
    <row r="27">
      <c r="A27" s="35"/>
      <c r="B27" s="35"/>
      <c r="C27" s="35"/>
      <c r="D27" s="35"/>
      <c r="E27" s="35"/>
      <c r="F27" s="42"/>
      <c r="G27" s="35"/>
      <c r="H27" s="35"/>
      <c r="I27" s="35"/>
      <c r="J27" s="35"/>
      <c r="K27" s="35"/>
      <c r="L27" s="35"/>
      <c r="M27" s="35"/>
    </row>
    <row r="28">
      <c r="A28" s="35"/>
      <c r="B28" s="35"/>
      <c r="C28" s="35"/>
      <c r="D28" s="35"/>
      <c r="E28" s="35"/>
      <c r="F28" s="42"/>
      <c r="G28" s="35"/>
      <c r="H28" s="35"/>
      <c r="I28" s="35"/>
      <c r="J28" s="35"/>
      <c r="K28" s="35"/>
      <c r="L28" s="35"/>
      <c r="M28" s="35"/>
    </row>
    <row r="29">
      <c r="A29" s="35"/>
      <c r="B29" s="35"/>
      <c r="C29" s="35"/>
      <c r="D29" s="35"/>
      <c r="E29" s="35"/>
      <c r="F29" s="42"/>
      <c r="G29" s="35"/>
      <c r="H29" s="35"/>
      <c r="I29" s="35"/>
      <c r="J29" s="35"/>
      <c r="K29" s="35"/>
      <c r="L29" s="35"/>
      <c r="M29" s="35"/>
    </row>
    <row r="30" ht="9.0" customHeight="1">
      <c r="A30" s="35"/>
      <c r="B30" s="35"/>
      <c r="C30" s="35"/>
      <c r="D30" s="35"/>
      <c r="E30" s="35"/>
      <c r="F30" s="42"/>
      <c r="G30" s="35"/>
      <c r="H30" s="35"/>
      <c r="I30" s="35"/>
      <c r="J30" s="35"/>
      <c r="K30" s="35"/>
      <c r="L30" s="35"/>
      <c r="M30" s="35"/>
    </row>
    <row r="47"/>
    <row r="48"/>
    <row r="49"/>
    <row r="50"/>
    <row r="51"/>
    <row r="52"/>
    <row r="53"/>
  </sheetData>
  <mergeCells count="1">
    <mergeCell ref="E1:H2"/>
  </mergeCells>
  <drawing r:id="rId2"/>
</worksheet>
</file>