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firstSheet="6" activeTab="15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45621"/>
</workbook>
</file>

<file path=xl/calcChain.xml><?xml version="1.0" encoding="utf-8"?>
<calcChain xmlns="http://schemas.openxmlformats.org/spreadsheetml/2006/main">
  <c r="N48" i="19" l="1"/>
  <c r="M48" i="19"/>
  <c r="L48" i="19"/>
  <c r="K48" i="19"/>
  <c r="J48" i="19"/>
  <c r="I48" i="19"/>
  <c r="H48" i="19"/>
  <c r="G48" i="19"/>
  <c r="F48" i="19"/>
  <c r="E48" i="19"/>
  <c r="D48" i="19"/>
  <c r="C48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N38" i="19"/>
  <c r="N39" i="19" s="1"/>
  <c r="N40" i="19" s="1"/>
  <c r="M38" i="19"/>
  <c r="M39" i="19" s="1"/>
  <c r="M40" i="19" s="1"/>
  <c r="L38" i="19"/>
  <c r="L39" i="19" s="1"/>
  <c r="L40" i="19" s="1"/>
  <c r="K38" i="19"/>
  <c r="K39" i="19" s="1"/>
  <c r="K40" i="19" s="1"/>
  <c r="J38" i="19"/>
  <c r="J39" i="19" s="1"/>
  <c r="J40" i="19" s="1"/>
  <c r="I38" i="19"/>
  <c r="I39" i="19" s="1"/>
  <c r="I40" i="19" s="1"/>
  <c r="H38" i="19"/>
  <c r="H39" i="19" s="1"/>
  <c r="H40" i="19" s="1"/>
  <c r="G38" i="19"/>
  <c r="G39" i="19" s="1"/>
  <c r="G40" i="19" s="1"/>
  <c r="F38" i="19"/>
  <c r="F39" i="19" s="1"/>
  <c r="F40" i="19" s="1"/>
  <c r="E38" i="19"/>
  <c r="E39" i="19" s="1"/>
  <c r="E40" i="19" s="1"/>
  <c r="D38" i="19"/>
  <c r="D39" i="19" s="1"/>
  <c r="D40" i="19" s="1"/>
  <c r="C38" i="19"/>
  <c r="C39" i="19" s="1"/>
  <c r="C40" i="19" s="1"/>
  <c r="N48" i="18"/>
  <c r="M48" i="18"/>
  <c r="L48" i="18"/>
  <c r="K48" i="18"/>
  <c r="J48" i="18"/>
  <c r="I48" i="18"/>
  <c r="H48" i="18"/>
  <c r="G48" i="18"/>
  <c r="F48" i="18"/>
  <c r="E48" i="18"/>
  <c r="D48" i="18"/>
  <c r="C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N38" i="18"/>
  <c r="N39" i="18" s="1"/>
  <c r="N40" i="18" s="1"/>
  <c r="M38" i="18"/>
  <c r="M39" i="18" s="1"/>
  <c r="M40" i="18" s="1"/>
  <c r="L38" i="18"/>
  <c r="L39" i="18" s="1"/>
  <c r="L40" i="18" s="1"/>
  <c r="K38" i="18"/>
  <c r="K39" i="18" s="1"/>
  <c r="K40" i="18" s="1"/>
  <c r="J38" i="18"/>
  <c r="J39" i="18" s="1"/>
  <c r="J40" i="18" s="1"/>
  <c r="I38" i="18"/>
  <c r="I39" i="18" s="1"/>
  <c r="I40" i="18" s="1"/>
  <c r="H38" i="18"/>
  <c r="H39" i="18" s="1"/>
  <c r="H40" i="18" s="1"/>
  <c r="G38" i="18"/>
  <c r="G39" i="18" s="1"/>
  <c r="G40" i="18" s="1"/>
  <c r="F38" i="18"/>
  <c r="F39" i="18" s="1"/>
  <c r="F40" i="18" s="1"/>
  <c r="E38" i="18"/>
  <c r="E39" i="18" s="1"/>
  <c r="E40" i="18" s="1"/>
  <c r="D38" i="18"/>
  <c r="D39" i="18" s="1"/>
  <c r="D40" i="18" s="1"/>
  <c r="C38" i="18"/>
  <c r="C39" i="18" s="1"/>
  <c r="C40" i="18" s="1"/>
  <c r="N48" i="17"/>
  <c r="M48" i="17"/>
  <c r="L48" i="17"/>
  <c r="K48" i="17"/>
  <c r="J48" i="17"/>
  <c r="I48" i="17"/>
  <c r="H48" i="17"/>
  <c r="G48" i="17"/>
  <c r="F48" i="17"/>
  <c r="E48" i="17"/>
  <c r="D48" i="17"/>
  <c r="C48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N38" i="17"/>
  <c r="N39" i="17" s="1"/>
  <c r="N40" i="17" s="1"/>
  <c r="M38" i="17"/>
  <c r="M39" i="17" s="1"/>
  <c r="L38" i="17"/>
  <c r="L39" i="17" s="1"/>
  <c r="L40" i="17" s="1"/>
  <c r="K38" i="17"/>
  <c r="K39" i="17" s="1"/>
  <c r="K40" i="17" s="1"/>
  <c r="J38" i="17"/>
  <c r="J39" i="17" s="1"/>
  <c r="J40" i="17" s="1"/>
  <c r="I38" i="17"/>
  <c r="I39" i="17" s="1"/>
  <c r="I40" i="17" s="1"/>
  <c r="H38" i="17"/>
  <c r="H39" i="17" s="1"/>
  <c r="H40" i="17" s="1"/>
  <c r="G38" i="17"/>
  <c r="G39" i="17" s="1"/>
  <c r="G40" i="17" s="1"/>
  <c r="F38" i="17"/>
  <c r="F39" i="17" s="1"/>
  <c r="F40" i="17" s="1"/>
  <c r="E38" i="17"/>
  <c r="E39" i="17" s="1"/>
  <c r="E40" i="17" s="1"/>
  <c r="D38" i="17"/>
  <c r="D39" i="17" s="1"/>
  <c r="D40" i="17" s="1"/>
  <c r="C38" i="17"/>
  <c r="C39" i="17" s="1"/>
  <c r="C40" i="17" s="1"/>
  <c r="N48" i="16"/>
  <c r="M48" i="16"/>
  <c r="L48" i="16"/>
  <c r="K48" i="16"/>
  <c r="J48" i="16"/>
  <c r="I48" i="16"/>
  <c r="H48" i="16"/>
  <c r="G48" i="16"/>
  <c r="F48" i="16"/>
  <c r="E48" i="16"/>
  <c r="D48" i="16"/>
  <c r="C48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N38" i="16"/>
  <c r="N39" i="16" s="1"/>
  <c r="N40" i="16" s="1"/>
  <c r="M38" i="16"/>
  <c r="M39" i="16" s="1"/>
  <c r="L38" i="16"/>
  <c r="L39" i="16" s="1"/>
  <c r="L40" i="16" s="1"/>
  <c r="K38" i="16"/>
  <c r="K39" i="16" s="1"/>
  <c r="K40" i="16" s="1"/>
  <c r="J38" i="16"/>
  <c r="J39" i="16" s="1"/>
  <c r="J40" i="16" s="1"/>
  <c r="I38" i="16"/>
  <c r="I39" i="16" s="1"/>
  <c r="I40" i="16" s="1"/>
  <c r="H38" i="16"/>
  <c r="H39" i="16" s="1"/>
  <c r="H40" i="16" s="1"/>
  <c r="G38" i="16"/>
  <c r="G39" i="16" s="1"/>
  <c r="G40" i="16" s="1"/>
  <c r="F38" i="16"/>
  <c r="F39" i="16" s="1"/>
  <c r="F40" i="16" s="1"/>
  <c r="E38" i="16"/>
  <c r="E39" i="16" s="1"/>
  <c r="E40" i="16" s="1"/>
  <c r="D38" i="16"/>
  <c r="D39" i="16" s="1"/>
  <c r="D40" i="16" s="1"/>
  <c r="C38" i="16"/>
  <c r="C39" i="16" s="1"/>
  <c r="C40" i="16" s="1"/>
  <c r="N48" i="15"/>
  <c r="M48" i="15"/>
  <c r="L48" i="15"/>
  <c r="K48" i="15"/>
  <c r="J48" i="15"/>
  <c r="I48" i="15"/>
  <c r="H48" i="15"/>
  <c r="G48" i="15"/>
  <c r="F48" i="15"/>
  <c r="E48" i="15"/>
  <c r="D48" i="15"/>
  <c r="C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N38" i="15"/>
  <c r="N39" i="15" s="1"/>
  <c r="N40" i="15" s="1"/>
  <c r="M38" i="15"/>
  <c r="M39" i="15" s="1"/>
  <c r="L38" i="15"/>
  <c r="L39" i="15" s="1"/>
  <c r="L40" i="15" s="1"/>
  <c r="K38" i="15"/>
  <c r="K39" i="15" s="1"/>
  <c r="K40" i="15" s="1"/>
  <c r="J38" i="15"/>
  <c r="J39" i="15" s="1"/>
  <c r="J40" i="15" s="1"/>
  <c r="I38" i="15"/>
  <c r="I39" i="15" s="1"/>
  <c r="I40" i="15" s="1"/>
  <c r="H38" i="15"/>
  <c r="H39" i="15" s="1"/>
  <c r="H40" i="15" s="1"/>
  <c r="G38" i="15"/>
  <c r="G39" i="15" s="1"/>
  <c r="G40" i="15" s="1"/>
  <c r="F38" i="15"/>
  <c r="F39" i="15" s="1"/>
  <c r="F40" i="15" s="1"/>
  <c r="E38" i="15"/>
  <c r="E39" i="15" s="1"/>
  <c r="E40" i="15" s="1"/>
  <c r="D38" i="15"/>
  <c r="D39" i="15" s="1"/>
  <c r="D40" i="15" s="1"/>
  <c r="C38" i="15"/>
  <c r="C39" i="15" s="1"/>
  <c r="C40" i="15" s="1"/>
  <c r="N48" i="14"/>
  <c r="M48" i="14"/>
  <c r="L48" i="14"/>
  <c r="K48" i="14"/>
  <c r="J48" i="14"/>
  <c r="I48" i="14"/>
  <c r="H48" i="14"/>
  <c r="G48" i="14"/>
  <c r="F48" i="14"/>
  <c r="E48" i="14"/>
  <c r="D48" i="14"/>
  <c r="C48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N41" i="14"/>
  <c r="M41" i="14"/>
  <c r="L41" i="14"/>
  <c r="K41" i="14"/>
  <c r="J41" i="14"/>
  <c r="J40" i="14" s="1"/>
  <c r="I41" i="14"/>
  <c r="H41" i="14"/>
  <c r="G41" i="14"/>
  <c r="F41" i="14"/>
  <c r="F40" i="14" s="1"/>
  <c r="E41" i="14"/>
  <c r="D41" i="14"/>
  <c r="C41" i="14"/>
  <c r="N40" i="14"/>
  <c r="N39" i="14"/>
  <c r="J39" i="14"/>
  <c r="F39" i="14"/>
  <c r="N38" i="14"/>
  <c r="M38" i="14"/>
  <c r="M39" i="14" s="1"/>
  <c r="L38" i="14"/>
  <c r="L39" i="14" s="1"/>
  <c r="L40" i="14" s="1"/>
  <c r="K38" i="14"/>
  <c r="K39" i="14" s="1"/>
  <c r="K40" i="14" s="1"/>
  <c r="J38" i="14"/>
  <c r="I38" i="14"/>
  <c r="I39" i="14" s="1"/>
  <c r="I40" i="14" s="1"/>
  <c r="H38" i="14"/>
  <c r="H39" i="14" s="1"/>
  <c r="H40" i="14" s="1"/>
  <c r="G38" i="14"/>
  <c r="G39" i="14" s="1"/>
  <c r="G40" i="14" s="1"/>
  <c r="F38" i="14"/>
  <c r="E38" i="14"/>
  <c r="E39" i="14" s="1"/>
  <c r="E40" i="14" s="1"/>
  <c r="D38" i="14"/>
  <c r="D39" i="14" s="1"/>
  <c r="D40" i="14" s="1"/>
  <c r="C38" i="14"/>
  <c r="C39" i="14" s="1"/>
  <c r="C40" i="14" s="1"/>
  <c r="N48" i="13"/>
  <c r="M48" i="13"/>
  <c r="L48" i="13"/>
  <c r="K48" i="13"/>
  <c r="J48" i="13"/>
  <c r="I48" i="13"/>
  <c r="H48" i="13"/>
  <c r="G48" i="13"/>
  <c r="F48" i="13"/>
  <c r="E48" i="13"/>
  <c r="D48" i="13"/>
  <c r="C48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N38" i="13"/>
  <c r="N39" i="13" s="1"/>
  <c r="N40" i="13" s="1"/>
  <c r="M38" i="13"/>
  <c r="M39" i="13" s="1"/>
  <c r="L38" i="13"/>
  <c r="L39" i="13" s="1"/>
  <c r="L40" i="13" s="1"/>
  <c r="K38" i="13"/>
  <c r="K39" i="13" s="1"/>
  <c r="K40" i="13" s="1"/>
  <c r="J38" i="13"/>
  <c r="J39" i="13" s="1"/>
  <c r="J40" i="13" s="1"/>
  <c r="I38" i="13"/>
  <c r="I39" i="13" s="1"/>
  <c r="I40" i="13" s="1"/>
  <c r="H38" i="13"/>
  <c r="H39" i="13" s="1"/>
  <c r="H40" i="13" s="1"/>
  <c r="G38" i="13"/>
  <c r="G39" i="13" s="1"/>
  <c r="G40" i="13" s="1"/>
  <c r="F38" i="13"/>
  <c r="F39" i="13" s="1"/>
  <c r="F40" i="13" s="1"/>
  <c r="E38" i="13"/>
  <c r="E39" i="13" s="1"/>
  <c r="E40" i="13" s="1"/>
  <c r="D38" i="13"/>
  <c r="D39" i="13" s="1"/>
  <c r="D40" i="13" s="1"/>
  <c r="C38" i="13"/>
  <c r="C39" i="13" s="1"/>
  <c r="C40" i="13" s="1"/>
  <c r="N48" i="12"/>
  <c r="M48" i="12"/>
  <c r="L48" i="12"/>
  <c r="K48" i="12"/>
  <c r="J48" i="12"/>
  <c r="I48" i="12"/>
  <c r="H48" i="12"/>
  <c r="G48" i="12"/>
  <c r="F48" i="12"/>
  <c r="E48" i="12"/>
  <c r="D48" i="12"/>
  <c r="C48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N41" i="12"/>
  <c r="M41" i="12"/>
  <c r="L41" i="12"/>
  <c r="K41" i="12"/>
  <c r="J41" i="12"/>
  <c r="J40" i="12" s="1"/>
  <c r="I41" i="12"/>
  <c r="H41" i="12"/>
  <c r="G41" i="12"/>
  <c r="F41" i="12"/>
  <c r="F40" i="12" s="1"/>
  <c r="E41" i="12"/>
  <c r="D41" i="12"/>
  <c r="C41" i="12"/>
  <c r="N40" i="12"/>
  <c r="N39" i="12"/>
  <c r="J39" i="12"/>
  <c r="F39" i="12"/>
  <c r="N38" i="12"/>
  <c r="M38" i="12"/>
  <c r="M39" i="12" s="1"/>
  <c r="L38" i="12"/>
  <c r="L39" i="12" s="1"/>
  <c r="L40" i="12" s="1"/>
  <c r="K38" i="12"/>
  <c r="K39" i="12" s="1"/>
  <c r="K40" i="12" s="1"/>
  <c r="J38" i="12"/>
  <c r="I38" i="12"/>
  <c r="I39" i="12" s="1"/>
  <c r="I40" i="12" s="1"/>
  <c r="H38" i="12"/>
  <c r="H39" i="12" s="1"/>
  <c r="H40" i="12" s="1"/>
  <c r="G38" i="12"/>
  <c r="G39" i="12" s="1"/>
  <c r="G40" i="12" s="1"/>
  <c r="F38" i="12"/>
  <c r="E38" i="12"/>
  <c r="E39" i="12" s="1"/>
  <c r="E40" i="12" s="1"/>
  <c r="D38" i="12"/>
  <c r="D39" i="12" s="1"/>
  <c r="D40" i="12" s="1"/>
  <c r="C38" i="12"/>
  <c r="C39" i="12" s="1"/>
  <c r="C40" i="12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N38" i="11"/>
  <c r="N39" i="11" s="1"/>
  <c r="N40" i="11" s="1"/>
  <c r="M38" i="11"/>
  <c r="M39" i="11" s="1"/>
  <c r="M40" i="11" s="1"/>
  <c r="L38" i="11"/>
  <c r="L39" i="11" s="1"/>
  <c r="L40" i="11" s="1"/>
  <c r="K38" i="11"/>
  <c r="K39" i="11" s="1"/>
  <c r="K40" i="11" s="1"/>
  <c r="J38" i="11"/>
  <c r="J39" i="11" s="1"/>
  <c r="J40" i="11" s="1"/>
  <c r="I38" i="11"/>
  <c r="I39" i="11" s="1"/>
  <c r="I40" i="11" s="1"/>
  <c r="H38" i="11"/>
  <c r="H39" i="11" s="1"/>
  <c r="H40" i="11" s="1"/>
  <c r="G38" i="11"/>
  <c r="G39" i="11" s="1"/>
  <c r="G40" i="11" s="1"/>
  <c r="F38" i="11"/>
  <c r="F39" i="11" s="1"/>
  <c r="F40" i="11" s="1"/>
  <c r="E38" i="11"/>
  <c r="E39" i="11" s="1"/>
  <c r="E40" i="11" s="1"/>
  <c r="D38" i="11"/>
  <c r="D39" i="11" s="1"/>
  <c r="D40" i="11" s="1"/>
  <c r="C38" i="11"/>
  <c r="C39" i="11" s="1"/>
  <c r="C40" i="11" s="1"/>
  <c r="N48" i="10"/>
  <c r="M48" i="10"/>
  <c r="L48" i="10"/>
  <c r="K48" i="10"/>
  <c r="J48" i="10"/>
  <c r="I48" i="10"/>
  <c r="H48" i="10"/>
  <c r="G48" i="10"/>
  <c r="F48" i="10"/>
  <c r="E48" i="10"/>
  <c r="D48" i="10"/>
  <c r="C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N41" i="10"/>
  <c r="M41" i="10"/>
  <c r="L41" i="10"/>
  <c r="K41" i="10"/>
  <c r="J41" i="10"/>
  <c r="J40" i="10" s="1"/>
  <c r="I41" i="10"/>
  <c r="H41" i="10"/>
  <c r="G41" i="10"/>
  <c r="F41" i="10"/>
  <c r="F40" i="10" s="1"/>
  <c r="E41" i="10"/>
  <c r="D41" i="10"/>
  <c r="C41" i="10"/>
  <c r="N40" i="10"/>
  <c r="N39" i="10"/>
  <c r="J39" i="10"/>
  <c r="F39" i="10"/>
  <c r="N38" i="10"/>
  <c r="M38" i="10"/>
  <c r="M39" i="10" s="1"/>
  <c r="M40" i="10" s="1"/>
  <c r="L38" i="10"/>
  <c r="L39" i="10" s="1"/>
  <c r="L40" i="10" s="1"/>
  <c r="K38" i="10"/>
  <c r="K39" i="10" s="1"/>
  <c r="K40" i="10" s="1"/>
  <c r="J38" i="10"/>
  <c r="I38" i="10"/>
  <c r="I39" i="10" s="1"/>
  <c r="I40" i="10" s="1"/>
  <c r="H38" i="10"/>
  <c r="H39" i="10" s="1"/>
  <c r="H40" i="10" s="1"/>
  <c r="G38" i="10"/>
  <c r="G39" i="10" s="1"/>
  <c r="G40" i="10" s="1"/>
  <c r="F38" i="10"/>
  <c r="E38" i="10"/>
  <c r="E39" i="10" s="1"/>
  <c r="E40" i="10" s="1"/>
  <c r="D38" i="10"/>
  <c r="D39" i="10" s="1"/>
  <c r="D40" i="10" s="1"/>
  <c r="C38" i="10"/>
  <c r="C39" i="10" s="1"/>
  <c r="C40" i="10" s="1"/>
  <c r="N48" i="9"/>
  <c r="M48" i="9"/>
  <c r="L48" i="9"/>
  <c r="K48" i="9"/>
  <c r="J48" i="9"/>
  <c r="I48" i="9"/>
  <c r="H48" i="9"/>
  <c r="G48" i="9"/>
  <c r="F48" i="9"/>
  <c r="E48" i="9"/>
  <c r="D48" i="9"/>
  <c r="C48" i="9"/>
  <c r="N47" i="9"/>
  <c r="M47" i="9"/>
  <c r="L47" i="9"/>
  <c r="K47" i="9"/>
  <c r="J47" i="9"/>
  <c r="I47" i="9"/>
  <c r="H47" i="9"/>
  <c r="G47" i="9"/>
  <c r="F47" i="9"/>
  <c r="E47" i="9"/>
  <c r="D47" i="9"/>
  <c r="C47" i="9"/>
  <c r="N42" i="9"/>
  <c r="M42" i="9"/>
  <c r="L42" i="9"/>
  <c r="K42" i="9"/>
  <c r="J42" i="9"/>
  <c r="I42" i="9"/>
  <c r="H42" i="9"/>
  <c r="G42" i="9"/>
  <c r="F42" i="9"/>
  <c r="E42" i="9"/>
  <c r="D42" i="9"/>
  <c r="C42" i="9"/>
  <c r="N41" i="9"/>
  <c r="M41" i="9"/>
  <c r="L41" i="9"/>
  <c r="K41" i="9"/>
  <c r="J41" i="9"/>
  <c r="I41" i="9"/>
  <c r="H41" i="9"/>
  <c r="G41" i="9"/>
  <c r="F41" i="9"/>
  <c r="E41" i="9"/>
  <c r="D41" i="9"/>
  <c r="C41" i="9"/>
  <c r="N38" i="9"/>
  <c r="N39" i="9" s="1"/>
  <c r="N40" i="9" s="1"/>
  <c r="M38" i="9"/>
  <c r="M39" i="9" s="1"/>
  <c r="M40" i="9" s="1"/>
  <c r="L38" i="9"/>
  <c r="L39" i="9" s="1"/>
  <c r="L40" i="9" s="1"/>
  <c r="K38" i="9"/>
  <c r="K39" i="9" s="1"/>
  <c r="K40" i="9" s="1"/>
  <c r="J38" i="9"/>
  <c r="J39" i="9" s="1"/>
  <c r="J40" i="9" s="1"/>
  <c r="I38" i="9"/>
  <c r="I39" i="9" s="1"/>
  <c r="I40" i="9" s="1"/>
  <c r="H38" i="9"/>
  <c r="H39" i="9" s="1"/>
  <c r="H40" i="9" s="1"/>
  <c r="G38" i="9"/>
  <c r="G39" i="9" s="1"/>
  <c r="G40" i="9" s="1"/>
  <c r="F38" i="9"/>
  <c r="F39" i="9" s="1"/>
  <c r="F40" i="9" s="1"/>
  <c r="E38" i="9"/>
  <c r="E39" i="9" s="1"/>
  <c r="E40" i="9" s="1"/>
  <c r="D38" i="9"/>
  <c r="D39" i="9" s="1"/>
  <c r="D40" i="9" s="1"/>
  <c r="C38" i="9"/>
  <c r="C39" i="9" s="1"/>
  <c r="C40" i="9" s="1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N40" i="8" s="1"/>
  <c r="M41" i="8"/>
  <c r="L41" i="8"/>
  <c r="K41" i="8"/>
  <c r="J41" i="8"/>
  <c r="J40" i="8" s="1"/>
  <c r="I41" i="8"/>
  <c r="H41" i="8"/>
  <c r="G41" i="8"/>
  <c r="F41" i="8"/>
  <c r="F40" i="8" s="1"/>
  <c r="E41" i="8"/>
  <c r="D41" i="8"/>
  <c r="C41" i="8"/>
  <c r="N39" i="8"/>
  <c r="J39" i="8"/>
  <c r="F39" i="8"/>
  <c r="N38" i="8"/>
  <c r="M38" i="8"/>
  <c r="M39" i="8" s="1"/>
  <c r="M40" i="8" s="1"/>
  <c r="L38" i="8"/>
  <c r="L39" i="8" s="1"/>
  <c r="L40" i="8" s="1"/>
  <c r="K38" i="8"/>
  <c r="K39" i="8" s="1"/>
  <c r="K40" i="8" s="1"/>
  <c r="J38" i="8"/>
  <c r="I38" i="8"/>
  <c r="I39" i="8" s="1"/>
  <c r="I40" i="8" s="1"/>
  <c r="H38" i="8"/>
  <c r="H39" i="8" s="1"/>
  <c r="H40" i="8" s="1"/>
  <c r="G38" i="8"/>
  <c r="G39" i="8" s="1"/>
  <c r="G40" i="8" s="1"/>
  <c r="F38" i="8"/>
  <c r="E38" i="8"/>
  <c r="E39" i="8" s="1"/>
  <c r="E40" i="8" s="1"/>
  <c r="D38" i="8"/>
  <c r="D39" i="8" s="1"/>
  <c r="D40" i="8" s="1"/>
  <c r="C38" i="8"/>
  <c r="C39" i="8" s="1"/>
  <c r="C40" i="8" s="1"/>
  <c r="N48" i="7"/>
  <c r="M48" i="7"/>
  <c r="L48" i="7"/>
  <c r="K48" i="7"/>
  <c r="J48" i="7"/>
  <c r="I48" i="7"/>
  <c r="H48" i="7"/>
  <c r="G48" i="7"/>
  <c r="F48" i="7"/>
  <c r="E48" i="7"/>
  <c r="D48" i="7"/>
  <c r="C48" i="7"/>
  <c r="N47" i="7"/>
  <c r="M47" i="7"/>
  <c r="L47" i="7"/>
  <c r="K47" i="7"/>
  <c r="J47" i="7"/>
  <c r="I47" i="7"/>
  <c r="H47" i="7"/>
  <c r="G47" i="7"/>
  <c r="F47" i="7"/>
  <c r="E47" i="7"/>
  <c r="D47" i="7"/>
  <c r="C47" i="7"/>
  <c r="N42" i="7"/>
  <c r="M42" i="7"/>
  <c r="L42" i="7"/>
  <c r="K42" i="7"/>
  <c r="J42" i="7"/>
  <c r="I42" i="7"/>
  <c r="H42" i="7"/>
  <c r="G42" i="7"/>
  <c r="F42" i="7"/>
  <c r="E42" i="7"/>
  <c r="D42" i="7"/>
  <c r="C42" i="7"/>
  <c r="N41" i="7"/>
  <c r="M41" i="7"/>
  <c r="L41" i="7"/>
  <c r="K41" i="7"/>
  <c r="J41" i="7"/>
  <c r="I41" i="7"/>
  <c r="I40" i="7" s="1"/>
  <c r="H41" i="7"/>
  <c r="G41" i="7"/>
  <c r="F41" i="7"/>
  <c r="E41" i="7"/>
  <c r="D41" i="7"/>
  <c r="C41" i="7"/>
  <c r="M39" i="7"/>
  <c r="G39" i="7"/>
  <c r="G40" i="7" s="1"/>
  <c r="N38" i="7"/>
  <c r="N39" i="7" s="1"/>
  <c r="N40" i="7" s="1"/>
  <c r="M38" i="7"/>
  <c r="L38" i="7"/>
  <c r="L39" i="7" s="1"/>
  <c r="L40" i="7" s="1"/>
  <c r="K38" i="7"/>
  <c r="K39" i="7" s="1"/>
  <c r="K40" i="7" s="1"/>
  <c r="J38" i="7"/>
  <c r="J39" i="7" s="1"/>
  <c r="J40" i="7" s="1"/>
  <c r="I38" i="7"/>
  <c r="I39" i="7" s="1"/>
  <c r="H38" i="7"/>
  <c r="H39" i="7" s="1"/>
  <c r="H40" i="7" s="1"/>
  <c r="G38" i="7"/>
  <c r="F38" i="7"/>
  <c r="F39" i="7" s="1"/>
  <c r="F40" i="7" s="1"/>
  <c r="E38" i="7"/>
  <c r="E39" i="7" s="1"/>
  <c r="E40" i="7" s="1"/>
  <c r="D38" i="7"/>
  <c r="D39" i="7" s="1"/>
  <c r="D40" i="7" s="1"/>
  <c r="C38" i="7"/>
  <c r="C39" i="7" s="1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N40" i="6" s="1"/>
  <c r="M41" i="6"/>
  <c r="L41" i="6"/>
  <c r="K41" i="6"/>
  <c r="J41" i="6"/>
  <c r="J40" i="6" s="1"/>
  <c r="I41" i="6"/>
  <c r="H41" i="6"/>
  <c r="G41" i="6"/>
  <c r="F41" i="6"/>
  <c r="F40" i="6" s="1"/>
  <c r="E41" i="6"/>
  <c r="D41" i="6"/>
  <c r="C41" i="6"/>
  <c r="N39" i="6"/>
  <c r="J39" i="6"/>
  <c r="F39" i="6"/>
  <c r="E39" i="6"/>
  <c r="E40" i="6" s="1"/>
  <c r="N38" i="6"/>
  <c r="M38" i="6"/>
  <c r="M39" i="6" s="1"/>
  <c r="M40" i="6" s="1"/>
  <c r="L38" i="6"/>
  <c r="L39" i="6" s="1"/>
  <c r="L40" i="6" s="1"/>
  <c r="K38" i="6"/>
  <c r="K39" i="6" s="1"/>
  <c r="J38" i="6"/>
  <c r="I38" i="6"/>
  <c r="I39" i="6" s="1"/>
  <c r="I40" i="6" s="1"/>
  <c r="H38" i="6"/>
  <c r="H39" i="6" s="1"/>
  <c r="H40" i="6" s="1"/>
  <c r="G38" i="6"/>
  <c r="G39" i="6" s="1"/>
  <c r="G40" i="6" s="1"/>
  <c r="F38" i="6"/>
  <c r="E38" i="6"/>
  <c r="D38" i="6"/>
  <c r="D39" i="6" s="1"/>
  <c r="D40" i="6" s="1"/>
  <c r="C38" i="6"/>
  <c r="C39" i="6" s="1"/>
  <c r="C40" i="6" s="1"/>
  <c r="N48" i="5"/>
  <c r="M48" i="5"/>
  <c r="L48" i="5"/>
  <c r="K48" i="5"/>
  <c r="J48" i="5"/>
  <c r="I48" i="5"/>
  <c r="H48" i="5"/>
  <c r="G48" i="5"/>
  <c r="F48" i="5"/>
  <c r="E48" i="5"/>
  <c r="D48" i="5"/>
  <c r="C48" i="5"/>
  <c r="N47" i="5"/>
  <c r="M47" i="5"/>
  <c r="L47" i="5"/>
  <c r="K47" i="5"/>
  <c r="J47" i="5"/>
  <c r="I47" i="5"/>
  <c r="H47" i="5"/>
  <c r="G47" i="5"/>
  <c r="F47" i="5"/>
  <c r="E47" i="5"/>
  <c r="D47" i="5"/>
  <c r="C47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38" i="5"/>
  <c r="N39" i="5" s="1"/>
  <c r="N40" i="5" s="1"/>
  <c r="M38" i="5"/>
  <c r="M39" i="5" s="1"/>
  <c r="M40" i="5" s="1"/>
  <c r="L38" i="5"/>
  <c r="L39" i="5" s="1"/>
  <c r="L40" i="5" s="1"/>
  <c r="K38" i="5"/>
  <c r="K39" i="5" s="1"/>
  <c r="K40" i="5" s="1"/>
  <c r="J38" i="5"/>
  <c r="J39" i="5" s="1"/>
  <c r="J40" i="5" s="1"/>
  <c r="I38" i="5"/>
  <c r="I39" i="5" s="1"/>
  <c r="H38" i="5"/>
  <c r="H39" i="5" s="1"/>
  <c r="H40" i="5" s="1"/>
  <c r="G38" i="5"/>
  <c r="G39" i="5" s="1"/>
  <c r="G40" i="5" s="1"/>
  <c r="F38" i="5"/>
  <c r="F39" i="5" s="1"/>
  <c r="F40" i="5" s="1"/>
  <c r="E38" i="5"/>
  <c r="E39" i="5" s="1"/>
  <c r="D38" i="5"/>
  <c r="D39" i="5" s="1"/>
  <c r="D40" i="5" s="1"/>
  <c r="C38" i="5"/>
  <c r="C39" i="5" s="1"/>
  <c r="C40" i="5" s="1"/>
  <c r="N48" i="4"/>
  <c r="M48" i="4"/>
  <c r="L48" i="4"/>
  <c r="K48" i="4"/>
  <c r="J48" i="4"/>
  <c r="I48" i="4"/>
  <c r="H48" i="4"/>
  <c r="G48" i="4"/>
  <c r="F48" i="4"/>
  <c r="E48" i="4"/>
  <c r="D48" i="4"/>
  <c r="C48" i="4"/>
  <c r="N47" i="4"/>
  <c r="M47" i="4"/>
  <c r="L47" i="4"/>
  <c r="K47" i="4"/>
  <c r="J47" i="4"/>
  <c r="I47" i="4"/>
  <c r="H47" i="4"/>
  <c r="G47" i="4"/>
  <c r="F47" i="4"/>
  <c r="E47" i="4"/>
  <c r="D47" i="4"/>
  <c r="C47" i="4"/>
  <c r="N42" i="4"/>
  <c r="M42" i="4"/>
  <c r="L42" i="4"/>
  <c r="K42" i="4"/>
  <c r="J42" i="4"/>
  <c r="I42" i="4"/>
  <c r="H42" i="4"/>
  <c r="G42" i="4"/>
  <c r="F42" i="4"/>
  <c r="E42" i="4"/>
  <c r="D42" i="4"/>
  <c r="C42" i="4"/>
  <c r="N41" i="4"/>
  <c r="M41" i="4"/>
  <c r="L41" i="4"/>
  <c r="K41" i="4"/>
  <c r="J41" i="4"/>
  <c r="I41" i="4"/>
  <c r="H41" i="4"/>
  <c r="G41" i="4"/>
  <c r="F41" i="4"/>
  <c r="E41" i="4"/>
  <c r="D41" i="4"/>
  <c r="C41" i="4"/>
  <c r="N38" i="4"/>
  <c r="N39" i="4" s="1"/>
  <c r="N40" i="4" s="1"/>
  <c r="M38" i="4"/>
  <c r="M39" i="4" s="1"/>
  <c r="M40" i="4" s="1"/>
  <c r="L38" i="4"/>
  <c r="L39" i="4" s="1"/>
  <c r="L40" i="4" s="1"/>
  <c r="K38" i="4"/>
  <c r="K39" i="4" s="1"/>
  <c r="K40" i="4" s="1"/>
  <c r="J38" i="4"/>
  <c r="J39" i="4" s="1"/>
  <c r="J40" i="4" s="1"/>
  <c r="I38" i="4"/>
  <c r="I39" i="4" s="1"/>
  <c r="I40" i="4" s="1"/>
  <c r="H38" i="4"/>
  <c r="H39" i="4" s="1"/>
  <c r="H40" i="4" s="1"/>
  <c r="G38" i="4"/>
  <c r="G39" i="4" s="1"/>
  <c r="G40" i="4" s="1"/>
  <c r="F38" i="4"/>
  <c r="F39" i="4" s="1"/>
  <c r="F40" i="4" s="1"/>
  <c r="E38" i="4"/>
  <c r="E39" i="4" s="1"/>
  <c r="E40" i="4" s="1"/>
  <c r="D38" i="4"/>
  <c r="D39" i="4" s="1"/>
  <c r="C38" i="4"/>
  <c r="C39" i="4" s="1"/>
  <c r="C40" i="4" s="1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38" i="3"/>
  <c r="N39" i="3" s="1"/>
  <c r="N40" i="3" s="1"/>
  <c r="M38" i="3"/>
  <c r="M39" i="3" s="1"/>
  <c r="M40" i="3" s="1"/>
  <c r="L38" i="3"/>
  <c r="L39" i="3" s="1"/>
  <c r="L40" i="3" s="1"/>
  <c r="K38" i="3"/>
  <c r="K39" i="3" s="1"/>
  <c r="K40" i="3" s="1"/>
  <c r="J38" i="3"/>
  <c r="J39" i="3" s="1"/>
  <c r="J40" i="3" s="1"/>
  <c r="I38" i="3"/>
  <c r="I39" i="3" s="1"/>
  <c r="I40" i="3" s="1"/>
  <c r="H38" i="3"/>
  <c r="H39" i="3" s="1"/>
  <c r="H40" i="3" s="1"/>
  <c r="G38" i="3"/>
  <c r="G39" i="3" s="1"/>
  <c r="G40" i="3" s="1"/>
  <c r="F38" i="3"/>
  <c r="F39" i="3" s="1"/>
  <c r="F40" i="3" s="1"/>
  <c r="E38" i="3"/>
  <c r="E39" i="3" s="1"/>
  <c r="E40" i="3" s="1"/>
  <c r="D38" i="3"/>
  <c r="D39" i="3" s="1"/>
  <c r="D40" i="3" s="1"/>
  <c r="C38" i="3"/>
  <c r="C39" i="3" s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38" i="1"/>
  <c r="N39" i="1" s="1"/>
  <c r="M38" i="1"/>
  <c r="M39" i="1" s="1"/>
  <c r="M40" i="1" s="1"/>
  <c r="L38" i="1"/>
  <c r="L39" i="1" s="1"/>
  <c r="L40" i="1" s="1"/>
  <c r="K38" i="1"/>
  <c r="K39" i="1" s="1"/>
  <c r="J38" i="1"/>
  <c r="J39" i="1" s="1"/>
  <c r="J40" i="1" s="1"/>
  <c r="I38" i="1"/>
  <c r="I39" i="1" s="1"/>
  <c r="I40" i="1" s="1"/>
  <c r="H38" i="1"/>
  <c r="H39" i="1" s="1"/>
  <c r="H40" i="1" s="1"/>
  <c r="G38" i="1"/>
  <c r="G39" i="1" s="1"/>
  <c r="G40" i="1" s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C40" i="1" s="1"/>
  <c r="M40" i="17" l="1"/>
  <c r="M40" i="16"/>
  <c r="M40" i="15"/>
  <c r="M40" i="14"/>
  <c r="M40" i="13"/>
  <c r="M40" i="12"/>
  <c r="M40" i="7"/>
  <c r="N40" i="1"/>
  <c r="D40" i="4"/>
  <c r="K40" i="1"/>
  <c r="C40" i="3"/>
  <c r="K40" i="6"/>
  <c r="E40" i="5"/>
  <c r="I40" i="5"/>
  <c r="C40" i="7"/>
</calcChain>
</file>

<file path=xl/sharedStrings.xml><?xml version="1.0" encoding="utf-8"?>
<sst xmlns="http://schemas.openxmlformats.org/spreadsheetml/2006/main" count="1530" uniqueCount="54">
  <si>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</si>
  <si>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</si>
  <si>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</si>
  <si>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</si>
  <si>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</si>
  <si>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</si>
  <si>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</si>
  <si>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</si>
  <si>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</si>
  <si>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</si>
  <si>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</si>
  <si>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</si>
  <si>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</si>
  <si>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</si>
  <si>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Gson</t>
  </si>
  <si>
    <t>Revenj (size)</t>
  </si>
  <si>
    <t>Service Stack (size)</t>
  </si>
  <si>
    <t>Jil (size)</t>
  </si>
  <si>
    <t>NetJSON (size)</t>
  </si>
  <si>
    <t>Gson (size)</t>
  </si>
  <si>
    <t>NetJSON</t>
  </si>
  <si>
    <t>Jil</t>
  </si>
  <si>
    <t>Instance</t>
  </si>
  <si>
    <t>All</t>
  </si>
  <si>
    <t>Jackson afterburner</t>
  </si>
  <si>
    <t>Alibaba</t>
  </si>
  <si>
    <t>Boon</t>
  </si>
  <si>
    <t>Boon (size)</t>
  </si>
  <si>
    <t>Alibaba (size)</t>
  </si>
  <si>
    <t>DSL-JSON</t>
  </si>
  <si>
    <t>DSL-JSON (size)</t>
  </si>
  <si>
    <t>ProtoBuf (binary reference)</t>
  </si>
  <si>
    <t>Protobuf (binary reference)</t>
  </si>
  <si>
    <t>Kryo (binary reference)</t>
  </si>
  <si>
    <t>ProtoBuf (size)</t>
  </si>
  <si>
    <t>Kryo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</si>
  <si>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</si>
  <si>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</si>
  <si>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</si>
  <si>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</si>
  <si>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</si>
  <si>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</si>
  <si>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</si>
  <si>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</si>
  <si>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</si>
  <si>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</si>
  <si>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1.000 StandardObjects.DeletePost</t>
  </si>
  <si>
    <t>10.000 StandardObjects.DeletePost</t>
  </si>
  <si>
    <t>100.000 StandardObjects.DeletePost</t>
  </si>
  <si>
    <t>1.000 StandardObjects.Post</t>
  </si>
  <si>
    <t>10.000 StandardObjects.Post</t>
  </si>
  <si>
    <t>100.000 StandardObjects.Post</t>
  </si>
  <si>
    <t>50 LargeObjects.Book</t>
  </si>
  <si>
    <t>500 LargeObjects.Book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</si>
</sst>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154.33333333333334</c:v>
                </c:pt>
                <c:pt idx="1">
                  <c:v>7.6666666666666679</c:v>
                </c:pt>
                <c:pt idx="2">
                  <c:v>91</c:v>
                </c:pt>
                <c:pt idx="3">
                  <c:v>98.333333333333343</c:v>
                </c:pt>
                <c:pt idx="4">
                  <c:v>346</c:v>
                </c:pt>
                <c:pt idx="5">
                  <c:v>69.333333333333329</c:v>
                </c:pt>
                <c:pt idx="6">
                  <c:v>103.33333333333334</c:v>
                </c:pt>
                <c:pt idx="7">
                  <c:v>-0.66666666666666674</c:v>
                </c:pt>
                <c:pt idx="8">
                  <c:v>23</c:v>
                </c:pt>
                <c:pt idx="9">
                  <c:v>70</c:v>
                </c:pt>
                <c:pt idx="10">
                  <c:v>97.333333333333329</c:v>
                </c:pt>
                <c:pt idx="11">
                  <c:v>29.333333333333332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58.999999999999986</c:v>
                </c:pt>
                <c:pt idx="1">
                  <c:v>12.666666666666668</c:v>
                </c:pt>
                <c:pt idx="2">
                  <c:v>1.6666666666666679</c:v>
                </c:pt>
                <c:pt idx="3">
                  <c:v>28.999999999999982</c:v>
                </c:pt>
                <c:pt idx="4">
                  <c:v>124.33333333333333</c:v>
                </c:pt>
                <c:pt idx="5">
                  <c:v>4</c:v>
                </c:pt>
                <c:pt idx="6">
                  <c:v>21.999999999999996</c:v>
                </c:pt>
                <c:pt idx="7">
                  <c:v>0.66666666666666674</c:v>
                </c:pt>
                <c:pt idx="8">
                  <c:v>9</c:v>
                </c:pt>
                <c:pt idx="9">
                  <c:v>89</c:v>
                </c:pt>
                <c:pt idx="10">
                  <c:v>19.666666666666671</c:v>
                </c:pt>
                <c:pt idx="11">
                  <c:v>1.6666666666666679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27584"/>
        <c:axId val="175829376"/>
      </c:barChart>
      <c:catAx>
        <c:axId val="17582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829376"/>
        <c:crosses val="autoZero"/>
        <c:auto val="1"/>
        <c:lblAlgn val="ctr"/>
        <c:lblOffset val="100"/>
        <c:noMultiLvlLbl val="0"/>
      </c:catAx>
      <c:valAx>
        <c:axId val="17582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58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1658087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3346889</c:v>
                </c:pt>
                <c:pt idx="7" formatCode="#,##0.0">
                  <c:v>3346868</c:v>
                </c:pt>
                <c:pt idx="8" formatCode="#,##0.0">
                  <c:v>3351895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34720"/>
        <c:axId val="179936256"/>
      </c:barChart>
      <c:catAx>
        <c:axId val="179934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936256"/>
        <c:crosses val="autoZero"/>
        <c:auto val="1"/>
        <c:lblAlgn val="ctr"/>
        <c:lblOffset val="100"/>
        <c:noMultiLvlLbl val="0"/>
      </c:catAx>
      <c:valAx>
        <c:axId val="17993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99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3155.666666666667</c:v>
                </c:pt>
                <c:pt idx="1">
                  <c:v>1303</c:v>
                </c:pt>
                <c:pt idx="2">
                  <c:v>307.66666666666663</c:v>
                </c:pt>
                <c:pt idx="3">
                  <c:v>2919</c:v>
                </c:pt>
                <c:pt idx="4">
                  <c:v>2225.333333333333</c:v>
                </c:pt>
                <c:pt idx="5">
                  <c:v>1765.3333333333333</c:v>
                </c:pt>
                <c:pt idx="6">
                  <c:v>671</c:v>
                </c:pt>
                <c:pt idx="7">
                  <c:v>427.33333333333331</c:v>
                </c:pt>
                <c:pt idx="8">
                  <c:v>409</c:v>
                </c:pt>
                <c:pt idx="9">
                  <c:v>1971.3333333333335</c:v>
                </c:pt>
                <c:pt idx="10">
                  <c:v>723</c:v>
                </c:pt>
                <c:pt idx="11">
                  <c:v>2810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6054.6666666666661</c:v>
                </c:pt>
                <c:pt idx="1">
                  <c:v>1390.6666666666665</c:v>
                </c:pt>
                <c:pt idx="2">
                  <c:v>843.66666666666652</c:v>
                </c:pt>
                <c:pt idx="3">
                  <c:v>3421.0000000000005</c:v>
                </c:pt>
                <c:pt idx="4">
                  <c:v>1818.0000000000007</c:v>
                </c:pt>
                <c:pt idx="5">
                  <c:v>3083.0000000000005</c:v>
                </c:pt>
                <c:pt idx="6">
                  <c:v>1168.3333333333335</c:v>
                </c:pt>
                <c:pt idx="7">
                  <c:v>253.33333333333337</c:v>
                </c:pt>
                <c:pt idx="8">
                  <c:v>483.66666666666663</c:v>
                </c:pt>
                <c:pt idx="9">
                  <c:v>6172.6666666666661</c:v>
                </c:pt>
                <c:pt idx="10">
                  <c:v>988.66666666666674</c:v>
                </c:pt>
                <c:pt idx="11">
                  <c:v>1627.333333333333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98720"/>
        <c:axId val="180773248"/>
      </c:barChart>
      <c:catAx>
        <c:axId val="180398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773248"/>
        <c:crosses val="autoZero"/>
        <c:auto val="1"/>
        <c:lblAlgn val="ctr"/>
        <c:lblOffset val="100"/>
        <c:noMultiLvlLbl val="0"/>
      </c:catAx>
      <c:valAx>
        <c:axId val="18077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039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16941514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36448889</c:v>
                </c:pt>
                <c:pt idx="7" formatCode="#,##0.0">
                  <c:v>36448868</c:v>
                </c:pt>
                <c:pt idx="8" formatCode="#,##0.0">
                  <c:v>33922404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0496"/>
        <c:axId val="180812032"/>
      </c:barChart>
      <c:catAx>
        <c:axId val="180810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812032"/>
        <c:crosses val="autoZero"/>
        <c:auto val="1"/>
        <c:lblAlgn val="ctr"/>
        <c:lblOffset val="100"/>
        <c:noMultiLvlLbl val="0"/>
      </c:catAx>
      <c:valAx>
        <c:axId val="18081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081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33201</c:v>
                </c:pt>
                <c:pt idx="1">
                  <c:v>13475.000000000002</c:v>
                </c:pt>
                <c:pt idx="2">
                  <c:v>3711.666666666667</c:v>
                </c:pt>
                <c:pt idx="3">
                  <c:v>28981.666666666664</c:v>
                </c:pt>
                <c:pt idx="4">
                  <c:v>22957.666666666664</c:v>
                </c:pt>
                <c:pt idx="5">
                  <c:v>17095.666666666668</c:v>
                </c:pt>
                <c:pt idx="6">
                  <c:v>5023.333333333333</c:v>
                </c:pt>
                <c:pt idx="7">
                  <c:v>3133.666666666667</c:v>
                </c:pt>
                <c:pt idx="8">
                  <c:v>2987.0000000000005</c:v>
                </c:pt>
                <c:pt idx="9">
                  <c:v>17977</c:v>
                </c:pt>
                <c:pt idx="10">
                  <c:v>5814</c:v>
                </c:pt>
                <c:pt idx="11">
                  <c:v>25023.333333333332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62022.333333333336</c:v>
                </c:pt>
                <c:pt idx="1">
                  <c:v>13851.333333333334</c:v>
                </c:pt>
                <c:pt idx="2">
                  <c:v>7478.666666666667</c:v>
                </c:pt>
                <c:pt idx="3">
                  <c:v>35802.666666666664</c:v>
                </c:pt>
                <c:pt idx="4">
                  <c:v>18117.333333333332</c:v>
                </c:pt>
                <c:pt idx="5">
                  <c:v>31730.666666666672</c:v>
                </c:pt>
                <c:pt idx="6">
                  <c:v>9650.6666666666679</c:v>
                </c:pt>
                <c:pt idx="7">
                  <c:v>2115.6666666666661</c:v>
                </c:pt>
                <c:pt idx="8">
                  <c:v>3560.6666666666674</c:v>
                </c:pt>
                <c:pt idx="9">
                  <c:v>63036.333333333336</c:v>
                </c:pt>
                <c:pt idx="10">
                  <c:v>8284.3333333333321</c:v>
                </c:pt>
                <c:pt idx="11">
                  <c:v>15019.666666666666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96960"/>
        <c:axId val="180698496"/>
      </c:barChart>
      <c:catAx>
        <c:axId val="180696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698496"/>
        <c:crosses val="autoZero"/>
        <c:auto val="1"/>
        <c:lblAlgn val="ctr"/>
        <c:lblOffset val="100"/>
        <c:noMultiLvlLbl val="0"/>
      </c:catAx>
      <c:valAx>
        <c:axId val="18069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06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184924181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394468889</c:v>
                </c:pt>
                <c:pt idx="7" formatCode="#,##0.0">
                  <c:v>394468868</c:v>
                </c:pt>
                <c:pt idx="8" formatCode="#,##0.0">
                  <c:v>350301313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31904"/>
        <c:axId val="180733440"/>
      </c:barChart>
      <c:catAx>
        <c:axId val="180731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733440"/>
        <c:crosses val="autoZero"/>
        <c:auto val="1"/>
        <c:lblAlgn val="ctr"/>
        <c:lblOffset val="100"/>
        <c:noMultiLvlLbl val="0"/>
      </c:catAx>
      <c:valAx>
        <c:axId val="18073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073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288.66666666666669</c:v>
                </c:pt>
                <c:pt idx="1">
                  <c:v>75.333333333333329</c:v>
                </c:pt>
                <c:pt idx="2">
                  <c:v>105.00000000000001</c:v>
                </c:pt>
                <c:pt idx="3">
                  <c:v>312</c:v>
                </c:pt>
                <c:pt idx="4">
                  <c:v>190.33333333333337</c:v>
                </c:pt>
                <c:pt idx="5">
                  <c:v>192.33333333333331</c:v>
                </c:pt>
                <c:pt idx="6">
                  <c:v>140</c:v>
                </c:pt>
                <c:pt idx="7">
                  <c:v>41</c:v>
                </c:pt>
                <c:pt idx="8">
                  <c:v>11.666666666666629</c:v>
                </c:pt>
                <c:pt idx="9">
                  <c:v>401.00000000000006</c:v>
                </c:pt>
                <c:pt idx="10">
                  <c:v>440.66666666666669</c:v>
                </c:pt>
                <c:pt idx="11">
                  <c:v>705.66666666666674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799.66666666666663</c:v>
                </c:pt>
                <c:pt idx="1">
                  <c:v>170.66666666666669</c:v>
                </c:pt>
                <c:pt idx="2">
                  <c:v>141.33333333333337</c:v>
                </c:pt>
                <c:pt idx="3">
                  <c:v>615.66666666666663</c:v>
                </c:pt>
                <c:pt idx="4">
                  <c:v>345.66666666666669</c:v>
                </c:pt>
                <c:pt idx="5">
                  <c:v>833.66666666666686</c:v>
                </c:pt>
                <c:pt idx="6">
                  <c:v>493.33333333333331</c:v>
                </c:pt>
                <c:pt idx="7">
                  <c:v>92</c:v>
                </c:pt>
                <c:pt idx="8">
                  <c:v>86.333333333333371</c:v>
                </c:pt>
                <c:pt idx="9">
                  <c:v>0</c:v>
                </c:pt>
                <c:pt idx="10">
                  <c:v>805.66666666666652</c:v>
                </c:pt>
                <c:pt idx="11">
                  <c:v>670.33333333333326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94784"/>
        <c:axId val="180296320"/>
      </c:barChart>
      <c:catAx>
        <c:axId val="180294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296320"/>
        <c:crosses val="autoZero"/>
        <c:auto val="1"/>
        <c:lblAlgn val="ctr"/>
        <c:lblOffset val="100"/>
        <c:noMultiLvlLbl val="0"/>
      </c:catAx>
      <c:valAx>
        <c:axId val="18029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029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4488890</c:v>
                </c:pt>
                <c:pt idx="3">
                  <c:v>11838890</c:v>
                </c:pt>
                <c:pt idx="4" formatCode="#,##0.0">
                  <c:v>11938890</c:v>
                </c:pt>
                <c:pt idx="5" formatCode="#,##0.0">
                  <c:v>11288890</c:v>
                </c:pt>
                <c:pt idx="6" formatCode="#,##0.0">
                  <c:v>10938890</c:v>
                </c:pt>
                <c:pt idx="7" formatCode="#,##0.0">
                  <c:v>10188890</c:v>
                </c:pt>
                <c:pt idx="8" formatCode="#,##0.0">
                  <c:v>3888890</c:v>
                </c:pt>
                <c:pt idx="9" formatCode="#,##0.0">
                  <c:v>10188890</c:v>
                </c:pt>
                <c:pt idx="10" formatCode="#,##0.0">
                  <c:v>10938890</c:v>
                </c:pt>
                <c:pt idx="11" formatCode="#,##0.0">
                  <c:v>10938890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13088"/>
        <c:axId val="180318976"/>
      </c:barChart>
      <c:catAx>
        <c:axId val="180313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318976"/>
        <c:crosses val="autoZero"/>
        <c:auto val="1"/>
        <c:lblAlgn val="ctr"/>
        <c:lblOffset val="100"/>
        <c:noMultiLvlLbl val="0"/>
      </c:catAx>
      <c:valAx>
        <c:axId val="18031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031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2774.666666666667</c:v>
                </c:pt>
                <c:pt idx="1">
                  <c:v>816</c:v>
                </c:pt>
                <c:pt idx="2">
                  <c:v>981.66666666666663</c:v>
                </c:pt>
                <c:pt idx="3">
                  <c:v>2920.333333333333</c:v>
                </c:pt>
                <c:pt idx="4">
                  <c:v>1758.6666666666665</c:v>
                </c:pt>
                <c:pt idx="5">
                  <c:v>1953.6666666666665</c:v>
                </c:pt>
                <c:pt idx="6">
                  <c:v>775.66666666666663</c:v>
                </c:pt>
                <c:pt idx="7">
                  <c:v>239</c:v>
                </c:pt>
                <c:pt idx="8">
                  <c:v>195</c:v>
                </c:pt>
                <c:pt idx="9">
                  <c:v>2403.6666666666665</c:v>
                </c:pt>
                <c:pt idx="10">
                  <c:v>2043.6666666666665</c:v>
                </c:pt>
                <c:pt idx="11">
                  <c:v>3781.3333333333335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7438.6666666666661</c:v>
                </c:pt>
                <c:pt idx="1">
                  <c:v>1635.3333333333335</c:v>
                </c:pt>
                <c:pt idx="2">
                  <c:v>1413.3333333333335</c:v>
                </c:pt>
                <c:pt idx="3">
                  <c:v>5967.3333333333339</c:v>
                </c:pt>
                <c:pt idx="4">
                  <c:v>3033.666666666667</c:v>
                </c:pt>
                <c:pt idx="5">
                  <c:v>8061.0000000000009</c:v>
                </c:pt>
                <c:pt idx="6">
                  <c:v>2440.0000000000005</c:v>
                </c:pt>
                <c:pt idx="7">
                  <c:v>360.33333333333326</c:v>
                </c:pt>
                <c:pt idx="8">
                  <c:v>273.99999999999989</c:v>
                </c:pt>
                <c:pt idx="9">
                  <c:v>0</c:v>
                </c:pt>
                <c:pt idx="10">
                  <c:v>3464.6666666666665</c:v>
                </c:pt>
                <c:pt idx="11">
                  <c:v>4801.9999999999991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34400"/>
        <c:axId val="181335936"/>
      </c:barChart>
      <c:catAx>
        <c:axId val="18133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335936"/>
        <c:crosses val="autoZero"/>
        <c:auto val="1"/>
        <c:lblAlgn val="ctr"/>
        <c:lblOffset val="100"/>
        <c:noMultiLvlLbl val="0"/>
      </c:catAx>
      <c:valAx>
        <c:axId val="18133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133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45888890</c:v>
                </c:pt>
                <c:pt idx="3">
                  <c:v>119388890</c:v>
                </c:pt>
                <c:pt idx="4" formatCode="#,##0.0">
                  <c:v>120388890</c:v>
                </c:pt>
                <c:pt idx="5" formatCode="#,##0.0">
                  <c:v>113888890</c:v>
                </c:pt>
                <c:pt idx="6" formatCode="#,##0.0">
                  <c:v>110388890</c:v>
                </c:pt>
                <c:pt idx="7" formatCode="#,##0.0">
                  <c:v>102888890</c:v>
                </c:pt>
                <c:pt idx="8" formatCode="#,##0.0">
                  <c:v>39888890</c:v>
                </c:pt>
                <c:pt idx="9" formatCode="#,##0.0">
                  <c:v>102888890</c:v>
                </c:pt>
                <c:pt idx="10" formatCode="#,##0.0">
                  <c:v>110388890</c:v>
                </c:pt>
                <c:pt idx="11" formatCode="#,##0.0">
                  <c:v>110388890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52704"/>
        <c:axId val="181374976"/>
      </c:barChart>
      <c:catAx>
        <c:axId val="181352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374976"/>
        <c:crosses val="autoZero"/>
        <c:auto val="1"/>
        <c:lblAlgn val="ctr"/>
        <c:lblOffset val="100"/>
        <c:noMultiLvlLbl val="0"/>
      </c:catAx>
      <c:valAx>
        <c:axId val="18137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135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29456.000000000004</c:v>
                </c:pt>
                <c:pt idx="1">
                  <c:v>7951.0000000000009</c:v>
                </c:pt>
                <c:pt idx="2">
                  <c:v>8972.6666666666679</c:v>
                </c:pt>
                <c:pt idx="3">
                  <c:v>28776.333333333332</c:v>
                </c:pt>
                <c:pt idx="4">
                  <c:v>17917.666666666668</c:v>
                </c:pt>
                <c:pt idx="5">
                  <c:v>18182.666666666664</c:v>
                </c:pt>
                <c:pt idx="6">
                  <c:v>5738.666666666667</c:v>
                </c:pt>
                <c:pt idx="7">
                  <c:v>1485</c:v>
                </c:pt>
                <c:pt idx="8">
                  <c:v>1795.333333333333</c:v>
                </c:pt>
                <c:pt idx="9">
                  <c:v>21545.666666666664</c:v>
                </c:pt>
                <c:pt idx="10">
                  <c:v>13097.666666666664</c:v>
                </c:pt>
                <c:pt idx="11">
                  <c:v>36090.666666666664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73943.333333333343</c:v>
                </c:pt>
                <c:pt idx="1">
                  <c:v>15825</c:v>
                </c:pt>
                <c:pt idx="2">
                  <c:v>14095.333333333332</c:v>
                </c:pt>
                <c:pt idx="3">
                  <c:v>59801.666666666664</c:v>
                </c:pt>
                <c:pt idx="4">
                  <c:v>29773.666666666672</c:v>
                </c:pt>
                <c:pt idx="5">
                  <c:v>81709.999999999985</c:v>
                </c:pt>
                <c:pt idx="6">
                  <c:v>22186.666666666664</c:v>
                </c:pt>
                <c:pt idx="7">
                  <c:v>3039.9999999999991</c:v>
                </c:pt>
                <c:pt idx="8">
                  <c:v>2665.3333333333339</c:v>
                </c:pt>
                <c:pt idx="9">
                  <c:v>0</c:v>
                </c:pt>
                <c:pt idx="10">
                  <c:v>33747.333333333336</c:v>
                </c:pt>
                <c:pt idx="11">
                  <c:v>41363.333333333328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60864"/>
        <c:axId val="180262400"/>
      </c:barChart>
      <c:catAx>
        <c:axId val="18026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262400"/>
        <c:crosses val="autoZero"/>
        <c:auto val="1"/>
        <c:lblAlgn val="ctr"/>
        <c:lblOffset val="100"/>
        <c:noMultiLvlLbl val="0"/>
      </c:catAx>
      <c:valAx>
        <c:axId val="18026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02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16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40</c:v>
                </c:pt>
                <c:pt idx="7" formatCode="#,##0.0">
                  <c:v>28</c:v>
                </c:pt>
                <c:pt idx="8" formatCode="#,##0.0">
                  <c:v>15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58432"/>
        <c:axId val="175859968"/>
      </c:barChart>
      <c:catAx>
        <c:axId val="175858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859968"/>
        <c:crosses val="autoZero"/>
        <c:auto val="1"/>
        <c:lblAlgn val="ctr"/>
        <c:lblOffset val="100"/>
        <c:noMultiLvlLbl val="0"/>
      </c:catAx>
      <c:valAx>
        <c:axId val="17585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585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468888890</c:v>
                </c:pt>
                <c:pt idx="3">
                  <c:v>1203888890</c:v>
                </c:pt>
                <c:pt idx="4" formatCode="#,##0.0">
                  <c:v>1213888890</c:v>
                </c:pt>
                <c:pt idx="5" formatCode="#,##0.0">
                  <c:v>1148888890</c:v>
                </c:pt>
                <c:pt idx="6" formatCode="#,##0.0">
                  <c:v>1113888890</c:v>
                </c:pt>
                <c:pt idx="7" formatCode="#,##0.0">
                  <c:v>1038888890</c:v>
                </c:pt>
                <c:pt idx="8" formatCode="#,##0.0">
                  <c:v>408888890</c:v>
                </c:pt>
                <c:pt idx="9" formatCode="#,##0.0">
                  <c:v>1038888890</c:v>
                </c:pt>
                <c:pt idx="10" formatCode="#,##0.0">
                  <c:v>1113888890</c:v>
                </c:pt>
                <c:pt idx="11" formatCode="#,##0.0">
                  <c:v>1113888890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8736"/>
        <c:axId val="181030272"/>
      </c:barChart>
      <c:catAx>
        <c:axId val="18102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030272"/>
        <c:crosses val="autoZero"/>
        <c:auto val="1"/>
        <c:lblAlgn val="ctr"/>
        <c:lblOffset val="100"/>
        <c:noMultiLvlLbl val="0"/>
      </c:catAx>
      <c:valAx>
        <c:axId val="18103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102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184.33333333333334</c:v>
                </c:pt>
                <c:pt idx="1">
                  <c:v>19.000000000000007</c:v>
                </c:pt>
                <c:pt idx="2">
                  <c:v>121</c:v>
                </c:pt>
                <c:pt idx="3">
                  <c:v>137.33333333333331</c:v>
                </c:pt>
                <c:pt idx="4">
                  <c:v>421.33333333333337</c:v>
                </c:pt>
                <c:pt idx="5">
                  <c:v>105.66666666666666</c:v>
                </c:pt>
                <c:pt idx="6">
                  <c:v>173.33333333333334</c:v>
                </c:pt>
                <c:pt idx="7">
                  <c:v>29.000000000000004</c:v>
                </c:pt>
                <c:pt idx="8">
                  <c:v>39.333333333333336</c:v>
                </c:pt>
                <c:pt idx="9">
                  <c:v>0</c:v>
                </c:pt>
                <c:pt idx="10">
                  <c:v>192.66666666666669</c:v>
                </c:pt>
                <c:pt idx="11">
                  <c:v>103.66666666666667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100.66666666666666</c:v>
                </c:pt>
                <c:pt idx="1">
                  <c:v>34.999999999999993</c:v>
                </c:pt>
                <c:pt idx="2">
                  <c:v>18.333333333333343</c:v>
                </c:pt>
                <c:pt idx="3">
                  <c:v>108.6666666666667</c:v>
                </c:pt>
                <c:pt idx="4">
                  <c:v>218.99999999999994</c:v>
                </c:pt>
                <c:pt idx="5">
                  <c:v>29.333333333333343</c:v>
                </c:pt>
                <c:pt idx="6">
                  <c:v>185.33333333333334</c:v>
                </c:pt>
                <c:pt idx="7">
                  <c:v>25</c:v>
                </c:pt>
                <c:pt idx="8">
                  <c:v>31</c:v>
                </c:pt>
                <c:pt idx="9">
                  <c:v>0</c:v>
                </c:pt>
                <c:pt idx="10">
                  <c:v>123.33333333333333</c:v>
                </c:pt>
                <c:pt idx="11">
                  <c:v>145.33333333333329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480"/>
        <c:axId val="1434368"/>
      </c:barChart>
      <c:catAx>
        <c:axId val="1428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4368"/>
        <c:crosses val="autoZero"/>
        <c:auto val="1"/>
        <c:lblAlgn val="ctr"/>
        <c:lblOffset val="100"/>
        <c:noMultiLvlLbl val="0"/>
      </c:catAx>
      <c:valAx>
        <c:axId val="143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42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214339.66666666666</c:v>
                </c:pt>
                <c:pt idx="1">
                  <c:v>170227</c:v>
                </c:pt>
                <c:pt idx="2">
                  <c:v>66683</c:v>
                </c:pt>
                <c:pt idx="3">
                  <c:v>165302</c:v>
                </c:pt>
                <c:pt idx="4" formatCode="#,##0.0">
                  <c:v>216204</c:v>
                </c:pt>
                <c:pt idx="5" formatCode="#,##0.0">
                  <c:v>168827</c:v>
                </c:pt>
                <c:pt idx="6" formatCode="#,##0.0">
                  <c:v>167638</c:v>
                </c:pt>
                <c:pt idx="7" formatCode="#,##0.0">
                  <c:v>166227</c:v>
                </c:pt>
                <c:pt idx="8" formatCode="#,##0.0">
                  <c:v>65209.666666666664</c:v>
                </c:pt>
                <c:pt idx="9" formatCode="#,##0.0">
                  <c:v>0</c:v>
                </c:pt>
                <c:pt idx="10" formatCode="#,##0.0">
                  <c:v>167638</c:v>
                </c:pt>
                <c:pt idx="11" formatCode="#,##0.0">
                  <c:v>167638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47584"/>
        <c:axId val="182549120"/>
      </c:barChart>
      <c:catAx>
        <c:axId val="18254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549120"/>
        <c:crosses val="autoZero"/>
        <c:auto val="1"/>
        <c:lblAlgn val="ctr"/>
        <c:lblOffset val="100"/>
        <c:noMultiLvlLbl val="0"/>
      </c:catAx>
      <c:valAx>
        <c:axId val="18254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254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253</c:v>
                </c:pt>
                <c:pt idx="1">
                  <c:v>40.333333333333329</c:v>
                </c:pt>
                <c:pt idx="2">
                  <c:v>140.66666666666669</c:v>
                </c:pt>
                <c:pt idx="3">
                  <c:v>189.33333333333331</c:v>
                </c:pt>
                <c:pt idx="4">
                  <c:v>479.33333333333331</c:v>
                </c:pt>
                <c:pt idx="5">
                  <c:v>137.66666666666669</c:v>
                </c:pt>
                <c:pt idx="6">
                  <c:v>322.33333333333337</c:v>
                </c:pt>
                <c:pt idx="7">
                  <c:v>85.333333333333329</c:v>
                </c:pt>
                <c:pt idx="8">
                  <c:v>87.666666666666671</c:v>
                </c:pt>
                <c:pt idx="9">
                  <c:v>0</c:v>
                </c:pt>
                <c:pt idx="10">
                  <c:v>300.33333333333337</c:v>
                </c:pt>
                <c:pt idx="11">
                  <c:v>305.33333333333331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219.66666666666669</c:v>
                </c:pt>
                <c:pt idx="1">
                  <c:v>67.333333333333314</c:v>
                </c:pt>
                <c:pt idx="2">
                  <c:v>49.666666666666643</c:v>
                </c:pt>
                <c:pt idx="3">
                  <c:v>189</c:v>
                </c:pt>
                <c:pt idx="4">
                  <c:v>267.33333333333337</c:v>
                </c:pt>
                <c:pt idx="5">
                  <c:v>112.3333333333333</c:v>
                </c:pt>
                <c:pt idx="6">
                  <c:v>540.33333333333326</c:v>
                </c:pt>
                <c:pt idx="7">
                  <c:v>97.000000000000014</c:v>
                </c:pt>
                <c:pt idx="8">
                  <c:v>84.333333333333343</c:v>
                </c:pt>
                <c:pt idx="9">
                  <c:v>0</c:v>
                </c:pt>
                <c:pt idx="10">
                  <c:v>524.66666666666663</c:v>
                </c:pt>
                <c:pt idx="11">
                  <c:v>472.00000000000006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87776"/>
        <c:axId val="180989312"/>
      </c:barChart>
      <c:catAx>
        <c:axId val="180987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989312"/>
        <c:crosses val="autoZero"/>
        <c:auto val="1"/>
        <c:lblAlgn val="ctr"/>
        <c:lblOffset val="100"/>
        <c:noMultiLvlLbl val="0"/>
      </c:catAx>
      <c:valAx>
        <c:axId val="18098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09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2234454</c:v>
                </c:pt>
                <c:pt idx="1">
                  <c:v>1802584</c:v>
                </c:pt>
                <c:pt idx="2">
                  <c:v>704000</c:v>
                </c:pt>
                <c:pt idx="3">
                  <c:v>1740659</c:v>
                </c:pt>
                <c:pt idx="4" formatCode="#,##0.0">
                  <c:v>2249785</c:v>
                </c:pt>
                <c:pt idx="5" formatCode="#,##0.0">
                  <c:v>1788584</c:v>
                </c:pt>
                <c:pt idx="6" formatCode="#,##0.0">
                  <c:v>1763995</c:v>
                </c:pt>
                <c:pt idx="7" formatCode="#,##0.0">
                  <c:v>1762584</c:v>
                </c:pt>
                <c:pt idx="8" formatCode="#,##0.0">
                  <c:v>681521.66666666663</c:v>
                </c:pt>
                <c:pt idx="9" formatCode="#,##0.0">
                  <c:v>0</c:v>
                </c:pt>
                <c:pt idx="10" formatCode="#,##0.0">
                  <c:v>1763995</c:v>
                </c:pt>
                <c:pt idx="11" formatCode="#,##0.0">
                  <c:v>1763995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47712"/>
        <c:axId val="181749248"/>
      </c:barChart>
      <c:catAx>
        <c:axId val="181747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749248"/>
        <c:crosses val="autoZero"/>
        <c:auto val="1"/>
        <c:lblAlgn val="ctr"/>
        <c:lblOffset val="100"/>
        <c:noMultiLvlLbl val="0"/>
      </c:catAx>
      <c:valAx>
        <c:axId val="18174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17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970.00000000000011</c:v>
                </c:pt>
                <c:pt idx="1">
                  <c:v>265.66666666666663</c:v>
                </c:pt>
                <c:pt idx="2">
                  <c:v>247.33333333333331</c:v>
                </c:pt>
                <c:pt idx="3">
                  <c:v>701.66666666666663</c:v>
                </c:pt>
                <c:pt idx="4">
                  <c:v>1006.9999999999999</c:v>
                </c:pt>
                <c:pt idx="5">
                  <c:v>377</c:v>
                </c:pt>
                <c:pt idx="6">
                  <c:v>768.66666666666674</c:v>
                </c:pt>
                <c:pt idx="7">
                  <c:v>270.33333333333337</c:v>
                </c:pt>
                <c:pt idx="8">
                  <c:v>192.33333333333331</c:v>
                </c:pt>
                <c:pt idx="9">
                  <c:v>0</c:v>
                </c:pt>
                <c:pt idx="10">
                  <c:v>888</c:v>
                </c:pt>
                <c:pt idx="11">
                  <c:v>1675.6666666666667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1300.6666666666667</c:v>
                </c:pt>
                <c:pt idx="1">
                  <c:v>327</c:v>
                </c:pt>
                <c:pt idx="2">
                  <c:v>217.33333333333331</c:v>
                </c:pt>
                <c:pt idx="3">
                  <c:v>1055.0000000000002</c:v>
                </c:pt>
                <c:pt idx="4">
                  <c:v>799.3333333333336</c:v>
                </c:pt>
                <c:pt idx="5">
                  <c:v>975.66666666666674</c:v>
                </c:pt>
                <c:pt idx="6">
                  <c:v>1538.6666666666665</c:v>
                </c:pt>
                <c:pt idx="7">
                  <c:v>395.66666666666669</c:v>
                </c:pt>
                <c:pt idx="8">
                  <c:v>308.33333333333337</c:v>
                </c:pt>
                <c:pt idx="9">
                  <c:v>0</c:v>
                </c:pt>
                <c:pt idx="10">
                  <c:v>2611.333333333333</c:v>
                </c:pt>
                <c:pt idx="11">
                  <c:v>2421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17920"/>
        <c:axId val="182819456"/>
      </c:barChart>
      <c:catAx>
        <c:axId val="18281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819456"/>
        <c:crosses val="autoZero"/>
        <c:auto val="1"/>
        <c:lblAlgn val="ctr"/>
        <c:lblOffset val="100"/>
        <c:noMultiLvlLbl val="0"/>
      </c:catAx>
      <c:valAx>
        <c:axId val="18281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281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23246001</c:v>
                </c:pt>
                <c:pt idx="1">
                  <c:v>18939843</c:v>
                </c:pt>
                <c:pt idx="2">
                  <c:v>7506385</c:v>
                </c:pt>
                <c:pt idx="3">
                  <c:v>18307918</c:v>
                </c:pt>
                <c:pt idx="4" formatCode="#,##0.0">
                  <c:v>23399332</c:v>
                </c:pt>
                <c:pt idx="5" formatCode="#,##0.0">
                  <c:v>18799843</c:v>
                </c:pt>
                <c:pt idx="6" formatCode="#,##0.0">
                  <c:v>18541254</c:v>
                </c:pt>
                <c:pt idx="7" formatCode="#,##0.0">
                  <c:v>18539843</c:v>
                </c:pt>
                <c:pt idx="8" formatCode="#,##0.0">
                  <c:v>7391834</c:v>
                </c:pt>
                <c:pt idx="9" formatCode="#,##0.0">
                  <c:v>0</c:v>
                </c:pt>
                <c:pt idx="10" formatCode="#,##0.0">
                  <c:v>18541254</c:v>
                </c:pt>
                <c:pt idx="11" formatCode="#,##0.0">
                  <c:v>18541254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32128"/>
        <c:axId val="183173888"/>
      </c:barChart>
      <c:catAx>
        <c:axId val="18283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173888"/>
        <c:crosses val="autoZero"/>
        <c:auto val="1"/>
        <c:lblAlgn val="ctr"/>
        <c:lblOffset val="100"/>
        <c:noMultiLvlLbl val="0"/>
      </c:catAx>
      <c:valAx>
        <c:axId val="18317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2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238.66666666666663</c:v>
                </c:pt>
                <c:pt idx="1">
                  <c:v>30.666666666666671</c:v>
                </c:pt>
                <c:pt idx="2">
                  <c:v>33.333333333333329</c:v>
                </c:pt>
                <c:pt idx="3">
                  <c:v>184.33333333333337</c:v>
                </c:pt>
                <c:pt idx="4">
                  <c:v>174</c:v>
                </c:pt>
                <c:pt idx="5">
                  <c:v>90.666666666666671</c:v>
                </c:pt>
                <c:pt idx="6">
                  <c:v>234.66666666666663</c:v>
                </c:pt>
                <c:pt idx="7">
                  <c:v>34</c:v>
                </c:pt>
                <c:pt idx="8">
                  <c:v>48.999999999999986</c:v>
                </c:pt>
                <c:pt idx="9">
                  <c:v>0</c:v>
                </c:pt>
                <c:pt idx="10">
                  <c:v>405.66666666666663</c:v>
                </c:pt>
                <c:pt idx="11">
                  <c:v>492.66666666666669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242.33333333333331</c:v>
                </c:pt>
                <c:pt idx="1">
                  <c:v>76.666666666666643</c:v>
                </c:pt>
                <c:pt idx="2">
                  <c:v>56.666666666666643</c:v>
                </c:pt>
                <c:pt idx="3">
                  <c:v>306.33333333333331</c:v>
                </c:pt>
                <c:pt idx="4">
                  <c:v>197.66666666666669</c:v>
                </c:pt>
                <c:pt idx="5">
                  <c:v>277.66666666666663</c:v>
                </c:pt>
                <c:pt idx="6">
                  <c:v>706.66666666666674</c:v>
                </c:pt>
                <c:pt idx="7">
                  <c:v>100.33333333333334</c:v>
                </c:pt>
                <c:pt idx="8">
                  <c:v>139.33333333333331</c:v>
                </c:pt>
                <c:pt idx="9">
                  <c:v>0</c:v>
                </c:pt>
                <c:pt idx="10">
                  <c:v>585</c:v>
                </c:pt>
                <c:pt idx="11">
                  <c:v>682.99999999999989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33248"/>
        <c:axId val="183334784"/>
      </c:barChart>
      <c:catAx>
        <c:axId val="183333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334784"/>
        <c:crosses val="autoZero"/>
        <c:auto val="1"/>
        <c:lblAlgn val="ctr"/>
        <c:lblOffset val="100"/>
        <c:noMultiLvlLbl val="0"/>
      </c:catAx>
      <c:valAx>
        <c:axId val="18333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33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8313265.333333333</c:v>
                </c:pt>
                <c:pt idx="1">
                  <c:v>7246327</c:v>
                </c:pt>
                <c:pt idx="2">
                  <c:v>3408798</c:v>
                </c:pt>
                <c:pt idx="3">
                  <c:v>7847837</c:v>
                </c:pt>
                <c:pt idx="4" formatCode="#,##0.0">
                  <c:v>8326707</c:v>
                </c:pt>
                <c:pt idx="5" formatCode="#,##0.0">
                  <c:v>7784711.666666667</c:v>
                </c:pt>
                <c:pt idx="6" formatCode="#,##0.0">
                  <c:v>7206637.666666667</c:v>
                </c:pt>
                <c:pt idx="7" formatCode="#,##0.0">
                  <c:v>7176845.666666667</c:v>
                </c:pt>
                <c:pt idx="8" formatCode="#,##0.0">
                  <c:v>3155620</c:v>
                </c:pt>
                <c:pt idx="9" formatCode="#,##0.0">
                  <c:v>0</c:v>
                </c:pt>
                <c:pt idx="10" formatCode="#,##0.0">
                  <c:v>7208585.666666667</c:v>
                </c:pt>
                <c:pt idx="11" formatCode="#,##0.0">
                  <c:v>7208601.666666667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34176"/>
        <c:axId val="183644160"/>
      </c:barChart>
      <c:catAx>
        <c:axId val="183634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644160"/>
        <c:crosses val="autoZero"/>
        <c:auto val="1"/>
        <c:lblAlgn val="ctr"/>
        <c:lblOffset val="100"/>
        <c:noMultiLvlLbl val="0"/>
      </c:catAx>
      <c:valAx>
        <c:axId val="18364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363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2353</c:v>
                </c:pt>
                <c:pt idx="1">
                  <c:v>420.33333333333337</c:v>
                </c:pt>
                <c:pt idx="2">
                  <c:v>206.66666666666663</c:v>
                </c:pt>
                <c:pt idx="3">
                  <c:v>1765.333333333333</c:v>
                </c:pt>
                <c:pt idx="4">
                  <c:v>1458.333333333333</c:v>
                </c:pt>
                <c:pt idx="5">
                  <c:v>909</c:v>
                </c:pt>
                <c:pt idx="6">
                  <c:v>850.66666666666652</c:v>
                </c:pt>
                <c:pt idx="7">
                  <c:v>236.00000000000003</c:v>
                </c:pt>
                <c:pt idx="8">
                  <c:v>329.33333333333337</c:v>
                </c:pt>
                <c:pt idx="9">
                  <c:v>0</c:v>
                </c:pt>
                <c:pt idx="10">
                  <c:v>2599</c:v>
                </c:pt>
                <c:pt idx="11">
                  <c:v>3184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2433.666666666667</c:v>
                </c:pt>
                <c:pt idx="1">
                  <c:v>648.33333333333337</c:v>
                </c:pt>
                <c:pt idx="2">
                  <c:v>585.00000000000011</c:v>
                </c:pt>
                <c:pt idx="3">
                  <c:v>2799.6666666666665</c:v>
                </c:pt>
                <c:pt idx="4">
                  <c:v>1405</c:v>
                </c:pt>
                <c:pt idx="5">
                  <c:v>2831.333333333333</c:v>
                </c:pt>
                <c:pt idx="6">
                  <c:v>1991.6666666666667</c:v>
                </c:pt>
                <c:pt idx="7">
                  <c:v>432.66666666666674</c:v>
                </c:pt>
                <c:pt idx="8">
                  <c:v>292</c:v>
                </c:pt>
                <c:pt idx="9">
                  <c:v>0</c:v>
                </c:pt>
                <c:pt idx="10">
                  <c:v>2036.333333333333</c:v>
                </c:pt>
                <c:pt idx="11">
                  <c:v>2478.9999999999995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73184"/>
        <c:axId val="183420032"/>
      </c:barChart>
      <c:catAx>
        <c:axId val="18337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420032"/>
        <c:crosses val="autoZero"/>
        <c:auto val="1"/>
        <c:lblAlgn val="ctr"/>
        <c:lblOffset val="100"/>
        <c:noMultiLvlLbl val="0"/>
      </c:catAx>
      <c:valAx>
        <c:axId val="18342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337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294</c:v>
                </c:pt>
                <c:pt idx="1">
                  <c:v>40.000000000000007</c:v>
                </c:pt>
                <c:pt idx="2">
                  <c:v>125.33333333333334</c:v>
                </c:pt>
                <c:pt idx="3">
                  <c:v>202.99999999999997</c:v>
                </c:pt>
                <c:pt idx="4">
                  <c:v>444</c:v>
                </c:pt>
                <c:pt idx="5">
                  <c:v>133.33333333333334</c:v>
                </c:pt>
                <c:pt idx="6">
                  <c:v>310.33333333333331</c:v>
                </c:pt>
                <c:pt idx="7">
                  <c:v>46.333333333333329</c:v>
                </c:pt>
                <c:pt idx="8">
                  <c:v>65.333333333333343</c:v>
                </c:pt>
                <c:pt idx="9">
                  <c:v>501</c:v>
                </c:pt>
                <c:pt idx="10">
                  <c:v>259.33333333333337</c:v>
                </c:pt>
                <c:pt idx="11">
                  <c:v>530.66666666666663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531</c:v>
                </c:pt>
                <c:pt idx="1">
                  <c:v>121</c:v>
                </c:pt>
                <c:pt idx="2">
                  <c:v>100</c:v>
                </c:pt>
                <c:pt idx="3">
                  <c:v>249.00000000000003</c:v>
                </c:pt>
                <c:pt idx="4">
                  <c:v>256.33333333333337</c:v>
                </c:pt>
                <c:pt idx="5">
                  <c:v>237.99999999999997</c:v>
                </c:pt>
                <c:pt idx="6">
                  <c:v>263.00000000000006</c:v>
                </c:pt>
                <c:pt idx="7">
                  <c:v>93.666666666666686</c:v>
                </c:pt>
                <c:pt idx="8">
                  <c:v>87</c:v>
                </c:pt>
                <c:pt idx="9">
                  <c:v>1078.3333333333333</c:v>
                </c:pt>
                <c:pt idx="10">
                  <c:v>137.6666666666666</c:v>
                </c:pt>
                <c:pt idx="11">
                  <c:v>264.33333333333337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12256"/>
        <c:axId val="176913792"/>
      </c:barChart>
      <c:catAx>
        <c:axId val="176912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913792"/>
        <c:crosses val="autoZero"/>
        <c:auto val="1"/>
        <c:lblAlgn val="ctr"/>
        <c:lblOffset val="100"/>
        <c:noMultiLvlLbl val="0"/>
      </c:catAx>
      <c:valAx>
        <c:axId val="176913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691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84221352</c:v>
                </c:pt>
                <c:pt idx="1">
                  <c:v>73494967</c:v>
                </c:pt>
                <c:pt idx="2">
                  <c:v>35094918</c:v>
                </c:pt>
                <c:pt idx="3">
                  <c:v>79509317</c:v>
                </c:pt>
                <c:pt idx="4" formatCode="#,##0.0">
                  <c:v>84298017</c:v>
                </c:pt>
                <c:pt idx="5" formatCode="#,##0.0">
                  <c:v>78878068.333333328</c:v>
                </c:pt>
                <c:pt idx="6" formatCode="#,##0.0">
                  <c:v>73098277</c:v>
                </c:pt>
                <c:pt idx="7" formatCode="#,##0.0">
                  <c:v>72797293.666666672</c:v>
                </c:pt>
                <c:pt idx="8" formatCode="#,##0.0">
                  <c:v>32561227</c:v>
                </c:pt>
                <c:pt idx="9" formatCode="#,##0.0">
                  <c:v>0</c:v>
                </c:pt>
                <c:pt idx="10" formatCode="#,##0.0">
                  <c:v>73116666</c:v>
                </c:pt>
                <c:pt idx="11" formatCode="#,##0.0">
                  <c:v>73117190.333333328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53184"/>
        <c:axId val="183454720"/>
      </c:barChart>
      <c:catAx>
        <c:axId val="18345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454720"/>
        <c:crosses val="autoZero"/>
        <c:auto val="1"/>
        <c:lblAlgn val="ctr"/>
        <c:lblOffset val="100"/>
        <c:noMultiLvlLbl val="0"/>
      </c:catAx>
      <c:valAx>
        <c:axId val="18345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34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23207</c:v>
                </c:pt>
                <c:pt idx="1">
                  <c:v>4234.3333333333339</c:v>
                </c:pt>
                <c:pt idx="2">
                  <c:v>2334.666666666667</c:v>
                </c:pt>
                <c:pt idx="3">
                  <c:v>17476</c:v>
                </c:pt>
                <c:pt idx="4">
                  <c:v>14336</c:v>
                </c:pt>
                <c:pt idx="5">
                  <c:v>8649.3333333333321</c:v>
                </c:pt>
                <c:pt idx="6">
                  <c:v>4631.3333333333339</c:v>
                </c:pt>
                <c:pt idx="7">
                  <c:v>949.99999999999977</c:v>
                </c:pt>
                <c:pt idx="8">
                  <c:v>1215.9999999999998</c:v>
                </c:pt>
                <c:pt idx="9">
                  <c:v>0</c:v>
                </c:pt>
                <c:pt idx="10">
                  <c:v>9065</c:v>
                </c:pt>
                <c:pt idx="11">
                  <c:v>19358.666666666668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23864.999999999996</c:v>
                </c:pt>
                <c:pt idx="1">
                  <c:v>6609.9999999999982</c:v>
                </c:pt>
                <c:pt idx="2">
                  <c:v>5785.0000000000009</c:v>
                </c:pt>
                <c:pt idx="3">
                  <c:v>27739.666666666668</c:v>
                </c:pt>
                <c:pt idx="4">
                  <c:v>12685.333333333332</c:v>
                </c:pt>
                <c:pt idx="5">
                  <c:v>27348.999999999996</c:v>
                </c:pt>
                <c:pt idx="6">
                  <c:v>13210.333333333332</c:v>
                </c:pt>
                <c:pt idx="7">
                  <c:v>2032.0000000000002</c:v>
                </c:pt>
                <c:pt idx="8">
                  <c:v>2018.3333333333333</c:v>
                </c:pt>
                <c:pt idx="9">
                  <c:v>0</c:v>
                </c:pt>
                <c:pt idx="10">
                  <c:v>7626.3333333333348</c:v>
                </c:pt>
                <c:pt idx="11">
                  <c:v>12751.333333333332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08224"/>
        <c:axId val="182314112"/>
      </c:barChart>
      <c:catAx>
        <c:axId val="18230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314112"/>
        <c:crosses val="autoZero"/>
        <c:auto val="1"/>
        <c:lblAlgn val="ctr"/>
        <c:lblOffset val="100"/>
        <c:noMultiLvlLbl val="0"/>
      </c:catAx>
      <c:valAx>
        <c:axId val="18231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8230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852604452</c:v>
                </c:pt>
                <c:pt idx="1">
                  <c:v>744186033.66666663</c:v>
                </c:pt>
                <c:pt idx="2">
                  <c:v>361164198</c:v>
                </c:pt>
                <c:pt idx="3">
                  <c:v>805550803</c:v>
                </c:pt>
                <c:pt idx="4" formatCode="#,##0.0">
                  <c:v>853371117</c:v>
                </c:pt>
                <c:pt idx="5" formatCode="#,##0.0">
                  <c:v>799187708.33333337</c:v>
                </c:pt>
                <c:pt idx="6" formatCode="#,##0.0">
                  <c:v>741383650.33333337</c:v>
                </c:pt>
                <c:pt idx="7" formatCode="#,##0.0">
                  <c:v>738376367</c:v>
                </c:pt>
                <c:pt idx="8" formatCode="#,##0.0">
                  <c:v>335937139</c:v>
                </c:pt>
                <c:pt idx="9" formatCode="#,##0.0">
                  <c:v>0</c:v>
                </c:pt>
                <c:pt idx="10" formatCode="#,##0.0">
                  <c:v>741560485.66666663</c:v>
                </c:pt>
                <c:pt idx="11" formatCode="#,##0.0">
                  <c:v>741557392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05152"/>
        <c:axId val="184306688"/>
      </c:barChart>
      <c:catAx>
        <c:axId val="18430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306688"/>
        <c:crosses val="autoZero"/>
        <c:auto val="1"/>
        <c:lblAlgn val="ctr"/>
        <c:lblOffset val="100"/>
        <c:noMultiLvlLbl val="0"/>
      </c:catAx>
      <c:valAx>
        <c:axId val="18430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43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344</c:v>
                </c:pt>
                <c:pt idx="1">
                  <c:v>58.666666666666671</c:v>
                </c:pt>
                <c:pt idx="2">
                  <c:v>176.66666666666663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485.66666666666669</c:v>
                </c:pt>
                <c:pt idx="7">
                  <c:v>145.99999999999997</c:v>
                </c:pt>
                <c:pt idx="8">
                  <c:v>88.666666666666686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374.33333333333337</c:v>
                </c:pt>
                <c:pt idx="1">
                  <c:v>112.99999999999999</c:v>
                </c:pt>
                <c:pt idx="2">
                  <c:v>76.333333333333385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867</c:v>
                </c:pt>
                <c:pt idx="7">
                  <c:v>117.66666666666666</c:v>
                </c:pt>
                <c:pt idx="8">
                  <c:v>130.66666666666663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48256"/>
        <c:axId val="184070528"/>
      </c:barChart>
      <c:catAx>
        <c:axId val="18404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070528"/>
        <c:crosses val="autoZero"/>
        <c:auto val="1"/>
        <c:lblAlgn val="ctr"/>
        <c:lblOffset val="100"/>
        <c:noMultiLvlLbl val="0"/>
      </c:catAx>
      <c:valAx>
        <c:axId val="18407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40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8566982</c:v>
                </c:pt>
                <c:pt idx="1">
                  <c:v>7588061</c:v>
                </c:pt>
                <c:pt idx="2">
                  <c:v>3948648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7400418</c:v>
                </c:pt>
                <c:pt idx="7" formatCode="#,##0.0">
                  <c:v>7426347</c:v>
                </c:pt>
                <c:pt idx="8" formatCode="#,##0.0">
                  <c:v>3711311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65120"/>
        <c:axId val="184166656"/>
      </c:barChart>
      <c:catAx>
        <c:axId val="184165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166656"/>
        <c:crosses val="autoZero"/>
        <c:auto val="1"/>
        <c:lblAlgn val="ctr"/>
        <c:lblOffset val="100"/>
        <c:noMultiLvlLbl val="0"/>
      </c:catAx>
      <c:valAx>
        <c:axId val="18416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41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25377</c:v>
                </c:pt>
                <c:pt idx="1">
                  <c:v>6025</c:v>
                </c:pt>
                <c:pt idx="2">
                  <c:v>5796.6666666666679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9761</c:v>
                </c:pt>
                <c:pt idx="7">
                  <c:v>3689</c:v>
                </c:pt>
                <c:pt idx="8">
                  <c:v>2390.6666666666661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45336.999999999993</c:v>
                </c:pt>
                <c:pt idx="1">
                  <c:v>14065.333333333332</c:v>
                </c:pt>
                <c:pt idx="2">
                  <c:v>17411.333333333332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21774.333333333332</c:v>
                </c:pt>
                <c:pt idx="7">
                  <c:v>2558.3333333333339</c:v>
                </c:pt>
                <c:pt idx="8">
                  <c:v>2103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15296"/>
        <c:axId val="183016832"/>
      </c:barChart>
      <c:catAx>
        <c:axId val="18301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016832"/>
        <c:crosses val="autoZero"/>
        <c:auto val="1"/>
        <c:lblAlgn val="ctr"/>
        <c:lblOffset val="100"/>
        <c:noMultiLvlLbl val="0"/>
      </c:catAx>
      <c:valAx>
        <c:axId val="18301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30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1770477769</c:v>
                </c:pt>
                <c:pt idx="1">
                  <c:v>1612946632</c:v>
                </c:pt>
                <c:pt idx="2">
                  <c:v>1093545139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1584398025</c:v>
                </c:pt>
                <c:pt idx="7" formatCode="#,##0.0">
                  <c:v>1586579492</c:v>
                </c:pt>
                <c:pt idx="8" formatCode="#,##0.0">
                  <c:v>1056027458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50240"/>
        <c:axId val="183051776"/>
      </c:barChart>
      <c:catAx>
        <c:axId val="183050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051776"/>
        <c:crosses val="autoZero"/>
        <c:auto val="1"/>
        <c:lblAlgn val="ctr"/>
        <c:lblOffset val="100"/>
        <c:noMultiLvlLbl val="0"/>
      </c:catAx>
      <c:valAx>
        <c:axId val="183051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30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2372376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4777780</c:v>
                </c:pt>
                <c:pt idx="7" formatCode="#,##0.0">
                  <c:v>4777768</c:v>
                </c:pt>
                <c:pt idx="8" formatCode="#,##0.0">
                  <c:v>2080634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7200"/>
        <c:axId val="176948736"/>
      </c:barChart>
      <c:catAx>
        <c:axId val="17694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948736"/>
        <c:crosses val="autoZero"/>
        <c:auto val="1"/>
        <c:lblAlgn val="ctr"/>
        <c:lblOffset val="100"/>
        <c:noMultiLvlLbl val="0"/>
      </c:catAx>
      <c:valAx>
        <c:axId val="17694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69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1606.6666666666665</c:v>
                </c:pt>
                <c:pt idx="1">
                  <c:v>373.66666666666663</c:v>
                </c:pt>
                <c:pt idx="2">
                  <c:v>462.33333333333331</c:v>
                </c:pt>
                <c:pt idx="3">
                  <c:v>1281</c:v>
                </c:pt>
                <c:pt idx="4">
                  <c:v>1437</c:v>
                </c:pt>
                <c:pt idx="5">
                  <c:v>712</c:v>
                </c:pt>
                <c:pt idx="6">
                  <c:v>548.66666666666663</c:v>
                </c:pt>
                <c:pt idx="7">
                  <c:v>179</c:v>
                </c:pt>
                <c:pt idx="8">
                  <c:v>179.66666666666663</c:v>
                </c:pt>
                <c:pt idx="9">
                  <c:v>1965.6666666666665</c:v>
                </c:pt>
                <c:pt idx="10">
                  <c:v>471.66666666666669</c:v>
                </c:pt>
                <c:pt idx="11">
                  <c:v>2565.6666666666665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3995.3333333333335</c:v>
                </c:pt>
                <c:pt idx="1">
                  <c:v>1002</c:v>
                </c:pt>
                <c:pt idx="2">
                  <c:v>994.33333333333326</c:v>
                </c:pt>
                <c:pt idx="3">
                  <c:v>2140.333333333333</c:v>
                </c:pt>
                <c:pt idx="4">
                  <c:v>1430.3333333333333</c:v>
                </c:pt>
                <c:pt idx="5">
                  <c:v>2302.333333333333</c:v>
                </c:pt>
                <c:pt idx="6">
                  <c:v>659</c:v>
                </c:pt>
                <c:pt idx="7">
                  <c:v>233.33333333333331</c:v>
                </c:pt>
                <c:pt idx="8">
                  <c:v>173</c:v>
                </c:pt>
                <c:pt idx="9">
                  <c:v>5289.6666666666661</c:v>
                </c:pt>
                <c:pt idx="10">
                  <c:v>388.66666666666663</c:v>
                </c:pt>
                <c:pt idx="11">
                  <c:v>1062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49888"/>
        <c:axId val="178551424"/>
      </c:barChart>
      <c:catAx>
        <c:axId val="178549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51424"/>
        <c:crosses val="autoZero"/>
        <c:auto val="1"/>
        <c:lblAlgn val="ctr"/>
        <c:lblOffset val="100"/>
        <c:noMultiLvlLbl val="0"/>
      </c:catAx>
      <c:valAx>
        <c:axId val="17855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85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24872376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49777780</c:v>
                </c:pt>
                <c:pt idx="7" formatCode="#,##0.0">
                  <c:v>49777768</c:v>
                </c:pt>
                <c:pt idx="8" formatCode="#,##0.0">
                  <c:v>21880634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4576"/>
        <c:axId val="177275648"/>
      </c:barChart>
      <c:catAx>
        <c:axId val="178584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275648"/>
        <c:crosses val="autoZero"/>
        <c:auto val="1"/>
        <c:lblAlgn val="ctr"/>
        <c:lblOffset val="100"/>
        <c:noMultiLvlLbl val="0"/>
      </c:catAx>
      <c:valAx>
        <c:axId val="17727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58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15667.666666666668</c:v>
                </c:pt>
                <c:pt idx="1">
                  <c:v>3848.666666666667</c:v>
                </c:pt>
                <c:pt idx="2">
                  <c:v>4056.3333333333335</c:v>
                </c:pt>
                <c:pt idx="3">
                  <c:v>12090.333333333334</c:v>
                </c:pt>
                <c:pt idx="4">
                  <c:v>11378.666666666666</c:v>
                </c:pt>
                <c:pt idx="5">
                  <c:v>6346</c:v>
                </c:pt>
                <c:pt idx="6">
                  <c:v>2845.3333333333335</c:v>
                </c:pt>
                <c:pt idx="7">
                  <c:v>1286.6666666666665</c:v>
                </c:pt>
                <c:pt idx="8">
                  <c:v>1236</c:v>
                </c:pt>
                <c:pt idx="9">
                  <c:v>15259</c:v>
                </c:pt>
                <c:pt idx="10">
                  <c:v>3040.6666666666665</c:v>
                </c:pt>
                <c:pt idx="11">
                  <c:v>19942.666666666668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40283</c:v>
                </c:pt>
                <c:pt idx="1">
                  <c:v>10114.333333333332</c:v>
                </c:pt>
                <c:pt idx="2">
                  <c:v>9411</c:v>
                </c:pt>
                <c:pt idx="3">
                  <c:v>21218.333333333328</c:v>
                </c:pt>
                <c:pt idx="4">
                  <c:v>13460.666666666666</c:v>
                </c:pt>
                <c:pt idx="5">
                  <c:v>23396</c:v>
                </c:pt>
                <c:pt idx="6">
                  <c:v>3982.9999999999995</c:v>
                </c:pt>
                <c:pt idx="7">
                  <c:v>1745.3333333333335</c:v>
                </c:pt>
                <c:pt idx="8">
                  <c:v>1156.3333333333335</c:v>
                </c:pt>
                <c:pt idx="9">
                  <c:v>48735.333333333336</c:v>
                </c:pt>
                <c:pt idx="10">
                  <c:v>2481.333333333333</c:v>
                </c:pt>
                <c:pt idx="11">
                  <c:v>9053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76096"/>
        <c:axId val="178677632"/>
      </c:barChart>
      <c:catAx>
        <c:axId val="178676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677632"/>
        <c:crosses val="autoZero"/>
        <c:auto val="1"/>
        <c:lblAlgn val="ctr"/>
        <c:lblOffset val="100"/>
        <c:noMultiLvlLbl val="0"/>
      </c:catAx>
      <c:valAx>
        <c:axId val="17867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86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266775224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517777780</c:v>
                </c:pt>
                <c:pt idx="7" formatCode="#,##0.0">
                  <c:v>517777768</c:v>
                </c:pt>
                <c:pt idx="8" formatCode="#,##0.0">
                  <c:v>237832058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86208"/>
        <c:axId val="178704384"/>
      </c:barChart>
      <c:catAx>
        <c:axId val="178686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704384"/>
        <c:crosses val="autoZero"/>
        <c:auto val="1"/>
        <c:lblAlgn val="ctr"/>
        <c:lblOffset val="100"/>
        <c:noMultiLvlLbl val="0"/>
      </c:catAx>
      <c:valAx>
        <c:axId val="17870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868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327.33333333333331</c:v>
                </c:pt>
                <c:pt idx="1">
                  <c:v>120.33333333333331</c:v>
                </c:pt>
                <c:pt idx="2">
                  <c:v>51.666666666666664</c:v>
                </c:pt>
                <c:pt idx="3">
                  <c:v>296.33333333333331</c:v>
                </c:pt>
                <c:pt idx="4">
                  <c:v>223.66666666666669</c:v>
                </c:pt>
                <c:pt idx="5">
                  <c:v>169</c:v>
                </c:pt>
                <c:pt idx="6">
                  <c:v>233</c:v>
                </c:pt>
                <c:pt idx="7">
                  <c:v>145.33333333333334</c:v>
                </c:pt>
                <c:pt idx="8">
                  <c:v>136.33333333333334</c:v>
                </c:pt>
                <c:pt idx="9">
                  <c:v>400.66666666666669</c:v>
                </c:pt>
                <c:pt idx="10">
                  <c:v>268.33333333333331</c:v>
                </c:pt>
                <c:pt idx="11">
                  <c:v>458.66666666666663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672.66666666666674</c:v>
                </c:pt>
                <c:pt idx="1">
                  <c:v>150.66666666666666</c:v>
                </c:pt>
                <c:pt idx="2">
                  <c:v>78.666666666666657</c:v>
                </c:pt>
                <c:pt idx="3">
                  <c:v>378.00000000000006</c:v>
                </c:pt>
                <c:pt idx="4">
                  <c:v>211</c:v>
                </c:pt>
                <c:pt idx="5">
                  <c:v>328.33333333333331</c:v>
                </c:pt>
                <c:pt idx="6">
                  <c:v>212.33333333333337</c:v>
                </c:pt>
                <c:pt idx="7">
                  <c:v>116.66666666666666</c:v>
                </c:pt>
                <c:pt idx="8">
                  <c:v>177.99999999999997</c:v>
                </c:pt>
                <c:pt idx="9">
                  <c:v>770.99999999999989</c:v>
                </c:pt>
                <c:pt idx="10">
                  <c:v>262.66666666666669</c:v>
                </c:pt>
                <c:pt idx="11">
                  <c:v>274.33333333333337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99776"/>
        <c:axId val="179901568"/>
      </c:barChart>
      <c:catAx>
        <c:axId val="179899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901568"/>
        <c:crosses val="autoZero"/>
        <c:auto val="1"/>
        <c:lblAlgn val="ctr"/>
        <c:lblOffset val="100"/>
        <c:noMultiLvlLbl val="0"/>
      </c:catAx>
      <c:valAx>
        <c:axId val="17990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989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7:Y60">
  <autoFilter ref="B57:Y60"/>
  <tableColumns count="24">
    <tableColumn id="2" name="Newtonsoft" totalsRowFunction="custom">
      <totalsRowFormula>AverageNumbers[](Serialization[Newtonsoft])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-JSON" totalsRowFunction="custom">
      <totalsRowFormula>AverageNumbers[](Serialization[DSL-JSON])</totalsRowFormula>
    </tableColumn>
    <tableColumn id="11" name="Kryo (binary reference)"/>
    <tableColumn id="24" name="Boon"/>
    <tableColumn id="23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4">
  <autoFilter ref="B51:M54"/>
  <tableColumns count="12">
    <tableColumn id="2" name="Newtonsoft" totalsRowFunction="custom">
      <totalsRowFormula>Table20[](Table17[Newtonsoft])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Table20[](Table17[Jil])</totalsRowFormula>
    </tableColumn>
    <tableColumn id="10" name="NetJSON"/>
    <tableColumn id="15" name="Jackson"/>
    <tableColumn id="6" name="DSL-JSON" totalsRowFunction="custom">
      <totalsRowFormula>Table20[](Table17[DSL-JSON])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7:Y60">
  <autoFilter ref="B57:Y60"/>
  <tableColumns count="24">
    <tableColumn id="2" name="Newtonsoft" totalsRowFunction="custom">
      <totalsRowFormula>Table25[](Table21[Newtonsoft])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Table25[](Table21[Jil])</totalsRowFormula>
    </tableColumn>
    <tableColumn id="9" name="NetJSON"/>
    <tableColumn id="8" name="Jackson"/>
    <tableColumn id="4" name="DSL-JSON" totalsRowFunction="custom">
      <totalsRowFormula>Table25[](Table21[DSL-JSON])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Table25[](Table21[Gson])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Table25[](Table21[Service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Table25[](Table21[Newtonsoft])</calculatedColumnFormula>
    </tableColumn>
    <tableColumn id="3" name="Revenj" dataDxfId="382"/>
    <tableColumn id="11" name="ProtoBuf (binary reference)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-JSON" dataDxfId="376"/>
    <tableColumn id="9" name="Kryo (binary reference)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Table25[](Table21[Newtonsoft])</calculatedColumnFormula>
    </tableColumn>
    <tableColumn id="3" name="Revenj" dataDxfId="370"/>
    <tableColumn id="11" name="Protobuf (binary reference)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-JSON" dataDxfId="364"/>
    <tableColumn id="9" name="Kryo (binary reference)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3:M66">
  <autoFilter ref="B63:M66"/>
  <tableColumns count="12">
    <tableColumn id="2" name="Newtonsoft" totalsRowFunction="custom">
      <totalsRowFormula>Table25[](Table23[Newtonsoft])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Table25[](Table23[Jil])</totalsRowFormula>
    </tableColumn>
    <tableColumn id="10" name="NetJSON"/>
    <tableColumn id="15" name="Jackson"/>
    <tableColumn id="6" name="DSL-JSON" totalsRowFunction="custom">
      <totalsRowFormula>Table25[](Table23[DSL-JSON])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4">
  <autoFilter ref="B51:M54"/>
  <tableColumns count="12">
    <tableColumn id="2" name="Newtonsoft" totalsRowFunction="custom">
      <totalsRowFormula>Table25[](Table22[Newtonsoft])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Table25[](Table22[Jil])</totalsRowFormula>
    </tableColumn>
    <tableColumn id="10" name="NetJSON"/>
    <tableColumn id="15" name="Jackson"/>
    <tableColumn id="6" name="DSL-JSON" totalsRowFunction="custom">
      <totalsRowFormula>Table25[](Table22[DSL-JSON])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7:Y60">
  <autoFilter ref="B57:Y60"/>
  <tableColumns count="24">
    <tableColumn id="2" name="Newtonsoft" totalsRowFunction="custom">
      <totalsRowFormula>Table30[](Table26[Newtonsoft])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Table30[](Table26[Jil])</totalsRowFormula>
    </tableColumn>
    <tableColumn id="9" name="NetJSON"/>
    <tableColumn id="8" name="Jackson"/>
    <tableColumn id="4" name="DSL-JSON" totalsRowFunction="custom">
      <totalsRowFormula>Table30[](Table26[DSL-JSON])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Table30[](Table26[Gson])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Table30[](Table26[Service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Table30[](Table26[Newtonsoft])</calculatedColumnFormula>
    </tableColumn>
    <tableColumn id="3" name="Revenj" dataDxfId="358"/>
    <tableColumn id="11" name="ProtoBuf (binary reference)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-JSON" dataDxfId="352"/>
    <tableColumn id="9" name="Kryo (binary reference)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Table30[](Table26[Newtonsoft])</calculatedColumnFormula>
    </tableColumn>
    <tableColumn id="3" name="Revenj" dataDxfId="346"/>
    <tableColumn id="11" name="Protobuf (binary reference)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-JSON" dataDxfId="340"/>
    <tableColumn id="9" name="Kryo (binary reference)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3:M66">
  <autoFilter ref="B63:M66"/>
  <tableColumns count="12">
    <tableColumn id="2" name="Newtonsoft" totalsRowFunction="custom">
      <totalsRowFormula>Table30[](Table28[Newtonsoft])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Table30[](Table28[Jil])</totalsRowFormula>
    </tableColumn>
    <tableColumn id="10" name="NetJSON"/>
    <tableColumn id="15" name="Jackson"/>
    <tableColumn id="6" name="DSL-JSON" totalsRowFunction="custom">
      <totalsRowFormula>Table30[](Table28[DSL-JSON])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ProtoBuf (binary reference)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-JSON" dataDxfId="424"/>
    <tableColumn id="9" name="Kryo (binary reference)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4">
  <autoFilter ref="B51:M54"/>
  <tableColumns count="12">
    <tableColumn id="2" name="Newtonsoft" totalsRowFunction="custom">
      <totalsRowFormula>Table30[](Table27[Newtonsoft])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Table30[](Table27[Jil])</totalsRowFormula>
    </tableColumn>
    <tableColumn id="10" name="NetJSON"/>
    <tableColumn id="15" name="Jackson"/>
    <tableColumn id="6" name="DSL-JSON" totalsRowFunction="custom">
      <totalsRowFormula>Table30[](Table27[DSL-JSON])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7:Y60">
  <autoFilter ref="B57:Y60"/>
  <tableColumns count="24">
    <tableColumn id="2" name="Newtonsoft" totalsRowFunction="custom">
      <totalsRowFormula>Table35[](Table31[Newtonsoft])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Table35[](Table31[Jil])</totalsRowFormula>
    </tableColumn>
    <tableColumn id="9" name="NetJSON"/>
    <tableColumn id="8" name="Jackson"/>
    <tableColumn id="4" name="DSL-JSON" totalsRowFunction="custom">
      <totalsRowFormula>Table35[](Table31[DSL-JSON])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Table35[](Table31[Gson])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Table35[](Table31[Service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Table35[](Table31[Newtonsoft])</calculatedColumnFormula>
    </tableColumn>
    <tableColumn id="3" name="Revenj" dataDxfId="334"/>
    <tableColumn id="11" name="ProtoBuf (binary reference)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-JSON" dataDxfId="328"/>
    <tableColumn id="9" name="Kryo (binary reference)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Table35[](Table31[Newtonsoft])</calculatedColumnFormula>
    </tableColumn>
    <tableColumn id="3" name="Revenj" dataDxfId="322"/>
    <tableColumn id="11" name="Protobuf (binary reference)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-JSON" dataDxfId="316"/>
    <tableColumn id="9" name="Kryo (binary reference)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3:M66">
  <autoFilter ref="B63:M66"/>
  <tableColumns count="12">
    <tableColumn id="2" name="Newtonsoft" totalsRowFunction="custom">
      <totalsRowFormula>Table35[](Table33[Newtonsoft])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Table35[](Table33[Jil])</totalsRowFormula>
    </tableColumn>
    <tableColumn id="10" name="NetJSON"/>
    <tableColumn id="15" name="Jackson"/>
    <tableColumn id="6" name="DSL-JSON" totalsRowFunction="custom">
      <totalsRowFormula>Table35[](Table33[DSL-JSON])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4">
  <autoFilter ref="B51:M54"/>
  <tableColumns count="12">
    <tableColumn id="2" name="Newtonsoft" totalsRowFunction="custom">
      <totalsRowFormula>Table35[](Table32[Newtonsoft])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Table35[](Table32[Jil])</totalsRowFormula>
    </tableColumn>
    <tableColumn id="10" name="NetJSON"/>
    <tableColumn id="15" name="Jackson"/>
    <tableColumn id="6" name="DSL-JSON" totalsRowFunction="custom">
      <totalsRowFormula>Table35[](Table32[DSL-JSON])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7:Y60">
  <autoFilter ref="B57:Y60"/>
  <tableColumns count="24">
    <tableColumn id="2" name="Newtonsoft" totalsRowFunction="custom">
      <totalsRowFormula>Table40[](Table36[Newtonsoft])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Table40[](Table36[Jil])</totalsRowFormula>
    </tableColumn>
    <tableColumn id="9" name="NetJSON"/>
    <tableColumn id="8" name="Jackson"/>
    <tableColumn id="4" name="DSL-JSON" totalsRowFunction="custom">
      <totalsRowFormula>Table40[](Table36[DSL-JSON])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Table40[](Table36[Gson])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Table40[](Table36[Service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Table40[](Table36[Newtonsoft])</calculatedColumnFormula>
    </tableColumn>
    <tableColumn id="3" name="Revenj" dataDxfId="310"/>
    <tableColumn id="11" name="ProtoBuf (binary reference)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-JSON" dataDxfId="304"/>
    <tableColumn id="9" name="Kryo (binary reference)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Table40[](Table36[Newtonsoft])</calculatedColumnFormula>
    </tableColumn>
    <tableColumn id="3" name="Revenj" dataDxfId="298"/>
    <tableColumn id="11" name="Protobuf (binary reference)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-JSON" dataDxfId="292"/>
    <tableColumn id="9" name="Kryo (binary reference)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3:M66">
  <autoFilter ref="B63:M66"/>
  <tableColumns count="12">
    <tableColumn id="2" name="Newtonsoft" totalsRowFunction="custom">
      <totalsRowFormula>Table40[](Table38[Newtonsoft])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Table40[](Table38[Jil])</totalsRowFormula>
    </tableColumn>
    <tableColumn id="10" name="NetJSON"/>
    <tableColumn id="15" name="Jackson"/>
    <tableColumn id="6" name="DSL-JSON" totalsRowFunction="custom">
      <totalsRowFormula>Table40[](Table38[DSL-JSON])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Protobuf (binary reference)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-JSON" dataDxfId="412"/>
    <tableColumn id="9" name="Kryo (binary reference)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4">
  <autoFilter ref="B51:M54"/>
  <tableColumns count="12">
    <tableColumn id="2" name="Newtonsoft" totalsRowFunction="custom">
      <totalsRowFormula>Table40[](Table37[Newtonsoft])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Table40[](Table37[Jil])</totalsRowFormula>
    </tableColumn>
    <tableColumn id="10" name="NetJSON"/>
    <tableColumn id="15" name="Jackson"/>
    <tableColumn id="6" name="DSL-JSON" totalsRowFunction="custom">
      <totalsRowFormula>Table40[](Table37[DSL-JSON])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7:Y60">
  <autoFilter ref="B57:Y60"/>
  <tableColumns count="24">
    <tableColumn id="2" name="Newtonsoft" totalsRowFunction="custom">
      <totalsRowFormula>Table45[](Table41[Newtonsoft])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Table45[](Table41[Jil])</totalsRowFormula>
    </tableColumn>
    <tableColumn id="9" name="NetJSON"/>
    <tableColumn id="8" name="Jackson"/>
    <tableColumn id="4" name="DSL-JSON" totalsRowFunction="custom">
      <totalsRowFormula>Table45[](Table41[DSL-JSON])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Table45[](Table41[Gson])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Table45[](Table41[Service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Table45[](Table41[Newtonsoft])</calculatedColumnFormula>
    </tableColumn>
    <tableColumn id="3" name="Revenj" dataDxfId="286"/>
    <tableColumn id="11" name="ProtoBuf (binary reference)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-JSON" dataDxfId="280"/>
    <tableColumn id="9" name="Kryo (binary reference)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Table45[](Table41[Newtonsoft])</calculatedColumnFormula>
    </tableColumn>
    <tableColumn id="3" name="Revenj" dataDxfId="274"/>
    <tableColumn id="11" name="Protobuf (binary reference)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-JSON" dataDxfId="268"/>
    <tableColumn id="9" name="Kryo (binary reference)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3:M66">
  <autoFilter ref="B63:M66"/>
  <tableColumns count="12">
    <tableColumn id="2" name="Newtonsoft" totalsRowFunction="custom">
      <totalsRowFormula>Table45[](Table43[Newtonsoft])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Table45[](Table43[Jil])</totalsRowFormula>
    </tableColumn>
    <tableColumn id="10" name="NetJSON"/>
    <tableColumn id="15" name="Jackson"/>
    <tableColumn id="6" name="DSL-JSON" totalsRowFunction="custom">
      <totalsRowFormula>Table45[](Table43[DSL-JSON])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4">
  <autoFilter ref="B51:M54"/>
  <tableColumns count="12">
    <tableColumn id="2" name="Newtonsoft" totalsRowFunction="custom">
      <totalsRowFormula>Table45[](Table42[Newtonsoft])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Table45[](Table42[Jil])</totalsRowFormula>
    </tableColumn>
    <tableColumn id="10" name="NetJSON"/>
    <tableColumn id="15" name="Jackson"/>
    <tableColumn id="6" name="DSL-JSON" totalsRowFunction="custom">
      <totalsRowFormula>Table45[](Table42[DSL-JSON])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7:Y60">
  <autoFilter ref="B57:Y60"/>
  <tableColumns count="24">
    <tableColumn id="2" name="Newtonsoft" totalsRowFunction="custom">
      <totalsRowFormula>Table50[](Table46[Newtonsoft])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Table50[](Table46[Jil])</totalsRowFormula>
    </tableColumn>
    <tableColumn id="9" name="NetJSON"/>
    <tableColumn id="8" name="Jackson"/>
    <tableColumn id="4" name="DSL-JSON" totalsRowFunction="custom">
      <totalsRowFormula>Table50[](Table46[DSL-JSON])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Table50[](Table46[Gson])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Table50[](Table46[Service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Table50[](Table46[Newtonsoft])</calculatedColumnFormula>
    </tableColumn>
    <tableColumn id="3" name="Revenj" dataDxfId="262"/>
    <tableColumn id="11" name="ProtoBuf (binary reference)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-JSON" dataDxfId="256"/>
    <tableColumn id="9" name="Kryo (binary reference)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Table50[](Table46[Newtonsoft])</calculatedColumnFormula>
    </tableColumn>
    <tableColumn id="3" name="Revenj" dataDxfId="250"/>
    <tableColumn id="11" name="Protobuf (binary reference)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-JSON" dataDxfId="244"/>
    <tableColumn id="9" name="Kryo (binary reference)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3:M66">
  <autoFilter ref="B63:M66"/>
  <tableColumns count="12">
    <tableColumn id="2" name="Newtonsoft" totalsRowFunction="custom">
      <totalsRowFormula>Table50[](Table48[Newtonsoft])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Table50[](Table48[Jil])</totalsRowFormula>
    </tableColumn>
    <tableColumn id="10" name="NetJSON"/>
    <tableColumn id="15" name="Jackson"/>
    <tableColumn id="6" name="DSL-JSON" totalsRowFunction="custom">
      <totalsRowFormula>Table50[](Table48[DSL-JSON])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3:M66">
  <autoFilter ref="B63:M66"/>
  <tableColumns count="12">
    <tableColumn id="2" name="Newtonsoft" totalsRowFunction="custom">
      <totalsRowFormula>AverageNumbers[](Both[Newtonsoft])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-JSON" totalsRowFunction="custom">
      <totalsRowFormula>AverageNumbers[](Both[DSL-JSON])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4">
  <autoFilter ref="B51:M54"/>
  <tableColumns count="12">
    <tableColumn id="2" name="Newtonsoft" totalsRowFunction="custom">
      <totalsRowFormula>Table50[](Table47[Newtonsoft])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Table50[](Table47[Jil])</totalsRowFormula>
    </tableColumn>
    <tableColumn id="10" name="NetJSON"/>
    <tableColumn id="15" name="Jackson"/>
    <tableColumn id="6" name="DSL-JSON" totalsRowFunction="custom">
      <totalsRowFormula>Table50[](Table47[DSL-JSON])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7:Y60">
  <autoFilter ref="B57:Y60"/>
  <tableColumns count="24">
    <tableColumn id="2" name="Newtonsoft" totalsRowFunction="custom">
      <totalsRowFormula>Table55[](Table51[Newtonsoft])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Table55[](Table51[Jil])</totalsRowFormula>
    </tableColumn>
    <tableColumn id="9" name="NetJSON"/>
    <tableColumn id="8" name="Jackson"/>
    <tableColumn id="4" name="DSL-JSON" totalsRowFunction="custom">
      <totalsRowFormula>Table55[](Table51[DSL-JSON])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Table55[](Table51[Gson])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Table55[](Table51[Service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Table55[](Table51[Newtonsoft])</calculatedColumnFormula>
    </tableColumn>
    <tableColumn id="3" name="Revenj" dataDxfId="238"/>
    <tableColumn id="11" name="ProtoBuf (binary reference)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-JSON" dataDxfId="232"/>
    <tableColumn id="9" name="Kryo (binary reference)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Table55[](Table51[Newtonsoft])</calculatedColumnFormula>
    </tableColumn>
    <tableColumn id="3" name="Revenj" dataDxfId="226"/>
    <tableColumn id="11" name="Protobuf (binary reference)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-JSON" dataDxfId="220"/>
    <tableColumn id="9" name="Kryo (binary reference)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3:M66">
  <autoFilter ref="B63:M66"/>
  <tableColumns count="12">
    <tableColumn id="2" name="Newtonsoft" totalsRowFunction="custom">
      <totalsRowFormula>Table55[](Table53[Newtonsoft])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Table55[](Table53[Jil])</totalsRowFormula>
    </tableColumn>
    <tableColumn id="10" name="NetJSON"/>
    <tableColumn id="15" name="Jackson"/>
    <tableColumn id="6" name="DSL-JSON" totalsRowFunction="custom">
      <totalsRowFormula>Table55[](Table53[DSL-JSON])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4">
  <autoFilter ref="B51:M54"/>
  <tableColumns count="12">
    <tableColumn id="2" name="Newtonsoft" totalsRowFunction="custom">
      <totalsRowFormula>Table55[](Table52[Newtonsoft])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Table55[](Table52[Jil])</totalsRowFormula>
    </tableColumn>
    <tableColumn id="10" name="NetJSON"/>
    <tableColumn id="15" name="Jackson"/>
    <tableColumn id="6" name="DSL-JSON" totalsRowFunction="custom">
      <totalsRowFormula>Table55[](Table52[DSL-JSON])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7:Y60">
  <autoFilter ref="B57:Y60"/>
  <tableColumns count="24">
    <tableColumn id="2" name="Newtonsoft" totalsRowFunction="custom">
      <totalsRowFormula>Table60[](Table56[Newtonsoft])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Table60[](Table56[Jil])</totalsRowFormula>
    </tableColumn>
    <tableColumn id="9" name="NetJSON"/>
    <tableColumn id="8" name="Jackson"/>
    <tableColumn id="4" name="DSL-JSON" totalsRowFunction="custom">
      <totalsRowFormula>Table60[](Table56[DSL-JSON])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Table60[](Table56[Gson])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Table60[](Table56[Service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Table60[](Table56[Newtonsoft])</calculatedColumnFormula>
    </tableColumn>
    <tableColumn id="3" name="Revenj" dataDxfId="214"/>
    <tableColumn id="11" name="ProtoBuf (binary reference)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-JSON" dataDxfId="208"/>
    <tableColumn id="9" name="Kryo (binary reference)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Table60[](Table56[Newtonsoft])</calculatedColumnFormula>
    </tableColumn>
    <tableColumn id="3" name="Revenj" dataDxfId="202"/>
    <tableColumn id="11" name="Protobuf (binary reference)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-JSON" dataDxfId="196"/>
    <tableColumn id="9" name="Kryo (binary reference)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3:M66">
  <autoFilter ref="B63:M66"/>
  <tableColumns count="12">
    <tableColumn id="2" name="Newtonsoft" totalsRowFunction="custom">
      <totalsRowFormula>Table60[](Table58[Newtonsoft])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Table60[](Table58[Jil])</totalsRowFormula>
    </tableColumn>
    <tableColumn id="10" name="NetJSON"/>
    <tableColumn id="15" name="Jackson"/>
    <tableColumn id="6" name="DSL-JSON" totalsRowFunction="custom">
      <totalsRowFormula>Table60[](Table58[DSL-JSON])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4">
  <autoFilter ref="B51:M54"/>
  <tableColumns count="12">
    <tableColumn id="2" name="Newtonsoft" totalsRowFunction="custom">
      <totalsRowFormula>AverageNumbers[](Instance[Newtonsoft])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-JSON" totalsRowFunction="custom">
      <totalsRowFormula>AverageNumbers[](Instance[DSL-JSON])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4">
  <autoFilter ref="B51:M54"/>
  <tableColumns count="12">
    <tableColumn id="2" name="Newtonsoft" totalsRowFunction="custom">
      <totalsRowFormula>Table60[](Table57[Newtonsoft])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Table60[](Table57[Jil])</totalsRowFormula>
    </tableColumn>
    <tableColumn id="10" name="NetJSON"/>
    <tableColumn id="15" name="Jackson"/>
    <tableColumn id="6" name="DSL-JSON" totalsRowFunction="custom">
      <totalsRowFormula>Table60[](Table57[DSL-JSON])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7:Y60">
  <autoFilter ref="B57:Y60"/>
  <tableColumns count="24">
    <tableColumn id="2" name="Newtonsoft" totalsRowFunction="custom">
      <totalsRowFormula>Table65[](Table61[Newtonsoft])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Table65[](Table61[Jil])</totalsRowFormula>
    </tableColumn>
    <tableColumn id="9" name="NetJSON"/>
    <tableColumn id="8" name="Jackson"/>
    <tableColumn id="4" name="DSL-JSON" totalsRowFunction="custom">
      <totalsRowFormula>Table65[](Table61[DSL-JSON])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Table65[](Table61[Gson])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Table65[](Table61[Service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Table65[](Table61[Newtonsoft])</calculatedColumnFormula>
    </tableColumn>
    <tableColumn id="3" name="Revenj" dataDxfId="190"/>
    <tableColumn id="11" name="ProtoBuf (binary reference)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-JSON" dataDxfId="184"/>
    <tableColumn id="9" name="Kryo (binary reference)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Table65[](Table61[Newtonsoft])</calculatedColumnFormula>
    </tableColumn>
    <tableColumn id="3" name="Revenj" dataDxfId="178"/>
    <tableColumn id="11" name="Protobuf (binary reference)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-JSON" dataDxfId="172"/>
    <tableColumn id="9" name="Kryo (binary reference)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3:M66">
  <autoFilter ref="B63:M66"/>
  <tableColumns count="12">
    <tableColumn id="2" name="Newtonsoft" totalsRowFunction="custom">
      <totalsRowFormula>Table65[](Table63[Newtonsoft])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Table65[](Table63[Jil])</totalsRowFormula>
    </tableColumn>
    <tableColumn id="10" name="NetJSON"/>
    <tableColumn id="15" name="Jackson"/>
    <tableColumn id="6" name="DSL-JSON" totalsRowFunction="custom">
      <totalsRowFormula>Table65[](Table63[DSL-JSON])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4">
  <autoFilter ref="B51:M54"/>
  <tableColumns count="12">
    <tableColumn id="2" name="Newtonsoft" totalsRowFunction="custom">
      <totalsRowFormula>Table65[](Table62[Newtonsoft])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Table65[](Table62[Jil])</totalsRowFormula>
    </tableColumn>
    <tableColumn id="10" name="NetJSON"/>
    <tableColumn id="15" name="Jackson"/>
    <tableColumn id="6" name="DSL-JSON" totalsRowFunction="custom">
      <totalsRowFormula>Table65[](Table62[DSL-JSON])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7:Y60">
  <autoFilter ref="B57:Y60"/>
  <tableColumns count="24">
    <tableColumn id="2" name="Newtonsoft" totalsRowFunction="custom">
      <totalsRowFormula>Table70[](Table66[Newtonsoft])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Table70[](Table66[Jil])</totalsRowFormula>
    </tableColumn>
    <tableColumn id="9" name="NetJSON"/>
    <tableColumn id="8" name="Jackson"/>
    <tableColumn id="4" name="DSL-JSON" totalsRowFunction="custom">
      <totalsRowFormula>Table70[](Table66[DSL-JSON])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Table70[](Table66[Gson])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Table70[](Table66[Service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Table70[](Table66[Newtonsoft])</calculatedColumnFormula>
    </tableColumn>
    <tableColumn id="3" name="Revenj" dataDxfId="166"/>
    <tableColumn id="11" name="ProtoBuf (binary reference)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-JSON" dataDxfId="160"/>
    <tableColumn id="9" name="Kryo (binary reference)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Table70[](Table66[Newtonsoft])</calculatedColumnFormula>
    </tableColumn>
    <tableColumn id="3" name="Revenj" dataDxfId="154"/>
    <tableColumn id="11" name="Protobuf (binary reference)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-JSON" dataDxfId="148"/>
    <tableColumn id="9" name="Kryo (binary reference)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3:M66">
  <autoFilter ref="B63:M66"/>
  <tableColumns count="12">
    <tableColumn id="2" name="Newtonsoft" totalsRowFunction="custom">
      <totalsRowFormula>Table70[](Table68[Newtonsoft])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Table70[](Table68[Jil])</totalsRowFormula>
    </tableColumn>
    <tableColumn id="10" name="NetJSON"/>
    <tableColumn id="15" name="Jackson"/>
    <tableColumn id="6" name="DSL-JSON" totalsRowFunction="custom">
      <totalsRowFormula>Table70[](Table68[DSL-JSON])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7:Y60">
  <autoFilter ref="B57:Y60"/>
  <tableColumns count="24">
    <tableColumn id="2" name="Newtonsoft" totalsRowFunction="custom">
      <totalsRowFormula>Table20[](Table16[Newtonsoft])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Table20[](Table16[Jil])</totalsRowFormula>
    </tableColumn>
    <tableColumn id="9" name="NetJSON"/>
    <tableColumn id="8" name="Jackson"/>
    <tableColumn id="4" name="DSL-JSON" totalsRowFunction="custom">
      <totalsRowFormula>Table20[](Table16[DSL-JSON])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Table20[](Table16[Gson])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Table20[](Table16[Service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4">
  <autoFilter ref="B51:M54"/>
  <tableColumns count="12">
    <tableColumn id="2" name="Newtonsoft" totalsRowFunction="custom">
      <totalsRowFormula>Table70[](Table67[Newtonsoft])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Table70[](Table67[Jil])</totalsRowFormula>
    </tableColumn>
    <tableColumn id="10" name="NetJSON"/>
    <tableColumn id="15" name="Jackson"/>
    <tableColumn id="6" name="DSL-JSON" totalsRowFunction="custom">
      <totalsRowFormula>Table70[](Table67[DSL-JSON])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7:Y60">
  <autoFilter ref="B57:Y60"/>
  <tableColumns count="24">
    <tableColumn id="2" name="Newtonsoft" totalsRowFunction="custom">
      <totalsRowFormula>Table75[](Table71[Newtonsoft])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Table75[](Table71[Jil])</totalsRowFormula>
    </tableColumn>
    <tableColumn id="9" name="NetJSON"/>
    <tableColumn id="8" name="Jackson"/>
    <tableColumn id="4" name="DSL-JSON" totalsRowFunction="custom">
      <totalsRowFormula>Table75[](Table71[DSL-JSON])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Table75[](Table71[Gson])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Table75[](Table71[Service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Table75[](Table71[Newtonsoft])</calculatedColumnFormula>
    </tableColumn>
    <tableColumn id="3" name="Revenj" dataDxfId="142"/>
    <tableColumn id="11" name="ProtoBuf (binary reference)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-JSON" dataDxfId="136"/>
    <tableColumn id="9" name="Kryo (binary reference)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Table75[](Table71[Newtonsoft])</calculatedColumnFormula>
    </tableColumn>
    <tableColumn id="3" name="Revenj" dataDxfId="130"/>
    <tableColumn id="11" name="Protobuf (binary reference)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-JSON" dataDxfId="124"/>
    <tableColumn id="9" name="Kryo (binary reference)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3:M66">
  <autoFilter ref="B63:M66"/>
  <tableColumns count="12">
    <tableColumn id="2" name="Newtonsoft" totalsRowFunction="custom">
      <totalsRowFormula>Table75[](Table73[Newtonsoft])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Table75[](Table73[Jil])</totalsRowFormula>
    </tableColumn>
    <tableColumn id="10" name="NetJSON"/>
    <tableColumn id="15" name="Jackson"/>
    <tableColumn id="6" name="DSL-JSON" totalsRowFunction="custom">
      <totalsRowFormula>Table75[](Table73[DSL-JSON])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4">
  <autoFilter ref="B51:M54"/>
  <tableColumns count="12">
    <tableColumn id="2" name="Newtonsoft" totalsRowFunction="custom">
      <totalsRowFormula>Table75[](Table72[Newtonsoft])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Table75[](Table72[Jil])</totalsRowFormula>
    </tableColumn>
    <tableColumn id="10" name="NetJSON"/>
    <tableColumn id="15" name="Jackson"/>
    <tableColumn id="6" name="DSL-JSON" totalsRowFunction="custom">
      <totalsRowFormula>Table75[](Table72[DSL-JSON])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7:Y60">
  <autoFilter ref="B57:Y60"/>
  <tableColumns count="24">
    <tableColumn id="2" name="Newtonsoft" totalsRowFunction="custom">
      <totalsRowFormula>Table80[](Table76[Newtonsoft])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Table80[](Table76[Jil])</totalsRowFormula>
    </tableColumn>
    <tableColumn id="9" name="NetJSON"/>
    <tableColumn id="8" name="Jackson"/>
    <tableColumn id="4" name="DSL-JSON" totalsRowFunction="custom">
      <totalsRowFormula>Table80[](Table76[DSL-JSON])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Table80[](Table76[Gson])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Table80[](Table76[Service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Table80[](Table76[Newtonsoft])</calculatedColumnFormula>
    </tableColumn>
    <tableColumn id="3" name="Revenj" dataDxfId="118"/>
    <tableColumn id="11" name="ProtoBuf (binary reference)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-JSON" dataDxfId="112"/>
    <tableColumn id="9" name="Kryo (binary reference)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Table80[](Table76[Newtonsoft])</calculatedColumnFormula>
    </tableColumn>
    <tableColumn id="3" name="Revenj" dataDxfId="106"/>
    <tableColumn id="11" name="Protobuf (binary reference)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-JSON" dataDxfId="100"/>
    <tableColumn id="9" name="Kryo (binary reference)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3:M66">
  <autoFilter ref="B63:M66"/>
  <tableColumns count="12">
    <tableColumn id="2" name="Newtonsoft" totalsRowFunction="custom">
      <totalsRowFormula>Table80[](Table78[Newtonsoft])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Table80[](Table78[Jil])</totalsRowFormula>
    </tableColumn>
    <tableColumn id="10" name="NetJSON"/>
    <tableColumn id="15" name="Jackson"/>
    <tableColumn id="6" name="DSL-JSON" totalsRowFunction="custom">
      <totalsRowFormula>Table80[](Table78[DSL-JSON])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Table20[](Table16[Newtonsoft])</calculatedColumnFormula>
    </tableColumn>
    <tableColumn id="3" name="Revenj" dataDxfId="406"/>
    <tableColumn id="11" name="ProtoBuf (binary reference)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-JSON" dataDxfId="400"/>
    <tableColumn id="9" name="Kryo (binary reference)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4">
  <autoFilter ref="B51:M54"/>
  <tableColumns count="12">
    <tableColumn id="2" name="Newtonsoft" totalsRowFunction="custom">
      <totalsRowFormula>Table80[](Table77[Newtonsoft])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Table80[](Table77[Jil])</totalsRowFormula>
    </tableColumn>
    <tableColumn id="10" name="NetJSON"/>
    <tableColumn id="15" name="Jackson"/>
    <tableColumn id="6" name="DSL-JSON" totalsRowFunction="custom">
      <totalsRowFormula>Table80[](Table77[DSL-JSON])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7:Y60">
  <autoFilter ref="B57:Y60"/>
  <tableColumns count="24">
    <tableColumn id="2" name="Newtonsoft" totalsRowFunction="custom">
      <totalsRowFormula>Table85[](Table81[Newtonsoft])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Table85[](Table81[Jil])</totalsRowFormula>
    </tableColumn>
    <tableColumn id="9" name="NetJSON"/>
    <tableColumn id="8" name="Jackson"/>
    <tableColumn id="4" name="DSL-JSON" totalsRowFunction="custom">
      <totalsRowFormula>Table85[](Table81[DSL-JSON])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Table85[](Table81[Gson])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Table85[](Table81[Service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Table85[](Table81[Newtonsoft])</calculatedColumnFormula>
    </tableColumn>
    <tableColumn id="3" name="Revenj" dataDxfId="94"/>
    <tableColumn id="11" name="ProtoBuf (binary reference)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-JSON" dataDxfId="88"/>
    <tableColumn id="9" name="Kryo (binary reference)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Table85[](Table81[Newtonsoft])</calculatedColumnFormula>
    </tableColumn>
    <tableColumn id="3" name="Revenj" dataDxfId="82"/>
    <tableColumn id="11" name="Protobuf (binary reference)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-JSON" dataDxfId="76"/>
    <tableColumn id="9" name="Kryo (binary reference)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3:M66">
  <autoFilter ref="B63:M66"/>
  <tableColumns count="12">
    <tableColumn id="2" name="Newtonsoft" totalsRowFunction="custom">
      <totalsRowFormula>Table85[](Table83[Newtonsoft])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Table85[](Table83[Jil])</totalsRowFormula>
    </tableColumn>
    <tableColumn id="10" name="NetJSON"/>
    <tableColumn id="15" name="Jackson"/>
    <tableColumn id="6" name="DSL-JSON" totalsRowFunction="custom">
      <totalsRowFormula>Table85[](Table83[DSL-JSON])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4">
  <autoFilter ref="B51:M54"/>
  <tableColumns count="12">
    <tableColumn id="2" name="Newtonsoft" totalsRowFunction="custom">
      <totalsRowFormula>Table85[](Table82[Newtonsoft])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Table85[](Table82[Jil])</totalsRowFormula>
    </tableColumn>
    <tableColumn id="10" name="NetJSON"/>
    <tableColumn id="15" name="Jackson"/>
    <tableColumn id="6" name="DSL-JSON" totalsRowFunction="custom">
      <totalsRowFormula>Table85[](Table82[DSL-JSON])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7:Y60">
  <autoFilter ref="B57:Y60"/>
  <tableColumns count="24">
    <tableColumn id="2" name="Newtonsoft" totalsRowFunction="custom">
      <totalsRowFormula>Table90[](Table86[Newtonsoft])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Table90[](Table86[Jil])</totalsRowFormula>
    </tableColumn>
    <tableColumn id="9" name="NetJSON"/>
    <tableColumn id="8" name="Jackson"/>
    <tableColumn id="4" name="DSL-JSON" totalsRowFunction="custom">
      <totalsRowFormula>Table90[](Table86[DSL-JSON])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Table90[](Table86[Gson])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Table90[](Table86[Service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Table90[](Table86[Newtonsoft])</calculatedColumnFormula>
    </tableColumn>
    <tableColumn id="3" name="Revenj" dataDxfId="70"/>
    <tableColumn id="11" name="ProtoBuf (binary reference)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-JSON" dataDxfId="64"/>
    <tableColumn id="9" name="Kryo (binary reference)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Table90[](Table86[Newtonsoft])</calculatedColumnFormula>
    </tableColumn>
    <tableColumn id="3" name="Revenj" dataDxfId="58"/>
    <tableColumn id="11" name="Protobuf (binary reference)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-JSON" dataDxfId="52"/>
    <tableColumn id="9" name="Kryo (binary reference)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3:M66">
  <autoFilter ref="B63:M66"/>
  <tableColumns count="12">
    <tableColumn id="2" name="Newtonsoft" totalsRowFunction="custom">
      <totalsRowFormula>Table90[](Table88[Newtonsoft])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Table90[](Table88[Jil])</totalsRowFormula>
    </tableColumn>
    <tableColumn id="10" name="NetJSON"/>
    <tableColumn id="15" name="Jackson"/>
    <tableColumn id="6" name="DSL-JSON" totalsRowFunction="custom">
      <totalsRowFormula>Table90[](Table88[DSL-JSON])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Table20[](Table16[Newtonsoft])</calculatedColumnFormula>
    </tableColumn>
    <tableColumn id="3" name="Revenj" dataDxfId="394"/>
    <tableColumn id="11" name="Protobuf (binary reference)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-JSON" dataDxfId="388"/>
    <tableColumn id="9" name="Kryo (binary reference)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4">
  <autoFilter ref="B51:M54"/>
  <tableColumns count="12">
    <tableColumn id="2" name="Newtonsoft" totalsRowFunction="custom">
      <totalsRowFormula>Table90[](Table87[Newtonsoft])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Table90[](Table87[Jil])</totalsRowFormula>
    </tableColumn>
    <tableColumn id="10" name="NetJSON"/>
    <tableColumn id="15" name="Jackson"/>
    <tableColumn id="6" name="DSL-JSON" totalsRowFunction="custom">
      <totalsRowFormula>Table90[](Table87[DSL-JSON])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7:Y60">
  <autoFilter ref="B57:Y60"/>
  <tableColumns count="24">
    <tableColumn id="2" name="Newtonsoft" totalsRowFunction="custom">
      <totalsRowFormula>Table95[](Table91[Newtonsoft])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Table95[](Table91[Jil])</totalsRowFormula>
    </tableColumn>
    <tableColumn id="9" name="NetJSON"/>
    <tableColumn id="8" name="Jackson"/>
    <tableColumn id="4" name="DSL-JSON" totalsRowFunction="custom">
      <totalsRowFormula>Table95[](Table91[DSL-JSON])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Table95[](Table91[Gson])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Table95[](Table91[Service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" dataDxfId="47">
      <calculatedColumnFormula>Table95[](Table91[Newtonsoft])</calculatedColumnFormula>
    </tableColumn>
    <tableColumn id="3" name="Revenj" dataDxfId="46"/>
    <tableColumn id="11" name="ProtoBuf (binary reference)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-JSON" dataDxfId="40"/>
    <tableColumn id="9" name="Kryo (binary reference)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" dataDxfId="35">
      <calculatedColumnFormula>Table95[](Table91[Newtonsoft])</calculatedColumnFormula>
    </tableColumn>
    <tableColumn id="3" name="Revenj" dataDxfId="34"/>
    <tableColumn id="11" name="Protobuf (binary reference)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-JSON" dataDxfId="28"/>
    <tableColumn id="9" name="Kryo (binary reference)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3:M66">
  <autoFilter ref="B63:M66"/>
  <tableColumns count="12">
    <tableColumn id="2" name="Newtonsoft" totalsRowFunction="custom">
      <totalsRowFormula>Table95[](Table93[Newtonsoft])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Table95[](Table93[Jil])</totalsRowFormula>
    </tableColumn>
    <tableColumn id="10" name="NetJSON"/>
    <tableColumn id="15" name="Jackson"/>
    <tableColumn id="6" name="DSL-JSON" totalsRowFunction="custom">
      <totalsRowFormula>Table95[](Table93[DSL-JSON])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4">
  <autoFilter ref="B51:M54"/>
  <tableColumns count="12">
    <tableColumn id="2" name="Newtonsoft" totalsRowFunction="custom">
      <totalsRowFormula>Table95[](Table92[Newtonsoft])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Table95[](Table92[Jil])</totalsRowFormula>
    </tableColumn>
    <tableColumn id="10" name="NetJSON"/>
    <tableColumn id="15" name="Jackson"/>
    <tableColumn id="6" name="DSL-JSON" totalsRowFunction="custom">
      <totalsRowFormula>Table95[](Table92[DSL-JSON])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7:Y60">
  <autoFilter ref="B57:Y60"/>
  <tableColumns count="24">
    <tableColumn id="2" name="Newtonsoft" totalsRowFunction="custom">
      <totalsRowFormula>Table100[](Table96[Newtonsoft])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Table100[](Table96[Jil])</totalsRowFormula>
    </tableColumn>
    <tableColumn id="9" name="NetJSON"/>
    <tableColumn id="8" name="Jackson"/>
    <tableColumn id="4" name="DSL-JSON" totalsRowFunction="custom">
      <totalsRowFormula>Table100[](Table96[DSL-JSON])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Table100[](Table96[Gson])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Table100[](Table96[Service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" dataDxfId="23">
      <calculatedColumnFormula>Table100[](Table96[Newtonsoft])</calculatedColumnFormula>
    </tableColumn>
    <tableColumn id="3" name="Revenj" dataDxfId="22"/>
    <tableColumn id="11" name="ProtoBuf (binary reference)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-JSON" dataDxfId="16"/>
    <tableColumn id="9" name="Kryo (binary reference)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Table100[](Table96[Newtonsoft])</calculatedColumnFormula>
    </tableColumn>
    <tableColumn id="3" name="Revenj" dataDxfId="10"/>
    <tableColumn id="11" name="Protobuf (binary reference)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-JSON" dataDxfId="4"/>
    <tableColumn id="9" name="Kryo (binary reference)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3:M66">
  <autoFilter ref="B63:M66"/>
  <tableColumns count="12">
    <tableColumn id="2" name="Newtonsoft" totalsRowFunction="custom">
      <totalsRowFormula>Table100[](Table98[Newtonsoft])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Table100[](Table98[Jil])</totalsRowFormula>
    </tableColumn>
    <tableColumn id="10" name="NetJSON"/>
    <tableColumn id="15" name="Jackson"/>
    <tableColumn id="6" name="DSL-JSON" totalsRowFunction="custom">
      <totalsRowFormula>Table100[](Table98[DSL-JSON])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3:M66">
  <autoFilter ref="B63:M66"/>
  <tableColumns count="12">
    <tableColumn id="2" name="Newtonsoft" totalsRowFunction="custom">
      <totalsRowFormula>Table20[](Table18[Newtonsoft])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Table20[](Table18[Jil])</totalsRowFormula>
    </tableColumn>
    <tableColumn id="10" name="NetJSON"/>
    <tableColumn id="15" name="Jackson"/>
    <tableColumn id="6" name="DSL-JSON" totalsRowFunction="custom">
      <totalsRowFormula>Table20[](Table18[DSL-JSON])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4">
  <autoFilter ref="B51:M54"/>
  <tableColumns count="12">
    <tableColumn id="2" name="Newtonsoft" totalsRowFunction="custom">
      <totalsRowFormula>Table100[](Table97[Newtonsoft])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Table100[](Table97[Jil])</totalsRowFormula>
    </tableColumn>
    <tableColumn id="10" name="NetJSON"/>
    <tableColumn id="15" name="Jackson"/>
    <tableColumn id="6" name="DSL-JSON" totalsRowFunction="custom">
      <totalsRowFormula>Table100[](Table97[DSL-JSON])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7" Type="http://schemas.openxmlformats.org/officeDocument/2006/relationships/table" Target="../tables/table5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9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7" Type="http://schemas.openxmlformats.org/officeDocument/2006/relationships/table" Target="../tables/table5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7" Type="http://schemas.openxmlformats.org/officeDocument/2006/relationships/table" Target="../tables/table6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9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7" Type="http://schemas.openxmlformats.org/officeDocument/2006/relationships/table" Target="../tables/table70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9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7" Type="http://schemas.openxmlformats.org/officeDocument/2006/relationships/table" Target="../tables/table7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9.xml"/><Relationship Id="rId5" Type="http://schemas.openxmlformats.org/officeDocument/2006/relationships/table" Target="../tables/table78.xml"/><Relationship Id="rId4" Type="http://schemas.openxmlformats.org/officeDocument/2006/relationships/table" Target="../tables/table7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7" Type="http://schemas.openxmlformats.org/officeDocument/2006/relationships/table" Target="../tables/table8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4.xml"/><Relationship Id="rId5" Type="http://schemas.openxmlformats.org/officeDocument/2006/relationships/table" Target="../tables/table83.xml"/><Relationship Id="rId4" Type="http://schemas.openxmlformats.org/officeDocument/2006/relationships/table" Target="../tables/table8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6.xml"/><Relationship Id="rId7" Type="http://schemas.openxmlformats.org/officeDocument/2006/relationships/table" Target="../tables/table9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AVERAGE(Instance[Newtonsoft])</f>
        <v>22.666666666666668</v>
      </c>
      <c r="D38" s="2">
        <f>AVERAGE(Instance[Revenj])</f>
        <v>21.333333333333332</v>
      </c>
      <c r="E38" s="2">
        <f>AVERAGE(Instance[ProtoBuf (binary reference)])</f>
        <v>21.333333333333332</v>
      </c>
      <c r="F38" s="2">
        <f>AVERAGE(Instance[Service Stack])</f>
        <v>24.333333333333332</v>
      </c>
      <c r="G38" s="2">
        <f>AVERAGE(Instance[Jil])</f>
        <v>24.666666666666668</v>
      </c>
      <c r="H38" s="2">
        <f>AVERAGE(Instance[NetJSON])</f>
        <v>23</v>
      </c>
      <c r="I38" s="2">
        <f>AVERAGE(Instance[Jackson])</f>
        <v>0.33333333333333331</v>
      </c>
      <c r="J38" s="2">
        <f>AVERAGE(Instance[DSL-JSON])</f>
        <v>1.6666666666666667</v>
      </c>
      <c r="K38" s="2">
        <f>AVERAGE(Instance[Kryo (binary reference)])</f>
        <v>0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 x14ac:dyDescent="0.25">
      <c r="B39" t="s">
        <v>0</v>
      </c>
      <c r="C39" s="2">
        <f>AVERAGE(Serialization[Newtonsoft]) - C38</f>
        <v>154.33333333333334</v>
      </c>
      <c r="D39" s="2">
        <f>AVERAGE(Serialization[Revenj]) - D38</f>
        <v>7.6666666666666679</v>
      </c>
      <c r="E39" s="2">
        <f>AVERAGE(Serialization[ProtoBuf (binary reference)]) - E38</f>
        <v>91</v>
      </c>
      <c r="F39" s="2">
        <f>AVERAGE(Serialization[Service Stack]) - F38</f>
        <v>98.333333333333343</v>
      </c>
      <c r="G39" s="2">
        <f>AVERAGE(Serialization[Jil]) - G38</f>
        <v>346</v>
      </c>
      <c r="H39" s="2">
        <f>AVERAGE(Serialization[NetJSON]) - H38</f>
        <v>69.333333333333329</v>
      </c>
      <c r="I39" s="2">
        <f>AVERAGE(Serialization[Jackson]) - I38</f>
        <v>103.33333333333334</v>
      </c>
      <c r="J39" s="2">
        <f>AVERAGE(Serialization[DSL-JSON]) - J38</f>
        <v>-0.66666666666666674</v>
      </c>
      <c r="K39" s="2">
        <f>AVERAGE(Serialization[Kryo (binary reference)]) - K38</f>
        <v>23</v>
      </c>
      <c r="L39" s="2">
        <f>AVERAGE(Serialization[Boon]) - L38</f>
        <v>70</v>
      </c>
      <c r="M39" s="2">
        <f>AVERAGE(Serialization[Alibaba]) - M38</f>
        <v>97.333333333333329</v>
      </c>
      <c r="N39" s="2">
        <f>AVERAGE(Serialization[Gson]) - N38</f>
        <v>29.333333333333332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58.999999999999986</v>
      </c>
      <c r="D40" s="2">
        <f t="shared" si="0"/>
        <v>12.666666666666668</v>
      </c>
      <c r="E40" s="2">
        <f t="shared" ref="E40" si="1">E41 - E39 - E38</f>
        <v>1.6666666666666679</v>
      </c>
      <c r="F40" s="2">
        <f t="shared" si="0"/>
        <v>28.999999999999982</v>
      </c>
      <c r="G40" s="2">
        <f t="shared" si="0"/>
        <v>124.33333333333333</v>
      </c>
      <c r="H40" s="2">
        <f t="shared" si="0"/>
        <v>4</v>
      </c>
      <c r="I40" s="2">
        <f t="shared" ref="I40" si="2">I41 - I39 - I38</f>
        <v>21.999999999999996</v>
      </c>
      <c r="J40" s="2">
        <f t="shared" ref="J40" si="3">J41 - J39 - J38</f>
        <v>0.66666666666666674</v>
      </c>
      <c r="K40" s="2">
        <f t="shared" ref="K40:L40" si="4">K41 - K39 - K38</f>
        <v>9</v>
      </c>
      <c r="L40" s="2">
        <f t="shared" si="4"/>
        <v>89</v>
      </c>
      <c r="M40" s="2">
        <f t="shared" ref="M40" si="5">M41 - M39 - M38</f>
        <v>19.666666666666671</v>
      </c>
      <c r="N40" s="2">
        <f t="shared" ref="N40" si="6">N41 - N39 - N38</f>
        <v>1.6666666666666679</v>
      </c>
      <c r="O40" s="2"/>
      <c r="P40" s="2"/>
      <c r="Q40" s="2"/>
    </row>
    <row r="41" spans="2:17" x14ac:dyDescent="0.25">
      <c r="B41" t="s">
        <v>23</v>
      </c>
      <c r="C41" s="2">
        <f>AVERAGE(Both[Newtonsoft])</f>
        <v>236</v>
      </c>
      <c r="D41" s="2">
        <f>AVERAGE(Both[Revenj])</f>
        <v>41.666666666666664</v>
      </c>
      <c r="E41" s="2">
        <f>AVERAGE(Both[ProtoBuf (binary reference)])</f>
        <v>114</v>
      </c>
      <c r="F41" s="2">
        <f>AVERAGE(Both[Service Stack])</f>
        <v>151.66666666666666</v>
      </c>
      <c r="G41" s="2">
        <f>AVERAGE(Both[Jil])</f>
        <v>495</v>
      </c>
      <c r="H41" s="2">
        <f>AVERAGE(Both[NetJSON])</f>
        <v>96.333333333333329</v>
      </c>
      <c r="I41" s="2">
        <f>AVERAGE(Both[Jackson])</f>
        <v>125.66666666666667</v>
      </c>
      <c r="J41" s="2">
        <f>AVERAGE(Both[DSL-JSON])</f>
        <v>1.6666666666666667</v>
      </c>
      <c r="K41" s="2">
        <f>AVERAGE(Both[Kryo (binary reference)])</f>
        <v>32</v>
      </c>
      <c r="L41" s="2">
        <f>AVERAGE(Both[Boon])</f>
        <v>160</v>
      </c>
      <c r="M41" s="2">
        <f>AVERAGE(Both[Alibaba])</f>
        <v>118</v>
      </c>
      <c r="N41" s="2">
        <f>AVERAGE(Both[Gson])</f>
        <v>32</v>
      </c>
      <c r="O41" s="2"/>
      <c r="P41" s="2"/>
      <c r="Q41" s="2"/>
    </row>
    <row r="42" spans="2:17" x14ac:dyDescent="0.25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AVERAGE(Serialization[ProtoBuf (size)])</f>
        <v>16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40</v>
      </c>
      <c r="J42" s="2">
        <f>AVERAGE(Serialization[DSL-JSON (size)])</f>
        <v>28</v>
      </c>
      <c r="K42" s="2">
        <f>AVERAGE(Serialization[Kryo (size)])</f>
        <v>15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DEVSQ(Serialization[Newtonsoft])</f>
        <v>338</v>
      </c>
      <c r="D47" s="2">
        <f>DEVSQ(Serialization[Revenj])</f>
        <v>38</v>
      </c>
      <c r="E47" s="2">
        <f>DEVSQ(Serialization[ProtoBuf (binary reference)])</f>
        <v>204.66666666666669</v>
      </c>
      <c r="F47" s="2">
        <f>DEVSQ(Serialization[Service Stack])</f>
        <v>1040.6666666666667</v>
      </c>
      <c r="G47" s="2">
        <f>DEVSQ(Serialization[Jil])</f>
        <v>1120.6666666666665</v>
      </c>
      <c r="H47" s="2">
        <f>DEVSQ(Serialization[NetJSON])</f>
        <v>10.666666666666668</v>
      </c>
      <c r="I47" s="2">
        <f>DEVSQ(Serialization[Jackson])</f>
        <v>752.66666666666663</v>
      </c>
      <c r="J47" s="2">
        <f>DEVSQ(Serialization[DSL-JSON])</f>
        <v>0</v>
      </c>
      <c r="K47" s="2">
        <f>DEVSQ(Serialization[Kryo (binary reference)])</f>
        <v>434</v>
      </c>
      <c r="L47" s="2">
        <f>DEVSQ(Serialization[Boon])</f>
        <v>662</v>
      </c>
      <c r="M47" s="2">
        <f>DEVSQ(Serialization[Alibaba])</f>
        <v>0.66666666666666663</v>
      </c>
      <c r="N47" s="2">
        <f>DEVSQ(Serialization[Gson])</f>
        <v>8.6666666666666679</v>
      </c>
      <c r="O47" s="2"/>
      <c r="P47" s="2"/>
      <c r="Q47" s="2"/>
    </row>
    <row r="48" spans="2:17" x14ac:dyDescent="0.25">
      <c r="B48" t="s">
        <v>23</v>
      </c>
      <c r="C48" s="2">
        <f>DEVSQ(Both[Newtonsoft])</f>
        <v>2</v>
      </c>
      <c r="D48" s="2">
        <f>DEVSQ(Both[Revenj])</f>
        <v>2.666666666666667</v>
      </c>
      <c r="E48" s="2">
        <f>DEVSQ(Both[ProtoBuf (binary reference)])</f>
        <v>2</v>
      </c>
      <c r="F48" s="2">
        <f>DEVSQ(Both[Service Stack])</f>
        <v>2.6666666666666665</v>
      </c>
      <c r="G48" s="2">
        <f>DEVSQ(Both[Jil])</f>
        <v>150</v>
      </c>
      <c r="H48" s="2">
        <f>DEVSQ(Both[NetJSON])</f>
        <v>10.666666666666668</v>
      </c>
      <c r="I48" s="2">
        <f>DEVSQ(Both[Jackson])</f>
        <v>28.666666666666664</v>
      </c>
      <c r="J48" s="2">
        <f>DEVSQ(Both[DSL-JSON])</f>
        <v>0.66666666666666663</v>
      </c>
      <c r="K48" s="2">
        <f>DEVSQ(Both[Kryo (binary reference)])</f>
        <v>182</v>
      </c>
      <c r="L48" s="2">
        <f>DEVSQ(Both[Boon])</f>
        <v>1178</v>
      </c>
      <c r="M48" s="2">
        <f>DEVSQ(Both[Alibaba])</f>
        <v>128</v>
      </c>
      <c r="N48" s="2">
        <f>DEVSQ(Both[Gson])</f>
        <v>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21</v>
      </c>
      <c r="C52">
        <v>21</v>
      </c>
      <c r="D52">
        <v>22</v>
      </c>
      <c r="E52">
        <v>25</v>
      </c>
      <c r="F52">
        <v>25</v>
      </c>
      <c r="G52">
        <v>24</v>
      </c>
      <c r="H52">
        <v>0</v>
      </c>
      <c r="I52">
        <v>1</v>
      </c>
      <c r="J52">
        <v>0</v>
      </c>
      <c r="K52">
        <v>1</v>
      </c>
      <c r="L52">
        <v>1</v>
      </c>
      <c r="M52">
        <v>2</v>
      </c>
    </row>
    <row r="53" spans="2:25" x14ac:dyDescent="0.25">
      <c r="B53">
        <v>20</v>
      </c>
      <c r="C53">
        <v>21</v>
      </c>
      <c r="D53">
        <v>20</v>
      </c>
      <c r="E53">
        <v>24</v>
      </c>
      <c r="F53">
        <v>24</v>
      </c>
      <c r="G53">
        <v>22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</row>
    <row r="54" spans="2:25" x14ac:dyDescent="0.25">
      <c r="B54">
        <v>27</v>
      </c>
      <c r="C54">
        <v>22</v>
      </c>
      <c r="D54">
        <v>22</v>
      </c>
      <c r="E54">
        <v>24</v>
      </c>
      <c r="F54">
        <v>25</v>
      </c>
      <c r="G54">
        <v>23</v>
      </c>
      <c r="H54">
        <v>0</v>
      </c>
      <c r="I54">
        <v>3</v>
      </c>
      <c r="J54">
        <v>0</v>
      </c>
      <c r="K54">
        <v>1</v>
      </c>
      <c r="L54">
        <v>1</v>
      </c>
      <c r="M54">
        <v>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192</v>
      </c>
      <c r="C58">
        <v>34</v>
      </c>
      <c r="D58">
        <v>124</v>
      </c>
      <c r="E58">
        <v>149</v>
      </c>
      <c r="F58">
        <v>398</v>
      </c>
      <c r="G58">
        <v>95</v>
      </c>
      <c r="H58">
        <v>126</v>
      </c>
      <c r="I58">
        <v>1</v>
      </c>
      <c r="J58">
        <v>40</v>
      </c>
      <c r="K58">
        <v>92</v>
      </c>
      <c r="L58">
        <v>98</v>
      </c>
      <c r="M58">
        <v>28</v>
      </c>
      <c r="N58">
        <v>40</v>
      </c>
      <c r="O58">
        <v>28</v>
      </c>
      <c r="P58">
        <v>16</v>
      </c>
      <c r="Q58">
        <v>40</v>
      </c>
      <c r="R58">
        <v>40</v>
      </c>
      <c r="S58">
        <v>28</v>
      </c>
      <c r="T58">
        <v>40</v>
      </c>
      <c r="U58">
        <v>28</v>
      </c>
      <c r="V58">
        <v>15</v>
      </c>
      <c r="W58">
        <v>28</v>
      </c>
      <c r="X58">
        <v>40</v>
      </c>
      <c r="Y58">
        <v>40</v>
      </c>
    </row>
    <row r="59" spans="2:25" x14ac:dyDescent="0.25">
      <c r="B59">
        <v>169</v>
      </c>
      <c r="C59">
        <v>27</v>
      </c>
      <c r="D59">
        <v>106</v>
      </c>
      <c r="E59">
        <v>109</v>
      </c>
      <c r="F59">
        <v>357</v>
      </c>
      <c r="G59">
        <v>91</v>
      </c>
      <c r="H59">
        <v>94</v>
      </c>
      <c r="I59">
        <v>1</v>
      </c>
      <c r="J59">
        <v>15</v>
      </c>
      <c r="K59">
        <v>60</v>
      </c>
      <c r="L59">
        <v>98</v>
      </c>
      <c r="M59">
        <v>32</v>
      </c>
      <c r="N59">
        <v>40</v>
      </c>
      <c r="O59">
        <v>28</v>
      </c>
      <c r="P59">
        <v>16</v>
      </c>
      <c r="Q59">
        <v>40</v>
      </c>
      <c r="R59">
        <v>40</v>
      </c>
      <c r="S59">
        <v>28</v>
      </c>
      <c r="T59">
        <v>40</v>
      </c>
      <c r="U59">
        <v>28</v>
      </c>
      <c r="V59">
        <v>15</v>
      </c>
      <c r="W59">
        <v>28</v>
      </c>
      <c r="X59">
        <v>40</v>
      </c>
      <c r="Y59">
        <v>40</v>
      </c>
    </row>
    <row r="60" spans="2:25" x14ac:dyDescent="0.25">
      <c r="B60">
        <v>170</v>
      </c>
      <c r="C60">
        <v>26</v>
      </c>
      <c r="D60">
        <v>107</v>
      </c>
      <c r="E60">
        <v>110</v>
      </c>
      <c r="F60">
        <v>357</v>
      </c>
      <c r="G60">
        <v>91</v>
      </c>
      <c r="H60">
        <v>91</v>
      </c>
      <c r="I60">
        <v>1</v>
      </c>
      <c r="J60">
        <v>14</v>
      </c>
      <c r="K60">
        <v>61</v>
      </c>
      <c r="L60">
        <v>99</v>
      </c>
      <c r="M60">
        <v>31</v>
      </c>
      <c r="N60">
        <v>40</v>
      </c>
      <c r="O60">
        <v>28</v>
      </c>
      <c r="P60">
        <v>16</v>
      </c>
      <c r="Q60">
        <v>40</v>
      </c>
      <c r="R60">
        <v>40</v>
      </c>
      <c r="S60">
        <v>28</v>
      </c>
      <c r="T60">
        <v>40</v>
      </c>
      <c r="U60">
        <v>28</v>
      </c>
      <c r="V60">
        <v>15</v>
      </c>
      <c r="W60">
        <v>28</v>
      </c>
      <c r="X60">
        <v>40</v>
      </c>
      <c r="Y60">
        <v>40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237</v>
      </c>
      <c r="C64">
        <v>43</v>
      </c>
      <c r="D64">
        <v>115</v>
      </c>
      <c r="E64">
        <v>153</v>
      </c>
      <c r="F64">
        <v>505</v>
      </c>
      <c r="G64">
        <v>99</v>
      </c>
      <c r="H64">
        <v>130</v>
      </c>
      <c r="I64">
        <v>2</v>
      </c>
      <c r="J64">
        <v>43</v>
      </c>
      <c r="K64">
        <v>188</v>
      </c>
      <c r="L64">
        <v>126</v>
      </c>
      <c r="M64">
        <v>33</v>
      </c>
    </row>
    <row r="65" spans="2:13" x14ac:dyDescent="0.25">
      <c r="B65">
        <v>236</v>
      </c>
      <c r="C65">
        <v>41</v>
      </c>
      <c r="D65">
        <v>114</v>
      </c>
      <c r="E65">
        <v>151</v>
      </c>
      <c r="F65">
        <v>490</v>
      </c>
      <c r="G65">
        <v>95</v>
      </c>
      <c r="H65">
        <v>124</v>
      </c>
      <c r="I65">
        <v>2</v>
      </c>
      <c r="J65">
        <v>26</v>
      </c>
      <c r="K65">
        <v>145</v>
      </c>
      <c r="L65">
        <v>118</v>
      </c>
      <c r="M65">
        <v>31</v>
      </c>
    </row>
    <row r="66" spans="2:13" x14ac:dyDescent="0.25">
      <c r="B66">
        <v>235</v>
      </c>
      <c r="C66">
        <v>41</v>
      </c>
      <c r="D66">
        <v>113</v>
      </c>
      <c r="E66">
        <v>151</v>
      </c>
      <c r="F66">
        <v>490</v>
      </c>
      <c r="G66">
        <v>95</v>
      </c>
      <c r="H66">
        <v>123</v>
      </c>
      <c r="I66">
        <v>1</v>
      </c>
      <c r="J66">
        <v>27</v>
      </c>
      <c r="K66">
        <v>147</v>
      </c>
      <c r="L66">
        <v>110</v>
      </c>
      <c r="M66">
        <v>32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45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AVERAGE(Table57[Newtonsoft])</f>
        <v>5946.333333333333</v>
      </c>
      <c r="D38" s="2">
        <f>AVERAGE(Table57[Revenj])</f>
        <v>5877.333333333333</v>
      </c>
      <c r="E38" s="2">
        <f>AVERAGE(Table57[ProtoBuf (binary reference)])</f>
        <v>6172.333333333333</v>
      </c>
      <c r="F38" s="2">
        <f>AVERAGE(Table57[Service Stack])</f>
        <v>6316.333333333333</v>
      </c>
      <c r="G38" s="2">
        <f>AVERAGE(Table57[Jil])</f>
        <v>6117</v>
      </c>
      <c r="H38" s="2">
        <f>AVERAGE(Table57[NetJSON])</f>
        <v>5992.666666666667</v>
      </c>
      <c r="I38" s="2">
        <f>AVERAGE(Table57[Jackson])</f>
        <v>5307.333333333333</v>
      </c>
      <c r="J38" s="2">
        <f>AVERAGE(Table57[DSL-JSON])</f>
        <v>5268.666666666667</v>
      </c>
      <c r="K38" s="2">
        <f>AVERAGE(Table57[Kryo (binary reference)])</f>
        <v>5307.666666666667</v>
      </c>
      <c r="L38" s="2">
        <f>AVERAGE(Table57[Boon])</f>
        <v>5292.666666666667</v>
      </c>
      <c r="M38" s="2">
        <f>AVERAGE(Table57[Alibaba])</f>
        <v>5434.666666666667</v>
      </c>
      <c r="N38" s="2">
        <f>AVERAGE(Table57[Gson])</f>
        <v>5361.333333333333</v>
      </c>
      <c r="O38" s="2"/>
      <c r="P38" s="2"/>
      <c r="Q38" s="2"/>
    </row>
    <row r="39" spans="2:17" x14ac:dyDescent="0.25">
      <c r="B39" t="s">
        <v>0</v>
      </c>
      <c r="C39" s="2">
        <f>AVERAGE(Table56[Newtonsoft]) - C38</f>
        <v>29456.000000000004</v>
      </c>
      <c r="D39" s="2">
        <f>AVERAGE(Table56[Revenj]) - D38</f>
        <v>7951.0000000000009</v>
      </c>
      <c r="E39" s="2">
        <f>AVERAGE(Table56[ProtoBuf (binary reference)]) - E38</f>
        <v>8972.6666666666679</v>
      </c>
      <c r="F39" s="2">
        <f>AVERAGE(Table56[Service Stack]) - F38</f>
        <v>28776.333333333332</v>
      </c>
      <c r="G39" s="2">
        <f>AVERAGE(Table56[Jil]) - G38</f>
        <v>17917.666666666668</v>
      </c>
      <c r="H39" s="2">
        <f>AVERAGE(Table56[NetJSON]) - H38</f>
        <v>18182.666666666664</v>
      </c>
      <c r="I39" s="2">
        <f>AVERAGE(Table56[Jackson]) - I38</f>
        <v>5738.666666666667</v>
      </c>
      <c r="J39" s="2">
        <f>AVERAGE(Table56[DSL-JSON]) - J38</f>
        <v>1485</v>
      </c>
      <c r="K39" s="2">
        <f>AVERAGE(Table56[Kryo (binary reference)]) - K38</f>
        <v>1795.333333333333</v>
      </c>
      <c r="L39" s="2">
        <f>AVERAGE(Table56[Boon]) - L38</f>
        <v>21545.666666666664</v>
      </c>
      <c r="M39" s="2">
        <f>AVERAGE(Table56[Alibaba]) - M38</f>
        <v>13097.666666666664</v>
      </c>
      <c r="N39" s="2">
        <f>AVERAGE(Table56[Gson]) - N38</f>
        <v>36090.666666666664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73943.333333333343</v>
      </c>
      <c r="D40" s="2">
        <f t="shared" si="0"/>
        <v>15825</v>
      </c>
      <c r="E40" s="2">
        <f t="shared" ref="E40" si="1">E41 - E39 - E38</f>
        <v>14095.333333333332</v>
      </c>
      <c r="F40" s="2">
        <f t="shared" si="0"/>
        <v>59801.666666666664</v>
      </c>
      <c r="G40" s="2">
        <f t="shared" si="0"/>
        <v>29773.666666666672</v>
      </c>
      <c r="H40" s="2">
        <f t="shared" si="0"/>
        <v>81709.999999999985</v>
      </c>
      <c r="I40" s="2">
        <f t="shared" ref="I40" si="2">I41 - I39 - I38</f>
        <v>22186.666666666664</v>
      </c>
      <c r="J40" s="2">
        <f t="shared" ref="J40" si="3">J41 - J39 - J38</f>
        <v>3039.9999999999991</v>
      </c>
      <c r="K40" s="2">
        <f t="shared" ref="K40:L40" si="4">K41 - K39 - K38</f>
        <v>2665.3333333333339</v>
      </c>
      <c r="L40" s="2" t="e">
        <f t="shared" si="4"/>
        <v>#DIV/0!</v>
      </c>
      <c r="M40" s="2">
        <f t="shared" ref="M40" si="5">M41 - M39 - M38</f>
        <v>33747.333333333336</v>
      </c>
      <c r="N40" s="2">
        <f t="shared" ref="N40" si="6">N41 - N39 - N38</f>
        <v>41363.333333333328</v>
      </c>
      <c r="O40" s="2"/>
      <c r="P40" s="2"/>
      <c r="Q40" s="2"/>
    </row>
    <row r="41" spans="2:17" x14ac:dyDescent="0.25">
      <c r="B41" t="s">
        <v>23</v>
      </c>
      <c r="C41" s="2">
        <f>AVERAGE(Table58[Newtonsoft])</f>
        <v>109345.66666666667</v>
      </c>
      <c r="D41" s="2">
        <f>AVERAGE(Table58[Revenj])</f>
        <v>29653.333333333332</v>
      </c>
      <c r="E41" s="2">
        <f>AVERAGE(Table58[ProtoBuf (binary reference)])</f>
        <v>29240.333333333332</v>
      </c>
      <c r="F41" s="2">
        <f>AVERAGE(Table58[Service Stack])</f>
        <v>94894.333333333328</v>
      </c>
      <c r="G41" s="2">
        <f>AVERAGE(Table58[Jil])</f>
        <v>53808.333333333336</v>
      </c>
      <c r="H41" s="2">
        <f>AVERAGE(Table58[NetJSON])</f>
        <v>105885.33333333333</v>
      </c>
      <c r="I41" s="2">
        <f>AVERAGE(Table58[Jackson])</f>
        <v>33232.666666666664</v>
      </c>
      <c r="J41" s="2">
        <f>AVERAGE(Table58[DSL-JSON])</f>
        <v>9793.6666666666661</v>
      </c>
      <c r="K41" s="2">
        <f>AVERAGE(Table58[Kryo (binary reference)])</f>
        <v>9768.3333333333339</v>
      </c>
      <c r="L41" s="2" t="e">
        <f>AVERAGE(Table58[Boon])</f>
        <v>#DIV/0!</v>
      </c>
      <c r="M41" s="2">
        <f>AVERAGE(Table58[Alibaba])</f>
        <v>52279.666666666664</v>
      </c>
      <c r="N41" s="2">
        <f>AVERAGE(Table58[Gson])</f>
        <v>82815.333333333328</v>
      </c>
      <c r="O41" s="2"/>
      <c r="P41" s="2"/>
      <c r="Q41" s="2"/>
    </row>
    <row r="42" spans="2:17" x14ac:dyDescent="0.25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AVERAGE(Table56[ProtoBuf (size)])</f>
        <v>468888890</v>
      </c>
      <c r="F42" s="3">
        <f>AVERAGE(Table56[Service Stack (size)])</f>
        <v>1203888890</v>
      </c>
      <c r="G42" s="2">
        <f>AVERAGE(Table56[Jil (size)])</f>
        <v>1213888890</v>
      </c>
      <c r="H42" s="2">
        <f>AVERAGE(Table56[NetJSON (size)])</f>
        <v>1148888890</v>
      </c>
      <c r="I42" s="2">
        <f>AVERAGE(Table56[Jackson (size)])</f>
        <v>1113888890</v>
      </c>
      <c r="J42" s="2">
        <f>AVERAGE(Table56[DSL-JSON (size)])</f>
        <v>1038888890</v>
      </c>
      <c r="K42" s="2">
        <f>AVERAGE(Table56[Kryo (size)])</f>
        <v>408888890</v>
      </c>
      <c r="L42" s="2">
        <f>AVERAGE(Table56[Boon (size)])</f>
        <v>1038888890</v>
      </c>
      <c r="M42" s="2">
        <f>AVERAGE(Table56[Alibaba (size)])</f>
        <v>1113888890</v>
      </c>
      <c r="N42" s="2">
        <f>AVERAGE(Table56[Gson (size)])</f>
        <v>1113888890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DEVSQ(Table56[Newtonsoft])</f>
        <v>7061128.666666666</v>
      </c>
      <c r="D47" s="2">
        <f>DEVSQ(Table56[Revenj])</f>
        <v>11218.666666666666</v>
      </c>
      <c r="E47" s="2">
        <f>DEVSQ(Table56[ProtoBuf (binary reference)])</f>
        <v>89246</v>
      </c>
      <c r="F47" s="2">
        <f>DEVSQ(Table56[Service Stack])</f>
        <v>1105908.6666666665</v>
      </c>
      <c r="G47" s="2">
        <f>DEVSQ(Table56[Jil])</f>
        <v>54084.666666666664</v>
      </c>
      <c r="H47" s="2">
        <f>DEVSQ(Table56[NetJSON])</f>
        <v>283980.66666666669</v>
      </c>
      <c r="I47" s="2">
        <f>DEVSQ(Table56[Jackson])</f>
        <v>55922</v>
      </c>
      <c r="J47" s="2">
        <f>DEVSQ(Table56[DSL-JSON])</f>
        <v>8048.6666666666679</v>
      </c>
      <c r="K47" s="2">
        <f>DEVSQ(Table56[Kryo (binary reference)])</f>
        <v>4758</v>
      </c>
      <c r="L47" s="2">
        <f>DEVSQ(Table56[Boon])</f>
        <v>188274.66666666669</v>
      </c>
      <c r="M47" s="2">
        <f>DEVSQ(Table56[Alibaba])</f>
        <v>2629464.6666666665</v>
      </c>
      <c r="N47" s="2">
        <f>DEVSQ(Table56[Gson])</f>
        <v>617234</v>
      </c>
      <c r="O47" s="2"/>
      <c r="P47" s="2"/>
      <c r="Q47" s="2"/>
    </row>
    <row r="48" spans="2:17" x14ac:dyDescent="0.25">
      <c r="B48" t="s">
        <v>23</v>
      </c>
      <c r="C48" s="2">
        <f>DEVSQ(Table58[Newtonsoft])</f>
        <v>3090548.666666667</v>
      </c>
      <c r="D48" s="2">
        <f>DEVSQ(Table58[Revenj])</f>
        <v>148516.66666666669</v>
      </c>
      <c r="E48" s="2">
        <f>DEVSQ(Table58[ProtoBuf (binary reference)])</f>
        <v>516228.66666666663</v>
      </c>
      <c r="F48" s="2">
        <f>DEVSQ(Table58[Service Stack])</f>
        <v>138928.66666666669</v>
      </c>
      <c r="G48" s="2">
        <f>DEVSQ(Table58[Jil])</f>
        <v>724328.66666666674</v>
      </c>
      <c r="H48" s="2">
        <f>DEVSQ(Table58[NetJSON])</f>
        <v>15318140.666666666</v>
      </c>
      <c r="I48" s="2">
        <f>DEVSQ(Table58[Jackson])</f>
        <v>478412.66666666663</v>
      </c>
      <c r="J48" s="2">
        <f>DEVSQ(Table58[DSL-JSON])</f>
        <v>215938.66666666666</v>
      </c>
      <c r="K48" s="2">
        <f>DEVSQ(Table58[Kryo (binary reference)])</f>
        <v>424948.66666666669</v>
      </c>
      <c r="L48" s="2" t="e">
        <f>DEVSQ(Table58[Boon])</f>
        <v>#NUM!</v>
      </c>
      <c r="M48" s="2">
        <f>DEVSQ(Table58[Alibaba])</f>
        <v>7533780.666666666</v>
      </c>
      <c r="N48" s="2">
        <f>DEVSQ(Table58[Gson])</f>
        <v>8959972.666666666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5419</v>
      </c>
      <c r="C52">
        <v>6013</v>
      </c>
      <c r="D52">
        <v>6575</v>
      </c>
      <c r="E52">
        <v>6074</v>
      </c>
      <c r="F52">
        <v>6489</v>
      </c>
      <c r="G52">
        <v>6405</v>
      </c>
      <c r="H52">
        <v>5267</v>
      </c>
      <c r="I52">
        <v>5293</v>
      </c>
      <c r="J52">
        <v>5303</v>
      </c>
      <c r="K52">
        <v>5332</v>
      </c>
      <c r="L52">
        <v>5678</v>
      </c>
      <c r="M52">
        <v>5296</v>
      </c>
    </row>
    <row r="53" spans="2:25" x14ac:dyDescent="0.25">
      <c r="B53">
        <v>6430</v>
      </c>
      <c r="C53">
        <v>5488</v>
      </c>
      <c r="D53">
        <v>5847</v>
      </c>
      <c r="E53">
        <v>6436</v>
      </c>
      <c r="F53">
        <v>5394</v>
      </c>
      <c r="G53">
        <v>5214</v>
      </c>
      <c r="H53">
        <v>5299</v>
      </c>
      <c r="I53">
        <v>5267</v>
      </c>
      <c r="J53">
        <v>5345</v>
      </c>
      <c r="K53">
        <v>5266</v>
      </c>
      <c r="L53">
        <v>5292</v>
      </c>
      <c r="M53">
        <v>5422</v>
      </c>
    </row>
    <row r="54" spans="2:25" x14ac:dyDescent="0.25">
      <c r="B54">
        <v>5990</v>
      </c>
      <c r="C54">
        <v>6131</v>
      </c>
      <c r="D54">
        <v>6095</v>
      </c>
      <c r="E54">
        <v>6439</v>
      </c>
      <c r="F54">
        <v>6468</v>
      </c>
      <c r="G54">
        <v>6359</v>
      </c>
      <c r="H54">
        <v>5356</v>
      </c>
      <c r="I54">
        <v>5246</v>
      </c>
      <c r="J54">
        <v>5275</v>
      </c>
      <c r="K54">
        <v>5280</v>
      </c>
      <c r="L54">
        <v>5334</v>
      </c>
      <c r="M54">
        <v>5366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34238</v>
      </c>
      <c r="C58">
        <v>13761</v>
      </c>
      <c r="D58">
        <v>15091</v>
      </c>
      <c r="E58">
        <v>35557</v>
      </c>
      <c r="F58">
        <v>23996</v>
      </c>
      <c r="G58">
        <v>23941</v>
      </c>
      <c r="H58">
        <v>10926</v>
      </c>
      <c r="I58">
        <v>6782</v>
      </c>
      <c r="J58">
        <v>7050</v>
      </c>
      <c r="K58">
        <v>26595</v>
      </c>
      <c r="L58">
        <v>18892</v>
      </c>
      <c r="M58">
        <v>42055</v>
      </c>
      <c r="N58">
        <v>1213888890</v>
      </c>
      <c r="O58">
        <v>1038888890</v>
      </c>
      <c r="P58">
        <v>468888890</v>
      </c>
      <c r="Q58">
        <v>1203888890</v>
      </c>
      <c r="R58">
        <v>1213888890</v>
      </c>
      <c r="S58">
        <v>1148888890</v>
      </c>
      <c r="T58">
        <v>1113888890</v>
      </c>
      <c r="U58">
        <v>1038888890</v>
      </c>
      <c r="V58">
        <v>408888890</v>
      </c>
      <c r="W58">
        <v>1038888890</v>
      </c>
      <c r="X58">
        <v>1113888890</v>
      </c>
      <c r="Y58">
        <v>1113888890</v>
      </c>
    </row>
    <row r="59" spans="2:25" x14ac:dyDescent="0.25">
      <c r="B59">
        <v>34399</v>
      </c>
      <c r="C59">
        <v>13815</v>
      </c>
      <c r="D59">
        <v>14966</v>
      </c>
      <c r="E59">
        <v>35486</v>
      </c>
      <c r="F59">
        <v>24215</v>
      </c>
      <c r="G59">
        <v>23975</v>
      </c>
      <c r="H59">
        <v>10975</v>
      </c>
      <c r="I59">
        <v>6681</v>
      </c>
      <c r="J59">
        <v>7146</v>
      </c>
      <c r="K59">
        <v>27183</v>
      </c>
      <c r="L59">
        <v>19456</v>
      </c>
      <c r="M59">
        <v>40961</v>
      </c>
      <c r="N59">
        <v>1213888890</v>
      </c>
      <c r="O59">
        <v>1038888890</v>
      </c>
      <c r="P59">
        <v>468888890</v>
      </c>
      <c r="Q59">
        <v>1203888890</v>
      </c>
      <c r="R59">
        <v>1213888890</v>
      </c>
      <c r="S59">
        <v>1148888890</v>
      </c>
      <c r="T59">
        <v>1113888890</v>
      </c>
      <c r="U59">
        <v>1038888890</v>
      </c>
      <c r="V59">
        <v>408888890</v>
      </c>
      <c r="W59">
        <v>1038888890</v>
      </c>
      <c r="X59">
        <v>1113888890</v>
      </c>
      <c r="Y59">
        <v>1113888890</v>
      </c>
    </row>
    <row r="60" spans="2:25" x14ac:dyDescent="0.25">
      <c r="B60">
        <v>37570</v>
      </c>
      <c r="C60">
        <v>13909</v>
      </c>
      <c r="D60">
        <v>15378</v>
      </c>
      <c r="E60">
        <v>34235</v>
      </c>
      <c r="F60">
        <v>23893</v>
      </c>
      <c r="G60">
        <v>24610</v>
      </c>
      <c r="H60">
        <v>11237</v>
      </c>
      <c r="I60">
        <v>6798</v>
      </c>
      <c r="J60">
        <v>7113</v>
      </c>
      <c r="K60">
        <v>26737</v>
      </c>
      <c r="L60">
        <v>17249</v>
      </c>
      <c r="M60">
        <v>41340</v>
      </c>
      <c r="N60">
        <v>1213888890</v>
      </c>
      <c r="O60">
        <v>1038888890</v>
      </c>
      <c r="P60">
        <v>468888890</v>
      </c>
      <c r="Q60">
        <v>1203888890</v>
      </c>
      <c r="R60">
        <v>1213888890</v>
      </c>
      <c r="S60">
        <v>1148888890</v>
      </c>
      <c r="T60">
        <v>1113888890</v>
      </c>
      <c r="U60">
        <v>1038888890</v>
      </c>
      <c r="V60">
        <v>408888890</v>
      </c>
      <c r="W60">
        <v>1038888890</v>
      </c>
      <c r="X60">
        <v>1113888890</v>
      </c>
      <c r="Y60">
        <v>1113888890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109363</v>
      </c>
      <c r="C64">
        <v>29785</v>
      </c>
      <c r="D64">
        <v>29162</v>
      </c>
      <c r="E64">
        <v>95047</v>
      </c>
      <c r="F64">
        <v>54386</v>
      </c>
      <c r="G64">
        <v>104800</v>
      </c>
      <c r="H64">
        <v>32862</v>
      </c>
      <c r="I64">
        <v>9771</v>
      </c>
      <c r="J64">
        <v>9416</v>
      </c>
      <c r="L64">
        <v>54112</v>
      </c>
      <c r="M64">
        <v>85163</v>
      </c>
    </row>
    <row r="65" spans="2:13" x14ac:dyDescent="0.25">
      <c r="B65">
        <v>108094</v>
      </c>
      <c r="C65">
        <v>29835</v>
      </c>
      <c r="D65">
        <v>28776</v>
      </c>
      <c r="E65">
        <v>95046</v>
      </c>
      <c r="F65">
        <v>53185</v>
      </c>
      <c r="G65">
        <v>103825</v>
      </c>
      <c r="H65">
        <v>33049</v>
      </c>
      <c r="I65">
        <v>10133</v>
      </c>
      <c r="J65">
        <v>10290</v>
      </c>
      <c r="L65">
        <v>50246</v>
      </c>
      <c r="M65">
        <v>82230</v>
      </c>
    </row>
    <row r="66" spans="2:13" x14ac:dyDescent="0.25">
      <c r="B66">
        <v>110580</v>
      </c>
      <c r="C66">
        <v>29340</v>
      </c>
      <c r="D66">
        <v>29783</v>
      </c>
      <c r="E66">
        <v>94590</v>
      </c>
      <c r="F66">
        <v>53854</v>
      </c>
      <c r="G66">
        <v>109031</v>
      </c>
      <c r="H66">
        <v>33787</v>
      </c>
      <c r="I66">
        <v>9477</v>
      </c>
      <c r="J66">
        <v>9599</v>
      </c>
      <c r="L66">
        <v>52481</v>
      </c>
      <c r="M66">
        <v>81053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AVERAGE(Table62[Newtonsoft])</f>
        <v>66</v>
      </c>
      <c r="D38" s="2">
        <f>AVERAGE(Table62[Revenj])</f>
        <v>62.666666666666664</v>
      </c>
      <c r="E38" s="2">
        <f>AVERAGE(Table62[ProtoBuf (binary reference)])</f>
        <v>68</v>
      </c>
      <c r="F38" s="2">
        <f>AVERAGE(Table62[Service Stack])</f>
        <v>64.666666666666671</v>
      </c>
      <c r="G38" s="2">
        <f>AVERAGE(Table62[Jil])</f>
        <v>65.333333333333329</v>
      </c>
      <c r="H38" s="2">
        <f>AVERAGE(Table62[NetJSON])</f>
        <v>64</v>
      </c>
      <c r="I38" s="2">
        <f>AVERAGE(Table62[Jackson])</f>
        <v>17</v>
      </c>
      <c r="J38" s="2">
        <f>AVERAGE(Table62[DSL-JSON])</f>
        <v>6.333333333333333</v>
      </c>
      <c r="K38" s="2">
        <f>AVERAGE(Table62[Kryo (binary reference)])</f>
        <v>9.6666666666666661</v>
      </c>
      <c r="L38" s="2" t="e">
        <f>AVERAGE(Table62[Boon])</f>
        <v>#DIV/0!</v>
      </c>
      <c r="M38" s="2">
        <f>AVERAGE(Table62[Alibaba])</f>
        <v>12.666666666666666</v>
      </c>
      <c r="N38" s="2">
        <f>AVERAGE(Table62[Gson])</f>
        <v>15.333333333333334</v>
      </c>
      <c r="O38" s="2"/>
      <c r="P38" s="2"/>
      <c r="Q38" s="2"/>
    </row>
    <row r="39" spans="2:17" x14ac:dyDescent="0.25">
      <c r="B39" t="s">
        <v>0</v>
      </c>
      <c r="C39" s="2">
        <f>AVERAGE(Table61[Newtonsoft]) - C38</f>
        <v>184.33333333333334</v>
      </c>
      <c r="D39" s="2">
        <f>AVERAGE(Table61[Revenj]) - D38</f>
        <v>19.000000000000007</v>
      </c>
      <c r="E39" s="2">
        <f>AVERAGE(Table61[ProtoBuf (binary reference)]) - E38</f>
        <v>121</v>
      </c>
      <c r="F39" s="2">
        <f>AVERAGE(Table61[Service Stack]) - F38</f>
        <v>137.33333333333331</v>
      </c>
      <c r="G39" s="2">
        <f>AVERAGE(Table61[Jil]) - G38</f>
        <v>421.33333333333337</v>
      </c>
      <c r="H39" s="2">
        <f>AVERAGE(Table61[NetJSON]) - H38</f>
        <v>105.66666666666666</v>
      </c>
      <c r="I39" s="2">
        <f>AVERAGE(Table61[Jackson]) - I38</f>
        <v>173.33333333333334</v>
      </c>
      <c r="J39" s="2">
        <f>AVERAGE(Table61[DSL-JSON]) - J38</f>
        <v>29.000000000000004</v>
      </c>
      <c r="K39" s="2">
        <f>AVERAGE(Table61[Kryo (binary reference)]) - K38</f>
        <v>39.333333333333336</v>
      </c>
      <c r="L39" s="2" t="e">
        <f>AVERAGE(Table61[Boon]) - L38</f>
        <v>#DIV/0!</v>
      </c>
      <c r="M39" s="2">
        <f>AVERAGE(Table61[Alibaba]) - M38</f>
        <v>192.66666666666669</v>
      </c>
      <c r="N39" s="2">
        <f>AVERAGE(Table61[Gson]) - N38</f>
        <v>103.66666666666667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100.66666666666666</v>
      </c>
      <c r="D40" s="2">
        <f t="shared" si="0"/>
        <v>34.999999999999993</v>
      </c>
      <c r="E40" s="2">
        <f t="shared" ref="E40" si="1">E41 - E39 - E38</f>
        <v>18.333333333333343</v>
      </c>
      <c r="F40" s="2">
        <f t="shared" si="0"/>
        <v>108.6666666666667</v>
      </c>
      <c r="G40" s="2">
        <f t="shared" si="0"/>
        <v>218.99999999999994</v>
      </c>
      <c r="H40" s="2">
        <f t="shared" si="0"/>
        <v>29.333333333333343</v>
      </c>
      <c r="I40" s="2">
        <f t="shared" ref="I40" si="2">I41 - I39 - I38</f>
        <v>185.33333333333334</v>
      </c>
      <c r="J40" s="2">
        <f t="shared" ref="J40" si="3">J41 - J39 - J38</f>
        <v>25</v>
      </c>
      <c r="K40" s="2">
        <f t="shared" ref="K40:L40" si="4">K41 - K39 - K38</f>
        <v>31</v>
      </c>
      <c r="L40" s="2" t="e">
        <f t="shared" si="4"/>
        <v>#DIV/0!</v>
      </c>
      <c r="M40" s="2">
        <f t="shared" ref="M40" si="5">M41 - M39 - M38</f>
        <v>123.33333333333333</v>
      </c>
      <c r="N40" s="2">
        <f t="shared" ref="N40" si="6">N41 - N39 - N38</f>
        <v>145.33333333333329</v>
      </c>
      <c r="O40" s="2"/>
      <c r="P40" s="2"/>
      <c r="Q40" s="2"/>
    </row>
    <row r="41" spans="2:17" x14ac:dyDescent="0.25">
      <c r="B41" t="s">
        <v>23</v>
      </c>
      <c r="C41" s="2">
        <f>AVERAGE(Table63[Newtonsoft])</f>
        <v>351</v>
      </c>
      <c r="D41" s="2">
        <f>AVERAGE(Table63[Revenj])</f>
        <v>116.66666666666667</v>
      </c>
      <c r="E41" s="2">
        <f>AVERAGE(Table63[ProtoBuf (binary reference)])</f>
        <v>207.33333333333334</v>
      </c>
      <c r="F41" s="2">
        <f>AVERAGE(Table63[Service Stack])</f>
        <v>310.66666666666669</v>
      </c>
      <c r="G41" s="2">
        <f>AVERAGE(Table63[Jil])</f>
        <v>705.66666666666663</v>
      </c>
      <c r="H41" s="2">
        <f>AVERAGE(Table63[NetJSON])</f>
        <v>199</v>
      </c>
      <c r="I41" s="2">
        <f>AVERAGE(Table63[Jackson])</f>
        <v>375.66666666666669</v>
      </c>
      <c r="J41" s="2">
        <f>AVERAGE(Table63[DSL-JSON])</f>
        <v>60.333333333333336</v>
      </c>
      <c r="K41" s="2">
        <f>AVERAGE(Table63[Kryo (binary reference)])</f>
        <v>80</v>
      </c>
      <c r="L41" s="2" t="e">
        <f>AVERAGE(Table63[Boon])</f>
        <v>#DIV/0!</v>
      </c>
      <c r="M41" s="2">
        <f>AVERAGE(Table63[Alibaba])</f>
        <v>328.66666666666669</v>
      </c>
      <c r="N41" s="2">
        <f>AVERAGE(Table63[Gson])</f>
        <v>264.33333333333331</v>
      </c>
      <c r="O41" s="2"/>
      <c r="P41" s="2"/>
      <c r="Q41" s="2"/>
    </row>
    <row r="42" spans="2:17" x14ac:dyDescent="0.25">
      <c r="B42" t="s">
        <v>4</v>
      </c>
      <c r="C42" s="3">
        <f>AVERAGE(Table61[Newtonsoft (size)])</f>
        <v>214339.66666666666</v>
      </c>
      <c r="D42" s="3">
        <f>AVERAGE(Table61[Revenj (size)])</f>
        <v>170227</v>
      </c>
      <c r="E42" s="3">
        <f>AVERAGE(Table61[ProtoBuf (size)])</f>
        <v>66683</v>
      </c>
      <c r="F42" s="3">
        <f>AVERAGE(Table61[Service Stack (size)])</f>
        <v>165302</v>
      </c>
      <c r="G42" s="2">
        <f>AVERAGE(Table61[Jil (size)])</f>
        <v>216204</v>
      </c>
      <c r="H42" s="2">
        <f>AVERAGE(Table61[NetJSON (size)])</f>
        <v>168827</v>
      </c>
      <c r="I42" s="2">
        <f>AVERAGE(Table61[Jackson (size)])</f>
        <v>167638</v>
      </c>
      <c r="J42" s="2">
        <f>AVERAGE(Table61[DSL-JSON (size)])</f>
        <v>166227</v>
      </c>
      <c r="K42" s="2">
        <f>AVERAGE(Table61[Kryo (size)])</f>
        <v>65209.666666666664</v>
      </c>
      <c r="L42" s="2" t="e">
        <f>AVERAGE(Table61[Boon (size)])</f>
        <v>#DIV/0!</v>
      </c>
      <c r="M42" s="2">
        <f>AVERAGE(Table61[Alibaba (size)])</f>
        <v>167638</v>
      </c>
      <c r="N42" s="2">
        <f>AVERAGE(Table61[Gson (size)])</f>
        <v>167638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DEVSQ(Table61[Newtonsoft])</f>
        <v>468.66666666666674</v>
      </c>
      <c r="D47" s="2">
        <f>DEVSQ(Table61[Revenj])</f>
        <v>42.666666666666664</v>
      </c>
      <c r="E47" s="2">
        <f>DEVSQ(Table61[ProtoBuf (binary reference)])</f>
        <v>8</v>
      </c>
      <c r="F47" s="2">
        <f>DEVSQ(Table61[Service Stack])</f>
        <v>0</v>
      </c>
      <c r="G47" s="2">
        <f>DEVSQ(Table61[Jil])</f>
        <v>34.666666666666671</v>
      </c>
      <c r="H47" s="2">
        <f>DEVSQ(Table61[NetJSON])</f>
        <v>8.6666666666666679</v>
      </c>
      <c r="I47" s="2">
        <f>DEVSQ(Table61[Jackson])</f>
        <v>216.66666666666666</v>
      </c>
      <c r="J47" s="2">
        <f>DEVSQ(Table61[DSL-JSON])</f>
        <v>8.6666666666666661</v>
      </c>
      <c r="K47" s="2">
        <f>DEVSQ(Table61[Kryo (binary reference)])</f>
        <v>42</v>
      </c>
      <c r="L47" s="2" t="e">
        <f>DEVSQ(Table61[Boon])</f>
        <v>#NUM!</v>
      </c>
      <c r="M47" s="2">
        <f>DEVSQ(Table61[Alibaba])</f>
        <v>3680.666666666667</v>
      </c>
      <c r="N47" s="2">
        <f>DEVSQ(Table61[Gson])</f>
        <v>32</v>
      </c>
      <c r="O47" s="2"/>
      <c r="P47" s="2"/>
      <c r="Q47" s="2"/>
    </row>
    <row r="48" spans="2:17" x14ac:dyDescent="0.25">
      <c r="B48" t="s">
        <v>23</v>
      </c>
      <c r="C48" s="2">
        <f>DEVSQ(Table63[Newtonsoft])</f>
        <v>54</v>
      </c>
      <c r="D48" s="2">
        <f>DEVSQ(Table63[Revenj])</f>
        <v>2.666666666666667</v>
      </c>
      <c r="E48" s="2">
        <f>DEVSQ(Table63[ProtoBuf (binary reference)])</f>
        <v>4.666666666666667</v>
      </c>
      <c r="F48" s="2">
        <f>DEVSQ(Table63[Service Stack])</f>
        <v>42.666666666666671</v>
      </c>
      <c r="G48" s="2">
        <f>DEVSQ(Table63[Jil])</f>
        <v>10.666666666666668</v>
      </c>
      <c r="H48" s="2">
        <f>DEVSQ(Table63[NetJSON])</f>
        <v>2</v>
      </c>
      <c r="I48" s="2">
        <f>DEVSQ(Table63[Jackson])</f>
        <v>178.66666666666669</v>
      </c>
      <c r="J48" s="2">
        <f>DEVSQ(Table63[DSL-JSON])</f>
        <v>34.666666666666671</v>
      </c>
      <c r="K48" s="2">
        <f>DEVSQ(Table63[Kryo (binary reference)])</f>
        <v>8</v>
      </c>
      <c r="L48" s="2" t="e">
        <f>DEVSQ(Table63[Boon])</f>
        <v>#NUM!</v>
      </c>
      <c r="M48" s="2">
        <f>DEVSQ(Table63[Alibaba])</f>
        <v>180.66666666666669</v>
      </c>
      <c r="N48" s="2">
        <f>DEVSQ(Table63[Gson])</f>
        <v>18.666666666666664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62</v>
      </c>
      <c r="C52">
        <v>61</v>
      </c>
      <c r="D52">
        <v>62</v>
      </c>
      <c r="E52">
        <v>62</v>
      </c>
      <c r="F52">
        <v>63</v>
      </c>
      <c r="G52">
        <v>62</v>
      </c>
      <c r="H52">
        <v>14</v>
      </c>
      <c r="I52">
        <v>5</v>
      </c>
      <c r="J52">
        <v>9</v>
      </c>
      <c r="L52">
        <v>13</v>
      </c>
      <c r="M52">
        <v>13</v>
      </c>
    </row>
    <row r="53" spans="2:25" x14ac:dyDescent="0.25">
      <c r="B53">
        <v>66</v>
      </c>
      <c r="C53">
        <v>64</v>
      </c>
      <c r="D53">
        <v>62</v>
      </c>
      <c r="E53">
        <v>66</v>
      </c>
      <c r="F53">
        <v>66</v>
      </c>
      <c r="G53">
        <v>68</v>
      </c>
      <c r="H53">
        <v>16</v>
      </c>
      <c r="I53">
        <v>7</v>
      </c>
      <c r="J53">
        <v>10</v>
      </c>
      <c r="L53">
        <v>11</v>
      </c>
      <c r="M53">
        <v>20</v>
      </c>
    </row>
    <row r="54" spans="2:25" x14ac:dyDescent="0.25">
      <c r="B54">
        <v>70</v>
      </c>
      <c r="C54">
        <v>63</v>
      </c>
      <c r="D54">
        <v>80</v>
      </c>
      <c r="E54">
        <v>66</v>
      </c>
      <c r="F54">
        <v>67</v>
      </c>
      <c r="G54">
        <v>62</v>
      </c>
      <c r="H54">
        <v>21</v>
      </c>
      <c r="I54">
        <v>7</v>
      </c>
      <c r="J54">
        <v>10</v>
      </c>
      <c r="L54">
        <v>14</v>
      </c>
      <c r="M54">
        <v>13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268</v>
      </c>
      <c r="C58">
        <v>87</v>
      </c>
      <c r="D58">
        <v>187</v>
      </c>
      <c r="E58">
        <v>202</v>
      </c>
      <c r="F58">
        <v>482</v>
      </c>
      <c r="G58">
        <v>169</v>
      </c>
      <c r="H58">
        <v>182</v>
      </c>
      <c r="I58">
        <v>33</v>
      </c>
      <c r="J58">
        <v>48</v>
      </c>
      <c r="L58">
        <v>254</v>
      </c>
      <c r="M58">
        <v>119</v>
      </c>
      <c r="N58">
        <v>214673</v>
      </c>
      <c r="O58">
        <v>170227</v>
      </c>
      <c r="P58">
        <v>66683</v>
      </c>
      <c r="Q58">
        <v>165302</v>
      </c>
      <c r="R58">
        <v>216204</v>
      </c>
      <c r="S58">
        <v>168827</v>
      </c>
      <c r="T58">
        <v>167638</v>
      </c>
      <c r="U58">
        <v>166227</v>
      </c>
      <c r="V58">
        <v>64543</v>
      </c>
      <c r="X58">
        <v>167638</v>
      </c>
      <c r="Y58">
        <v>167638</v>
      </c>
    </row>
    <row r="59" spans="2:25" x14ac:dyDescent="0.25">
      <c r="B59">
        <v>242</v>
      </c>
      <c r="C59">
        <v>79</v>
      </c>
      <c r="D59">
        <v>191</v>
      </c>
      <c r="E59">
        <v>202</v>
      </c>
      <c r="F59">
        <v>488</v>
      </c>
      <c r="G59">
        <v>172</v>
      </c>
      <c r="H59">
        <v>202</v>
      </c>
      <c r="I59">
        <v>36</v>
      </c>
      <c r="J59">
        <v>54</v>
      </c>
      <c r="L59">
        <v>189</v>
      </c>
      <c r="M59">
        <v>123</v>
      </c>
      <c r="N59">
        <v>214673</v>
      </c>
      <c r="O59">
        <v>170227</v>
      </c>
      <c r="P59">
        <v>66683</v>
      </c>
      <c r="Q59">
        <v>165302</v>
      </c>
      <c r="R59">
        <v>216204</v>
      </c>
      <c r="S59">
        <v>168827</v>
      </c>
      <c r="T59">
        <v>167638</v>
      </c>
      <c r="U59">
        <v>166227</v>
      </c>
      <c r="V59">
        <v>65543</v>
      </c>
      <c r="X59">
        <v>167638</v>
      </c>
      <c r="Y59">
        <v>167638</v>
      </c>
    </row>
    <row r="60" spans="2:25" x14ac:dyDescent="0.25">
      <c r="B60">
        <v>241</v>
      </c>
      <c r="C60">
        <v>79</v>
      </c>
      <c r="D60">
        <v>189</v>
      </c>
      <c r="E60">
        <v>202</v>
      </c>
      <c r="F60">
        <v>490</v>
      </c>
      <c r="G60">
        <v>168</v>
      </c>
      <c r="H60">
        <v>187</v>
      </c>
      <c r="I60">
        <v>37</v>
      </c>
      <c r="J60">
        <v>45</v>
      </c>
      <c r="L60">
        <v>173</v>
      </c>
      <c r="M60">
        <v>115</v>
      </c>
      <c r="N60">
        <v>213673</v>
      </c>
      <c r="O60">
        <v>170227</v>
      </c>
      <c r="P60">
        <v>66683</v>
      </c>
      <c r="Q60">
        <v>165302</v>
      </c>
      <c r="R60">
        <v>216204</v>
      </c>
      <c r="S60">
        <v>168827</v>
      </c>
      <c r="T60">
        <v>167638</v>
      </c>
      <c r="U60">
        <v>166227</v>
      </c>
      <c r="V60">
        <v>65543</v>
      </c>
      <c r="X60">
        <v>167638</v>
      </c>
      <c r="Y60">
        <v>167638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357</v>
      </c>
      <c r="C64">
        <v>118</v>
      </c>
      <c r="D64">
        <v>209</v>
      </c>
      <c r="E64">
        <v>316</v>
      </c>
      <c r="F64">
        <v>703</v>
      </c>
      <c r="G64">
        <v>198</v>
      </c>
      <c r="H64">
        <v>379</v>
      </c>
      <c r="I64">
        <v>59</v>
      </c>
      <c r="J64">
        <v>78</v>
      </c>
      <c r="L64">
        <v>319</v>
      </c>
      <c r="M64">
        <v>261</v>
      </c>
    </row>
    <row r="65" spans="2:13" x14ac:dyDescent="0.25">
      <c r="B65">
        <v>348</v>
      </c>
      <c r="C65">
        <v>116</v>
      </c>
      <c r="D65">
        <v>206</v>
      </c>
      <c r="E65">
        <v>308</v>
      </c>
      <c r="F65">
        <v>707</v>
      </c>
      <c r="G65">
        <v>200</v>
      </c>
      <c r="H65">
        <v>383</v>
      </c>
      <c r="I65">
        <v>65</v>
      </c>
      <c r="J65">
        <v>80</v>
      </c>
      <c r="L65">
        <v>329</v>
      </c>
      <c r="M65">
        <v>265</v>
      </c>
    </row>
    <row r="66" spans="2:13" x14ac:dyDescent="0.25">
      <c r="B66">
        <v>348</v>
      </c>
      <c r="C66">
        <v>116</v>
      </c>
      <c r="D66">
        <v>207</v>
      </c>
      <c r="E66">
        <v>308</v>
      </c>
      <c r="F66">
        <v>707</v>
      </c>
      <c r="G66">
        <v>199</v>
      </c>
      <c r="H66">
        <v>365</v>
      </c>
      <c r="I66">
        <v>57</v>
      </c>
      <c r="J66">
        <v>82</v>
      </c>
      <c r="L66">
        <v>338</v>
      </c>
      <c r="M66">
        <v>267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AVERAGE(Table67[Newtonsoft])</f>
        <v>76.666666666666671</v>
      </c>
      <c r="D38" s="2">
        <f>AVERAGE(Table67[Revenj])</f>
        <v>78</v>
      </c>
      <c r="E38" s="2">
        <f>AVERAGE(Table67[ProtoBuf (binary reference)])</f>
        <v>76.666666666666671</v>
      </c>
      <c r="F38" s="2">
        <f>AVERAGE(Table67[Service Stack])</f>
        <v>82</v>
      </c>
      <c r="G38" s="2">
        <f>AVERAGE(Table67[Jil])</f>
        <v>79.333333333333329</v>
      </c>
      <c r="H38" s="2">
        <f>AVERAGE(Table67[NetJSON])</f>
        <v>79.333333333333329</v>
      </c>
      <c r="I38" s="2">
        <f>AVERAGE(Table67[Jackson])</f>
        <v>31.333333333333332</v>
      </c>
      <c r="J38" s="2">
        <f>AVERAGE(Table67[DSL-JSON])</f>
        <v>21</v>
      </c>
      <c r="K38" s="2">
        <f>AVERAGE(Table67[Kryo (binary reference)])</f>
        <v>25.333333333333332</v>
      </c>
      <c r="L38" s="2" t="e">
        <f>AVERAGE(Table67[Boon])</f>
        <v>#DIV/0!</v>
      </c>
      <c r="M38" s="2">
        <f>AVERAGE(Table67[Alibaba])</f>
        <v>25.333333333333332</v>
      </c>
      <c r="N38" s="2">
        <f>AVERAGE(Table67[Gson])</f>
        <v>31</v>
      </c>
      <c r="O38" s="2"/>
      <c r="P38" s="2"/>
      <c r="Q38" s="2"/>
    </row>
    <row r="39" spans="2:17" x14ac:dyDescent="0.25">
      <c r="B39" t="s">
        <v>0</v>
      </c>
      <c r="C39" s="2">
        <f>AVERAGE(Table66[Newtonsoft]) - C38</f>
        <v>253</v>
      </c>
      <c r="D39" s="2">
        <f>AVERAGE(Table66[Revenj]) - D38</f>
        <v>40.333333333333329</v>
      </c>
      <c r="E39" s="2">
        <f>AVERAGE(Table66[ProtoBuf (binary reference)]) - E38</f>
        <v>140.66666666666669</v>
      </c>
      <c r="F39" s="2">
        <f>AVERAGE(Table66[Service Stack]) - F38</f>
        <v>189.33333333333331</v>
      </c>
      <c r="G39" s="2">
        <f>AVERAGE(Table66[Jil]) - G38</f>
        <v>479.33333333333331</v>
      </c>
      <c r="H39" s="2">
        <f>AVERAGE(Table66[NetJSON]) - H38</f>
        <v>137.66666666666669</v>
      </c>
      <c r="I39" s="2">
        <f>AVERAGE(Table66[Jackson]) - I38</f>
        <v>322.33333333333337</v>
      </c>
      <c r="J39" s="2">
        <f>AVERAGE(Table66[DSL-JSON]) - J38</f>
        <v>85.333333333333329</v>
      </c>
      <c r="K39" s="2">
        <f>AVERAGE(Table66[Kryo (binary reference)]) - K38</f>
        <v>87.666666666666671</v>
      </c>
      <c r="L39" s="2" t="e">
        <f>AVERAGE(Table66[Boon]) - L38</f>
        <v>#DIV/0!</v>
      </c>
      <c r="M39" s="2">
        <f>AVERAGE(Table66[Alibaba]) - M38</f>
        <v>300.33333333333337</v>
      </c>
      <c r="N39" s="2">
        <f>AVERAGE(Table66[Gson]) - N38</f>
        <v>305.33333333333331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219.66666666666669</v>
      </c>
      <c r="D40" s="2">
        <f t="shared" si="0"/>
        <v>67.333333333333314</v>
      </c>
      <c r="E40" s="2">
        <f t="shared" ref="E40" si="1">E41 - E39 - E38</f>
        <v>49.666666666666643</v>
      </c>
      <c r="F40" s="2">
        <f t="shared" si="0"/>
        <v>189</v>
      </c>
      <c r="G40" s="2">
        <f t="shared" si="0"/>
        <v>267.33333333333337</v>
      </c>
      <c r="H40" s="2">
        <f t="shared" si="0"/>
        <v>112.3333333333333</v>
      </c>
      <c r="I40" s="2">
        <f t="shared" ref="I40" si="2">I41 - I39 - I38</f>
        <v>540.33333333333326</v>
      </c>
      <c r="J40" s="2">
        <f t="shared" ref="J40" si="3">J41 - J39 - J38</f>
        <v>97.000000000000014</v>
      </c>
      <c r="K40" s="2">
        <f t="shared" ref="K40:L40" si="4">K41 - K39 - K38</f>
        <v>84.333333333333343</v>
      </c>
      <c r="L40" s="2" t="e">
        <f t="shared" si="4"/>
        <v>#DIV/0!</v>
      </c>
      <c r="M40" s="2">
        <f t="shared" ref="M40" si="5">M41 - M39 - M38</f>
        <v>524.66666666666663</v>
      </c>
      <c r="N40" s="2">
        <f t="shared" ref="N40" si="6">N41 - N39 - N38</f>
        <v>472.00000000000006</v>
      </c>
      <c r="O40" s="2"/>
      <c r="P40" s="2"/>
      <c r="Q40" s="2"/>
    </row>
    <row r="41" spans="2:17" x14ac:dyDescent="0.25">
      <c r="B41" t="s">
        <v>23</v>
      </c>
      <c r="C41" s="2">
        <f>AVERAGE(Table68[Newtonsoft])</f>
        <v>549.33333333333337</v>
      </c>
      <c r="D41" s="2">
        <f>AVERAGE(Table68[Revenj])</f>
        <v>185.66666666666666</v>
      </c>
      <c r="E41" s="2">
        <f>AVERAGE(Table68[ProtoBuf (binary reference)])</f>
        <v>267</v>
      </c>
      <c r="F41" s="2">
        <f>AVERAGE(Table68[Service Stack])</f>
        <v>460.33333333333331</v>
      </c>
      <c r="G41" s="2">
        <f>AVERAGE(Table68[Jil])</f>
        <v>826</v>
      </c>
      <c r="H41" s="2">
        <f>AVERAGE(Table68[NetJSON])</f>
        <v>329.33333333333331</v>
      </c>
      <c r="I41" s="2">
        <f>AVERAGE(Table68[Jackson])</f>
        <v>894</v>
      </c>
      <c r="J41" s="2">
        <f>AVERAGE(Table68[DSL-JSON])</f>
        <v>203.33333333333334</v>
      </c>
      <c r="K41" s="2">
        <f>AVERAGE(Table68[Kryo (binary reference)])</f>
        <v>197.33333333333334</v>
      </c>
      <c r="L41" s="2" t="e">
        <f>AVERAGE(Table68[Boon])</f>
        <v>#DIV/0!</v>
      </c>
      <c r="M41" s="2">
        <f>AVERAGE(Table68[Alibaba])</f>
        <v>850.33333333333337</v>
      </c>
      <c r="N41" s="2">
        <f>AVERAGE(Table68[Gson])</f>
        <v>808.33333333333337</v>
      </c>
      <c r="O41" s="2"/>
      <c r="P41" s="2"/>
      <c r="Q41" s="2"/>
    </row>
    <row r="42" spans="2:17" x14ac:dyDescent="0.25">
      <c r="B42" t="s">
        <v>4</v>
      </c>
      <c r="C42" s="3">
        <f>AVERAGE(Table66[Newtonsoft (size)])</f>
        <v>2234454</v>
      </c>
      <c r="D42" s="3">
        <f>AVERAGE(Table66[Revenj (size)])</f>
        <v>1802584</v>
      </c>
      <c r="E42" s="3">
        <f>AVERAGE(Table66[ProtoBuf (size)])</f>
        <v>704000</v>
      </c>
      <c r="F42" s="3">
        <f>AVERAGE(Table66[Service Stack (size)])</f>
        <v>1740659</v>
      </c>
      <c r="G42" s="2">
        <f>AVERAGE(Table66[Jil (size)])</f>
        <v>2249785</v>
      </c>
      <c r="H42" s="2">
        <f>AVERAGE(Table66[NetJSON (size)])</f>
        <v>1788584</v>
      </c>
      <c r="I42" s="2">
        <f>AVERAGE(Table66[Jackson (size)])</f>
        <v>1763995</v>
      </c>
      <c r="J42" s="2">
        <f>AVERAGE(Table66[DSL-JSON (size)])</f>
        <v>1762584</v>
      </c>
      <c r="K42" s="2">
        <f>AVERAGE(Table66[Kryo (size)])</f>
        <v>681521.66666666663</v>
      </c>
      <c r="L42" s="2" t="e">
        <f>AVERAGE(Table66[Boon (size)])</f>
        <v>#DIV/0!</v>
      </c>
      <c r="M42" s="2">
        <f>AVERAGE(Table66[Alibaba (size)])</f>
        <v>1763995</v>
      </c>
      <c r="N42" s="2">
        <f>AVERAGE(Table66[Gson (size)])</f>
        <v>1763995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DEVSQ(Table66[Newtonsoft])</f>
        <v>4.6666666666666661</v>
      </c>
      <c r="D47" s="2">
        <f>DEVSQ(Table66[Revenj])</f>
        <v>2.666666666666667</v>
      </c>
      <c r="E47" s="2">
        <f>DEVSQ(Table66[ProtoBuf (binary reference)])</f>
        <v>20.666666666666668</v>
      </c>
      <c r="F47" s="2">
        <f>DEVSQ(Table66[Service Stack])</f>
        <v>4.6666666666666661</v>
      </c>
      <c r="G47" s="2">
        <f>DEVSQ(Table66[Jil])</f>
        <v>2.666666666666667</v>
      </c>
      <c r="H47" s="2">
        <f>DEVSQ(Table66[NetJSON])</f>
        <v>2</v>
      </c>
      <c r="I47" s="2">
        <f>DEVSQ(Table66[Jackson])</f>
        <v>1780.6666666666665</v>
      </c>
      <c r="J47" s="2">
        <f>DEVSQ(Table66[DSL-JSON])</f>
        <v>32.666666666666664</v>
      </c>
      <c r="K47" s="2">
        <f>DEVSQ(Table66[Kryo (binary reference)])</f>
        <v>158</v>
      </c>
      <c r="L47" s="2" t="e">
        <f>DEVSQ(Table66[Boon])</f>
        <v>#NUM!</v>
      </c>
      <c r="M47" s="2">
        <f>DEVSQ(Table66[Alibaba])</f>
        <v>20.666666666666664</v>
      </c>
      <c r="N47" s="2">
        <f>DEVSQ(Table66[Gson])</f>
        <v>160.66666666666669</v>
      </c>
      <c r="O47" s="2"/>
      <c r="P47" s="2"/>
      <c r="Q47" s="2"/>
    </row>
    <row r="48" spans="2:17" x14ac:dyDescent="0.25">
      <c r="B48" t="s">
        <v>23</v>
      </c>
      <c r="C48" s="2">
        <f>DEVSQ(Table68[Newtonsoft])</f>
        <v>120.66666666666669</v>
      </c>
      <c r="D48" s="2">
        <f>DEVSQ(Table68[Revenj])</f>
        <v>42.666666666666671</v>
      </c>
      <c r="E48" s="2">
        <f>DEVSQ(Table68[ProtoBuf (binary reference)])</f>
        <v>662</v>
      </c>
      <c r="F48" s="2">
        <f>DEVSQ(Table68[Service Stack])</f>
        <v>20.666666666666664</v>
      </c>
      <c r="G48" s="2">
        <f>DEVSQ(Table68[Jil])</f>
        <v>18</v>
      </c>
      <c r="H48" s="2">
        <f>DEVSQ(Table68[NetJSON])</f>
        <v>2.666666666666667</v>
      </c>
      <c r="I48" s="2">
        <f>DEVSQ(Table68[Jackson])</f>
        <v>222</v>
      </c>
      <c r="J48" s="2">
        <f>DEVSQ(Table68[DSL-JSON])</f>
        <v>40.666666666666671</v>
      </c>
      <c r="K48" s="2">
        <f>DEVSQ(Table68[Kryo (binary reference)])</f>
        <v>34.666666666666671</v>
      </c>
      <c r="L48" s="2" t="e">
        <f>DEVSQ(Table68[Boon])</f>
        <v>#NUM!</v>
      </c>
      <c r="M48" s="2">
        <f>DEVSQ(Table68[Alibaba])</f>
        <v>2818.6666666666665</v>
      </c>
      <c r="N48" s="2">
        <f>DEVSQ(Table68[Gson])</f>
        <v>440.66666666666669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78</v>
      </c>
      <c r="C52">
        <v>77</v>
      </c>
      <c r="D52">
        <v>77</v>
      </c>
      <c r="E52">
        <v>84</v>
      </c>
      <c r="F52">
        <v>80</v>
      </c>
      <c r="G52">
        <v>81</v>
      </c>
      <c r="H52">
        <v>34</v>
      </c>
      <c r="I52">
        <v>22</v>
      </c>
      <c r="J52">
        <v>25</v>
      </c>
      <c r="L52">
        <v>27</v>
      </c>
      <c r="M52">
        <v>30</v>
      </c>
    </row>
    <row r="53" spans="2:25" x14ac:dyDescent="0.25">
      <c r="B53">
        <v>77</v>
      </c>
      <c r="C53">
        <v>78</v>
      </c>
      <c r="D53">
        <v>75</v>
      </c>
      <c r="E53">
        <v>82</v>
      </c>
      <c r="F53">
        <v>79</v>
      </c>
      <c r="G53">
        <v>80</v>
      </c>
      <c r="H53">
        <v>29</v>
      </c>
      <c r="I53">
        <v>22</v>
      </c>
      <c r="J53">
        <v>25</v>
      </c>
      <c r="L53">
        <v>27</v>
      </c>
      <c r="M53">
        <v>32</v>
      </c>
    </row>
    <row r="54" spans="2:25" x14ac:dyDescent="0.25">
      <c r="B54">
        <v>75</v>
      </c>
      <c r="C54">
        <v>79</v>
      </c>
      <c r="D54">
        <v>78</v>
      </c>
      <c r="E54">
        <v>80</v>
      </c>
      <c r="F54">
        <v>79</v>
      </c>
      <c r="G54">
        <v>77</v>
      </c>
      <c r="H54">
        <v>31</v>
      </c>
      <c r="I54">
        <v>19</v>
      </c>
      <c r="J54">
        <v>26</v>
      </c>
      <c r="L54">
        <v>22</v>
      </c>
      <c r="M54">
        <v>31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328</v>
      </c>
      <c r="C58">
        <v>119</v>
      </c>
      <c r="D58">
        <v>216</v>
      </c>
      <c r="E58">
        <v>270</v>
      </c>
      <c r="F58">
        <v>560</v>
      </c>
      <c r="G58">
        <v>218</v>
      </c>
      <c r="H58">
        <v>334</v>
      </c>
      <c r="I58">
        <v>110</v>
      </c>
      <c r="J58">
        <v>110</v>
      </c>
      <c r="L58">
        <v>327</v>
      </c>
      <c r="M58">
        <v>341</v>
      </c>
      <c r="N58">
        <v>2234454</v>
      </c>
      <c r="O58">
        <v>1802584</v>
      </c>
      <c r="P58">
        <v>704000</v>
      </c>
      <c r="Q58">
        <v>1740659</v>
      </c>
      <c r="R58">
        <v>2249785</v>
      </c>
      <c r="S58">
        <v>1788584</v>
      </c>
      <c r="T58">
        <v>1763995</v>
      </c>
      <c r="U58">
        <v>1762584</v>
      </c>
      <c r="V58">
        <v>674855</v>
      </c>
      <c r="X58">
        <v>1763995</v>
      </c>
      <c r="Y58">
        <v>1763995</v>
      </c>
    </row>
    <row r="59" spans="2:25" x14ac:dyDescent="0.25">
      <c r="B59">
        <v>330</v>
      </c>
      <c r="C59">
        <v>119</v>
      </c>
      <c r="D59">
        <v>221</v>
      </c>
      <c r="E59">
        <v>271</v>
      </c>
      <c r="F59">
        <v>558</v>
      </c>
      <c r="G59">
        <v>217</v>
      </c>
      <c r="H59">
        <v>388</v>
      </c>
      <c r="I59">
        <v>107</v>
      </c>
      <c r="J59">
        <v>106</v>
      </c>
      <c r="L59">
        <v>322</v>
      </c>
      <c r="M59">
        <v>326</v>
      </c>
      <c r="N59">
        <v>2234454</v>
      </c>
      <c r="O59">
        <v>1802584</v>
      </c>
      <c r="P59">
        <v>704000</v>
      </c>
      <c r="Q59">
        <v>1740659</v>
      </c>
      <c r="R59">
        <v>2249785</v>
      </c>
      <c r="S59">
        <v>1788584</v>
      </c>
      <c r="T59">
        <v>1763995</v>
      </c>
      <c r="U59">
        <v>1762584</v>
      </c>
      <c r="V59">
        <v>684855</v>
      </c>
      <c r="X59">
        <v>1763995</v>
      </c>
      <c r="Y59">
        <v>1763995</v>
      </c>
    </row>
    <row r="60" spans="2:25" x14ac:dyDescent="0.25">
      <c r="B60">
        <v>331</v>
      </c>
      <c r="C60">
        <v>117</v>
      </c>
      <c r="D60">
        <v>215</v>
      </c>
      <c r="E60">
        <v>273</v>
      </c>
      <c r="F60">
        <v>558</v>
      </c>
      <c r="G60">
        <v>216</v>
      </c>
      <c r="H60">
        <v>339</v>
      </c>
      <c r="I60">
        <v>102</v>
      </c>
      <c r="J60">
        <v>123</v>
      </c>
      <c r="L60">
        <v>328</v>
      </c>
      <c r="M60">
        <v>342</v>
      </c>
      <c r="N60">
        <v>2234454</v>
      </c>
      <c r="O60">
        <v>1802584</v>
      </c>
      <c r="P60">
        <v>704000</v>
      </c>
      <c r="Q60">
        <v>1740659</v>
      </c>
      <c r="R60">
        <v>2249785</v>
      </c>
      <c r="S60">
        <v>1788584</v>
      </c>
      <c r="T60">
        <v>1763995</v>
      </c>
      <c r="U60">
        <v>1762584</v>
      </c>
      <c r="V60">
        <v>684855</v>
      </c>
      <c r="X60">
        <v>1763995</v>
      </c>
      <c r="Y60">
        <v>1763995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558</v>
      </c>
      <c r="C64">
        <v>191</v>
      </c>
      <c r="D64">
        <v>288</v>
      </c>
      <c r="E64">
        <v>459</v>
      </c>
      <c r="F64">
        <v>823</v>
      </c>
      <c r="G64">
        <v>330</v>
      </c>
      <c r="H64">
        <v>884</v>
      </c>
      <c r="I64">
        <v>208</v>
      </c>
      <c r="J64">
        <v>194</v>
      </c>
      <c r="L64">
        <v>873</v>
      </c>
      <c r="M64">
        <v>792</v>
      </c>
    </row>
    <row r="65" spans="2:13" x14ac:dyDescent="0.25">
      <c r="B65">
        <v>543</v>
      </c>
      <c r="C65">
        <v>183</v>
      </c>
      <c r="D65">
        <v>257</v>
      </c>
      <c r="E65">
        <v>458</v>
      </c>
      <c r="F65">
        <v>826</v>
      </c>
      <c r="G65">
        <v>328</v>
      </c>
      <c r="H65">
        <v>905</v>
      </c>
      <c r="I65">
        <v>203</v>
      </c>
      <c r="J65">
        <v>196</v>
      </c>
      <c r="L65">
        <v>807</v>
      </c>
      <c r="M65">
        <v>821</v>
      </c>
    </row>
    <row r="66" spans="2:13" x14ac:dyDescent="0.25">
      <c r="B66">
        <v>547</v>
      </c>
      <c r="C66">
        <v>183</v>
      </c>
      <c r="D66">
        <v>256</v>
      </c>
      <c r="E66">
        <v>464</v>
      </c>
      <c r="F66">
        <v>829</v>
      </c>
      <c r="G66">
        <v>330</v>
      </c>
      <c r="H66">
        <v>893</v>
      </c>
      <c r="I66">
        <v>199</v>
      </c>
      <c r="J66">
        <v>202</v>
      </c>
      <c r="L66">
        <v>871</v>
      </c>
      <c r="M66">
        <v>812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AVERAGE(Table72[Newtonsoft])</f>
        <v>230.66666666666666</v>
      </c>
      <c r="D38" s="2">
        <f>AVERAGE(Table72[Revenj])</f>
        <v>225.33333333333334</v>
      </c>
      <c r="E38" s="2">
        <f>AVERAGE(Table72[ProtoBuf (binary reference)])</f>
        <v>224</v>
      </c>
      <c r="F38" s="2">
        <f>AVERAGE(Table72[Service Stack])</f>
        <v>229.33333333333334</v>
      </c>
      <c r="G38" s="2">
        <f>AVERAGE(Table72[Jil])</f>
        <v>235.33333333333334</v>
      </c>
      <c r="H38" s="2">
        <f>AVERAGE(Table72[NetJSON])</f>
        <v>233</v>
      </c>
      <c r="I38" s="2">
        <f>AVERAGE(Table72[Jackson])</f>
        <v>81.666666666666671</v>
      </c>
      <c r="J38" s="2">
        <f>AVERAGE(Table72[DSL-JSON])</f>
        <v>69.333333333333329</v>
      </c>
      <c r="K38" s="2">
        <f>AVERAGE(Table72[Kryo (binary reference)])</f>
        <v>74.666666666666671</v>
      </c>
      <c r="L38" s="2" t="e">
        <f>AVERAGE(Table72[Boon])</f>
        <v>#DIV/0!</v>
      </c>
      <c r="M38" s="2">
        <f>AVERAGE(Table72[Alibaba])</f>
        <v>71.333333333333329</v>
      </c>
      <c r="N38" s="2">
        <f>AVERAGE(Table72[Gson])</f>
        <v>84</v>
      </c>
      <c r="O38" s="2"/>
      <c r="P38" s="2"/>
      <c r="Q38" s="2"/>
    </row>
    <row r="39" spans="2:17" x14ac:dyDescent="0.25">
      <c r="B39" t="s">
        <v>0</v>
      </c>
      <c r="C39" s="2">
        <f>AVERAGE(Table71[Newtonsoft]) - C38</f>
        <v>970.00000000000011</v>
      </c>
      <c r="D39" s="2">
        <f>AVERAGE(Table71[Revenj]) - D38</f>
        <v>265.66666666666663</v>
      </c>
      <c r="E39" s="2">
        <f>AVERAGE(Table71[ProtoBuf (binary reference)]) - E38</f>
        <v>247.33333333333331</v>
      </c>
      <c r="F39" s="2">
        <f>AVERAGE(Table71[Service Stack]) - F38</f>
        <v>701.66666666666663</v>
      </c>
      <c r="G39" s="2">
        <f>AVERAGE(Table71[Jil]) - G38</f>
        <v>1006.9999999999999</v>
      </c>
      <c r="H39" s="2">
        <f>AVERAGE(Table71[NetJSON]) - H38</f>
        <v>377</v>
      </c>
      <c r="I39" s="2">
        <f>AVERAGE(Table71[Jackson]) - I38</f>
        <v>768.66666666666674</v>
      </c>
      <c r="J39" s="2">
        <f>AVERAGE(Table71[DSL-JSON]) - J38</f>
        <v>270.33333333333337</v>
      </c>
      <c r="K39" s="2">
        <f>AVERAGE(Table71[Kryo (binary reference)]) - K38</f>
        <v>192.33333333333331</v>
      </c>
      <c r="L39" s="2" t="e">
        <f>AVERAGE(Table71[Boon]) - L38</f>
        <v>#DIV/0!</v>
      </c>
      <c r="M39" s="2">
        <f>AVERAGE(Table71[Alibaba]) - M38</f>
        <v>888</v>
      </c>
      <c r="N39" s="2">
        <f>AVERAGE(Table71[Gson]) - N38</f>
        <v>1675.6666666666667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1300.6666666666667</v>
      </c>
      <c r="D40" s="2">
        <f t="shared" si="0"/>
        <v>327</v>
      </c>
      <c r="E40" s="2">
        <f t="shared" ref="E40" si="1">E41 - E39 - E38</f>
        <v>217.33333333333331</v>
      </c>
      <c r="F40" s="2">
        <f t="shared" si="0"/>
        <v>1055.0000000000002</v>
      </c>
      <c r="G40" s="2">
        <f t="shared" si="0"/>
        <v>799.3333333333336</v>
      </c>
      <c r="H40" s="2">
        <f t="shared" si="0"/>
        <v>975.66666666666674</v>
      </c>
      <c r="I40" s="2">
        <f t="shared" ref="I40" si="2">I41 - I39 - I38</f>
        <v>1538.6666666666665</v>
      </c>
      <c r="J40" s="2">
        <f t="shared" ref="J40" si="3">J41 - J39 - J38</f>
        <v>395.66666666666669</v>
      </c>
      <c r="K40" s="2">
        <f t="shared" ref="K40:L40" si="4">K41 - K39 - K38</f>
        <v>308.33333333333337</v>
      </c>
      <c r="L40" s="2" t="e">
        <f t="shared" si="4"/>
        <v>#DIV/0!</v>
      </c>
      <c r="M40" s="2">
        <f t="shared" ref="M40" si="5">M41 - M39 - M38</f>
        <v>2611.333333333333</v>
      </c>
      <c r="N40" s="2">
        <f t="shared" ref="N40" si="6">N41 - N39 - N38</f>
        <v>2421</v>
      </c>
      <c r="O40" s="2"/>
      <c r="P40" s="2"/>
      <c r="Q40" s="2"/>
    </row>
    <row r="41" spans="2:17" x14ac:dyDescent="0.25">
      <c r="B41" t="s">
        <v>23</v>
      </c>
      <c r="C41" s="2">
        <f>AVERAGE(Table73[Newtonsoft])</f>
        <v>2501.3333333333335</v>
      </c>
      <c r="D41" s="2">
        <f>AVERAGE(Table73[Revenj])</f>
        <v>818</v>
      </c>
      <c r="E41" s="2">
        <f>AVERAGE(Table73[ProtoBuf (binary reference)])</f>
        <v>688.66666666666663</v>
      </c>
      <c r="F41" s="2">
        <f>AVERAGE(Table73[Service Stack])</f>
        <v>1986</v>
      </c>
      <c r="G41" s="2">
        <f>AVERAGE(Table73[Jil])</f>
        <v>2041.6666666666667</v>
      </c>
      <c r="H41" s="2">
        <f>AVERAGE(Table73[NetJSON])</f>
        <v>1585.6666666666667</v>
      </c>
      <c r="I41" s="2">
        <f>AVERAGE(Table73[Jackson])</f>
        <v>2389</v>
      </c>
      <c r="J41" s="2">
        <f>AVERAGE(Table73[DSL-JSON])</f>
        <v>735.33333333333337</v>
      </c>
      <c r="K41" s="2">
        <f>AVERAGE(Table73[Kryo (binary reference)])</f>
        <v>575.33333333333337</v>
      </c>
      <c r="L41" s="2" t="e">
        <f>AVERAGE(Table73[Boon])</f>
        <v>#DIV/0!</v>
      </c>
      <c r="M41" s="2">
        <f>AVERAGE(Table73[Alibaba])</f>
        <v>3570.6666666666665</v>
      </c>
      <c r="N41" s="2">
        <f>AVERAGE(Table73[Gson])</f>
        <v>4180.666666666667</v>
      </c>
      <c r="O41" s="2"/>
      <c r="P41" s="2"/>
      <c r="Q41" s="2"/>
    </row>
    <row r="42" spans="2:17" x14ac:dyDescent="0.25">
      <c r="B42" t="s">
        <v>4</v>
      </c>
      <c r="C42" s="3">
        <f>AVERAGE(Table71[Newtonsoft (size)])</f>
        <v>23246001</v>
      </c>
      <c r="D42" s="3">
        <f>AVERAGE(Table71[Revenj (size)])</f>
        <v>18939843</v>
      </c>
      <c r="E42" s="3">
        <f>AVERAGE(Table71[ProtoBuf (size)])</f>
        <v>7506385</v>
      </c>
      <c r="F42" s="3">
        <f>AVERAGE(Table71[Service Stack (size)])</f>
        <v>18307918</v>
      </c>
      <c r="G42" s="2">
        <f>AVERAGE(Table71[Jil (size)])</f>
        <v>23399332</v>
      </c>
      <c r="H42" s="2">
        <f>AVERAGE(Table71[NetJSON (size)])</f>
        <v>18799843</v>
      </c>
      <c r="I42" s="2">
        <f>AVERAGE(Table71[Jackson (size)])</f>
        <v>18541254</v>
      </c>
      <c r="J42" s="2">
        <f>AVERAGE(Table71[DSL-JSON (size)])</f>
        <v>18539843</v>
      </c>
      <c r="K42" s="2">
        <f>AVERAGE(Table71[Kryo (size)])</f>
        <v>7391834</v>
      </c>
      <c r="L42" s="2" t="e">
        <f>AVERAGE(Table71[Boon (size)])</f>
        <v>#DIV/0!</v>
      </c>
      <c r="M42" s="2">
        <f>AVERAGE(Table71[Alibaba (size)])</f>
        <v>18541254</v>
      </c>
      <c r="N42" s="2">
        <f>AVERAGE(Table71[Gson (size)])</f>
        <v>18541254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DEVSQ(Table71[Newtonsoft])</f>
        <v>482.66666666666674</v>
      </c>
      <c r="D47" s="2">
        <f>DEVSQ(Table71[Revenj])</f>
        <v>86</v>
      </c>
      <c r="E47" s="2">
        <f>DEVSQ(Table71[ProtoBuf (binary reference)])</f>
        <v>8.6666666666666661</v>
      </c>
      <c r="F47" s="2">
        <f>DEVSQ(Table71[Service Stack])</f>
        <v>18</v>
      </c>
      <c r="G47" s="2">
        <f>DEVSQ(Table71[Jil])</f>
        <v>34.666666666666671</v>
      </c>
      <c r="H47" s="2">
        <f>DEVSQ(Table71[NetJSON])</f>
        <v>56</v>
      </c>
      <c r="I47" s="2">
        <f>DEVSQ(Table71[Jackson])</f>
        <v>2818.6666666666665</v>
      </c>
      <c r="J47" s="2">
        <f>DEVSQ(Table71[DSL-JSON])</f>
        <v>1152.6666666666665</v>
      </c>
      <c r="K47" s="2">
        <f>DEVSQ(Table71[Kryo (binary reference)])</f>
        <v>152</v>
      </c>
      <c r="L47" s="2" t="e">
        <f>DEVSQ(Table71[Boon])</f>
        <v>#NUM!</v>
      </c>
      <c r="M47" s="2">
        <f>DEVSQ(Table71[Alibaba])</f>
        <v>2770.6666666666665</v>
      </c>
      <c r="N47" s="2">
        <f>DEVSQ(Table71[Gson])</f>
        <v>20514.666666666664</v>
      </c>
      <c r="O47" s="2"/>
      <c r="P47" s="2"/>
      <c r="Q47" s="2"/>
    </row>
    <row r="48" spans="2:17" x14ac:dyDescent="0.25">
      <c r="B48" t="s">
        <v>23</v>
      </c>
      <c r="C48" s="2">
        <f>DEVSQ(Table73[Newtonsoft])</f>
        <v>160.66666666666669</v>
      </c>
      <c r="D48" s="2">
        <f>DEVSQ(Table73[Revenj])</f>
        <v>78</v>
      </c>
      <c r="E48" s="2">
        <f>DEVSQ(Table73[ProtoBuf (binary reference)])</f>
        <v>752.66666666666674</v>
      </c>
      <c r="F48" s="2">
        <f>DEVSQ(Table73[Service Stack])</f>
        <v>26</v>
      </c>
      <c r="G48" s="2">
        <f>DEVSQ(Table73[Jil])</f>
        <v>64.666666666666657</v>
      </c>
      <c r="H48" s="2">
        <f>DEVSQ(Table73[NetJSON])</f>
        <v>160.66666666666666</v>
      </c>
      <c r="I48" s="2">
        <f>DEVSQ(Table73[Jackson])</f>
        <v>61694</v>
      </c>
      <c r="J48" s="2">
        <f>DEVSQ(Table73[DSL-JSON])</f>
        <v>44.666666666666664</v>
      </c>
      <c r="K48" s="2">
        <f>DEVSQ(Table73[Kryo (binary reference)])</f>
        <v>1052.6666666666665</v>
      </c>
      <c r="L48" s="2" t="e">
        <f>DEVSQ(Table73[Boon])</f>
        <v>#NUM!</v>
      </c>
      <c r="M48" s="2">
        <f>DEVSQ(Table73[Alibaba])</f>
        <v>19274.666666666664</v>
      </c>
      <c r="N48" s="2">
        <f>DEVSQ(Table73[Gson])</f>
        <v>63818.666666666664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228</v>
      </c>
      <c r="C52">
        <v>228</v>
      </c>
      <c r="D52">
        <v>227</v>
      </c>
      <c r="E52">
        <v>229</v>
      </c>
      <c r="F52">
        <v>237</v>
      </c>
      <c r="G52">
        <v>234</v>
      </c>
      <c r="H52">
        <v>87</v>
      </c>
      <c r="I52">
        <v>68</v>
      </c>
      <c r="J52">
        <v>77</v>
      </c>
      <c r="L52">
        <v>70</v>
      </c>
      <c r="M52">
        <v>81</v>
      </c>
    </row>
    <row r="53" spans="2:25" x14ac:dyDescent="0.25">
      <c r="B53">
        <v>227</v>
      </c>
      <c r="C53">
        <v>226</v>
      </c>
      <c r="D53">
        <v>227</v>
      </c>
      <c r="E53">
        <v>228</v>
      </c>
      <c r="F53">
        <v>237</v>
      </c>
      <c r="G53">
        <v>236</v>
      </c>
      <c r="H53">
        <v>81</v>
      </c>
      <c r="I53">
        <v>74</v>
      </c>
      <c r="J53">
        <v>69</v>
      </c>
      <c r="L53">
        <v>73</v>
      </c>
      <c r="M53">
        <v>85</v>
      </c>
    </row>
    <row r="54" spans="2:25" x14ac:dyDescent="0.25">
      <c r="B54">
        <v>237</v>
      </c>
      <c r="C54">
        <v>222</v>
      </c>
      <c r="D54">
        <v>218</v>
      </c>
      <c r="E54">
        <v>231</v>
      </c>
      <c r="F54">
        <v>232</v>
      </c>
      <c r="G54">
        <v>229</v>
      </c>
      <c r="H54">
        <v>77</v>
      </c>
      <c r="I54">
        <v>66</v>
      </c>
      <c r="J54">
        <v>78</v>
      </c>
      <c r="L54">
        <v>71</v>
      </c>
      <c r="M54">
        <v>86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1218</v>
      </c>
      <c r="C58">
        <v>484</v>
      </c>
      <c r="D58">
        <v>469</v>
      </c>
      <c r="E58">
        <v>934</v>
      </c>
      <c r="F58">
        <v>1247</v>
      </c>
      <c r="G58">
        <v>612</v>
      </c>
      <c r="H58">
        <v>807</v>
      </c>
      <c r="I58">
        <v>366</v>
      </c>
      <c r="J58">
        <v>277</v>
      </c>
      <c r="L58">
        <v>994</v>
      </c>
      <c r="M58">
        <v>1825</v>
      </c>
      <c r="N58">
        <v>23246001</v>
      </c>
      <c r="O58">
        <v>18939843</v>
      </c>
      <c r="P58">
        <v>7506385</v>
      </c>
      <c r="Q58">
        <v>18307918</v>
      </c>
      <c r="R58">
        <v>23399332</v>
      </c>
      <c r="S58">
        <v>18799843</v>
      </c>
      <c r="T58">
        <v>18541254</v>
      </c>
      <c r="U58">
        <v>18539843</v>
      </c>
      <c r="V58">
        <v>7391834</v>
      </c>
      <c r="X58">
        <v>18541254</v>
      </c>
      <c r="Y58">
        <v>18541254</v>
      </c>
    </row>
    <row r="59" spans="2:25" x14ac:dyDescent="0.25">
      <c r="B59">
        <v>1196</v>
      </c>
      <c r="C59">
        <v>492</v>
      </c>
      <c r="D59">
        <v>473</v>
      </c>
      <c r="E59">
        <v>928</v>
      </c>
      <c r="F59">
        <v>1241</v>
      </c>
      <c r="G59">
        <v>614</v>
      </c>
      <c r="H59">
        <v>873</v>
      </c>
      <c r="I59">
        <v>334</v>
      </c>
      <c r="J59">
        <v>261</v>
      </c>
      <c r="L59">
        <v>964</v>
      </c>
      <c r="M59">
        <v>1643</v>
      </c>
      <c r="N59">
        <v>23246001</v>
      </c>
      <c r="O59">
        <v>18939843</v>
      </c>
      <c r="P59">
        <v>7506385</v>
      </c>
      <c r="Q59">
        <v>18307918</v>
      </c>
      <c r="R59">
        <v>23399332</v>
      </c>
      <c r="S59">
        <v>18799843</v>
      </c>
      <c r="T59">
        <v>18541254</v>
      </c>
      <c r="U59">
        <v>18539843</v>
      </c>
      <c r="V59">
        <v>7391834</v>
      </c>
      <c r="X59">
        <v>18541254</v>
      </c>
      <c r="Y59">
        <v>18541254</v>
      </c>
    </row>
    <row r="60" spans="2:25" x14ac:dyDescent="0.25">
      <c r="B60">
        <v>1188</v>
      </c>
      <c r="C60">
        <v>497</v>
      </c>
      <c r="D60">
        <v>472</v>
      </c>
      <c r="E60">
        <v>931</v>
      </c>
      <c r="F60">
        <v>1239</v>
      </c>
      <c r="G60">
        <v>604</v>
      </c>
      <c r="H60">
        <v>871</v>
      </c>
      <c r="I60">
        <v>319</v>
      </c>
      <c r="J60">
        <v>263</v>
      </c>
      <c r="L60">
        <v>920</v>
      </c>
      <c r="M60">
        <v>1811</v>
      </c>
      <c r="N60">
        <v>23246001</v>
      </c>
      <c r="O60">
        <v>18939843</v>
      </c>
      <c r="P60">
        <v>7506385</v>
      </c>
      <c r="Q60">
        <v>18307918</v>
      </c>
      <c r="R60">
        <v>23399332</v>
      </c>
      <c r="S60">
        <v>18799843</v>
      </c>
      <c r="T60">
        <v>18541254</v>
      </c>
      <c r="U60">
        <v>18539843</v>
      </c>
      <c r="V60">
        <v>7391834</v>
      </c>
      <c r="X60">
        <v>18541254</v>
      </c>
      <c r="Y60">
        <v>18541254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2506</v>
      </c>
      <c r="C64">
        <v>823</v>
      </c>
      <c r="D64">
        <v>676</v>
      </c>
      <c r="E64">
        <v>1982</v>
      </c>
      <c r="F64">
        <v>2040</v>
      </c>
      <c r="G64">
        <v>1596</v>
      </c>
      <c r="H64">
        <v>2328</v>
      </c>
      <c r="I64">
        <v>730</v>
      </c>
      <c r="J64">
        <v>591</v>
      </c>
      <c r="L64">
        <v>3516</v>
      </c>
      <c r="M64">
        <v>3994</v>
      </c>
    </row>
    <row r="65" spans="2:13" x14ac:dyDescent="0.25">
      <c r="B65">
        <v>2507</v>
      </c>
      <c r="C65">
        <v>811</v>
      </c>
      <c r="D65">
        <v>679</v>
      </c>
      <c r="E65">
        <v>1989</v>
      </c>
      <c r="F65">
        <v>2037</v>
      </c>
      <c r="G65">
        <v>1581</v>
      </c>
      <c r="H65">
        <v>2252</v>
      </c>
      <c r="I65">
        <v>739</v>
      </c>
      <c r="J65">
        <v>549</v>
      </c>
      <c r="L65">
        <v>3512</v>
      </c>
      <c r="M65">
        <v>4350</v>
      </c>
    </row>
    <row r="66" spans="2:13" x14ac:dyDescent="0.25">
      <c r="B66">
        <v>2491</v>
      </c>
      <c r="C66">
        <v>820</v>
      </c>
      <c r="D66">
        <v>711</v>
      </c>
      <c r="E66">
        <v>1987</v>
      </c>
      <c r="F66">
        <v>2048</v>
      </c>
      <c r="G66">
        <v>1580</v>
      </c>
      <c r="H66">
        <v>2587</v>
      </c>
      <c r="I66">
        <v>737</v>
      </c>
      <c r="J66">
        <v>586</v>
      </c>
      <c r="L66">
        <v>3684</v>
      </c>
      <c r="M66">
        <v>4198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AVERAGE(Table77[Newtonsoft])</f>
        <v>121.66666666666667</v>
      </c>
      <c r="D38" s="2">
        <f>AVERAGE(Table77[Revenj])</f>
        <v>118.66666666666667</v>
      </c>
      <c r="E38" s="2">
        <f>AVERAGE(Table77[ProtoBuf (binary reference)])</f>
        <v>107.66666666666667</v>
      </c>
      <c r="F38" s="2">
        <f>AVERAGE(Table77[Service Stack])</f>
        <v>101.33333333333333</v>
      </c>
      <c r="G38" s="2">
        <f>AVERAGE(Table77[Jil])</f>
        <v>109</v>
      </c>
      <c r="H38" s="2">
        <f>AVERAGE(Table77[NetJSON])</f>
        <v>110.66666666666667</v>
      </c>
      <c r="I38" s="2">
        <f>AVERAGE(Table77[Jackson])</f>
        <v>118.66666666666667</v>
      </c>
      <c r="J38" s="2">
        <f>AVERAGE(Table77[DSL-JSON])</f>
        <v>94</v>
      </c>
      <c r="K38" s="2">
        <f>AVERAGE(Table77[Kryo (binary reference)])</f>
        <v>98.666666666666671</v>
      </c>
      <c r="L38" s="2" t="e">
        <f>AVERAGE(Table77[Boon])</f>
        <v>#DIV/0!</v>
      </c>
      <c r="M38" s="2">
        <f>AVERAGE(Table77[Alibaba])</f>
        <v>105.66666666666667</v>
      </c>
      <c r="N38" s="2">
        <f>AVERAGE(Table77[Gson])</f>
        <v>98.666666666666671</v>
      </c>
      <c r="O38" s="2"/>
      <c r="P38" s="2"/>
      <c r="Q38" s="2"/>
    </row>
    <row r="39" spans="2:17" x14ac:dyDescent="0.25">
      <c r="B39" t="s">
        <v>0</v>
      </c>
      <c r="C39" s="2">
        <f>AVERAGE(Table76[Newtonsoft]) - C38</f>
        <v>238.66666666666663</v>
      </c>
      <c r="D39" s="2">
        <f>AVERAGE(Table76[Revenj]) - D38</f>
        <v>30.666666666666671</v>
      </c>
      <c r="E39" s="2">
        <f>AVERAGE(Table76[ProtoBuf (binary reference)]) - E38</f>
        <v>33.333333333333329</v>
      </c>
      <c r="F39" s="2">
        <f>AVERAGE(Table76[Service Stack]) - F38</f>
        <v>184.33333333333337</v>
      </c>
      <c r="G39" s="2">
        <f>AVERAGE(Table76[Jil]) - G38</f>
        <v>174</v>
      </c>
      <c r="H39" s="2">
        <f>AVERAGE(Table76[NetJSON]) - H38</f>
        <v>90.666666666666671</v>
      </c>
      <c r="I39" s="2">
        <f>AVERAGE(Table76[Jackson]) - I38</f>
        <v>234.66666666666663</v>
      </c>
      <c r="J39" s="2">
        <f>AVERAGE(Table76[DSL-JSON]) - J38</f>
        <v>34</v>
      </c>
      <c r="K39" s="2">
        <f>AVERAGE(Table76[Kryo (binary reference)]) - K38</f>
        <v>48.999999999999986</v>
      </c>
      <c r="L39" s="2" t="e">
        <f>AVERAGE(Table76[Boon]) - L38</f>
        <v>#DIV/0!</v>
      </c>
      <c r="M39" s="2">
        <f>AVERAGE(Table76[Alibaba]) - M38</f>
        <v>405.66666666666663</v>
      </c>
      <c r="N39" s="2">
        <f>AVERAGE(Table76[Gson]) - N38</f>
        <v>492.66666666666669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242.33333333333331</v>
      </c>
      <c r="D40" s="2">
        <f t="shared" si="0"/>
        <v>76.666666666666643</v>
      </c>
      <c r="E40" s="2">
        <f t="shared" ref="E40" si="1">E41 - E39 - E38</f>
        <v>56.666666666666643</v>
      </c>
      <c r="F40" s="2">
        <f t="shared" si="0"/>
        <v>306.33333333333331</v>
      </c>
      <c r="G40" s="2">
        <f t="shared" si="0"/>
        <v>197.66666666666669</v>
      </c>
      <c r="H40" s="2">
        <f t="shared" si="0"/>
        <v>277.66666666666663</v>
      </c>
      <c r="I40" s="2">
        <f t="shared" ref="I40" si="2">I41 - I39 - I38</f>
        <v>706.66666666666674</v>
      </c>
      <c r="J40" s="2">
        <f t="shared" ref="J40" si="3">J41 - J39 - J38</f>
        <v>100.33333333333334</v>
      </c>
      <c r="K40" s="2">
        <f t="shared" ref="K40:L40" si="4">K41 - K39 - K38</f>
        <v>139.33333333333331</v>
      </c>
      <c r="L40" s="2" t="e">
        <f t="shared" si="4"/>
        <v>#DIV/0!</v>
      </c>
      <c r="M40" s="2">
        <f t="shared" ref="M40" si="5">M41 - M39 - M38</f>
        <v>585</v>
      </c>
      <c r="N40" s="2">
        <f t="shared" ref="N40" si="6">N41 - N39 - N38</f>
        <v>682.99999999999989</v>
      </c>
      <c r="O40" s="2"/>
      <c r="P40" s="2"/>
      <c r="Q40" s="2"/>
    </row>
    <row r="41" spans="2:17" x14ac:dyDescent="0.25">
      <c r="B41" t="s">
        <v>23</v>
      </c>
      <c r="C41" s="2">
        <f>AVERAGE(Table78[Newtonsoft])</f>
        <v>602.66666666666663</v>
      </c>
      <c r="D41" s="2">
        <f>AVERAGE(Table78[Revenj])</f>
        <v>226</v>
      </c>
      <c r="E41" s="2">
        <f>AVERAGE(Table78[ProtoBuf (binary reference)])</f>
        <v>197.66666666666666</v>
      </c>
      <c r="F41" s="2">
        <f>AVERAGE(Table78[Service Stack])</f>
        <v>592</v>
      </c>
      <c r="G41" s="2">
        <f>AVERAGE(Table78[Jil])</f>
        <v>480.66666666666669</v>
      </c>
      <c r="H41" s="2">
        <f>AVERAGE(Table78[NetJSON])</f>
        <v>479</v>
      </c>
      <c r="I41" s="2">
        <f>AVERAGE(Table78[Jackson])</f>
        <v>1060</v>
      </c>
      <c r="J41" s="2">
        <f>AVERAGE(Table78[DSL-JSON])</f>
        <v>228.33333333333334</v>
      </c>
      <c r="K41" s="2">
        <f>AVERAGE(Table78[Kryo (binary reference)])</f>
        <v>287</v>
      </c>
      <c r="L41" s="2" t="e">
        <f>AVERAGE(Table78[Boon])</f>
        <v>#DIV/0!</v>
      </c>
      <c r="M41" s="2">
        <f>AVERAGE(Table78[Alibaba])</f>
        <v>1096.3333333333333</v>
      </c>
      <c r="N41" s="2">
        <f>AVERAGE(Table78[Gson])</f>
        <v>1274.3333333333333</v>
      </c>
      <c r="O41" s="2"/>
      <c r="P41" s="2"/>
      <c r="Q41" s="2"/>
    </row>
    <row r="42" spans="2:17" x14ac:dyDescent="0.25">
      <c r="B42" t="s">
        <v>4</v>
      </c>
      <c r="C42" s="3">
        <f>AVERAGE(Table76[Newtonsoft (size)])</f>
        <v>8313265.333333333</v>
      </c>
      <c r="D42" s="3">
        <f>AVERAGE(Table76[Revenj (size)])</f>
        <v>7246327</v>
      </c>
      <c r="E42" s="3">
        <f>AVERAGE(Table76[ProtoBuf (size)])</f>
        <v>3408798</v>
      </c>
      <c r="F42" s="3">
        <f>AVERAGE(Table76[Service Stack (size)])</f>
        <v>7847837</v>
      </c>
      <c r="G42" s="2">
        <f>AVERAGE(Table76[Jil (size)])</f>
        <v>8326707</v>
      </c>
      <c r="H42" s="2">
        <f>AVERAGE(Table76[NetJSON (size)])</f>
        <v>7784711.666666667</v>
      </c>
      <c r="I42" s="2">
        <f>AVERAGE(Table76[Jackson (size)])</f>
        <v>7206637.666666667</v>
      </c>
      <c r="J42" s="2">
        <f>AVERAGE(Table76[DSL-JSON (size)])</f>
        <v>7176845.666666667</v>
      </c>
      <c r="K42" s="2">
        <f>AVERAGE(Table76[Kryo (size)])</f>
        <v>3155620</v>
      </c>
      <c r="L42" s="2" t="e">
        <f>AVERAGE(Table76[Boon (size)])</f>
        <v>#DIV/0!</v>
      </c>
      <c r="M42" s="2">
        <f>AVERAGE(Table76[Alibaba (size)])</f>
        <v>7208585.666666667</v>
      </c>
      <c r="N42" s="2">
        <f>AVERAGE(Table76[Gson (size)])</f>
        <v>7208601.666666667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DEVSQ(Table76[Newtonsoft])</f>
        <v>672.66666666666663</v>
      </c>
      <c r="D47" s="2">
        <f>DEVSQ(Table76[Revenj])</f>
        <v>12.666666666666668</v>
      </c>
      <c r="E47" s="2">
        <f>DEVSQ(Table76[ProtoBuf (binary reference)])</f>
        <v>86</v>
      </c>
      <c r="F47" s="2">
        <f>DEVSQ(Table76[Service Stack])</f>
        <v>28.666666666666671</v>
      </c>
      <c r="G47" s="2">
        <f>DEVSQ(Table76[Jil])</f>
        <v>96</v>
      </c>
      <c r="H47" s="2">
        <f>DEVSQ(Table76[NetJSON])</f>
        <v>10.666666666666668</v>
      </c>
      <c r="I47" s="2">
        <f>DEVSQ(Table76[Jackson])</f>
        <v>562.66666666666663</v>
      </c>
      <c r="J47" s="2">
        <f>DEVSQ(Table76[DSL-JSON])</f>
        <v>350</v>
      </c>
      <c r="K47" s="2">
        <f>DEVSQ(Table76[Kryo (binary reference)])</f>
        <v>632.66666666666674</v>
      </c>
      <c r="L47" s="2" t="e">
        <f>DEVSQ(Table76[Boon])</f>
        <v>#NUM!</v>
      </c>
      <c r="M47" s="2">
        <f>DEVSQ(Table76[Alibaba])</f>
        <v>49868.666666666672</v>
      </c>
      <c r="N47" s="2">
        <f>DEVSQ(Table76[Gson])</f>
        <v>2530.6666666666665</v>
      </c>
      <c r="O47" s="2"/>
      <c r="P47" s="2"/>
      <c r="Q47" s="2"/>
    </row>
    <row r="48" spans="2:17" x14ac:dyDescent="0.25">
      <c r="B48" t="s">
        <v>23</v>
      </c>
      <c r="C48" s="2">
        <f>DEVSQ(Table78[Newtonsoft])</f>
        <v>8.6666666666666661</v>
      </c>
      <c r="D48" s="2">
        <f>DEVSQ(Table78[Revenj])</f>
        <v>14</v>
      </c>
      <c r="E48" s="2">
        <f>DEVSQ(Table78[ProtoBuf (binary reference)])</f>
        <v>88.666666666666657</v>
      </c>
      <c r="F48" s="2">
        <f>DEVSQ(Table78[Service Stack])</f>
        <v>74</v>
      </c>
      <c r="G48" s="2">
        <f>DEVSQ(Table78[Jil])</f>
        <v>32.666666666666671</v>
      </c>
      <c r="H48" s="2">
        <f>DEVSQ(Table78[NetJSON])</f>
        <v>42</v>
      </c>
      <c r="I48" s="2">
        <f>DEVSQ(Table78[Jackson])</f>
        <v>1622</v>
      </c>
      <c r="J48" s="2">
        <f>DEVSQ(Table78[DSL-JSON])</f>
        <v>220.66666666666666</v>
      </c>
      <c r="K48" s="2">
        <f>DEVSQ(Table78[Kryo (binary reference)])</f>
        <v>98</v>
      </c>
      <c r="L48" s="2" t="e">
        <f>DEVSQ(Table78[Boon])</f>
        <v>#NUM!</v>
      </c>
      <c r="M48" s="2">
        <f>DEVSQ(Table78[Alibaba])</f>
        <v>522.66666666666674</v>
      </c>
      <c r="N48" s="2">
        <f>DEVSQ(Table78[Gson])</f>
        <v>38962.666666666672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107</v>
      </c>
      <c r="C52">
        <v>105</v>
      </c>
      <c r="D52">
        <v>98</v>
      </c>
      <c r="E52">
        <v>103</v>
      </c>
      <c r="F52">
        <v>107</v>
      </c>
      <c r="G52">
        <v>103</v>
      </c>
      <c r="H52">
        <v>115</v>
      </c>
      <c r="I52">
        <v>81</v>
      </c>
      <c r="J52">
        <v>90</v>
      </c>
      <c r="L52">
        <v>106</v>
      </c>
      <c r="M52">
        <v>89</v>
      </c>
    </row>
    <row r="53" spans="2:25" x14ac:dyDescent="0.25">
      <c r="B53">
        <v>123</v>
      </c>
      <c r="C53">
        <v>111</v>
      </c>
      <c r="D53">
        <v>111</v>
      </c>
      <c r="E53">
        <v>100</v>
      </c>
      <c r="F53">
        <v>111</v>
      </c>
      <c r="G53">
        <v>126</v>
      </c>
      <c r="H53">
        <v>123</v>
      </c>
      <c r="I53">
        <v>100</v>
      </c>
      <c r="J53">
        <v>102</v>
      </c>
      <c r="L53">
        <v>107</v>
      </c>
      <c r="M53">
        <v>98</v>
      </c>
    </row>
    <row r="54" spans="2:25" x14ac:dyDescent="0.25">
      <c r="B54">
        <v>135</v>
      </c>
      <c r="C54">
        <v>140</v>
      </c>
      <c r="D54">
        <v>114</v>
      </c>
      <c r="E54">
        <v>101</v>
      </c>
      <c r="F54">
        <v>109</v>
      </c>
      <c r="G54">
        <v>103</v>
      </c>
      <c r="H54">
        <v>118</v>
      </c>
      <c r="I54">
        <v>101</v>
      </c>
      <c r="J54">
        <v>104</v>
      </c>
      <c r="L54">
        <v>104</v>
      </c>
      <c r="M54">
        <v>109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381</v>
      </c>
      <c r="C58">
        <v>147</v>
      </c>
      <c r="D58">
        <v>148</v>
      </c>
      <c r="E58">
        <v>283</v>
      </c>
      <c r="F58">
        <v>279</v>
      </c>
      <c r="G58">
        <v>204</v>
      </c>
      <c r="H58">
        <v>362</v>
      </c>
      <c r="I58">
        <v>118</v>
      </c>
      <c r="J58">
        <v>168</v>
      </c>
      <c r="L58">
        <v>693</v>
      </c>
      <c r="M58">
        <v>584</v>
      </c>
      <c r="N58">
        <v>8319042</v>
      </c>
      <c r="O58">
        <v>7246327</v>
      </c>
      <c r="P58">
        <v>3408798</v>
      </c>
      <c r="Q58">
        <v>7847837</v>
      </c>
      <c r="R58">
        <v>8326707</v>
      </c>
      <c r="S58">
        <v>7784723</v>
      </c>
      <c r="T58">
        <v>7206695</v>
      </c>
      <c r="U58">
        <v>7176611</v>
      </c>
      <c r="V58">
        <v>3155540</v>
      </c>
      <c r="X58">
        <v>7208587</v>
      </c>
      <c r="Y58">
        <v>7208659</v>
      </c>
    </row>
    <row r="59" spans="2:25" x14ac:dyDescent="0.25">
      <c r="B59">
        <v>354</v>
      </c>
      <c r="C59">
        <v>149</v>
      </c>
      <c r="D59">
        <v>135</v>
      </c>
      <c r="E59">
        <v>290</v>
      </c>
      <c r="F59">
        <v>291</v>
      </c>
      <c r="G59">
        <v>200</v>
      </c>
      <c r="H59">
        <v>334</v>
      </c>
      <c r="I59">
        <v>143</v>
      </c>
      <c r="J59">
        <v>140</v>
      </c>
      <c r="L59">
        <v>434</v>
      </c>
      <c r="M59">
        <v>630</v>
      </c>
      <c r="N59">
        <v>8301712</v>
      </c>
      <c r="O59">
        <v>7246327</v>
      </c>
      <c r="P59">
        <v>3408798</v>
      </c>
      <c r="Q59">
        <v>7847837</v>
      </c>
      <c r="R59">
        <v>8326707</v>
      </c>
      <c r="S59">
        <v>7784597</v>
      </c>
      <c r="T59">
        <v>7206745</v>
      </c>
      <c r="U59">
        <v>7176963</v>
      </c>
      <c r="V59">
        <v>3155659</v>
      </c>
      <c r="X59">
        <v>7208567</v>
      </c>
      <c r="Y59">
        <v>7208599</v>
      </c>
    </row>
    <row r="60" spans="2:25" x14ac:dyDescent="0.25">
      <c r="B60">
        <v>346</v>
      </c>
      <c r="C60">
        <v>152</v>
      </c>
      <c r="D60">
        <v>140</v>
      </c>
      <c r="E60">
        <v>284</v>
      </c>
      <c r="F60">
        <v>279</v>
      </c>
      <c r="G60">
        <v>200</v>
      </c>
      <c r="H60">
        <v>364</v>
      </c>
      <c r="I60">
        <v>123</v>
      </c>
      <c r="J60">
        <v>135</v>
      </c>
      <c r="L60">
        <v>407</v>
      </c>
      <c r="M60">
        <v>560</v>
      </c>
      <c r="N60">
        <v>8319042</v>
      </c>
      <c r="O60">
        <v>7246327</v>
      </c>
      <c r="P60">
        <v>3408798</v>
      </c>
      <c r="Q60">
        <v>7847837</v>
      </c>
      <c r="R60">
        <v>8326707</v>
      </c>
      <c r="S60">
        <v>7784815</v>
      </c>
      <c r="T60">
        <v>7206473</v>
      </c>
      <c r="U60">
        <v>7176963</v>
      </c>
      <c r="V60">
        <v>3155661</v>
      </c>
      <c r="X60">
        <v>7208603</v>
      </c>
      <c r="Y60">
        <v>7208547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605</v>
      </c>
      <c r="C64">
        <v>224</v>
      </c>
      <c r="D64">
        <v>202</v>
      </c>
      <c r="E64">
        <v>596</v>
      </c>
      <c r="F64">
        <v>480</v>
      </c>
      <c r="G64">
        <v>480</v>
      </c>
      <c r="H64">
        <v>1029</v>
      </c>
      <c r="I64">
        <v>239</v>
      </c>
      <c r="J64">
        <v>294</v>
      </c>
      <c r="L64">
        <v>1087</v>
      </c>
      <c r="M64">
        <v>1435</v>
      </c>
    </row>
    <row r="65" spans="2:13" x14ac:dyDescent="0.25">
      <c r="B65">
        <v>601</v>
      </c>
      <c r="C65">
        <v>225</v>
      </c>
      <c r="D65">
        <v>201</v>
      </c>
      <c r="E65">
        <v>595</v>
      </c>
      <c r="F65">
        <v>477</v>
      </c>
      <c r="G65">
        <v>474</v>
      </c>
      <c r="H65">
        <v>1085</v>
      </c>
      <c r="I65">
        <v>228</v>
      </c>
      <c r="J65">
        <v>287</v>
      </c>
      <c r="L65">
        <v>1087</v>
      </c>
      <c r="M65">
        <v>1183</v>
      </c>
    </row>
    <row r="66" spans="2:13" x14ac:dyDescent="0.25">
      <c r="B66">
        <v>602</v>
      </c>
      <c r="C66">
        <v>229</v>
      </c>
      <c r="D66">
        <v>190</v>
      </c>
      <c r="E66">
        <v>585</v>
      </c>
      <c r="F66">
        <v>485</v>
      </c>
      <c r="G66">
        <v>483</v>
      </c>
      <c r="H66">
        <v>1066</v>
      </c>
      <c r="I66">
        <v>218</v>
      </c>
      <c r="J66">
        <v>280</v>
      </c>
      <c r="L66">
        <v>1115</v>
      </c>
      <c r="M66">
        <v>1205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AVERAGE(Table82[Newtonsoft])</f>
        <v>662</v>
      </c>
      <c r="D38" s="2">
        <f>AVERAGE(Table82[Revenj])</f>
        <v>693.66666666666663</v>
      </c>
      <c r="E38" s="2">
        <f>AVERAGE(Table82[ProtoBuf (binary reference)])</f>
        <v>699.33333333333337</v>
      </c>
      <c r="F38" s="2">
        <f>AVERAGE(Table82[Service Stack])</f>
        <v>667.33333333333337</v>
      </c>
      <c r="G38" s="2">
        <f>AVERAGE(Table82[Jil])</f>
        <v>637.33333333333337</v>
      </c>
      <c r="H38" s="2">
        <f>AVERAGE(Table82[NetJSON])</f>
        <v>665</v>
      </c>
      <c r="I38" s="2">
        <f>AVERAGE(Table82[Jackson])</f>
        <v>294.66666666666669</v>
      </c>
      <c r="J38" s="2">
        <f>AVERAGE(Table82[DSL-JSON])</f>
        <v>236.66666666666666</v>
      </c>
      <c r="K38" s="2">
        <f>AVERAGE(Table82[Kryo (binary reference)])</f>
        <v>288</v>
      </c>
      <c r="L38" s="2" t="e">
        <f>AVERAGE(Table82[Boon])</f>
        <v>#DIV/0!</v>
      </c>
      <c r="M38" s="2">
        <f>AVERAGE(Table82[Alibaba])</f>
        <v>297</v>
      </c>
      <c r="N38" s="2">
        <f>AVERAGE(Table82[Gson])</f>
        <v>266.33333333333331</v>
      </c>
      <c r="O38" s="2"/>
      <c r="P38" s="2"/>
      <c r="Q38" s="2"/>
    </row>
    <row r="39" spans="2:17" x14ac:dyDescent="0.25">
      <c r="B39" t="s">
        <v>0</v>
      </c>
      <c r="C39" s="2">
        <f>AVERAGE(Table81[Newtonsoft]) - C38</f>
        <v>2353</v>
      </c>
      <c r="D39" s="2">
        <f>AVERAGE(Table81[Revenj]) - D38</f>
        <v>420.33333333333337</v>
      </c>
      <c r="E39" s="2">
        <f>AVERAGE(Table81[ProtoBuf (binary reference)]) - E38</f>
        <v>206.66666666666663</v>
      </c>
      <c r="F39" s="2">
        <f>AVERAGE(Table81[Service Stack]) - F38</f>
        <v>1765.333333333333</v>
      </c>
      <c r="G39" s="2">
        <f>AVERAGE(Table81[Jil]) - G38</f>
        <v>1458.333333333333</v>
      </c>
      <c r="H39" s="2">
        <f>AVERAGE(Table81[NetJSON]) - H38</f>
        <v>909</v>
      </c>
      <c r="I39" s="2">
        <f>AVERAGE(Table81[Jackson]) - I38</f>
        <v>850.66666666666652</v>
      </c>
      <c r="J39" s="2">
        <f>AVERAGE(Table81[DSL-JSON]) - J38</f>
        <v>236.00000000000003</v>
      </c>
      <c r="K39" s="2">
        <f>AVERAGE(Table81[Kryo (binary reference)]) - K38</f>
        <v>329.33333333333337</v>
      </c>
      <c r="L39" s="2" t="e">
        <f>AVERAGE(Table81[Boon]) - L38</f>
        <v>#DIV/0!</v>
      </c>
      <c r="M39" s="2">
        <f>AVERAGE(Table81[Alibaba]) - M38</f>
        <v>2599</v>
      </c>
      <c r="N39" s="2">
        <f>AVERAGE(Table81[Gson]) - N38</f>
        <v>3184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2433.666666666667</v>
      </c>
      <c r="D40" s="2">
        <f t="shared" si="0"/>
        <v>648.33333333333337</v>
      </c>
      <c r="E40" s="2">
        <f t="shared" ref="E40" si="1">E41 - E39 - E38</f>
        <v>585.00000000000011</v>
      </c>
      <c r="F40" s="2">
        <f t="shared" si="0"/>
        <v>2799.6666666666665</v>
      </c>
      <c r="G40" s="2">
        <f t="shared" si="0"/>
        <v>1405</v>
      </c>
      <c r="H40" s="2">
        <f t="shared" si="0"/>
        <v>2831.333333333333</v>
      </c>
      <c r="I40" s="2">
        <f t="shared" ref="I40" si="2">I41 - I39 - I38</f>
        <v>1991.6666666666667</v>
      </c>
      <c r="J40" s="2">
        <f t="shared" ref="J40" si="3">J41 - J39 - J38</f>
        <v>432.66666666666674</v>
      </c>
      <c r="K40" s="2">
        <f t="shared" ref="K40:L40" si="4">K41 - K39 - K38</f>
        <v>292</v>
      </c>
      <c r="L40" s="2" t="e">
        <f t="shared" si="4"/>
        <v>#DIV/0!</v>
      </c>
      <c r="M40" s="2">
        <f t="shared" ref="M40" si="5">M41 - M39 - M38</f>
        <v>2036.333333333333</v>
      </c>
      <c r="N40" s="2">
        <f t="shared" ref="N40" si="6">N41 - N39 - N38</f>
        <v>2478.9999999999995</v>
      </c>
      <c r="O40" s="2"/>
      <c r="P40" s="2"/>
      <c r="Q40" s="2"/>
    </row>
    <row r="41" spans="2:17" x14ac:dyDescent="0.25">
      <c r="B41" t="s">
        <v>23</v>
      </c>
      <c r="C41" s="2">
        <f>AVERAGE(Table83[Newtonsoft])</f>
        <v>5448.666666666667</v>
      </c>
      <c r="D41" s="2">
        <f>AVERAGE(Table83[Revenj])</f>
        <v>1762.3333333333333</v>
      </c>
      <c r="E41" s="2">
        <f>AVERAGE(Table83[ProtoBuf (binary reference)])</f>
        <v>1491</v>
      </c>
      <c r="F41" s="2">
        <f>AVERAGE(Table83[Service Stack])</f>
        <v>5232.333333333333</v>
      </c>
      <c r="G41" s="2">
        <f>AVERAGE(Table83[Jil])</f>
        <v>3500.6666666666665</v>
      </c>
      <c r="H41" s="2">
        <f>AVERAGE(Table83[NetJSON])</f>
        <v>4405.333333333333</v>
      </c>
      <c r="I41" s="2">
        <f>AVERAGE(Table83[Jackson])</f>
        <v>3137</v>
      </c>
      <c r="J41" s="2">
        <f>AVERAGE(Table83[DSL-JSON])</f>
        <v>905.33333333333337</v>
      </c>
      <c r="K41" s="2">
        <f>AVERAGE(Table83[Kryo (binary reference)])</f>
        <v>909.33333333333337</v>
      </c>
      <c r="L41" s="2" t="e">
        <f>AVERAGE(Table83[Boon])</f>
        <v>#DIV/0!</v>
      </c>
      <c r="M41" s="2">
        <f>AVERAGE(Table83[Alibaba])</f>
        <v>4932.333333333333</v>
      </c>
      <c r="N41" s="2">
        <f>AVERAGE(Table83[Gson])</f>
        <v>5929.333333333333</v>
      </c>
      <c r="O41" s="2"/>
      <c r="P41" s="2"/>
      <c r="Q41" s="2"/>
    </row>
    <row r="42" spans="2:17" x14ac:dyDescent="0.25">
      <c r="B42" t="s">
        <v>4</v>
      </c>
      <c r="C42" s="3">
        <f>AVERAGE(Table81[Newtonsoft (size)])</f>
        <v>84221352</v>
      </c>
      <c r="D42" s="3">
        <f>AVERAGE(Table81[Revenj (size)])</f>
        <v>73494967</v>
      </c>
      <c r="E42" s="3">
        <f>AVERAGE(Table81[ProtoBuf (size)])</f>
        <v>35094918</v>
      </c>
      <c r="F42" s="3">
        <f>AVERAGE(Table81[Service Stack (size)])</f>
        <v>79509317</v>
      </c>
      <c r="G42" s="2">
        <f>AVERAGE(Table81[Jil (size)])</f>
        <v>84298017</v>
      </c>
      <c r="H42" s="2">
        <f>AVERAGE(Table81[NetJSON (size)])</f>
        <v>78878068.333333328</v>
      </c>
      <c r="I42" s="2">
        <f>AVERAGE(Table81[Jackson (size)])</f>
        <v>73098277</v>
      </c>
      <c r="J42" s="2">
        <f>AVERAGE(Table81[DSL-JSON (size)])</f>
        <v>72797293.666666672</v>
      </c>
      <c r="K42" s="2">
        <f>AVERAGE(Table81[Kryo (size)])</f>
        <v>32561227</v>
      </c>
      <c r="L42" s="2" t="e">
        <f>AVERAGE(Table81[Boon (size)])</f>
        <v>#DIV/0!</v>
      </c>
      <c r="M42" s="2">
        <f>AVERAGE(Table81[Alibaba (size)])</f>
        <v>73116666</v>
      </c>
      <c r="N42" s="2">
        <f>AVERAGE(Table81[Gson (size)])</f>
        <v>73117190.333333328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DEVSQ(Table81[Newtonsoft])</f>
        <v>186</v>
      </c>
      <c r="D47" s="2">
        <f>DEVSQ(Table81[Revenj])</f>
        <v>258</v>
      </c>
      <c r="E47" s="2">
        <f>DEVSQ(Table81[ProtoBuf (binary reference)])</f>
        <v>278</v>
      </c>
      <c r="F47" s="2">
        <f>DEVSQ(Table81[Service Stack])</f>
        <v>1020.6666666666666</v>
      </c>
      <c r="G47" s="2">
        <f>DEVSQ(Table81[Jil])</f>
        <v>192.66666666666663</v>
      </c>
      <c r="H47" s="2">
        <f>DEVSQ(Table81[NetJSON])</f>
        <v>4878</v>
      </c>
      <c r="I47" s="2">
        <f>DEVSQ(Table81[Jackson])</f>
        <v>6092.6666666666661</v>
      </c>
      <c r="J47" s="2">
        <f>DEVSQ(Table81[DSL-JSON])</f>
        <v>184.66666666666666</v>
      </c>
      <c r="K47" s="2">
        <f>DEVSQ(Table81[Kryo (binary reference)])</f>
        <v>3372.6666666666665</v>
      </c>
      <c r="L47" s="2" t="e">
        <f>DEVSQ(Table81[Boon])</f>
        <v>#NUM!</v>
      </c>
      <c r="M47" s="2">
        <f>DEVSQ(Table81[Alibaba])</f>
        <v>254634</v>
      </c>
      <c r="N47" s="2">
        <f>DEVSQ(Table81[Gson])</f>
        <v>700284.66666666674</v>
      </c>
      <c r="O47" s="2"/>
      <c r="P47" s="2"/>
      <c r="Q47" s="2"/>
    </row>
    <row r="48" spans="2:17" x14ac:dyDescent="0.25">
      <c r="B48" t="s">
        <v>23</v>
      </c>
      <c r="C48" s="2">
        <f>DEVSQ(Table83[Newtonsoft])</f>
        <v>5716.6666666666661</v>
      </c>
      <c r="D48" s="2">
        <f>DEVSQ(Table83[Revenj])</f>
        <v>2834.666666666667</v>
      </c>
      <c r="E48" s="2">
        <f>DEVSQ(Table83[ProtoBuf (binary reference)])</f>
        <v>30698</v>
      </c>
      <c r="F48" s="2">
        <f>DEVSQ(Table83[Service Stack])</f>
        <v>3704.6666666666665</v>
      </c>
      <c r="G48" s="2">
        <f>DEVSQ(Table83[Jil])</f>
        <v>2594.666666666667</v>
      </c>
      <c r="H48" s="2">
        <f>DEVSQ(Table83[NetJSON])</f>
        <v>500.66666666666669</v>
      </c>
      <c r="I48" s="2">
        <f>DEVSQ(Table83[Jackson])</f>
        <v>9314</v>
      </c>
      <c r="J48" s="2">
        <f>DEVSQ(Table83[DSL-JSON])</f>
        <v>572.66666666666674</v>
      </c>
      <c r="K48" s="2">
        <f>DEVSQ(Table83[Kryo (binary reference)])</f>
        <v>2780.6666666666665</v>
      </c>
      <c r="L48" s="2" t="e">
        <f>DEVSQ(Table83[Boon])</f>
        <v>#NUM!</v>
      </c>
      <c r="M48" s="2">
        <f>DEVSQ(Table83[Alibaba])</f>
        <v>791312.66666666663</v>
      </c>
      <c r="N48" s="2">
        <f>DEVSQ(Table83[Gson])</f>
        <v>709170.66666666663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646</v>
      </c>
      <c r="C52">
        <v>698</v>
      </c>
      <c r="D52">
        <v>699</v>
      </c>
      <c r="E52">
        <v>694</v>
      </c>
      <c r="F52">
        <v>695</v>
      </c>
      <c r="G52">
        <v>609</v>
      </c>
      <c r="H52">
        <v>304</v>
      </c>
      <c r="I52">
        <v>209</v>
      </c>
      <c r="J52">
        <v>288</v>
      </c>
      <c r="L52">
        <v>316</v>
      </c>
      <c r="M52">
        <v>277</v>
      </c>
    </row>
    <row r="53" spans="2:25" x14ac:dyDescent="0.25">
      <c r="B53">
        <v>708</v>
      </c>
      <c r="C53">
        <v>681</v>
      </c>
      <c r="D53">
        <v>689</v>
      </c>
      <c r="E53">
        <v>697</v>
      </c>
      <c r="F53">
        <v>610</v>
      </c>
      <c r="G53">
        <v>697</v>
      </c>
      <c r="H53">
        <v>298</v>
      </c>
      <c r="I53">
        <v>206</v>
      </c>
      <c r="J53">
        <v>289</v>
      </c>
      <c r="L53">
        <v>266</v>
      </c>
      <c r="M53">
        <v>263</v>
      </c>
    </row>
    <row r="54" spans="2:25" x14ac:dyDescent="0.25">
      <c r="B54">
        <v>632</v>
      </c>
      <c r="C54">
        <v>702</v>
      </c>
      <c r="D54">
        <v>710</v>
      </c>
      <c r="E54">
        <v>611</v>
      </c>
      <c r="F54">
        <v>607</v>
      </c>
      <c r="G54">
        <v>689</v>
      </c>
      <c r="H54">
        <v>282</v>
      </c>
      <c r="I54">
        <v>295</v>
      </c>
      <c r="J54">
        <v>287</v>
      </c>
      <c r="L54">
        <v>309</v>
      </c>
      <c r="M54">
        <v>259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3008</v>
      </c>
      <c r="C58">
        <v>1106</v>
      </c>
      <c r="D58">
        <v>919</v>
      </c>
      <c r="E58">
        <v>2454</v>
      </c>
      <c r="F58">
        <v>2107</v>
      </c>
      <c r="G58">
        <v>1544</v>
      </c>
      <c r="H58">
        <v>1116</v>
      </c>
      <c r="I58">
        <v>483</v>
      </c>
      <c r="J58">
        <v>620</v>
      </c>
      <c r="L58">
        <v>2484</v>
      </c>
      <c r="M58">
        <v>3150</v>
      </c>
      <c r="N58">
        <v>84221352</v>
      </c>
      <c r="O58">
        <v>73494967</v>
      </c>
      <c r="P58">
        <v>35094918</v>
      </c>
      <c r="Q58">
        <v>79509317</v>
      </c>
      <c r="R58">
        <v>84298017</v>
      </c>
      <c r="S58">
        <v>78877715</v>
      </c>
      <c r="T58">
        <v>73096837</v>
      </c>
      <c r="U58">
        <v>72798907</v>
      </c>
      <c r="V58">
        <v>32561857</v>
      </c>
      <c r="X58">
        <v>73117377</v>
      </c>
      <c r="Y58">
        <v>73117457</v>
      </c>
    </row>
    <row r="59" spans="2:25" x14ac:dyDescent="0.25">
      <c r="B59">
        <v>3026</v>
      </c>
      <c r="C59">
        <v>1127</v>
      </c>
      <c r="D59">
        <v>903</v>
      </c>
      <c r="E59">
        <v>2435</v>
      </c>
      <c r="F59">
        <v>2090</v>
      </c>
      <c r="G59">
        <v>1631</v>
      </c>
      <c r="H59">
        <v>1111</v>
      </c>
      <c r="I59">
        <v>464</v>
      </c>
      <c r="J59">
        <v>575</v>
      </c>
      <c r="L59">
        <v>3105</v>
      </c>
      <c r="M59">
        <v>3069</v>
      </c>
      <c r="N59">
        <v>84221352</v>
      </c>
      <c r="O59">
        <v>73494967</v>
      </c>
      <c r="P59">
        <v>35094918</v>
      </c>
      <c r="Q59">
        <v>79509317</v>
      </c>
      <c r="R59">
        <v>84298017</v>
      </c>
      <c r="S59">
        <v>78878775</v>
      </c>
      <c r="T59">
        <v>73097917</v>
      </c>
      <c r="U59">
        <v>72795607</v>
      </c>
      <c r="V59">
        <v>32562637</v>
      </c>
      <c r="X59">
        <v>73116284</v>
      </c>
      <c r="Y59">
        <v>73116817</v>
      </c>
    </row>
    <row r="60" spans="2:25" x14ac:dyDescent="0.25">
      <c r="B60">
        <v>3011</v>
      </c>
      <c r="C60">
        <v>1109</v>
      </c>
      <c r="D60">
        <v>896</v>
      </c>
      <c r="E60">
        <v>2409</v>
      </c>
      <c r="F60">
        <v>2090</v>
      </c>
      <c r="G60">
        <v>1547</v>
      </c>
      <c r="H60">
        <v>1209</v>
      </c>
      <c r="I60">
        <v>471</v>
      </c>
      <c r="J60">
        <v>657</v>
      </c>
      <c r="L60">
        <v>3099</v>
      </c>
      <c r="M60">
        <v>4132</v>
      </c>
      <c r="N60">
        <v>84221352</v>
      </c>
      <c r="O60">
        <v>73494967</v>
      </c>
      <c r="P60">
        <v>35094918</v>
      </c>
      <c r="Q60">
        <v>79509317</v>
      </c>
      <c r="R60">
        <v>84298017</v>
      </c>
      <c r="S60">
        <v>78877715</v>
      </c>
      <c r="T60">
        <v>73100077</v>
      </c>
      <c r="U60">
        <v>72797367</v>
      </c>
      <c r="V60">
        <v>32559187</v>
      </c>
      <c r="X60">
        <v>73116337</v>
      </c>
      <c r="Y60">
        <v>73117297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5482</v>
      </c>
      <c r="C64">
        <v>1719</v>
      </c>
      <c r="D64">
        <v>1634</v>
      </c>
      <c r="E64">
        <v>5282</v>
      </c>
      <c r="F64">
        <v>3484</v>
      </c>
      <c r="G64">
        <v>4419</v>
      </c>
      <c r="H64">
        <v>3214</v>
      </c>
      <c r="I64">
        <v>891</v>
      </c>
      <c r="J64">
        <v>875</v>
      </c>
      <c r="L64">
        <v>4208</v>
      </c>
      <c r="M64">
        <v>6538</v>
      </c>
    </row>
    <row r="65" spans="2:13" x14ac:dyDescent="0.25">
      <c r="B65">
        <v>5387</v>
      </c>
      <c r="C65">
        <v>1787</v>
      </c>
      <c r="D65">
        <v>1423</v>
      </c>
      <c r="E65">
        <v>5206</v>
      </c>
      <c r="F65">
        <v>3542</v>
      </c>
      <c r="G65">
        <v>4388</v>
      </c>
      <c r="H65">
        <v>3084</v>
      </c>
      <c r="I65">
        <v>901</v>
      </c>
      <c r="J65">
        <v>904</v>
      </c>
      <c r="L65">
        <v>5341</v>
      </c>
      <c r="M65">
        <v>5348</v>
      </c>
    </row>
    <row r="66" spans="2:13" x14ac:dyDescent="0.25">
      <c r="B66">
        <v>5477</v>
      </c>
      <c r="C66">
        <v>1781</v>
      </c>
      <c r="D66">
        <v>1416</v>
      </c>
      <c r="E66">
        <v>5209</v>
      </c>
      <c r="F66">
        <v>3476</v>
      </c>
      <c r="G66">
        <v>4409</v>
      </c>
      <c r="H66">
        <v>3113</v>
      </c>
      <c r="I66">
        <v>924</v>
      </c>
      <c r="J66">
        <v>949</v>
      </c>
      <c r="L66">
        <v>5248</v>
      </c>
      <c r="M66">
        <v>5902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AVERAGE(Table87[Newtonsoft])</f>
        <v>6525.666666666667</v>
      </c>
      <c r="D38" s="2">
        <f>AVERAGE(Table87[Revenj])</f>
        <v>6492</v>
      </c>
      <c r="E38" s="2">
        <f>AVERAGE(Table87[ProtoBuf (binary reference)])</f>
        <v>6811.666666666667</v>
      </c>
      <c r="F38" s="2">
        <f>AVERAGE(Table87[Service Stack])</f>
        <v>6311.666666666667</v>
      </c>
      <c r="G38" s="2">
        <f>AVERAGE(Table87[Jil])</f>
        <v>6851.333333333333</v>
      </c>
      <c r="H38" s="2">
        <f>AVERAGE(Table87[NetJSON])</f>
        <v>6664.333333333333</v>
      </c>
      <c r="I38" s="2">
        <f>AVERAGE(Table87[Jackson])</f>
        <v>1144.3333333333333</v>
      </c>
      <c r="J38" s="2">
        <f>AVERAGE(Table87[DSL-JSON])</f>
        <v>1209.6666666666667</v>
      </c>
      <c r="K38" s="2">
        <f>AVERAGE(Table87[Kryo (binary reference)])</f>
        <v>1097.6666666666667</v>
      </c>
      <c r="L38" s="2" t="e">
        <f>AVERAGE(Table87[Boon])</f>
        <v>#DIV/0!</v>
      </c>
      <c r="M38" s="2">
        <f>AVERAGE(Table87[Alibaba])</f>
        <v>1142.3333333333333</v>
      </c>
      <c r="N38" s="2">
        <f>AVERAGE(Table87[Gson])</f>
        <v>1084</v>
      </c>
      <c r="O38" s="2"/>
      <c r="P38" s="2"/>
      <c r="Q38" s="2"/>
    </row>
    <row r="39" spans="2:17" x14ac:dyDescent="0.25">
      <c r="B39" t="s">
        <v>0</v>
      </c>
      <c r="C39" s="2">
        <f>AVERAGE(Table86[Newtonsoft]) - C38</f>
        <v>23207</v>
      </c>
      <c r="D39" s="2">
        <f>AVERAGE(Table86[Revenj]) - D38</f>
        <v>4234.3333333333339</v>
      </c>
      <c r="E39" s="2">
        <f>AVERAGE(Table86[ProtoBuf (binary reference)]) - E38</f>
        <v>2334.666666666667</v>
      </c>
      <c r="F39" s="2">
        <f>AVERAGE(Table86[Service Stack]) - F38</f>
        <v>17476</v>
      </c>
      <c r="G39" s="2">
        <f>AVERAGE(Table86[Jil]) - G38</f>
        <v>14336</v>
      </c>
      <c r="H39" s="2">
        <f>AVERAGE(Table86[NetJSON]) - H38</f>
        <v>8649.3333333333321</v>
      </c>
      <c r="I39" s="2">
        <f>AVERAGE(Table86[Jackson]) - I38</f>
        <v>4631.3333333333339</v>
      </c>
      <c r="J39" s="2">
        <f>AVERAGE(Table86[DSL-JSON]) - J38</f>
        <v>949.99999999999977</v>
      </c>
      <c r="K39" s="2">
        <f>AVERAGE(Table86[Kryo (binary reference)]) - K38</f>
        <v>1215.9999999999998</v>
      </c>
      <c r="L39" s="2" t="e">
        <f>AVERAGE(Table86[Boon]) - L38</f>
        <v>#DIV/0!</v>
      </c>
      <c r="M39" s="2">
        <f>AVERAGE(Table86[Alibaba]) - M38</f>
        <v>9065</v>
      </c>
      <c r="N39" s="2">
        <f>AVERAGE(Table86[Gson]) - N38</f>
        <v>19358.666666666668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23864.999999999996</v>
      </c>
      <c r="D40" s="2">
        <f t="shared" si="0"/>
        <v>6609.9999999999982</v>
      </c>
      <c r="E40" s="2">
        <f t="shared" ref="E40" si="1">E41 - E39 - E38</f>
        <v>5785.0000000000009</v>
      </c>
      <c r="F40" s="2">
        <f t="shared" si="0"/>
        <v>27739.666666666668</v>
      </c>
      <c r="G40" s="2">
        <f t="shared" si="0"/>
        <v>12685.333333333332</v>
      </c>
      <c r="H40" s="2">
        <f t="shared" si="0"/>
        <v>27348.999999999996</v>
      </c>
      <c r="I40" s="2">
        <f t="shared" ref="I40" si="2">I41 - I39 - I38</f>
        <v>13210.333333333332</v>
      </c>
      <c r="J40" s="2">
        <f t="shared" ref="J40" si="3">J41 - J39 - J38</f>
        <v>2032.0000000000002</v>
      </c>
      <c r="K40" s="2">
        <f t="shared" ref="K40:L40" si="4">K41 - K39 - K38</f>
        <v>2018.3333333333333</v>
      </c>
      <c r="L40" s="2" t="e">
        <f t="shared" si="4"/>
        <v>#DIV/0!</v>
      </c>
      <c r="M40" s="2">
        <f t="shared" ref="M40" si="5">M41 - M39 - M38</f>
        <v>7626.3333333333348</v>
      </c>
      <c r="N40" s="2">
        <f t="shared" ref="N40" si="6">N41 - N39 - N38</f>
        <v>12751.333333333332</v>
      </c>
      <c r="O40" s="2"/>
      <c r="P40" s="2"/>
      <c r="Q40" s="2"/>
    </row>
    <row r="41" spans="2:17" x14ac:dyDescent="0.25">
      <c r="B41" t="s">
        <v>23</v>
      </c>
      <c r="C41" s="2">
        <f>AVERAGE(Table88[Newtonsoft])</f>
        <v>53597.666666666664</v>
      </c>
      <c r="D41" s="2">
        <f>AVERAGE(Table88[Revenj])</f>
        <v>17336.333333333332</v>
      </c>
      <c r="E41" s="2">
        <f>AVERAGE(Table88[ProtoBuf (binary reference)])</f>
        <v>14931.333333333334</v>
      </c>
      <c r="F41" s="2">
        <f>AVERAGE(Table88[Service Stack])</f>
        <v>51527.333333333336</v>
      </c>
      <c r="G41" s="2">
        <f>AVERAGE(Table88[Jil])</f>
        <v>33872.666666666664</v>
      </c>
      <c r="H41" s="2">
        <f>AVERAGE(Table88[NetJSON])</f>
        <v>42662.666666666664</v>
      </c>
      <c r="I41" s="2">
        <f>AVERAGE(Table88[Jackson])</f>
        <v>18986</v>
      </c>
      <c r="J41" s="2">
        <f>AVERAGE(Table88[DSL-JSON])</f>
        <v>4191.666666666667</v>
      </c>
      <c r="K41" s="2">
        <f>AVERAGE(Table88[Kryo (binary reference)])</f>
        <v>4332</v>
      </c>
      <c r="L41" s="2" t="e">
        <f>AVERAGE(Table88[Boon])</f>
        <v>#DIV/0!</v>
      </c>
      <c r="M41" s="2">
        <f>AVERAGE(Table88[Alibaba])</f>
        <v>17833.666666666668</v>
      </c>
      <c r="N41" s="2">
        <f>AVERAGE(Table88[Gson])</f>
        <v>33194</v>
      </c>
      <c r="O41" s="2"/>
      <c r="P41" s="2"/>
      <c r="Q41" s="2"/>
    </row>
    <row r="42" spans="2:17" x14ac:dyDescent="0.25">
      <c r="B42" t="s">
        <v>4</v>
      </c>
      <c r="C42" s="3">
        <f>AVERAGE(Table86[Newtonsoft (size)])</f>
        <v>852604452</v>
      </c>
      <c r="D42" s="3">
        <f>AVERAGE(Table86[Revenj (size)])</f>
        <v>744186033.66666663</v>
      </c>
      <c r="E42" s="3">
        <f>AVERAGE(Table86[ProtoBuf (size)])</f>
        <v>361164198</v>
      </c>
      <c r="F42" s="3">
        <f>AVERAGE(Table86[Service Stack (size)])</f>
        <v>805550803</v>
      </c>
      <c r="G42" s="2">
        <f>AVERAGE(Table86[Jil (size)])</f>
        <v>853371117</v>
      </c>
      <c r="H42" s="2">
        <f>AVERAGE(Table86[NetJSON (size)])</f>
        <v>799187708.33333337</v>
      </c>
      <c r="I42" s="2">
        <f>AVERAGE(Table86[Jackson (size)])</f>
        <v>741383650.33333337</v>
      </c>
      <c r="J42" s="2">
        <f>AVERAGE(Table86[DSL-JSON (size)])</f>
        <v>738376367</v>
      </c>
      <c r="K42" s="2">
        <f>AVERAGE(Table86[Kryo (size)])</f>
        <v>335937139</v>
      </c>
      <c r="L42" s="2" t="e">
        <f>AVERAGE(Table86[Boon (size)])</f>
        <v>#DIV/0!</v>
      </c>
      <c r="M42" s="2">
        <f>AVERAGE(Table86[Alibaba (size)])</f>
        <v>741560485.66666663</v>
      </c>
      <c r="N42" s="2">
        <f>AVERAGE(Table86[Gson (size)])</f>
        <v>741557392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DEVSQ(Table86[Newtonsoft])</f>
        <v>504530.66666666663</v>
      </c>
      <c r="D47" s="2">
        <f>DEVSQ(Table86[Revenj])</f>
        <v>240548.66666666669</v>
      </c>
      <c r="E47" s="2">
        <f>DEVSQ(Table86[ProtoBuf (binary reference)])</f>
        <v>448034.66666666663</v>
      </c>
      <c r="F47" s="2">
        <f>DEVSQ(Table86[Service Stack])</f>
        <v>53794.666666666664</v>
      </c>
      <c r="G47" s="2">
        <f>DEVSQ(Table86[Jil])</f>
        <v>584016.66666666674</v>
      </c>
      <c r="H47" s="2">
        <f>DEVSQ(Table86[NetJSON])</f>
        <v>301208.66666666669</v>
      </c>
      <c r="I47" s="2">
        <f>DEVSQ(Table86[Jackson])</f>
        <v>3208.6666666666665</v>
      </c>
      <c r="J47" s="2">
        <f>DEVSQ(Table86[DSL-JSON])</f>
        <v>4512.666666666667</v>
      </c>
      <c r="K47" s="2">
        <f>DEVSQ(Table86[Kryo (binary reference)])</f>
        <v>10060.666666666666</v>
      </c>
      <c r="L47" s="2" t="e">
        <f>DEVSQ(Table86[Boon])</f>
        <v>#NUM!</v>
      </c>
      <c r="M47" s="2">
        <f>DEVSQ(Table86[Alibaba])</f>
        <v>3041440.666666667</v>
      </c>
      <c r="N47" s="2">
        <f>DEVSQ(Table86[Gson])</f>
        <v>5578668.666666666</v>
      </c>
      <c r="O47" s="2"/>
      <c r="P47" s="2"/>
      <c r="Q47" s="2"/>
    </row>
    <row r="48" spans="2:17" x14ac:dyDescent="0.25">
      <c r="B48" t="s">
        <v>23</v>
      </c>
      <c r="C48" s="2">
        <f>DEVSQ(Table88[Newtonsoft])</f>
        <v>583474.66666666674</v>
      </c>
      <c r="D48" s="2">
        <f>DEVSQ(Table88[Revenj])</f>
        <v>205020.66666666666</v>
      </c>
      <c r="E48" s="2">
        <f>DEVSQ(Table88[ProtoBuf (binary reference)])</f>
        <v>542994.66666666663</v>
      </c>
      <c r="F48" s="2">
        <f>DEVSQ(Table88[Service Stack])</f>
        <v>299744.66666666669</v>
      </c>
      <c r="G48" s="2">
        <f>DEVSQ(Table88[Jil])</f>
        <v>92178.666666666657</v>
      </c>
      <c r="H48" s="2">
        <f>DEVSQ(Table88[NetJSON])</f>
        <v>194888.66666666666</v>
      </c>
      <c r="I48" s="2">
        <f>DEVSQ(Table88[Jackson])</f>
        <v>763238</v>
      </c>
      <c r="J48" s="2">
        <f>DEVSQ(Table88[DSL-JSON])</f>
        <v>92212.666666666672</v>
      </c>
      <c r="K48" s="2">
        <f>DEVSQ(Table88[Kryo (binary reference)])</f>
        <v>65634</v>
      </c>
      <c r="L48" s="2" t="e">
        <f>DEVSQ(Table88[Boon])</f>
        <v>#NUM!</v>
      </c>
      <c r="M48" s="2">
        <f>DEVSQ(Table88[Alibaba])</f>
        <v>4966792.666666666</v>
      </c>
      <c r="N48" s="2">
        <f>DEVSQ(Table88[Gson])</f>
        <v>17514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6213</v>
      </c>
      <c r="C52">
        <v>6385</v>
      </c>
      <c r="D52">
        <v>7020</v>
      </c>
      <c r="E52">
        <v>6048</v>
      </c>
      <c r="F52">
        <v>6955</v>
      </c>
      <c r="G52">
        <v>6140</v>
      </c>
      <c r="H52">
        <v>1143</v>
      </c>
      <c r="I52">
        <v>1134</v>
      </c>
      <c r="J52">
        <v>1111</v>
      </c>
      <c r="L52">
        <v>1174</v>
      </c>
      <c r="M52">
        <v>1086</v>
      </c>
    </row>
    <row r="53" spans="2:25" x14ac:dyDescent="0.25">
      <c r="B53">
        <v>6225</v>
      </c>
      <c r="C53">
        <v>6871</v>
      </c>
      <c r="D53">
        <v>7188</v>
      </c>
      <c r="E53">
        <v>6104</v>
      </c>
      <c r="F53">
        <v>6777</v>
      </c>
      <c r="G53">
        <v>6825</v>
      </c>
      <c r="H53">
        <v>1160</v>
      </c>
      <c r="I53">
        <v>1275</v>
      </c>
      <c r="J53">
        <v>1125</v>
      </c>
      <c r="L53">
        <v>1165</v>
      </c>
      <c r="M53">
        <v>1065</v>
      </c>
    </row>
    <row r="54" spans="2:25" x14ac:dyDescent="0.25">
      <c r="B54">
        <v>7139</v>
      </c>
      <c r="C54">
        <v>6220</v>
      </c>
      <c r="D54">
        <v>6227</v>
      </c>
      <c r="E54">
        <v>6783</v>
      </c>
      <c r="F54">
        <v>6822</v>
      </c>
      <c r="G54">
        <v>7028</v>
      </c>
      <c r="H54">
        <v>1130</v>
      </c>
      <c r="I54">
        <v>1220</v>
      </c>
      <c r="J54">
        <v>1057</v>
      </c>
      <c r="L54">
        <v>1088</v>
      </c>
      <c r="M54">
        <v>1101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29240</v>
      </c>
      <c r="C58">
        <v>10334</v>
      </c>
      <c r="D58">
        <v>8835</v>
      </c>
      <c r="E58">
        <v>23951</v>
      </c>
      <c r="F58">
        <v>21739</v>
      </c>
      <c r="G58">
        <v>14868</v>
      </c>
      <c r="H58">
        <v>5768</v>
      </c>
      <c r="I58">
        <v>2126</v>
      </c>
      <c r="J58">
        <v>2236</v>
      </c>
      <c r="L58">
        <v>9520</v>
      </c>
      <c r="M58">
        <v>22192</v>
      </c>
      <c r="N58">
        <v>852604452</v>
      </c>
      <c r="O58">
        <v>745341367</v>
      </c>
      <c r="P58">
        <v>361164198</v>
      </c>
      <c r="Q58">
        <v>805550803</v>
      </c>
      <c r="R58">
        <v>853371117</v>
      </c>
      <c r="S58">
        <v>799182975</v>
      </c>
      <c r="T58">
        <v>741385517</v>
      </c>
      <c r="U58">
        <v>738404967</v>
      </c>
      <c r="V58">
        <v>335912449</v>
      </c>
      <c r="X58">
        <v>741558997</v>
      </c>
      <c r="Y58">
        <v>741559403</v>
      </c>
    </row>
    <row r="59" spans="2:25" x14ac:dyDescent="0.25">
      <c r="B59">
        <v>29714</v>
      </c>
      <c r="C59">
        <v>10992</v>
      </c>
      <c r="D59">
        <v>8913</v>
      </c>
      <c r="E59">
        <v>23623</v>
      </c>
      <c r="F59">
        <v>21164</v>
      </c>
      <c r="G59">
        <v>15577</v>
      </c>
      <c r="H59">
        <v>5740</v>
      </c>
      <c r="I59">
        <v>2214</v>
      </c>
      <c r="J59">
        <v>2375</v>
      </c>
      <c r="L59">
        <v>9471</v>
      </c>
      <c r="M59">
        <v>20271</v>
      </c>
      <c r="N59">
        <v>852604452</v>
      </c>
      <c r="O59">
        <v>741875367</v>
      </c>
      <c r="P59">
        <v>361164198</v>
      </c>
      <c r="Q59">
        <v>805550803</v>
      </c>
      <c r="R59">
        <v>853371117</v>
      </c>
      <c r="S59">
        <v>799185375</v>
      </c>
      <c r="T59">
        <v>741390317</v>
      </c>
      <c r="U59">
        <v>738334567</v>
      </c>
      <c r="V59">
        <v>335943551</v>
      </c>
      <c r="X59">
        <v>741559809</v>
      </c>
      <c r="Y59">
        <v>741559460</v>
      </c>
    </row>
    <row r="60" spans="2:25" x14ac:dyDescent="0.25">
      <c r="B60">
        <v>30244</v>
      </c>
      <c r="C60">
        <v>10853</v>
      </c>
      <c r="D60">
        <v>9691</v>
      </c>
      <c r="E60">
        <v>23789</v>
      </c>
      <c r="F60">
        <v>20659</v>
      </c>
      <c r="G60">
        <v>15496</v>
      </c>
      <c r="H60">
        <v>5819</v>
      </c>
      <c r="I60">
        <v>2139</v>
      </c>
      <c r="J60">
        <v>2330</v>
      </c>
      <c r="L60">
        <v>11631</v>
      </c>
      <c r="M60">
        <v>18865</v>
      </c>
      <c r="N60">
        <v>852604452</v>
      </c>
      <c r="O60">
        <v>745341367</v>
      </c>
      <c r="P60">
        <v>361164198</v>
      </c>
      <c r="Q60">
        <v>805550803</v>
      </c>
      <c r="R60">
        <v>853371117</v>
      </c>
      <c r="S60">
        <v>799194775</v>
      </c>
      <c r="T60">
        <v>741375117</v>
      </c>
      <c r="U60">
        <v>738389567</v>
      </c>
      <c r="V60">
        <v>335955417</v>
      </c>
      <c r="X60">
        <v>741562651</v>
      </c>
      <c r="Y60">
        <v>741553313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54211</v>
      </c>
      <c r="C64">
        <v>17147</v>
      </c>
      <c r="D64">
        <v>14566</v>
      </c>
      <c r="E64">
        <v>51951</v>
      </c>
      <c r="F64">
        <v>33816</v>
      </c>
      <c r="G64">
        <v>42311</v>
      </c>
      <c r="H64">
        <v>19533</v>
      </c>
      <c r="I64">
        <v>4436</v>
      </c>
      <c r="J64">
        <v>4429</v>
      </c>
      <c r="L64">
        <v>16464</v>
      </c>
      <c r="M64">
        <v>33095</v>
      </c>
    </row>
    <row r="65" spans="2:13" x14ac:dyDescent="0.25">
      <c r="B65">
        <v>53193</v>
      </c>
      <c r="C65">
        <v>17156</v>
      </c>
      <c r="D65">
        <v>14700</v>
      </c>
      <c r="E65">
        <v>51439</v>
      </c>
      <c r="F65">
        <v>34110</v>
      </c>
      <c r="G65">
        <v>42907</v>
      </c>
      <c r="H65">
        <v>18316</v>
      </c>
      <c r="I65">
        <v>4106</v>
      </c>
      <c r="J65">
        <v>4123</v>
      </c>
      <c r="L65">
        <v>17481</v>
      </c>
      <c r="M65">
        <v>33206</v>
      </c>
    </row>
    <row r="66" spans="2:13" x14ac:dyDescent="0.25">
      <c r="B66">
        <v>53389</v>
      </c>
      <c r="C66">
        <v>17706</v>
      </c>
      <c r="D66">
        <v>15528</v>
      </c>
      <c r="E66">
        <v>51192</v>
      </c>
      <c r="F66">
        <v>33692</v>
      </c>
      <c r="G66">
        <v>42770</v>
      </c>
      <c r="H66">
        <v>19109</v>
      </c>
      <c r="I66">
        <v>4033</v>
      </c>
      <c r="J66">
        <v>4444</v>
      </c>
      <c r="L66">
        <v>19556</v>
      </c>
      <c r="M66">
        <v>33281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AVERAGE(Table92[Newtonsoft])</f>
        <v>117</v>
      </c>
      <c r="D38" s="2">
        <f>AVERAGE(Table92[Revenj])</f>
        <v>120.33333333333333</v>
      </c>
      <c r="E38" s="2">
        <f>AVERAGE(Table92[ProtoBuf (binary reference)])</f>
        <v>117.66666666666667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266.33333333333331</v>
      </c>
      <c r="J38" s="2">
        <f>AVERAGE(Table92[DSL-JSON])</f>
        <v>244.33333333333334</v>
      </c>
      <c r="K38" s="2">
        <f>AVERAGE(Table92[Kryo (binary reference)])</f>
        <v>264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AVERAGE(Table91[Newtonsoft]) - C38</f>
        <v>344</v>
      </c>
      <c r="D39" s="2">
        <f>AVERAGE(Table91[Revenj]) - D38</f>
        <v>58.666666666666671</v>
      </c>
      <c r="E39" s="2">
        <f>AVERAGE(Table91[ProtoBuf (binary reference)]) - E38</f>
        <v>176.66666666666663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485.66666666666669</v>
      </c>
      <c r="J39" s="2">
        <f>AVERAGE(Table91[DSL-JSON]) - J38</f>
        <v>145.99999999999997</v>
      </c>
      <c r="K39" s="2">
        <f>AVERAGE(Table91[Kryo (binary reference)]) - K38</f>
        <v>88.666666666666686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374.33333333333337</v>
      </c>
      <c r="D40" s="2">
        <f t="shared" si="0"/>
        <v>112.99999999999999</v>
      </c>
      <c r="E40" s="2">
        <f t="shared" ref="E40" si="1">E41 - E39 - E38</f>
        <v>76.333333333333385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867</v>
      </c>
      <c r="J40" s="2">
        <f t="shared" ref="J40" si="3">J41 - J39 - J38</f>
        <v>117.66666666666666</v>
      </c>
      <c r="K40" s="2">
        <f t="shared" ref="K40:L40" si="4">K41 - K39 - K38</f>
        <v>130.66666666666663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AVERAGE(Table93[Newtonsoft])</f>
        <v>835.33333333333337</v>
      </c>
      <c r="D41" s="2">
        <f>AVERAGE(Table93[Revenj])</f>
        <v>292</v>
      </c>
      <c r="E41" s="2">
        <f>AVERAGE(Table93[ProtoBuf (binary reference)])</f>
        <v>370.66666666666669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1619</v>
      </c>
      <c r="J41" s="2">
        <f>AVERAGE(Table93[DSL-JSON])</f>
        <v>508</v>
      </c>
      <c r="K41" s="2">
        <f>AVERAGE(Table93[Kryo (binary reference)])</f>
        <v>483.33333333333331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AVERAGE(Table91[Newtonsoft (size)])</f>
        <v>8566982</v>
      </c>
      <c r="D42" s="3">
        <f>AVERAGE(Table91[Revenj (size)])</f>
        <v>7588061</v>
      </c>
      <c r="E42" s="3">
        <f>AVERAGE(Table91[ProtoBuf (size)])</f>
        <v>3948648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7400418</v>
      </c>
      <c r="J42" s="2">
        <f>AVERAGE(Table91[DSL-JSON (size)])</f>
        <v>7426347</v>
      </c>
      <c r="K42" s="2">
        <f>AVERAGE(Table91[Kryo (size)])</f>
        <v>3711311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DEVSQ(Table91[Newtonsoft])</f>
        <v>14</v>
      </c>
      <c r="D47" s="2">
        <f>DEVSQ(Table91[Revenj])</f>
        <v>2</v>
      </c>
      <c r="E47" s="2">
        <f>DEVSQ(Table91[ProtoBuf (binary reference)])</f>
        <v>20.666666666666664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3350</v>
      </c>
      <c r="J47" s="2">
        <f>DEVSQ(Table91[DSL-JSON])</f>
        <v>108.66666666666667</v>
      </c>
      <c r="K47" s="2">
        <f>DEVSQ(Table91[Kryo (binary reference)])</f>
        <v>82.666666666666671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DEVSQ(Table93[Newtonsoft])</f>
        <v>60.666666666666664</v>
      </c>
      <c r="D48" s="2">
        <f>DEVSQ(Table93[Revenj])</f>
        <v>26</v>
      </c>
      <c r="E48" s="2">
        <f>DEVSQ(Table93[ProtoBuf (binary reference)])</f>
        <v>8.6666666666666661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18638</v>
      </c>
      <c r="J48" s="2">
        <f>DEVSQ(Table93[DSL-JSON])</f>
        <v>74</v>
      </c>
      <c r="K48" s="2">
        <f>DEVSQ(Table93[Kryo (binary reference)])</f>
        <v>266.66666666666663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118</v>
      </c>
      <c r="C52">
        <v>124</v>
      </c>
      <c r="D52">
        <v>121</v>
      </c>
      <c r="H52">
        <v>284</v>
      </c>
      <c r="I52">
        <v>244</v>
      </c>
      <c r="J52">
        <v>256</v>
      </c>
    </row>
    <row r="53" spans="2:25" x14ac:dyDescent="0.25">
      <c r="B53">
        <v>117</v>
      </c>
      <c r="C53">
        <v>116</v>
      </c>
      <c r="D53">
        <v>116</v>
      </c>
      <c r="H53">
        <v>250</v>
      </c>
      <c r="I53">
        <v>245</v>
      </c>
      <c r="J53">
        <v>266</v>
      </c>
    </row>
    <row r="54" spans="2:25" x14ac:dyDescent="0.25">
      <c r="B54">
        <v>116</v>
      </c>
      <c r="C54">
        <v>121</v>
      </c>
      <c r="D54">
        <v>116</v>
      </c>
      <c r="H54">
        <v>265</v>
      </c>
      <c r="I54">
        <v>244</v>
      </c>
      <c r="J54">
        <v>270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459</v>
      </c>
      <c r="C58">
        <v>180</v>
      </c>
      <c r="D58">
        <v>293</v>
      </c>
      <c r="H58">
        <v>797</v>
      </c>
      <c r="I58">
        <v>396</v>
      </c>
      <c r="J58">
        <v>360</v>
      </c>
      <c r="N58">
        <v>8566982</v>
      </c>
      <c r="O58">
        <v>7588061</v>
      </c>
      <c r="P58">
        <v>3948648</v>
      </c>
      <c r="T58">
        <v>7427368</v>
      </c>
      <c r="U58">
        <v>7426347</v>
      </c>
      <c r="V58">
        <v>3711311</v>
      </c>
    </row>
    <row r="59" spans="2:25" x14ac:dyDescent="0.25">
      <c r="B59">
        <v>464</v>
      </c>
      <c r="C59">
        <v>179</v>
      </c>
      <c r="D59">
        <v>292</v>
      </c>
      <c r="H59">
        <v>717</v>
      </c>
      <c r="I59">
        <v>393</v>
      </c>
      <c r="J59">
        <v>348</v>
      </c>
      <c r="N59">
        <v>8566982</v>
      </c>
      <c r="O59">
        <v>7588061</v>
      </c>
      <c r="P59">
        <v>3948648</v>
      </c>
      <c r="T59">
        <v>7427368</v>
      </c>
      <c r="U59">
        <v>7426347</v>
      </c>
      <c r="V59">
        <v>3711311</v>
      </c>
    </row>
    <row r="60" spans="2:25" x14ac:dyDescent="0.25">
      <c r="B60">
        <v>460</v>
      </c>
      <c r="C60">
        <v>178</v>
      </c>
      <c r="D60">
        <v>298</v>
      </c>
      <c r="H60">
        <v>742</v>
      </c>
      <c r="I60">
        <v>382</v>
      </c>
      <c r="J60">
        <v>350</v>
      </c>
      <c r="N60">
        <v>8566982</v>
      </c>
      <c r="O60">
        <v>7588061</v>
      </c>
      <c r="P60">
        <v>3948648</v>
      </c>
      <c r="T60">
        <v>7346518</v>
      </c>
      <c r="U60">
        <v>7426347</v>
      </c>
      <c r="V60">
        <v>3711311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829</v>
      </c>
      <c r="C64">
        <v>291</v>
      </c>
      <c r="D64">
        <v>373</v>
      </c>
      <c r="H64">
        <v>1717</v>
      </c>
      <c r="I64">
        <v>504</v>
      </c>
      <c r="J64">
        <v>470</v>
      </c>
    </row>
    <row r="65" spans="2:10" x14ac:dyDescent="0.25">
      <c r="B65">
        <v>839</v>
      </c>
      <c r="C65">
        <v>296</v>
      </c>
      <c r="D65">
        <v>369</v>
      </c>
      <c r="H65">
        <v>1524</v>
      </c>
      <c r="I65">
        <v>515</v>
      </c>
      <c r="J65">
        <v>490</v>
      </c>
    </row>
    <row r="66" spans="2:10" x14ac:dyDescent="0.25">
      <c r="B66">
        <v>838</v>
      </c>
      <c r="C66">
        <v>289</v>
      </c>
      <c r="D66">
        <v>370</v>
      </c>
      <c r="H66">
        <v>1616</v>
      </c>
      <c r="I66">
        <v>505</v>
      </c>
      <c r="J66">
        <v>490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AVERAGE(Table97[Newtonsoft])</f>
        <v>12675.333333333334</v>
      </c>
      <c r="D38" s="2">
        <f>AVERAGE(Table97[Revenj])</f>
        <v>12466</v>
      </c>
      <c r="E38" s="2">
        <f>AVERAGE(Table97[ProtoBuf (binary reference)])</f>
        <v>12429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1839.6666666666667</v>
      </c>
      <c r="J38" s="2">
        <f>AVERAGE(Table97[DSL-JSON])</f>
        <v>1771.3333333333333</v>
      </c>
      <c r="K38" s="2">
        <f>AVERAGE(Table97[Kryo (binary reference)])</f>
        <v>1811.6666666666667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AVERAGE(Table96[Newtonsoft]) - C38</f>
        <v>25377</v>
      </c>
      <c r="D39" s="2">
        <f>AVERAGE(Table96[Revenj]) - D38</f>
        <v>6025</v>
      </c>
      <c r="E39" s="2">
        <f>AVERAGE(Table96[ProtoBuf (binary reference)]) - E38</f>
        <v>5796.6666666666679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9761</v>
      </c>
      <c r="J39" s="2">
        <f>AVERAGE(Table96[DSL-JSON]) - J38</f>
        <v>3689</v>
      </c>
      <c r="K39" s="2">
        <f>AVERAGE(Table96[Kryo (binary reference)]) - K38</f>
        <v>2390.6666666666661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45336.999999999993</v>
      </c>
      <c r="D40" s="2">
        <f t="shared" si="0"/>
        <v>14065.333333333332</v>
      </c>
      <c r="E40" s="2">
        <f t="shared" ref="E40" si="1">E41 - E39 - E38</f>
        <v>17411.333333333332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21774.333333333332</v>
      </c>
      <c r="J40" s="2">
        <f t="shared" ref="J40" si="3">J41 - J39 - J38</f>
        <v>2558.3333333333339</v>
      </c>
      <c r="K40" s="2">
        <f t="shared" ref="K40:L40" si="4">K41 - K39 - K38</f>
        <v>2103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AVERAGE(Table98[Newtonsoft])</f>
        <v>83389.333333333328</v>
      </c>
      <c r="D41" s="2">
        <f>AVERAGE(Table98[Revenj])</f>
        <v>32556.333333333332</v>
      </c>
      <c r="E41" s="2">
        <f>AVERAGE(Table98[ProtoBuf (binary reference)])</f>
        <v>35637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33375</v>
      </c>
      <c r="J41" s="2">
        <f>AVERAGE(Table98[DSL-JSON])</f>
        <v>8018.666666666667</v>
      </c>
      <c r="K41" s="2">
        <f>AVERAGE(Table98[Kryo (binary reference)])</f>
        <v>6305.333333333333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AVERAGE(Table96[Newtonsoft (size)])</f>
        <v>1770477769</v>
      </c>
      <c r="D42" s="3">
        <f>AVERAGE(Table96[Revenj (size)])</f>
        <v>1612946632</v>
      </c>
      <c r="E42" s="3">
        <f>AVERAGE(Table96[ProtoBuf (size)])</f>
        <v>1093545139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1584398025</v>
      </c>
      <c r="J42" s="2">
        <f>AVERAGE(Table96[DSL-JSON (size)])</f>
        <v>1586579492</v>
      </c>
      <c r="K42" s="2">
        <f>AVERAGE(Table96[Kryo (size)])</f>
        <v>1056027458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DEVSQ(Table96[Newtonsoft])</f>
        <v>233992.66666666666</v>
      </c>
      <c r="D47" s="2">
        <f>DEVSQ(Table96[Revenj])</f>
        <v>81632</v>
      </c>
      <c r="E47" s="2">
        <f>DEVSQ(Table96[ProtoBuf (binary reference)])</f>
        <v>321404.66666666669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4650.6666666666661</v>
      </c>
      <c r="J47" s="2">
        <f>DEVSQ(Table96[DSL-JSON])</f>
        <v>33570.666666666664</v>
      </c>
      <c r="K47" s="2">
        <f>DEVSQ(Table96[Kryo (binary reference)])</f>
        <v>8292.6666666666679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DEVSQ(Table98[Newtonsoft])</f>
        <v>3251890.666666667</v>
      </c>
      <c r="D48" s="2">
        <f>DEVSQ(Table98[Revenj])</f>
        <v>95532.666666666672</v>
      </c>
      <c r="E48" s="2">
        <f>DEVSQ(Table98[ProtoBuf (binary reference)])</f>
        <v>153338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511442</v>
      </c>
      <c r="J48" s="2">
        <f>DEVSQ(Table98[DSL-JSON])</f>
        <v>148.66666666666669</v>
      </c>
      <c r="K48" s="2">
        <f>DEVSQ(Table98[Kryo (binary reference)])</f>
        <v>41920.666666666664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12544</v>
      </c>
      <c r="C52">
        <v>12253</v>
      </c>
      <c r="D52">
        <v>12544</v>
      </c>
      <c r="H52">
        <v>1837</v>
      </c>
      <c r="I52">
        <v>1780</v>
      </c>
      <c r="J52">
        <v>1824</v>
      </c>
    </row>
    <row r="53" spans="2:25" x14ac:dyDescent="0.25">
      <c r="B53">
        <v>12577</v>
      </c>
      <c r="C53">
        <v>12770</v>
      </c>
      <c r="D53">
        <v>12492</v>
      </c>
      <c r="H53">
        <v>1844</v>
      </c>
      <c r="I53">
        <v>1737</v>
      </c>
      <c r="J53">
        <v>1809</v>
      </c>
    </row>
    <row r="54" spans="2:25" x14ac:dyDescent="0.25">
      <c r="B54">
        <v>12905</v>
      </c>
      <c r="C54">
        <v>12375</v>
      </c>
      <c r="D54">
        <v>12251</v>
      </c>
      <c r="H54">
        <v>1838</v>
      </c>
      <c r="I54">
        <v>1797</v>
      </c>
      <c r="J54">
        <v>1802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38030</v>
      </c>
      <c r="C58">
        <v>18287</v>
      </c>
      <c r="D58">
        <v>18606</v>
      </c>
      <c r="H58">
        <v>11550</v>
      </c>
      <c r="I58">
        <v>5355</v>
      </c>
      <c r="J58">
        <v>4128</v>
      </c>
      <c r="N58">
        <v>1766083269</v>
      </c>
      <c r="O58">
        <v>1612946632</v>
      </c>
      <c r="P58">
        <v>1093545139</v>
      </c>
      <c r="T58">
        <v>1580003525</v>
      </c>
      <c r="U58">
        <v>1586579492</v>
      </c>
      <c r="V58">
        <v>1056027458</v>
      </c>
    </row>
    <row r="59" spans="2:25" x14ac:dyDescent="0.25">
      <c r="B59">
        <v>38405</v>
      </c>
      <c r="C59">
        <v>18495</v>
      </c>
      <c r="D59">
        <v>18264</v>
      </c>
      <c r="H59">
        <v>11646</v>
      </c>
      <c r="I59">
        <v>5605</v>
      </c>
      <c r="J59">
        <v>4241</v>
      </c>
      <c r="N59">
        <v>1772675019</v>
      </c>
      <c r="O59">
        <v>1612946632</v>
      </c>
      <c r="P59">
        <v>1093545139</v>
      </c>
      <c r="T59">
        <v>1586595275</v>
      </c>
      <c r="U59">
        <v>1586579492</v>
      </c>
      <c r="V59">
        <v>1056027458</v>
      </c>
    </row>
    <row r="60" spans="2:25" x14ac:dyDescent="0.25">
      <c r="B60">
        <v>37722</v>
      </c>
      <c r="C60">
        <v>18691</v>
      </c>
      <c r="D60">
        <v>17807</v>
      </c>
      <c r="H60">
        <v>11606</v>
      </c>
      <c r="I60">
        <v>5421</v>
      </c>
      <c r="J60">
        <v>4238</v>
      </c>
      <c r="N60">
        <v>1772675019</v>
      </c>
      <c r="O60">
        <v>1612946632</v>
      </c>
      <c r="P60">
        <v>1093545139</v>
      </c>
      <c r="T60">
        <v>1586595275</v>
      </c>
      <c r="U60">
        <v>1586579492</v>
      </c>
      <c r="V60">
        <v>1056027458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84654</v>
      </c>
      <c r="C64">
        <v>32364</v>
      </c>
      <c r="D64">
        <v>35950</v>
      </c>
      <c r="H64">
        <v>33135</v>
      </c>
      <c r="I64">
        <v>8011</v>
      </c>
      <c r="J64">
        <v>6265</v>
      </c>
    </row>
    <row r="65" spans="2:10" x14ac:dyDescent="0.25">
      <c r="B65">
        <v>82104</v>
      </c>
      <c r="C65">
        <v>32794</v>
      </c>
      <c r="D65">
        <v>35537</v>
      </c>
      <c r="H65">
        <v>33956</v>
      </c>
      <c r="I65">
        <v>8028</v>
      </c>
      <c r="J65">
        <v>6466</v>
      </c>
    </row>
    <row r="66" spans="2:10" x14ac:dyDescent="0.25">
      <c r="B66">
        <v>83410</v>
      </c>
      <c r="C66">
        <v>32511</v>
      </c>
      <c r="D66">
        <v>35424</v>
      </c>
      <c r="H66">
        <v>33034</v>
      </c>
      <c r="I66">
        <v>8017</v>
      </c>
      <c r="J66">
        <v>6185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AVERAGE(Table17[Newtonsoft])</f>
        <v>57.333333333333336</v>
      </c>
      <c r="D38" s="2">
        <f>AVERAGE(Table17[Revenj])</f>
        <v>59.666666666666664</v>
      </c>
      <c r="E38" s="2">
        <f>AVERAGE(Table17[ProtoBuf (binary reference)])</f>
        <v>58.666666666666664</v>
      </c>
      <c r="F38" s="2">
        <f>AVERAGE(Table17[Service Stack])</f>
        <v>60.333333333333336</v>
      </c>
      <c r="G38" s="2">
        <f>AVERAGE(Table17[Jil])</f>
        <v>60</v>
      </c>
      <c r="H38" s="2">
        <f>AVERAGE(Table17[NetJSON])</f>
        <v>58.666666666666664</v>
      </c>
      <c r="I38" s="2">
        <f>AVERAGE(Table17[Jackson])</f>
        <v>44</v>
      </c>
      <c r="J38" s="2">
        <f>AVERAGE(Table17[DSL-JSON])</f>
        <v>46</v>
      </c>
      <c r="K38" s="2">
        <f>AVERAGE(Table17[Kryo (binary reference)])</f>
        <v>42.666666666666664</v>
      </c>
      <c r="L38" s="2">
        <f>AVERAGE(Table17[Boon])</f>
        <v>45</v>
      </c>
      <c r="M38" s="2">
        <f>AVERAGE(Table17[Alibaba])</f>
        <v>46.333333333333336</v>
      </c>
      <c r="N38" s="2">
        <f>AVERAGE(Table17[Gson])</f>
        <v>46</v>
      </c>
      <c r="O38" s="2"/>
      <c r="P38" s="2"/>
      <c r="Q38" s="2"/>
    </row>
    <row r="39" spans="2:17" x14ac:dyDescent="0.25">
      <c r="B39" t="s">
        <v>0</v>
      </c>
      <c r="C39" s="2">
        <f>AVERAGE(Table16[Newtonsoft]) - C38</f>
        <v>294</v>
      </c>
      <c r="D39" s="2">
        <f>AVERAGE(Table16[Revenj]) - D38</f>
        <v>40.000000000000007</v>
      </c>
      <c r="E39" s="2">
        <f>AVERAGE(Table16[ProtoBuf (binary reference)]) - E38</f>
        <v>125.33333333333334</v>
      </c>
      <c r="F39" s="2">
        <f>AVERAGE(Table16[Service Stack]) - F38</f>
        <v>202.99999999999997</v>
      </c>
      <c r="G39" s="2">
        <f>AVERAGE(Table16[Jil]) - G38</f>
        <v>444</v>
      </c>
      <c r="H39" s="2">
        <f>AVERAGE(Table16[NetJSON]) - H38</f>
        <v>133.33333333333334</v>
      </c>
      <c r="I39" s="2">
        <f>AVERAGE(Table16[Jackson]) - I38</f>
        <v>310.33333333333331</v>
      </c>
      <c r="J39" s="2">
        <f>AVERAGE(Table16[DSL-JSON]) - J38</f>
        <v>46.333333333333329</v>
      </c>
      <c r="K39" s="2">
        <f>AVERAGE(Table16[Kryo (binary reference)]) - K38</f>
        <v>65.333333333333343</v>
      </c>
      <c r="L39" s="2">
        <f>AVERAGE(Table16[Boon]) - L38</f>
        <v>501</v>
      </c>
      <c r="M39" s="2">
        <f>AVERAGE(Table16[Alibaba]) - M38</f>
        <v>259.33333333333337</v>
      </c>
      <c r="N39" s="2">
        <f>AVERAGE(Table16[Gson]) - N38</f>
        <v>530.66666666666663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531</v>
      </c>
      <c r="D40" s="2">
        <f t="shared" si="0"/>
        <v>121</v>
      </c>
      <c r="E40" s="2">
        <f t="shared" ref="E40" si="1">E41 - E39 - E38</f>
        <v>100</v>
      </c>
      <c r="F40" s="2">
        <f t="shared" si="0"/>
        <v>249.00000000000003</v>
      </c>
      <c r="G40" s="2">
        <f t="shared" si="0"/>
        <v>256.33333333333337</v>
      </c>
      <c r="H40" s="2">
        <f t="shared" si="0"/>
        <v>237.99999999999997</v>
      </c>
      <c r="I40" s="2">
        <f t="shared" ref="I40" si="2">I41 - I39 - I38</f>
        <v>263.00000000000006</v>
      </c>
      <c r="J40" s="2">
        <f t="shared" ref="J40" si="3">J41 - J39 - J38</f>
        <v>93.666666666666686</v>
      </c>
      <c r="K40" s="2">
        <f t="shared" ref="K40:L40" si="4">K41 - K39 - K38</f>
        <v>87</v>
      </c>
      <c r="L40" s="2">
        <f t="shared" si="4"/>
        <v>1078.3333333333333</v>
      </c>
      <c r="M40" s="2">
        <f t="shared" ref="M40" si="5">M41 - M39 - M38</f>
        <v>137.6666666666666</v>
      </c>
      <c r="N40" s="2">
        <f t="shared" ref="N40" si="6">N41 - N39 - N38</f>
        <v>264.33333333333337</v>
      </c>
      <c r="O40" s="2"/>
      <c r="P40" s="2"/>
      <c r="Q40" s="2"/>
    </row>
    <row r="41" spans="2:17" x14ac:dyDescent="0.25">
      <c r="B41" t="s">
        <v>23</v>
      </c>
      <c r="C41" s="2">
        <f>AVERAGE(Table18[Newtonsoft])</f>
        <v>882.33333333333337</v>
      </c>
      <c r="D41" s="2">
        <f>AVERAGE(Table18[Revenj])</f>
        <v>220.66666666666666</v>
      </c>
      <c r="E41" s="2">
        <f>AVERAGE(Table18[ProtoBuf (binary reference)])</f>
        <v>284</v>
      </c>
      <c r="F41" s="2">
        <f>AVERAGE(Table18[Service Stack])</f>
        <v>512.33333333333337</v>
      </c>
      <c r="G41" s="2">
        <f>AVERAGE(Table18[Jil])</f>
        <v>760.33333333333337</v>
      </c>
      <c r="H41" s="2">
        <f>AVERAGE(Table18[NetJSON])</f>
        <v>430</v>
      </c>
      <c r="I41" s="2">
        <f>AVERAGE(Table18[Jackson])</f>
        <v>617.33333333333337</v>
      </c>
      <c r="J41" s="2">
        <f>AVERAGE(Table18[DSL-JSON])</f>
        <v>186</v>
      </c>
      <c r="K41" s="2">
        <f>AVERAGE(Table18[Kryo (binary reference)])</f>
        <v>195</v>
      </c>
      <c r="L41" s="2">
        <f>AVERAGE(Table18[Boon])</f>
        <v>1624.3333333333333</v>
      </c>
      <c r="M41" s="2">
        <f>AVERAGE(Table18[Alibaba])</f>
        <v>443.33333333333331</v>
      </c>
      <c r="N41" s="2">
        <f>AVERAGE(Table18[Gson])</f>
        <v>841</v>
      </c>
      <c r="O41" s="2"/>
      <c r="P41" s="2"/>
      <c r="Q41" s="2"/>
    </row>
    <row r="42" spans="2:17" x14ac:dyDescent="0.25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AVERAGE(Table16[ProtoBuf (size)])</f>
        <v>2372376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4777780</v>
      </c>
      <c r="J42" s="2">
        <f>AVERAGE(Table16[DSL-JSON (size)])</f>
        <v>4777768</v>
      </c>
      <c r="K42" s="2">
        <f>AVERAGE(Table16[Kryo (size)])</f>
        <v>2080634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DEVSQ(Table16[Newtonsoft])</f>
        <v>12.666666666666666</v>
      </c>
      <c r="D47" s="2">
        <f>DEVSQ(Table16[Revenj])</f>
        <v>4.666666666666667</v>
      </c>
      <c r="E47" s="2">
        <f>DEVSQ(Table16[ProtoBuf (binary reference)])</f>
        <v>18</v>
      </c>
      <c r="F47" s="2">
        <f>DEVSQ(Table16[Service Stack])</f>
        <v>24.666666666666664</v>
      </c>
      <c r="G47" s="2">
        <f>DEVSQ(Table16[Jil])</f>
        <v>56</v>
      </c>
      <c r="H47" s="2">
        <f>DEVSQ(Table16[NetJSON])</f>
        <v>0</v>
      </c>
      <c r="I47" s="2">
        <f>DEVSQ(Table16[Jackson])</f>
        <v>64.666666666666671</v>
      </c>
      <c r="J47" s="2">
        <f>DEVSQ(Table16[DSL-JSON])</f>
        <v>80.666666666666657</v>
      </c>
      <c r="K47" s="2">
        <f>DEVSQ(Table16[Kryo (binary reference)])</f>
        <v>122</v>
      </c>
      <c r="L47" s="2">
        <f>DEVSQ(Table16[Boon])</f>
        <v>278</v>
      </c>
      <c r="M47" s="2">
        <f>DEVSQ(Table16[Alibaba])</f>
        <v>492.66666666666663</v>
      </c>
      <c r="N47" s="2">
        <f>DEVSQ(Table16[Gson])</f>
        <v>8400.6666666666661</v>
      </c>
      <c r="O47" s="2"/>
      <c r="P47" s="2"/>
      <c r="Q47" s="2"/>
    </row>
    <row r="48" spans="2:17" x14ac:dyDescent="0.25">
      <c r="B48" t="s">
        <v>23</v>
      </c>
      <c r="C48" s="2">
        <f>DEVSQ(Table18[Newtonsoft])</f>
        <v>24066.666666666668</v>
      </c>
      <c r="D48" s="2">
        <f>DEVSQ(Table18[Revenj])</f>
        <v>10.666666666666668</v>
      </c>
      <c r="E48" s="2">
        <f>DEVSQ(Table18[ProtoBuf (binary reference)])</f>
        <v>32</v>
      </c>
      <c r="F48" s="2">
        <f>DEVSQ(Table18[Service Stack])</f>
        <v>18.666666666666664</v>
      </c>
      <c r="G48" s="2">
        <f>DEVSQ(Table18[Jil])</f>
        <v>44.666666666666664</v>
      </c>
      <c r="H48" s="2">
        <f>DEVSQ(Table18[NetJSON])</f>
        <v>54</v>
      </c>
      <c r="I48" s="2">
        <f>DEVSQ(Table18[Jackson])</f>
        <v>844.66666666666674</v>
      </c>
      <c r="J48" s="2">
        <f>DEVSQ(Table18[DSL-JSON])</f>
        <v>6</v>
      </c>
      <c r="K48" s="2">
        <f>DEVSQ(Table18[Kryo (binary reference)])</f>
        <v>126</v>
      </c>
      <c r="L48" s="2">
        <f>DEVSQ(Table18[Boon])</f>
        <v>67968.666666666657</v>
      </c>
      <c r="M48" s="2">
        <f>DEVSQ(Table18[Alibaba])</f>
        <v>52.666666666666671</v>
      </c>
      <c r="N48" s="2">
        <f>DEVSQ(Table18[Gson])</f>
        <v>266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58</v>
      </c>
      <c r="C52">
        <v>58</v>
      </c>
      <c r="D52">
        <v>61</v>
      </c>
      <c r="E52">
        <v>59</v>
      </c>
      <c r="F52">
        <v>63</v>
      </c>
      <c r="G52">
        <v>58</v>
      </c>
      <c r="H52">
        <v>46</v>
      </c>
      <c r="I52">
        <v>45</v>
      </c>
      <c r="J52">
        <v>41</v>
      </c>
      <c r="K52">
        <v>41</v>
      </c>
      <c r="L52">
        <v>46</v>
      </c>
      <c r="M52">
        <v>42</v>
      </c>
    </row>
    <row r="53" spans="2:25" x14ac:dyDescent="0.25">
      <c r="B53">
        <v>58</v>
      </c>
      <c r="C53">
        <v>62</v>
      </c>
      <c r="D53">
        <v>57</v>
      </c>
      <c r="E53">
        <v>60</v>
      </c>
      <c r="F53">
        <v>58</v>
      </c>
      <c r="G53">
        <v>61</v>
      </c>
      <c r="H53">
        <v>43</v>
      </c>
      <c r="I53">
        <v>46</v>
      </c>
      <c r="J53">
        <v>40</v>
      </c>
      <c r="K53">
        <v>47</v>
      </c>
      <c r="L53">
        <v>46</v>
      </c>
      <c r="M53">
        <v>47</v>
      </c>
    </row>
    <row r="54" spans="2:25" x14ac:dyDescent="0.25">
      <c r="B54">
        <v>56</v>
      </c>
      <c r="C54">
        <v>59</v>
      </c>
      <c r="D54">
        <v>58</v>
      </c>
      <c r="E54">
        <v>62</v>
      </c>
      <c r="F54">
        <v>59</v>
      </c>
      <c r="G54">
        <v>57</v>
      </c>
      <c r="H54">
        <v>43</v>
      </c>
      <c r="I54">
        <v>47</v>
      </c>
      <c r="J54">
        <v>47</v>
      </c>
      <c r="K54">
        <v>47</v>
      </c>
      <c r="L54">
        <v>47</v>
      </c>
      <c r="M54">
        <v>49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349</v>
      </c>
      <c r="C58">
        <v>101</v>
      </c>
      <c r="D58">
        <v>187</v>
      </c>
      <c r="E58">
        <v>263</v>
      </c>
      <c r="F58">
        <v>502</v>
      </c>
      <c r="G58">
        <v>192</v>
      </c>
      <c r="H58">
        <v>359</v>
      </c>
      <c r="I58">
        <v>96</v>
      </c>
      <c r="J58">
        <v>117</v>
      </c>
      <c r="K58">
        <v>559</v>
      </c>
      <c r="L58">
        <v>311</v>
      </c>
      <c r="M58">
        <v>651</v>
      </c>
      <c r="N58">
        <v>4777780</v>
      </c>
      <c r="O58">
        <v>4777768</v>
      </c>
      <c r="P58">
        <v>2372376</v>
      </c>
      <c r="Q58">
        <v>4777780</v>
      </c>
      <c r="R58">
        <v>4777780</v>
      </c>
      <c r="S58">
        <v>4777768</v>
      </c>
      <c r="T58">
        <v>4777780</v>
      </c>
      <c r="U58">
        <v>4777768</v>
      </c>
      <c r="V58">
        <v>2080634</v>
      </c>
      <c r="W58">
        <v>4777768</v>
      </c>
      <c r="X58">
        <v>4777780</v>
      </c>
      <c r="Y58">
        <v>4777780</v>
      </c>
    </row>
    <row r="59" spans="2:25" x14ac:dyDescent="0.25">
      <c r="B59">
        <v>351</v>
      </c>
      <c r="C59">
        <v>100</v>
      </c>
      <c r="D59">
        <v>181</v>
      </c>
      <c r="E59">
        <v>260</v>
      </c>
      <c r="F59">
        <v>510</v>
      </c>
      <c r="G59">
        <v>192</v>
      </c>
      <c r="H59">
        <v>356</v>
      </c>
      <c r="I59">
        <v>85</v>
      </c>
      <c r="J59">
        <v>104</v>
      </c>
      <c r="K59">
        <v>543</v>
      </c>
      <c r="L59">
        <v>288</v>
      </c>
      <c r="M59">
        <v>547</v>
      </c>
      <c r="N59">
        <v>4777780</v>
      </c>
      <c r="O59">
        <v>4777768</v>
      </c>
      <c r="P59">
        <v>2372376</v>
      </c>
      <c r="Q59">
        <v>4777780</v>
      </c>
      <c r="R59">
        <v>4777780</v>
      </c>
      <c r="S59">
        <v>4777768</v>
      </c>
      <c r="T59">
        <v>4777780</v>
      </c>
      <c r="U59">
        <v>4777768</v>
      </c>
      <c r="V59">
        <v>2080634</v>
      </c>
      <c r="W59">
        <v>4777768</v>
      </c>
      <c r="X59">
        <v>4777780</v>
      </c>
      <c r="Y59">
        <v>4777780</v>
      </c>
    </row>
    <row r="60" spans="2:25" x14ac:dyDescent="0.25">
      <c r="B60">
        <v>354</v>
      </c>
      <c r="C60">
        <v>98</v>
      </c>
      <c r="D60">
        <v>184</v>
      </c>
      <c r="E60">
        <v>267</v>
      </c>
      <c r="F60">
        <v>500</v>
      </c>
      <c r="G60">
        <v>192</v>
      </c>
      <c r="H60">
        <v>348</v>
      </c>
      <c r="I60">
        <v>96</v>
      </c>
      <c r="J60">
        <v>103</v>
      </c>
      <c r="K60">
        <v>536</v>
      </c>
      <c r="L60">
        <v>318</v>
      </c>
      <c r="M60">
        <v>532</v>
      </c>
      <c r="N60">
        <v>4777780</v>
      </c>
      <c r="O60">
        <v>4777768</v>
      </c>
      <c r="P60">
        <v>2372376</v>
      </c>
      <c r="Q60">
        <v>4777780</v>
      </c>
      <c r="R60">
        <v>4777780</v>
      </c>
      <c r="S60">
        <v>4777768</v>
      </c>
      <c r="T60">
        <v>4777780</v>
      </c>
      <c r="U60">
        <v>4777768</v>
      </c>
      <c r="V60">
        <v>2080634</v>
      </c>
      <c r="W60">
        <v>4777768</v>
      </c>
      <c r="X60">
        <v>4777780</v>
      </c>
      <c r="Y60">
        <v>4777780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819</v>
      </c>
      <c r="C64">
        <v>222</v>
      </c>
      <c r="D64">
        <v>284</v>
      </c>
      <c r="E64">
        <v>509</v>
      </c>
      <c r="F64">
        <v>755</v>
      </c>
      <c r="G64">
        <v>436</v>
      </c>
      <c r="H64">
        <v>596</v>
      </c>
      <c r="I64">
        <v>188</v>
      </c>
      <c r="J64">
        <v>198</v>
      </c>
      <c r="K64">
        <v>1832</v>
      </c>
      <c r="L64">
        <v>449</v>
      </c>
      <c r="M64">
        <v>828</v>
      </c>
    </row>
    <row r="65" spans="2:13" x14ac:dyDescent="0.25">
      <c r="B65">
        <v>1009</v>
      </c>
      <c r="C65">
        <v>218</v>
      </c>
      <c r="D65">
        <v>288</v>
      </c>
      <c r="E65">
        <v>515</v>
      </c>
      <c r="F65">
        <v>764</v>
      </c>
      <c r="G65">
        <v>427</v>
      </c>
      <c r="H65">
        <v>619</v>
      </c>
      <c r="I65">
        <v>185</v>
      </c>
      <c r="J65">
        <v>186</v>
      </c>
      <c r="K65">
        <v>1480</v>
      </c>
      <c r="L65">
        <v>439</v>
      </c>
      <c r="M65">
        <v>845</v>
      </c>
    </row>
    <row r="66" spans="2:13" x14ac:dyDescent="0.25">
      <c r="B66">
        <v>819</v>
      </c>
      <c r="C66">
        <v>222</v>
      </c>
      <c r="D66">
        <v>280</v>
      </c>
      <c r="E66">
        <v>513</v>
      </c>
      <c r="F66">
        <v>762</v>
      </c>
      <c r="G66">
        <v>427</v>
      </c>
      <c r="H66">
        <v>637</v>
      </c>
      <c r="I66">
        <v>185</v>
      </c>
      <c r="J66">
        <v>201</v>
      </c>
      <c r="K66">
        <v>1561</v>
      </c>
      <c r="L66">
        <v>442</v>
      </c>
      <c r="M66">
        <v>850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AVERAGE(Table22[Newtonsoft])</f>
        <v>374.66666666666669</v>
      </c>
      <c r="D38" s="2">
        <f>AVERAGE(Table22[Revenj])</f>
        <v>359</v>
      </c>
      <c r="E38" s="2">
        <f>AVERAGE(Table22[ProtoBuf (binary reference)])</f>
        <v>367.66666666666669</v>
      </c>
      <c r="F38" s="2">
        <f>AVERAGE(Table22[Service Stack])</f>
        <v>352.33333333333331</v>
      </c>
      <c r="G38" s="2">
        <f>AVERAGE(Table22[Jil])</f>
        <v>358.33333333333331</v>
      </c>
      <c r="H38" s="2">
        <f>AVERAGE(Table22[NetJSON])</f>
        <v>365.33333333333331</v>
      </c>
      <c r="I38" s="2">
        <f>AVERAGE(Table22[Jackson])</f>
        <v>94.333333333333329</v>
      </c>
      <c r="J38" s="2">
        <f>AVERAGE(Table22[DSL-JSON])</f>
        <v>98</v>
      </c>
      <c r="K38" s="2">
        <f>AVERAGE(Table22[Kryo (binary reference)])</f>
        <v>95.666666666666671</v>
      </c>
      <c r="L38" s="2">
        <f>AVERAGE(Table22[Boon])</f>
        <v>102</v>
      </c>
      <c r="M38" s="2">
        <f>AVERAGE(Table22[Alibaba])</f>
        <v>96.666666666666671</v>
      </c>
      <c r="N38" s="2">
        <f>AVERAGE(Table22[Gson])</f>
        <v>100</v>
      </c>
      <c r="O38" s="2"/>
      <c r="P38" s="2"/>
      <c r="Q38" s="2"/>
    </row>
    <row r="39" spans="2:17" x14ac:dyDescent="0.25">
      <c r="B39" t="s">
        <v>0</v>
      </c>
      <c r="C39" s="2">
        <f>AVERAGE(Table21[Newtonsoft]) - C38</f>
        <v>1606.6666666666665</v>
      </c>
      <c r="D39" s="2">
        <f>AVERAGE(Table21[Revenj]) - D38</f>
        <v>373.66666666666663</v>
      </c>
      <c r="E39" s="2">
        <f>AVERAGE(Table21[ProtoBuf (binary reference)]) - E38</f>
        <v>462.33333333333331</v>
      </c>
      <c r="F39" s="2">
        <f>AVERAGE(Table21[Service Stack]) - F38</f>
        <v>1281</v>
      </c>
      <c r="G39" s="2">
        <f>AVERAGE(Table21[Jil]) - G38</f>
        <v>1437</v>
      </c>
      <c r="H39" s="2">
        <f>AVERAGE(Table21[NetJSON]) - H38</f>
        <v>712</v>
      </c>
      <c r="I39" s="2">
        <f>AVERAGE(Table21[Jackson]) - I38</f>
        <v>548.66666666666663</v>
      </c>
      <c r="J39" s="2">
        <f>AVERAGE(Table21[DSL-JSON]) - J38</f>
        <v>179</v>
      </c>
      <c r="K39" s="2">
        <f>AVERAGE(Table21[Kryo (binary reference)]) - K38</f>
        <v>179.66666666666663</v>
      </c>
      <c r="L39" s="2">
        <f>AVERAGE(Table21[Boon]) - L38</f>
        <v>1965.6666666666665</v>
      </c>
      <c r="M39" s="2">
        <f>AVERAGE(Table21[Alibaba]) - M38</f>
        <v>471.66666666666669</v>
      </c>
      <c r="N39" s="2">
        <f>AVERAGE(Table21[Gson]) - N38</f>
        <v>2565.6666666666665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3995.3333333333335</v>
      </c>
      <c r="D40" s="2">
        <f t="shared" si="0"/>
        <v>1002</v>
      </c>
      <c r="E40" s="2">
        <f t="shared" ref="E40" si="1">E41 - E39 - E38</f>
        <v>994.33333333333326</v>
      </c>
      <c r="F40" s="2">
        <f t="shared" si="0"/>
        <v>2140.333333333333</v>
      </c>
      <c r="G40" s="2">
        <f t="shared" si="0"/>
        <v>1430.3333333333333</v>
      </c>
      <c r="H40" s="2">
        <f t="shared" si="0"/>
        <v>2302.333333333333</v>
      </c>
      <c r="I40" s="2">
        <f t="shared" ref="I40" si="2">I41 - I39 - I38</f>
        <v>659</v>
      </c>
      <c r="J40" s="2">
        <f t="shared" ref="J40" si="3">J41 - J39 - J38</f>
        <v>233.33333333333331</v>
      </c>
      <c r="K40" s="2">
        <f t="shared" ref="K40:L40" si="4">K41 - K39 - K38</f>
        <v>173</v>
      </c>
      <c r="L40" s="2">
        <f t="shared" si="4"/>
        <v>5289.6666666666661</v>
      </c>
      <c r="M40" s="2">
        <f t="shared" ref="M40" si="5">M41 - M39 - M38</f>
        <v>388.66666666666663</v>
      </c>
      <c r="N40" s="2">
        <f t="shared" ref="N40" si="6">N41 - N39 - N38</f>
        <v>1062</v>
      </c>
      <c r="O40" s="2"/>
      <c r="P40" s="2"/>
      <c r="Q40" s="2"/>
    </row>
    <row r="41" spans="2:17" x14ac:dyDescent="0.25">
      <c r="B41" t="s">
        <v>23</v>
      </c>
      <c r="C41" s="2">
        <f>AVERAGE(Table23[Newtonsoft])</f>
        <v>5976.666666666667</v>
      </c>
      <c r="D41" s="2">
        <f>AVERAGE(Table23[Revenj])</f>
        <v>1734.6666666666667</v>
      </c>
      <c r="E41" s="2">
        <f>AVERAGE(Table23[ProtoBuf (binary reference)])</f>
        <v>1824.3333333333333</v>
      </c>
      <c r="F41" s="2">
        <f>AVERAGE(Table23[Service Stack])</f>
        <v>3773.6666666666665</v>
      </c>
      <c r="G41" s="2">
        <f>AVERAGE(Table23[Jil])</f>
        <v>3225.6666666666665</v>
      </c>
      <c r="H41" s="2">
        <f>AVERAGE(Table23[NetJSON])</f>
        <v>3379.6666666666665</v>
      </c>
      <c r="I41" s="2">
        <f>AVERAGE(Table23[Jackson])</f>
        <v>1302</v>
      </c>
      <c r="J41" s="2">
        <f>AVERAGE(Table23[DSL-JSON])</f>
        <v>510.33333333333331</v>
      </c>
      <c r="K41" s="2">
        <f>AVERAGE(Table23[Kryo (binary reference)])</f>
        <v>448.33333333333331</v>
      </c>
      <c r="L41" s="2">
        <f>AVERAGE(Table23[Boon])</f>
        <v>7357.333333333333</v>
      </c>
      <c r="M41" s="2">
        <f>AVERAGE(Table23[Alibaba])</f>
        <v>957</v>
      </c>
      <c r="N41" s="2">
        <f>AVERAGE(Table23[Gson])</f>
        <v>3727.6666666666665</v>
      </c>
      <c r="O41" s="2"/>
      <c r="P41" s="2"/>
      <c r="Q41" s="2"/>
    </row>
    <row r="42" spans="2:17" x14ac:dyDescent="0.25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AVERAGE(Table21[ProtoBuf (size)])</f>
        <v>24872376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49777780</v>
      </c>
      <c r="J42" s="2">
        <f>AVERAGE(Table21[DSL-JSON (size)])</f>
        <v>49777768</v>
      </c>
      <c r="K42" s="2">
        <f>AVERAGE(Table21[Kryo (size)])</f>
        <v>21880634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DEVSQ(Table21[Newtonsoft])</f>
        <v>312.66666666666663</v>
      </c>
      <c r="D47" s="2">
        <f>DEVSQ(Table21[Revenj])</f>
        <v>722.66666666666674</v>
      </c>
      <c r="E47" s="2">
        <f>DEVSQ(Table21[ProtoBuf (binary reference)])</f>
        <v>38</v>
      </c>
      <c r="F47" s="2">
        <f>DEVSQ(Table21[Service Stack])</f>
        <v>20.666666666666668</v>
      </c>
      <c r="G47" s="2">
        <f>DEVSQ(Table21[Jil])</f>
        <v>2400.6666666666665</v>
      </c>
      <c r="H47" s="2">
        <f>DEVSQ(Table21[NetJSON])</f>
        <v>5092.666666666667</v>
      </c>
      <c r="I47" s="2">
        <f>DEVSQ(Table21[Jackson])</f>
        <v>114</v>
      </c>
      <c r="J47" s="2">
        <f>DEVSQ(Table21[DSL-JSON])</f>
        <v>5816</v>
      </c>
      <c r="K47" s="2">
        <f>DEVSQ(Table21[Kryo (binary reference)])</f>
        <v>50.666666666666671</v>
      </c>
      <c r="L47" s="2">
        <f>DEVSQ(Table21[Boon])</f>
        <v>772.66666666666663</v>
      </c>
      <c r="M47" s="2">
        <f>DEVSQ(Table21[Alibaba])</f>
        <v>488.66666666666669</v>
      </c>
      <c r="N47" s="2">
        <f>DEVSQ(Table21[Gson])</f>
        <v>1060.6666666666667</v>
      </c>
      <c r="O47" s="2"/>
      <c r="P47" s="2"/>
      <c r="Q47" s="2"/>
    </row>
    <row r="48" spans="2:17" x14ac:dyDescent="0.25">
      <c r="B48" t="s">
        <v>23</v>
      </c>
      <c r="C48" s="2">
        <f>DEVSQ(Table23[Newtonsoft])</f>
        <v>5012.6666666666661</v>
      </c>
      <c r="D48" s="2">
        <f>DEVSQ(Table23[Revenj])</f>
        <v>3124.6666666666665</v>
      </c>
      <c r="E48" s="2">
        <f>DEVSQ(Table23[ProtoBuf (binary reference)])</f>
        <v>1292.6666666666667</v>
      </c>
      <c r="F48" s="2">
        <f>DEVSQ(Table23[Service Stack])</f>
        <v>4210.666666666667</v>
      </c>
      <c r="G48" s="2">
        <f>DEVSQ(Table23[Jil])</f>
        <v>4402.666666666667</v>
      </c>
      <c r="H48" s="2">
        <f>DEVSQ(Table23[NetJSON])</f>
        <v>266.66666666666663</v>
      </c>
      <c r="I48" s="2">
        <f>DEVSQ(Table23[Jackson])</f>
        <v>1896</v>
      </c>
      <c r="J48" s="2">
        <f>DEVSQ(Table23[DSL-JSON])</f>
        <v>290.66666666666663</v>
      </c>
      <c r="K48" s="2">
        <f>DEVSQ(Table23[Kryo (binary reference)])</f>
        <v>34.666666666666671</v>
      </c>
      <c r="L48" s="2">
        <f>DEVSQ(Table23[Boon])</f>
        <v>43522.666666666672</v>
      </c>
      <c r="M48" s="2">
        <f>DEVSQ(Table23[Alibaba])</f>
        <v>3206</v>
      </c>
      <c r="N48" s="2">
        <f>DEVSQ(Table23[Gson])</f>
        <v>57904.666666666672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379</v>
      </c>
      <c r="C52">
        <v>370</v>
      </c>
      <c r="D52">
        <v>370</v>
      </c>
      <c r="E52">
        <v>339</v>
      </c>
      <c r="F52">
        <v>369</v>
      </c>
      <c r="G52">
        <v>336</v>
      </c>
      <c r="H52">
        <v>95</v>
      </c>
      <c r="I52">
        <v>100</v>
      </c>
      <c r="J52">
        <v>97</v>
      </c>
      <c r="K52">
        <v>107</v>
      </c>
      <c r="L52">
        <v>98</v>
      </c>
      <c r="M52">
        <v>103</v>
      </c>
    </row>
    <row r="53" spans="2:25" x14ac:dyDescent="0.25">
      <c r="B53">
        <v>374</v>
      </c>
      <c r="C53">
        <v>374</v>
      </c>
      <c r="D53">
        <v>363</v>
      </c>
      <c r="E53">
        <v>379</v>
      </c>
      <c r="F53">
        <v>369</v>
      </c>
      <c r="G53">
        <v>375</v>
      </c>
      <c r="H53">
        <v>94</v>
      </c>
      <c r="I53">
        <v>96</v>
      </c>
      <c r="J53">
        <v>99</v>
      </c>
      <c r="K53">
        <v>99</v>
      </c>
      <c r="L53">
        <v>97</v>
      </c>
      <c r="M53">
        <v>101</v>
      </c>
    </row>
    <row r="54" spans="2:25" x14ac:dyDescent="0.25">
      <c r="B54">
        <v>371</v>
      </c>
      <c r="C54">
        <v>333</v>
      </c>
      <c r="D54">
        <v>370</v>
      </c>
      <c r="E54">
        <v>339</v>
      </c>
      <c r="F54">
        <v>337</v>
      </c>
      <c r="G54">
        <v>385</v>
      </c>
      <c r="H54">
        <v>94</v>
      </c>
      <c r="I54">
        <v>98</v>
      </c>
      <c r="J54">
        <v>91</v>
      </c>
      <c r="K54">
        <v>100</v>
      </c>
      <c r="L54">
        <v>95</v>
      </c>
      <c r="M54">
        <v>96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1990</v>
      </c>
      <c r="C58">
        <v>714</v>
      </c>
      <c r="D58">
        <v>833</v>
      </c>
      <c r="E58">
        <v>1631</v>
      </c>
      <c r="F58">
        <v>1828</v>
      </c>
      <c r="G58">
        <v>1115</v>
      </c>
      <c r="H58">
        <v>644</v>
      </c>
      <c r="I58">
        <v>339</v>
      </c>
      <c r="J58">
        <v>276</v>
      </c>
      <c r="K58">
        <v>2053</v>
      </c>
      <c r="L58">
        <v>585</v>
      </c>
      <c r="M58">
        <v>2646</v>
      </c>
      <c r="N58">
        <v>49777780</v>
      </c>
      <c r="O58">
        <v>49777768</v>
      </c>
      <c r="P58">
        <v>24872376</v>
      </c>
      <c r="Q58">
        <v>49777780</v>
      </c>
      <c r="R58">
        <v>49777780</v>
      </c>
      <c r="S58">
        <v>49777768</v>
      </c>
      <c r="T58">
        <v>49777780</v>
      </c>
      <c r="U58">
        <v>49777768</v>
      </c>
      <c r="V58">
        <v>21880634</v>
      </c>
      <c r="W58">
        <v>49777768</v>
      </c>
      <c r="X58">
        <v>49777780</v>
      </c>
      <c r="Y58">
        <v>49777780</v>
      </c>
    </row>
    <row r="59" spans="2:25" x14ac:dyDescent="0.25">
      <c r="B59">
        <v>1967</v>
      </c>
      <c r="C59">
        <v>732</v>
      </c>
      <c r="D59">
        <v>825</v>
      </c>
      <c r="E59">
        <v>1632</v>
      </c>
      <c r="F59">
        <v>1759</v>
      </c>
      <c r="G59">
        <v>1020</v>
      </c>
      <c r="H59">
        <v>635</v>
      </c>
      <c r="I59">
        <v>251</v>
      </c>
      <c r="J59">
        <v>280</v>
      </c>
      <c r="K59">
        <v>2060</v>
      </c>
      <c r="L59">
        <v>566</v>
      </c>
      <c r="M59">
        <v>2691</v>
      </c>
      <c r="N59">
        <v>49777780</v>
      </c>
      <c r="O59">
        <v>49777768</v>
      </c>
      <c r="P59">
        <v>24872376</v>
      </c>
      <c r="Q59">
        <v>49777780</v>
      </c>
      <c r="R59">
        <v>49777780</v>
      </c>
      <c r="S59">
        <v>49777768</v>
      </c>
      <c r="T59">
        <v>49777780</v>
      </c>
      <c r="U59">
        <v>49777768</v>
      </c>
      <c r="V59">
        <v>21880634</v>
      </c>
      <c r="W59">
        <v>49777768</v>
      </c>
      <c r="X59">
        <v>49777780</v>
      </c>
      <c r="Y59">
        <v>49777780</v>
      </c>
    </row>
    <row r="60" spans="2:25" x14ac:dyDescent="0.25">
      <c r="B60">
        <v>1987</v>
      </c>
      <c r="C60">
        <v>752</v>
      </c>
      <c r="D60">
        <v>832</v>
      </c>
      <c r="E60">
        <v>1637</v>
      </c>
      <c r="F60">
        <v>1799</v>
      </c>
      <c r="G60">
        <v>1097</v>
      </c>
      <c r="H60">
        <v>650</v>
      </c>
      <c r="I60">
        <v>241</v>
      </c>
      <c r="J60">
        <v>270</v>
      </c>
      <c r="K60">
        <v>2090</v>
      </c>
      <c r="L60">
        <v>554</v>
      </c>
      <c r="M60">
        <v>2660</v>
      </c>
      <c r="N60">
        <v>49777780</v>
      </c>
      <c r="O60">
        <v>49777768</v>
      </c>
      <c r="P60">
        <v>24872376</v>
      </c>
      <c r="Q60">
        <v>49777780</v>
      </c>
      <c r="R60">
        <v>49777780</v>
      </c>
      <c r="S60">
        <v>49777768</v>
      </c>
      <c r="T60">
        <v>49777780</v>
      </c>
      <c r="U60">
        <v>49777768</v>
      </c>
      <c r="V60">
        <v>21880634</v>
      </c>
      <c r="W60">
        <v>49777768</v>
      </c>
      <c r="X60">
        <v>49777780</v>
      </c>
      <c r="Y60">
        <v>49777780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5991</v>
      </c>
      <c r="C64">
        <v>1775</v>
      </c>
      <c r="D64">
        <v>1795</v>
      </c>
      <c r="E64">
        <v>3805</v>
      </c>
      <c r="F64">
        <v>3185</v>
      </c>
      <c r="G64">
        <v>3373</v>
      </c>
      <c r="H64">
        <v>1294</v>
      </c>
      <c r="I64">
        <v>499</v>
      </c>
      <c r="J64">
        <v>447</v>
      </c>
      <c r="K64">
        <v>7458</v>
      </c>
      <c r="L64">
        <v>959</v>
      </c>
      <c r="M64">
        <v>3636</v>
      </c>
    </row>
    <row r="65" spans="2:13" x14ac:dyDescent="0.25">
      <c r="B65">
        <v>6018</v>
      </c>
      <c r="C65">
        <v>1696</v>
      </c>
      <c r="D65">
        <v>1838</v>
      </c>
      <c r="E65">
        <v>3721</v>
      </c>
      <c r="F65">
        <v>3215</v>
      </c>
      <c r="G65">
        <v>3373</v>
      </c>
      <c r="H65">
        <v>1336</v>
      </c>
      <c r="I65">
        <v>509</v>
      </c>
      <c r="J65">
        <v>453</v>
      </c>
      <c r="K65">
        <v>7426</v>
      </c>
      <c r="L65">
        <v>996</v>
      </c>
      <c r="M65">
        <v>3924</v>
      </c>
    </row>
    <row r="66" spans="2:13" x14ac:dyDescent="0.25">
      <c r="B66">
        <v>5921</v>
      </c>
      <c r="C66">
        <v>1733</v>
      </c>
      <c r="D66">
        <v>1840</v>
      </c>
      <c r="E66">
        <v>3795</v>
      </c>
      <c r="F66">
        <v>3277</v>
      </c>
      <c r="G66">
        <v>3393</v>
      </c>
      <c r="H66">
        <v>1276</v>
      </c>
      <c r="I66">
        <v>523</v>
      </c>
      <c r="J66">
        <v>445</v>
      </c>
      <c r="K66">
        <v>7188</v>
      </c>
      <c r="L66">
        <v>916</v>
      </c>
      <c r="M66">
        <v>3623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AVERAGE(Table27[Newtonsoft])</f>
        <v>3320</v>
      </c>
      <c r="D38" s="2">
        <f>AVERAGE(Table27[Revenj])</f>
        <v>3329</v>
      </c>
      <c r="E38" s="2">
        <f>AVERAGE(Table27[ProtoBuf (binary reference)])</f>
        <v>3396.3333333333335</v>
      </c>
      <c r="F38" s="2">
        <f>AVERAGE(Table27[Service Stack])</f>
        <v>3440</v>
      </c>
      <c r="G38" s="2">
        <f>AVERAGE(Table27[Jil])</f>
        <v>3447.3333333333335</v>
      </c>
      <c r="H38" s="2">
        <f>AVERAGE(Table27[NetJSON])</f>
        <v>3411</v>
      </c>
      <c r="I38" s="2">
        <f>AVERAGE(Table27[Jackson])</f>
        <v>536.66666666666663</v>
      </c>
      <c r="J38" s="2">
        <f>AVERAGE(Table27[DSL-JSON])</f>
        <v>532.33333333333337</v>
      </c>
      <c r="K38" s="2">
        <f>AVERAGE(Table27[Kryo (binary reference)])</f>
        <v>530</v>
      </c>
      <c r="L38" s="2">
        <f>AVERAGE(Table27[Boon])</f>
        <v>530.66666666666663</v>
      </c>
      <c r="M38" s="2">
        <f>AVERAGE(Table27[Alibaba])</f>
        <v>535.33333333333337</v>
      </c>
      <c r="N38" s="2">
        <f>AVERAGE(Table27[Gson])</f>
        <v>535</v>
      </c>
      <c r="O38" s="2"/>
      <c r="P38" s="2"/>
      <c r="Q38" s="2"/>
    </row>
    <row r="39" spans="2:17" x14ac:dyDescent="0.25">
      <c r="B39" t="s">
        <v>0</v>
      </c>
      <c r="C39" s="2">
        <f>AVERAGE(Table26[Newtonsoft]) - C38</f>
        <v>15667.666666666668</v>
      </c>
      <c r="D39" s="2">
        <f>AVERAGE(Table26[Revenj]) - D38</f>
        <v>3848.666666666667</v>
      </c>
      <c r="E39" s="2">
        <f>AVERAGE(Table26[ProtoBuf (binary reference)]) - E38</f>
        <v>4056.3333333333335</v>
      </c>
      <c r="F39" s="2">
        <f>AVERAGE(Table26[Service Stack]) - F38</f>
        <v>12090.333333333334</v>
      </c>
      <c r="G39" s="2">
        <f>AVERAGE(Table26[Jil]) - G38</f>
        <v>11378.666666666666</v>
      </c>
      <c r="H39" s="2">
        <f>AVERAGE(Table26[NetJSON]) - H38</f>
        <v>6346</v>
      </c>
      <c r="I39" s="2">
        <f>AVERAGE(Table26[Jackson]) - I38</f>
        <v>2845.3333333333335</v>
      </c>
      <c r="J39" s="2">
        <f>AVERAGE(Table26[DSL-JSON]) - J38</f>
        <v>1286.6666666666665</v>
      </c>
      <c r="K39" s="2">
        <f>AVERAGE(Table26[Kryo (binary reference)]) - K38</f>
        <v>1236</v>
      </c>
      <c r="L39" s="2">
        <f>AVERAGE(Table26[Boon]) - L38</f>
        <v>15259</v>
      </c>
      <c r="M39" s="2">
        <f>AVERAGE(Table26[Alibaba]) - M38</f>
        <v>3040.6666666666665</v>
      </c>
      <c r="N39" s="2">
        <f>AVERAGE(Table26[Gson]) - N38</f>
        <v>19942.666666666668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40283</v>
      </c>
      <c r="D40" s="2">
        <f t="shared" si="0"/>
        <v>10114.333333333332</v>
      </c>
      <c r="E40" s="2">
        <f t="shared" ref="E40" si="1">E41 - E39 - E38</f>
        <v>9411</v>
      </c>
      <c r="F40" s="2">
        <f t="shared" si="0"/>
        <v>21218.333333333328</v>
      </c>
      <c r="G40" s="2">
        <f t="shared" si="0"/>
        <v>13460.666666666666</v>
      </c>
      <c r="H40" s="2">
        <f t="shared" si="0"/>
        <v>23396</v>
      </c>
      <c r="I40" s="2">
        <f t="shared" ref="I40" si="2">I41 - I39 - I38</f>
        <v>3982.9999999999995</v>
      </c>
      <c r="J40" s="2">
        <f t="shared" ref="J40" si="3">J41 - J39 - J38</f>
        <v>1745.3333333333335</v>
      </c>
      <c r="K40" s="2">
        <f t="shared" ref="K40:L40" si="4">K41 - K39 - K38</f>
        <v>1156.3333333333335</v>
      </c>
      <c r="L40" s="2">
        <f t="shared" si="4"/>
        <v>48735.333333333336</v>
      </c>
      <c r="M40" s="2">
        <f t="shared" ref="M40" si="5">M41 - M39 - M38</f>
        <v>2481.333333333333</v>
      </c>
      <c r="N40" s="2">
        <f t="shared" ref="N40" si="6">N41 - N39 - N38</f>
        <v>9053</v>
      </c>
      <c r="O40" s="2"/>
      <c r="P40" s="2"/>
      <c r="Q40" s="2"/>
    </row>
    <row r="41" spans="2:17" x14ac:dyDescent="0.25">
      <c r="B41" t="s">
        <v>23</v>
      </c>
      <c r="C41" s="2">
        <f>AVERAGE(Table28[Newtonsoft])</f>
        <v>59270.666666666664</v>
      </c>
      <c r="D41" s="2">
        <f>AVERAGE(Table28[Revenj])</f>
        <v>17292</v>
      </c>
      <c r="E41" s="2">
        <f>AVERAGE(Table28[ProtoBuf (binary reference)])</f>
        <v>16863.666666666668</v>
      </c>
      <c r="F41" s="2">
        <f>AVERAGE(Table28[Service Stack])</f>
        <v>36748.666666666664</v>
      </c>
      <c r="G41" s="2">
        <f>AVERAGE(Table28[Jil])</f>
        <v>28286.666666666668</v>
      </c>
      <c r="H41" s="2">
        <f>AVERAGE(Table28[NetJSON])</f>
        <v>33153</v>
      </c>
      <c r="I41" s="2">
        <f>AVERAGE(Table28[Jackson])</f>
        <v>7365</v>
      </c>
      <c r="J41" s="2">
        <f>AVERAGE(Table28[DSL-JSON])</f>
        <v>3564.3333333333335</v>
      </c>
      <c r="K41" s="2">
        <f>AVERAGE(Table28[Kryo (binary reference)])</f>
        <v>2922.3333333333335</v>
      </c>
      <c r="L41" s="2">
        <f>AVERAGE(Table28[Boon])</f>
        <v>64525</v>
      </c>
      <c r="M41" s="2">
        <f>AVERAGE(Table28[Alibaba])</f>
        <v>6057.333333333333</v>
      </c>
      <c r="N41" s="2">
        <f>AVERAGE(Table28[Gson])</f>
        <v>29530.666666666668</v>
      </c>
      <c r="O41" s="2"/>
      <c r="P41" s="2"/>
      <c r="Q41" s="2"/>
    </row>
    <row r="42" spans="2:17" x14ac:dyDescent="0.25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AVERAGE(Table26[ProtoBuf (size)])</f>
        <v>266775224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517777780</v>
      </c>
      <c r="J42" s="2">
        <f>AVERAGE(Table26[DSL-JSON (size)])</f>
        <v>517777768</v>
      </c>
      <c r="K42" s="2">
        <f>AVERAGE(Table26[Kryo (size)])</f>
        <v>237832058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DEVSQ(Table26[Newtonsoft])</f>
        <v>1395658.6666666665</v>
      </c>
      <c r="D47" s="2">
        <f>DEVSQ(Table26[Revenj])</f>
        <v>101448.66666666667</v>
      </c>
      <c r="E47" s="2">
        <f>DEVSQ(Table26[ProtoBuf (binary reference)])</f>
        <v>76032.666666666657</v>
      </c>
      <c r="F47" s="2">
        <f>DEVSQ(Table26[Service Stack])</f>
        <v>17268.666666666664</v>
      </c>
      <c r="G47" s="2">
        <f>DEVSQ(Table26[Jil])</f>
        <v>90974</v>
      </c>
      <c r="H47" s="2">
        <f>DEVSQ(Table26[NetJSON])</f>
        <v>94472</v>
      </c>
      <c r="I47" s="2">
        <f>DEVSQ(Table26[Jackson])</f>
        <v>1526</v>
      </c>
      <c r="J47" s="2">
        <f>DEVSQ(Table26[DSL-JSON])</f>
        <v>152</v>
      </c>
      <c r="K47" s="2">
        <f>DEVSQ(Table26[Kryo (binary reference)])</f>
        <v>806</v>
      </c>
      <c r="L47" s="2">
        <f>DEVSQ(Table26[Boon])</f>
        <v>21314.666666666664</v>
      </c>
      <c r="M47" s="2">
        <f>DEVSQ(Table26[Alibaba])</f>
        <v>981746</v>
      </c>
      <c r="N47" s="2">
        <f>DEVSQ(Table26[Gson])</f>
        <v>160514.66666666666</v>
      </c>
      <c r="O47" s="2"/>
      <c r="P47" s="2"/>
      <c r="Q47" s="2"/>
    </row>
    <row r="48" spans="2:17" x14ac:dyDescent="0.25">
      <c r="B48" t="s">
        <v>23</v>
      </c>
      <c r="C48" s="2">
        <f>DEVSQ(Table28[Newtonsoft])</f>
        <v>1401514.6666666667</v>
      </c>
      <c r="D48" s="2">
        <f>DEVSQ(Table28[Revenj])</f>
        <v>117800</v>
      </c>
      <c r="E48" s="2">
        <f>DEVSQ(Table28[ProtoBuf (binary reference)])</f>
        <v>61968.666666666664</v>
      </c>
      <c r="F48" s="2">
        <f>DEVSQ(Table28[Service Stack])</f>
        <v>68664.666666666657</v>
      </c>
      <c r="G48" s="2">
        <f>DEVSQ(Table28[Jil])</f>
        <v>326128.66666666669</v>
      </c>
      <c r="H48" s="2">
        <f>DEVSQ(Table28[NetJSON])</f>
        <v>60152</v>
      </c>
      <c r="I48" s="2">
        <f>DEVSQ(Table28[Jackson])</f>
        <v>29792</v>
      </c>
      <c r="J48" s="2">
        <f>DEVSQ(Table28[DSL-JSON])</f>
        <v>3724.666666666667</v>
      </c>
      <c r="K48" s="2">
        <f>DEVSQ(Table28[Kryo (binary reference)])</f>
        <v>11204.666666666668</v>
      </c>
      <c r="L48" s="2">
        <f>DEVSQ(Table28[Boon])</f>
        <v>3951128</v>
      </c>
      <c r="M48" s="2">
        <f>DEVSQ(Table28[Alibaba])</f>
        <v>42200.666666666672</v>
      </c>
      <c r="N48" s="2">
        <f>DEVSQ(Table28[Gson])</f>
        <v>638516.66666666663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3221</v>
      </c>
      <c r="C52">
        <v>3558</v>
      </c>
      <c r="D52">
        <v>3511</v>
      </c>
      <c r="E52">
        <v>3150</v>
      </c>
      <c r="F52">
        <v>3631</v>
      </c>
      <c r="G52">
        <v>3570</v>
      </c>
      <c r="H52">
        <v>542</v>
      </c>
      <c r="I52">
        <v>531</v>
      </c>
      <c r="J52">
        <v>529</v>
      </c>
      <c r="K52">
        <v>532</v>
      </c>
      <c r="L52">
        <v>532</v>
      </c>
      <c r="M52">
        <v>543</v>
      </c>
    </row>
    <row r="53" spans="2:25" x14ac:dyDescent="0.25">
      <c r="B53">
        <v>3567</v>
      </c>
      <c r="C53">
        <v>3237</v>
      </c>
      <c r="D53">
        <v>3515</v>
      </c>
      <c r="E53">
        <v>3560</v>
      </c>
      <c r="F53">
        <v>3162</v>
      </c>
      <c r="G53">
        <v>3215</v>
      </c>
      <c r="H53">
        <v>538</v>
      </c>
      <c r="I53">
        <v>534</v>
      </c>
      <c r="J53">
        <v>532</v>
      </c>
      <c r="K53">
        <v>528</v>
      </c>
      <c r="L53">
        <v>542</v>
      </c>
      <c r="M53">
        <v>529</v>
      </c>
    </row>
    <row r="54" spans="2:25" x14ac:dyDescent="0.25">
      <c r="B54">
        <v>3172</v>
      </c>
      <c r="C54">
        <v>3192</v>
      </c>
      <c r="D54">
        <v>3163</v>
      </c>
      <c r="E54">
        <v>3610</v>
      </c>
      <c r="F54">
        <v>3549</v>
      </c>
      <c r="G54">
        <v>3448</v>
      </c>
      <c r="H54">
        <v>530</v>
      </c>
      <c r="I54">
        <v>532</v>
      </c>
      <c r="J54">
        <v>529</v>
      </c>
      <c r="K54">
        <v>532</v>
      </c>
      <c r="L54">
        <v>532</v>
      </c>
      <c r="M54">
        <v>533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19937</v>
      </c>
      <c r="C58">
        <v>7276</v>
      </c>
      <c r="D58">
        <v>7357</v>
      </c>
      <c r="E58">
        <v>15506</v>
      </c>
      <c r="F58">
        <v>14939</v>
      </c>
      <c r="G58">
        <v>9651</v>
      </c>
      <c r="H58">
        <v>3391</v>
      </c>
      <c r="I58">
        <v>1809</v>
      </c>
      <c r="J58">
        <v>1775</v>
      </c>
      <c r="K58">
        <v>15765</v>
      </c>
      <c r="L58">
        <v>3137</v>
      </c>
      <c r="M58">
        <v>20801</v>
      </c>
      <c r="N58">
        <v>517777780</v>
      </c>
      <c r="O58">
        <v>517777768</v>
      </c>
      <c r="P58">
        <v>266775224</v>
      </c>
      <c r="Q58">
        <v>517777780</v>
      </c>
      <c r="R58">
        <v>517777780</v>
      </c>
      <c r="S58">
        <v>517777768</v>
      </c>
      <c r="T58">
        <v>517777780</v>
      </c>
      <c r="U58">
        <v>517777768</v>
      </c>
      <c r="V58">
        <v>237832058</v>
      </c>
      <c r="W58">
        <v>517777768</v>
      </c>
      <c r="X58">
        <v>517777780</v>
      </c>
      <c r="Y58">
        <v>517777780</v>
      </c>
    </row>
    <row r="59" spans="2:25" x14ac:dyDescent="0.25">
      <c r="B59">
        <v>18661</v>
      </c>
      <c r="C59">
        <v>7337</v>
      </c>
      <c r="D59">
        <v>7324</v>
      </c>
      <c r="E59">
        <v>15452</v>
      </c>
      <c r="F59">
        <v>14959</v>
      </c>
      <c r="G59">
        <v>9613</v>
      </c>
      <c r="H59">
        <v>3404</v>
      </c>
      <c r="I59">
        <v>1825</v>
      </c>
      <c r="J59">
        <v>1780</v>
      </c>
      <c r="K59">
        <v>15903</v>
      </c>
      <c r="L59">
        <v>4384</v>
      </c>
      <c r="M59">
        <v>20359</v>
      </c>
      <c r="N59">
        <v>517777780</v>
      </c>
      <c r="O59">
        <v>517777768</v>
      </c>
      <c r="P59">
        <v>266775224</v>
      </c>
      <c r="Q59">
        <v>517777780</v>
      </c>
      <c r="R59">
        <v>517777780</v>
      </c>
      <c r="S59">
        <v>517777768</v>
      </c>
      <c r="T59">
        <v>517777780</v>
      </c>
      <c r="U59">
        <v>517777768</v>
      </c>
      <c r="V59">
        <v>237832058</v>
      </c>
      <c r="W59">
        <v>517777768</v>
      </c>
      <c r="X59">
        <v>517777780</v>
      </c>
      <c r="Y59">
        <v>517777780</v>
      </c>
    </row>
    <row r="60" spans="2:25" x14ac:dyDescent="0.25">
      <c r="B60">
        <v>18365</v>
      </c>
      <c r="C60">
        <v>6920</v>
      </c>
      <c r="D60">
        <v>7677</v>
      </c>
      <c r="E60">
        <v>15633</v>
      </c>
      <c r="F60">
        <v>14580</v>
      </c>
      <c r="G60">
        <v>10007</v>
      </c>
      <c r="H60">
        <v>3351</v>
      </c>
      <c r="I60">
        <v>1823</v>
      </c>
      <c r="J60">
        <v>1743</v>
      </c>
      <c r="K60">
        <v>15701</v>
      </c>
      <c r="L60">
        <v>3207</v>
      </c>
      <c r="M60">
        <v>20273</v>
      </c>
      <c r="N60">
        <v>517777780</v>
      </c>
      <c r="O60">
        <v>517777768</v>
      </c>
      <c r="P60">
        <v>266775224</v>
      </c>
      <c r="Q60">
        <v>517777780</v>
      </c>
      <c r="R60">
        <v>517777780</v>
      </c>
      <c r="S60">
        <v>517777768</v>
      </c>
      <c r="T60">
        <v>517777780</v>
      </c>
      <c r="U60">
        <v>517777768</v>
      </c>
      <c r="V60">
        <v>237832058</v>
      </c>
      <c r="W60">
        <v>517777768</v>
      </c>
      <c r="X60">
        <v>517777780</v>
      </c>
      <c r="Y60">
        <v>517777780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60156</v>
      </c>
      <c r="C64">
        <v>17012</v>
      </c>
      <c r="D64">
        <v>16936</v>
      </c>
      <c r="E64">
        <v>36947</v>
      </c>
      <c r="F64">
        <v>27846</v>
      </c>
      <c r="G64">
        <v>32987</v>
      </c>
      <c r="H64">
        <v>7489</v>
      </c>
      <c r="I64">
        <v>3578</v>
      </c>
      <c r="J64">
        <v>2906</v>
      </c>
      <c r="K64">
        <v>63763</v>
      </c>
      <c r="L64">
        <v>6151</v>
      </c>
      <c r="M64">
        <v>29929</v>
      </c>
    </row>
    <row r="65" spans="2:13" x14ac:dyDescent="0.25">
      <c r="B65">
        <v>58492</v>
      </c>
      <c r="C65">
        <v>17422</v>
      </c>
      <c r="D65">
        <v>16663</v>
      </c>
      <c r="E65">
        <v>36719</v>
      </c>
      <c r="F65">
        <v>28375</v>
      </c>
      <c r="G65">
        <v>33139</v>
      </c>
      <c r="H65">
        <v>7245</v>
      </c>
      <c r="I65">
        <v>3516</v>
      </c>
      <c r="J65">
        <v>2857</v>
      </c>
      <c r="K65">
        <v>63665</v>
      </c>
      <c r="L65">
        <v>6131</v>
      </c>
      <c r="M65">
        <v>29779</v>
      </c>
    </row>
    <row r="66" spans="2:13" x14ac:dyDescent="0.25">
      <c r="B66">
        <v>59164</v>
      </c>
      <c r="C66">
        <v>17442</v>
      </c>
      <c r="D66">
        <v>16992</v>
      </c>
      <c r="E66">
        <v>36580</v>
      </c>
      <c r="F66">
        <v>28639</v>
      </c>
      <c r="G66">
        <v>33333</v>
      </c>
      <c r="H66">
        <v>7361</v>
      </c>
      <c r="I66">
        <v>3599</v>
      </c>
      <c r="J66">
        <v>3004</v>
      </c>
      <c r="K66">
        <v>66147</v>
      </c>
      <c r="L66">
        <v>5890</v>
      </c>
      <c r="M66">
        <v>28884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AVERAGE(Table32[Newtonsoft])</f>
        <v>55</v>
      </c>
      <c r="D38" s="2">
        <f>AVERAGE(Table32[Revenj])</f>
        <v>55.333333333333336</v>
      </c>
      <c r="E38" s="2">
        <f>AVERAGE(Table32[ProtoBuf (binary reference)])</f>
        <v>52.333333333333336</v>
      </c>
      <c r="F38" s="2">
        <f>AVERAGE(Table32[Service Stack])</f>
        <v>53</v>
      </c>
      <c r="G38" s="2">
        <f>AVERAGE(Table32[Jil])</f>
        <v>52</v>
      </c>
      <c r="H38" s="2">
        <f>AVERAGE(Table32[NetJSON])</f>
        <v>53.333333333333336</v>
      </c>
      <c r="I38" s="2">
        <f>AVERAGE(Table32[Jackson])</f>
        <v>76</v>
      </c>
      <c r="J38" s="2">
        <f>AVERAGE(Table32[DSL-JSON])</f>
        <v>73</v>
      </c>
      <c r="K38" s="2">
        <f>AVERAGE(Table32[Kryo (binary reference)])</f>
        <v>69</v>
      </c>
      <c r="L38" s="2">
        <f>AVERAGE(Table32[Boon])</f>
        <v>71.333333333333329</v>
      </c>
      <c r="M38" s="2">
        <f>AVERAGE(Table32[Alibaba])</f>
        <v>63</v>
      </c>
      <c r="N38" s="2">
        <f>AVERAGE(Table32[Gson])</f>
        <v>71</v>
      </c>
      <c r="O38" s="2"/>
      <c r="P38" s="2"/>
      <c r="Q38" s="2"/>
    </row>
    <row r="39" spans="2:17" x14ac:dyDescent="0.25">
      <c r="B39" t="s">
        <v>0</v>
      </c>
      <c r="C39" s="2">
        <f>AVERAGE(Table31[Newtonsoft]) - C38</f>
        <v>327.33333333333331</v>
      </c>
      <c r="D39" s="2">
        <f>AVERAGE(Table31[Revenj]) - D38</f>
        <v>120.33333333333331</v>
      </c>
      <c r="E39" s="2">
        <f>AVERAGE(Table31[ProtoBuf (binary reference)]) - E38</f>
        <v>51.666666666666664</v>
      </c>
      <c r="F39" s="2">
        <f>AVERAGE(Table31[Service Stack]) - F38</f>
        <v>296.33333333333331</v>
      </c>
      <c r="G39" s="2">
        <f>AVERAGE(Table31[Jil]) - G38</f>
        <v>223.66666666666669</v>
      </c>
      <c r="H39" s="2">
        <f>AVERAGE(Table31[NetJSON]) - H38</f>
        <v>169</v>
      </c>
      <c r="I39" s="2">
        <f>AVERAGE(Table31[Jackson]) - I38</f>
        <v>233</v>
      </c>
      <c r="J39" s="2">
        <f>AVERAGE(Table31[DSL-JSON]) - J38</f>
        <v>145.33333333333334</v>
      </c>
      <c r="K39" s="2">
        <f>AVERAGE(Table31[Kryo (binary reference)]) - K38</f>
        <v>136.33333333333334</v>
      </c>
      <c r="L39" s="2">
        <f>AVERAGE(Table31[Boon]) - L38</f>
        <v>400.66666666666669</v>
      </c>
      <c r="M39" s="2">
        <f>AVERAGE(Table31[Alibaba]) - M38</f>
        <v>268.33333333333331</v>
      </c>
      <c r="N39" s="2">
        <f>AVERAGE(Table31[Gson]) - N38</f>
        <v>458.66666666666663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672.66666666666674</v>
      </c>
      <c r="D40" s="2">
        <f t="shared" si="0"/>
        <v>150.66666666666666</v>
      </c>
      <c r="E40" s="2">
        <f t="shared" ref="E40" si="1">E41 - E39 - E38</f>
        <v>78.666666666666657</v>
      </c>
      <c r="F40" s="2">
        <f t="shared" si="0"/>
        <v>378.00000000000006</v>
      </c>
      <c r="G40" s="2">
        <f t="shared" si="0"/>
        <v>211</v>
      </c>
      <c r="H40" s="2">
        <f t="shared" si="0"/>
        <v>328.33333333333331</v>
      </c>
      <c r="I40" s="2">
        <f t="shared" ref="I40" si="2">I41 - I39 - I38</f>
        <v>212.33333333333337</v>
      </c>
      <c r="J40" s="2">
        <f t="shared" ref="J40" si="3">J41 - J39 - J38</f>
        <v>116.66666666666666</v>
      </c>
      <c r="K40" s="2">
        <f t="shared" ref="K40:L40" si="4">K41 - K39 - K38</f>
        <v>177.99999999999997</v>
      </c>
      <c r="L40" s="2">
        <f t="shared" si="4"/>
        <v>770.99999999999989</v>
      </c>
      <c r="M40" s="2">
        <f t="shared" ref="M40" si="5">M41 - M39 - M38</f>
        <v>262.66666666666669</v>
      </c>
      <c r="N40" s="2">
        <f t="shared" ref="N40" si="6">N41 - N39 - N38</f>
        <v>274.33333333333337</v>
      </c>
      <c r="O40" s="2"/>
      <c r="P40" s="2"/>
      <c r="Q40" s="2"/>
    </row>
    <row r="41" spans="2:17" x14ac:dyDescent="0.25">
      <c r="B41" t="s">
        <v>23</v>
      </c>
      <c r="C41" s="2">
        <f>AVERAGE(Table33[Newtonsoft])</f>
        <v>1055</v>
      </c>
      <c r="D41" s="2">
        <f>AVERAGE(Table33[Revenj])</f>
        <v>326.33333333333331</v>
      </c>
      <c r="E41" s="2">
        <f>AVERAGE(Table33[ProtoBuf (binary reference)])</f>
        <v>182.66666666666666</v>
      </c>
      <c r="F41" s="2">
        <f>AVERAGE(Table33[Service Stack])</f>
        <v>727.33333333333337</v>
      </c>
      <c r="G41" s="2">
        <f>AVERAGE(Table33[Jil])</f>
        <v>486.66666666666669</v>
      </c>
      <c r="H41" s="2">
        <f>AVERAGE(Table33[NetJSON])</f>
        <v>550.66666666666663</v>
      </c>
      <c r="I41" s="2">
        <f>AVERAGE(Table33[Jackson])</f>
        <v>521.33333333333337</v>
      </c>
      <c r="J41" s="2">
        <f>AVERAGE(Table33[DSL-JSON])</f>
        <v>335</v>
      </c>
      <c r="K41" s="2">
        <f>AVERAGE(Table33[Kryo (binary reference)])</f>
        <v>383.33333333333331</v>
      </c>
      <c r="L41" s="2">
        <f>AVERAGE(Table33[Boon])</f>
        <v>1243</v>
      </c>
      <c r="M41" s="2">
        <f>AVERAGE(Table33[Alibaba])</f>
        <v>594</v>
      </c>
      <c r="N41" s="2">
        <f>AVERAGE(Table33[Gson])</f>
        <v>804</v>
      </c>
      <c r="O41" s="2"/>
      <c r="P41" s="2"/>
      <c r="Q41" s="2"/>
    </row>
    <row r="42" spans="2:17" x14ac:dyDescent="0.25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AVERAGE(Table31[ProtoBuf (size)])</f>
        <v>1658087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3346889</v>
      </c>
      <c r="J42" s="2">
        <f>AVERAGE(Table31[DSL-JSON (size)])</f>
        <v>3346868</v>
      </c>
      <c r="K42" s="2">
        <f>AVERAGE(Table31[Kryo (size)])</f>
        <v>3351895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DEVSQ(Table31[Newtonsoft])</f>
        <v>114.66666666666667</v>
      </c>
      <c r="D47" s="2">
        <f>DEVSQ(Table31[Revenj])</f>
        <v>32.666666666666671</v>
      </c>
      <c r="E47" s="2">
        <f>DEVSQ(Table31[ProtoBuf (binary reference)])</f>
        <v>14</v>
      </c>
      <c r="F47" s="2">
        <f>DEVSQ(Table31[Service Stack])</f>
        <v>24.666666666666664</v>
      </c>
      <c r="G47" s="2">
        <f>DEVSQ(Table31[Jil])</f>
        <v>12.666666666666666</v>
      </c>
      <c r="H47" s="2">
        <f>DEVSQ(Table31[NetJSON])</f>
        <v>20.666666666666668</v>
      </c>
      <c r="I47" s="2">
        <f>DEVSQ(Table31[Jackson])</f>
        <v>878</v>
      </c>
      <c r="J47" s="2">
        <f>DEVSQ(Table31[DSL-JSON])</f>
        <v>16.666666666666668</v>
      </c>
      <c r="K47" s="2">
        <f>DEVSQ(Table31[Kryo (binary reference)])</f>
        <v>116.66666666666666</v>
      </c>
      <c r="L47" s="2">
        <f>DEVSQ(Table31[Boon])</f>
        <v>974</v>
      </c>
      <c r="M47" s="2">
        <f>DEVSQ(Table31[Alibaba])</f>
        <v>340.66666666666663</v>
      </c>
      <c r="N47" s="2">
        <f>DEVSQ(Table31[Gson])</f>
        <v>2328.6666666666665</v>
      </c>
      <c r="O47" s="2"/>
      <c r="P47" s="2"/>
      <c r="Q47" s="2"/>
    </row>
    <row r="48" spans="2:17" x14ac:dyDescent="0.25">
      <c r="B48" t="s">
        <v>23</v>
      </c>
      <c r="C48" s="2">
        <f>DEVSQ(Table33[Newtonsoft])</f>
        <v>26942</v>
      </c>
      <c r="D48" s="2">
        <f>DEVSQ(Table33[Revenj])</f>
        <v>20.666666666666664</v>
      </c>
      <c r="E48" s="2">
        <f>DEVSQ(Table33[ProtoBuf (binary reference)])</f>
        <v>60.666666666666657</v>
      </c>
      <c r="F48" s="2">
        <f>DEVSQ(Table33[Service Stack])</f>
        <v>266.66666666666669</v>
      </c>
      <c r="G48" s="2">
        <f>DEVSQ(Table33[Jil])</f>
        <v>640.66666666666663</v>
      </c>
      <c r="H48" s="2">
        <f>DEVSQ(Table33[NetJSON])</f>
        <v>16.666666666666664</v>
      </c>
      <c r="I48" s="2">
        <f>DEVSQ(Table33[Jackson])</f>
        <v>888.66666666666652</v>
      </c>
      <c r="J48" s="2">
        <f>DEVSQ(Table33[DSL-JSON])</f>
        <v>218</v>
      </c>
      <c r="K48" s="2">
        <f>DEVSQ(Table33[Kryo (binary reference)])</f>
        <v>1188.6666666666665</v>
      </c>
      <c r="L48" s="2">
        <f>DEVSQ(Table33[Boon])</f>
        <v>58218</v>
      </c>
      <c r="M48" s="2">
        <f>DEVSQ(Table33[Alibaba])</f>
        <v>1208</v>
      </c>
      <c r="N48" s="2">
        <f>DEVSQ(Table33[Gson])</f>
        <v>482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58</v>
      </c>
      <c r="C52">
        <v>51</v>
      </c>
      <c r="D52">
        <v>58</v>
      </c>
      <c r="E52">
        <v>49</v>
      </c>
      <c r="F52">
        <v>56</v>
      </c>
      <c r="G52">
        <v>49</v>
      </c>
      <c r="H52">
        <v>78</v>
      </c>
      <c r="I52">
        <v>74</v>
      </c>
      <c r="J52">
        <v>74</v>
      </c>
      <c r="K52">
        <v>69</v>
      </c>
      <c r="L52">
        <v>57</v>
      </c>
      <c r="M52">
        <v>74</v>
      </c>
    </row>
    <row r="53" spans="2:25" x14ac:dyDescent="0.25">
      <c r="B53">
        <v>56</v>
      </c>
      <c r="C53">
        <v>58</v>
      </c>
      <c r="D53">
        <v>48</v>
      </c>
      <c r="E53">
        <v>50</v>
      </c>
      <c r="F53">
        <v>48</v>
      </c>
      <c r="G53">
        <v>61</v>
      </c>
      <c r="H53">
        <v>76</v>
      </c>
      <c r="I53">
        <v>72</v>
      </c>
      <c r="J53">
        <v>71</v>
      </c>
      <c r="K53">
        <v>73</v>
      </c>
      <c r="L53">
        <v>61</v>
      </c>
      <c r="M53">
        <v>64</v>
      </c>
    </row>
    <row r="54" spans="2:25" x14ac:dyDescent="0.25">
      <c r="B54">
        <v>51</v>
      </c>
      <c r="C54">
        <v>57</v>
      </c>
      <c r="D54">
        <v>51</v>
      </c>
      <c r="E54">
        <v>60</v>
      </c>
      <c r="F54">
        <v>52</v>
      </c>
      <c r="G54">
        <v>50</v>
      </c>
      <c r="H54">
        <v>74</v>
      </c>
      <c r="I54">
        <v>73</v>
      </c>
      <c r="J54">
        <v>62</v>
      </c>
      <c r="K54">
        <v>72</v>
      </c>
      <c r="L54">
        <v>71</v>
      </c>
      <c r="M54">
        <v>75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391</v>
      </c>
      <c r="C58">
        <v>175</v>
      </c>
      <c r="D58">
        <v>106</v>
      </c>
      <c r="E58">
        <v>353</v>
      </c>
      <c r="F58">
        <v>273</v>
      </c>
      <c r="G58">
        <v>221</v>
      </c>
      <c r="H58">
        <v>314</v>
      </c>
      <c r="I58">
        <v>215</v>
      </c>
      <c r="J58">
        <v>197</v>
      </c>
      <c r="K58">
        <v>470</v>
      </c>
      <c r="L58">
        <v>319</v>
      </c>
      <c r="M58">
        <v>512</v>
      </c>
      <c r="N58">
        <v>3346889</v>
      </c>
      <c r="O58">
        <v>3346472</v>
      </c>
      <c r="P58">
        <v>1658087</v>
      </c>
      <c r="Q58">
        <v>3346489</v>
      </c>
      <c r="R58">
        <v>3346489</v>
      </c>
      <c r="S58">
        <v>3346472</v>
      </c>
      <c r="T58">
        <v>3346889</v>
      </c>
      <c r="U58">
        <v>3346868</v>
      </c>
      <c r="V58">
        <v>3351895</v>
      </c>
      <c r="W58">
        <v>3346875</v>
      </c>
      <c r="X58">
        <v>3346689</v>
      </c>
      <c r="Y58">
        <v>3346889</v>
      </c>
    </row>
    <row r="59" spans="2:25" x14ac:dyDescent="0.25">
      <c r="B59">
        <v>379</v>
      </c>
      <c r="C59">
        <v>172</v>
      </c>
      <c r="D59">
        <v>101</v>
      </c>
      <c r="E59">
        <v>349</v>
      </c>
      <c r="F59">
        <v>278</v>
      </c>
      <c r="G59">
        <v>220</v>
      </c>
      <c r="H59">
        <v>327</v>
      </c>
      <c r="I59">
        <v>220</v>
      </c>
      <c r="J59">
        <v>207</v>
      </c>
      <c r="K59">
        <v>451</v>
      </c>
      <c r="L59">
        <v>345</v>
      </c>
      <c r="M59">
        <v>569</v>
      </c>
      <c r="N59">
        <v>3346889</v>
      </c>
      <c r="O59">
        <v>3346472</v>
      </c>
      <c r="P59">
        <v>1658087</v>
      </c>
      <c r="Q59">
        <v>3346489</v>
      </c>
      <c r="R59">
        <v>3346489</v>
      </c>
      <c r="S59">
        <v>3346472</v>
      </c>
      <c r="T59">
        <v>3346889</v>
      </c>
      <c r="U59">
        <v>3346868</v>
      </c>
      <c r="V59">
        <v>3351895</v>
      </c>
      <c r="W59">
        <v>3346875</v>
      </c>
      <c r="X59">
        <v>3346689</v>
      </c>
      <c r="Y59">
        <v>3346889</v>
      </c>
    </row>
    <row r="60" spans="2:25" x14ac:dyDescent="0.25">
      <c r="B60">
        <v>377</v>
      </c>
      <c r="C60">
        <v>180</v>
      </c>
      <c r="D60">
        <v>105</v>
      </c>
      <c r="E60">
        <v>346</v>
      </c>
      <c r="F60">
        <v>276</v>
      </c>
      <c r="G60">
        <v>226</v>
      </c>
      <c r="H60">
        <v>286</v>
      </c>
      <c r="I60">
        <v>220</v>
      </c>
      <c r="J60">
        <v>212</v>
      </c>
      <c r="K60">
        <v>495</v>
      </c>
      <c r="L60">
        <v>330</v>
      </c>
      <c r="M60">
        <v>508</v>
      </c>
      <c r="N60">
        <v>3346889</v>
      </c>
      <c r="O60">
        <v>3346472</v>
      </c>
      <c r="P60">
        <v>1658087</v>
      </c>
      <c r="Q60">
        <v>3346489</v>
      </c>
      <c r="R60">
        <v>3346489</v>
      </c>
      <c r="S60">
        <v>3346472</v>
      </c>
      <c r="T60">
        <v>3346889</v>
      </c>
      <c r="U60">
        <v>3346868</v>
      </c>
      <c r="V60">
        <v>3351895</v>
      </c>
      <c r="W60">
        <v>3346875</v>
      </c>
      <c r="X60">
        <v>3346689</v>
      </c>
      <c r="Y60">
        <v>3346889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986</v>
      </c>
      <c r="C64">
        <v>325</v>
      </c>
      <c r="D64">
        <v>183</v>
      </c>
      <c r="E64">
        <v>734</v>
      </c>
      <c r="F64">
        <v>497</v>
      </c>
      <c r="G64">
        <v>549</v>
      </c>
      <c r="H64">
        <v>539</v>
      </c>
      <c r="I64">
        <v>340</v>
      </c>
      <c r="J64">
        <v>411</v>
      </c>
      <c r="K64">
        <v>1440</v>
      </c>
      <c r="L64">
        <v>566</v>
      </c>
      <c r="M64">
        <v>803</v>
      </c>
    </row>
    <row r="65" spans="2:13" x14ac:dyDescent="0.25">
      <c r="B65">
        <v>1189</v>
      </c>
      <c r="C65">
        <v>330</v>
      </c>
      <c r="D65">
        <v>177</v>
      </c>
      <c r="E65">
        <v>714</v>
      </c>
      <c r="F65">
        <v>497</v>
      </c>
      <c r="G65">
        <v>549</v>
      </c>
      <c r="H65">
        <v>498</v>
      </c>
      <c r="I65">
        <v>323</v>
      </c>
      <c r="J65">
        <v>374</v>
      </c>
      <c r="K65">
        <v>1143</v>
      </c>
      <c r="L65">
        <v>604</v>
      </c>
      <c r="M65">
        <v>789</v>
      </c>
    </row>
    <row r="66" spans="2:13" x14ac:dyDescent="0.25">
      <c r="B66">
        <v>990</v>
      </c>
      <c r="C66">
        <v>324</v>
      </c>
      <c r="D66">
        <v>188</v>
      </c>
      <c r="E66">
        <v>734</v>
      </c>
      <c r="F66">
        <v>466</v>
      </c>
      <c r="G66">
        <v>554</v>
      </c>
      <c r="H66">
        <v>527</v>
      </c>
      <c r="I66">
        <v>342</v>
      </c>
      <c r="J66">
        <v>365</v>
      </c>
      <c r="K66">
        <v>1146</v>
      </c>
      <c r="L66">
        <v>612</v>
      </c>
      <c r="M66">
        <v>820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AVERAGE(Table37[Newtonsoft])</f>
        <v>480.66666666666669</v>
      </c>
      <c r="D38" s="2">
        <f>AVERAGE(Table37[Revenj])</f>
        <v>444</v>
      </c>
      <c r="E38" s="2">
        <f>AVERAGE(Table37[ProtoBuf (binary reference)])</f>
        <v>474</v>
      </c>
      <c r="F38" s="2">
        <f>AVERAGE(Table37[Service Stack])</f>
        <v>412.66666666666669</v>
      </c>
      <c r="G38" s="2">
        <f>AVERAGE(Table37[Jil])</f>
        <v>439.33333333333331</v>
      </c>
      <c r="H38" s="2">
        <f>AVERAGE(Table37[NetJSON])</f>
        <v>447.33333333333331</v>
      </c>
      <c r="I38" s="2">
        <f>AVERAGE(Table37[Jackson])</f>
        <v>263</v>
      </c>
      <c r="J38" s="2">
        <f>AVERAGE(Table37[DSL-JSON])</f>
        <v>256.66666666666669</v>
      </c>
      <c r="K38" s="2">
        <f>AVERAGE(Table37[Kryo (binary reference)])</f>
        <v>254.66666666666666</v>
      </c>
      <c r="L38" s="2">
        <f>AVERAGE(Table37[Boon])</f>
        <v>266</v>
      </c>
      <c r="M38" s="2">
        <f>AVERAGE(Table37[Alibaba])</f>
        <v>258.33333333333331</v>
      </c>
      <c r="N38" s="2">
        <f>AVERAGE(Table37[Gson])</f>
        <v>259</v>
      </c>
      <c r="O38" s="2"/>
      <c r="P38" s="2"/>
      <c r="Q38" s="2"/>
    </row>
    <row r="39" spans="2:17" x14ac:dyDescent="0.25">
      <c r="B39" t="s">
        <v>0</v>
      </c>
      <c r="C39" s="2">
        <f>AVERAGE(Table36[Newtonsoft]) - C38</f>
        <v>3155.666666666667</v>
      </c>
      <c r="D39" s="2">
        <f>AVERAGE(Table36[Revenj]) - D38</f>
        <v>1303</v>
      </c>
      <c r="E39" s="2">
        <f>AVERAGE(Table36[ProtoBuf (binary reference)]) - E38</f>
        <v>307.66666666666663</v>
      </c>
      <c r="F39" s="2">
        <f>AVERAGE(Table36[Service Stack]) - F38</f>
        <v>2919</v>
      </c>
      <c r="G39" s="2">
        <f>AVERAGE(Table36[Jil]) - G38</f>
        <v>2225.333333333333</v>
      </c>
      <c r="H39" s="2">
        <f>AVERAGE(Table36[NetJSON]) - H38</f>
        <v>1765.3333333333333</v>
      </c>
      <c r="I39" s="2">
        <f>AVERAGE(Table36[Jackson]) - I38</f>
        <v>671</v>
      </c>
      <c r="J39" s="2">
        <f>AVERAGE(Table36[DSL-JSON]) - J38</f>
        <v>427.33333333333331</v>
      </c>
      <c r="K39" s="2">
        <f>AVERAGE(Table36[Kryo (binary reference)]) - K38</f>
        <v>409</v>
      </c>
      <c r="L39" s="2">
        <f>AVERAGE(Table36[Boon]) - L38</f>
        <v>1971.3333333333335</v>
      </c>
      <c r="M39" s="2">
        <f>AVERAGE(Table36[Alibaba]) - M38</f>
        <v>723</v>
      </c>
      <c r="N39" s="2">
        <f>AVERAGE(Table36[Gson]) - N38</f>
        <v>2810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6054.6666666666661</v>
      </c>
      <c r="D40" s="2">
        <f t="shared" si="0"/>
        <v>1390.6666666666665</v>
      </c>
      <c r="E40" s="2">
        <f t="shared" ref="E40" si="1">E41 - E39 - E38</f>
        <v>843.66666666666652</v>
      </c>
      <c r="F40" s="2">
        <f t="shared" si="0"/>
        <v>3421.0000000000005</v>
      </c>
      <c r="G40" s="2">
        <f t="shared" si="0"/>
        <v>1818.0000000000007</v>
      </c>
      <c r="H40" s="2">
        <f t="shared" si="0"/>
        <v>3083.0000000000005</v>
      </c>
      <c r="I40" s="2">
        <f t="shared" ref="I40" si="2">I41 - I39 - I38</f>
        <v>1168.3333333333335</v>
      </c>
      <c r="J40" s="2">
        <f t="shared" ref="J40" si="3">J41 - J39 - J38</f>
        <v>253.33333333333337</v>
      </c>
      <c r="K40" s="2">
        <f t="shared" ref="K40:L40" si="4">K41 - K39 - K38</f>
        <v>483.66666666666663</v>
      </c>
      <c r="L40" s="2">
        <f t="shared" si="4"/>
        <v>6172.6666666666661</v>
      </c>
      <c r="M40" s="2">
        <f t="shared" ref="M40" si="5">M41 - M39 - M38</f>
        <v>988.66666666666674</v>
      </c>
      <c r="N40" s="2">
        <f t="shared" ref="N40" si="6">N41 - N39 - N38</f>
        <v>1627.333333333333</v>
      </c>
      <c r="O40" s="2"/>
      <c r="P40" s="2"/>
      <c r="Q40" s="2"/>
    </row>
    <row r="41" spans="2:17" x14ac:dyDescent="0.25">
      <c r="B41" t="s">
        <v>23</v>
      </c>
      <c r="C41" s="2">
        <f>AVERAGE(Table38[Newtonsoft])</f>
        <v>9691</v>
      </c>
      <c r="D41" s="2">
        <f>AVERAGE(Table38[Revenj])</f>
        <v>3137.6666666666665</v>
      </c>
      <c r="E41" s="2">
        <f>AVERAGE(Table38[ProtoBuf (binary reference)])</f>
        <v>1625.3333333333333</v>
      </c>
      <c r="F41" s="2">
        <f>AVERAGE(Table38[Service Stack])</f>
        <v>6752.666666666667</v>
      </c>
      <c r="G41" s="2">
        <f>AVERAGE(Table38[Jil])</f>
        <v>4482.666666666667</v>
      </c>
      <c r="H41" s="2">
        <f>AVERAGE(Table38[NetJSON])</f>
        <v>5295.666666666667</v>
      </c>
      <c r="I41" s="2">
        <f>AVERAGE(Table38[Jackson])</f>
        <v>2102.3333333333335</v>
      </c>
      <c r="J41" s="2">
        <f>AVERAGE(Table38[DSL-JSON])</f>
        <v>937.33333333333337</v>
      </c>
      <c r="K41" s="2">
        <f>AVERAGE(Table38[Kryo (binary reference)])</f>
        <v>1147.3333333333333</v>
      </c>
      <c r="L41" s="2">
        <f>AVERAGE(Table38[Boon])</f>
        <v>8410</v>
      </c>
      <c r="M41" s="2">
        <f>AVERAGE(Table38[Alibaba])</f>
        <v>1970</v>
      </c>
      <c r="N41" s="2">
        <f>AVERAGE(Table38[Gson])</f>
        <v>4696.333333333333</v>
      </c>
      <c r="O41" s="2"/>
      <c r="P41" s="2"/>
      <c r="Q41" s="2"/>
    </row>
    <row r="42" spans="2:17" x14ac:dyDescent="0.25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AVERAGE(Table36[ProtoBuf (size)])</f>
        <v>16941514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36448889</v>
      </c>
      <c r="J42" s="2">
        <f>AVERAGE(Table36[DSL-JSON (size)])</f>
        <v>36448868</v>
      </c>
      <c r="K42" s="2">
        <f>AVERAGE(Table36[Kryo (size)])</f>
        <v>33922404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DEVSQ(Table36[Newtonsoft])</f>
        <v>1674.666666666667</v>
      </c>
      <c r="D47" s="2">
        <f>DEVSQ(Table36[Revenj])</f>
        <v>182</v>
      </c>
      <c r="E47" s="2">
        <f>DEVSQ(Table36[ProtoBuf (binary reference)])</f>
        <v>68.666666666666671</v>
      </c>
      <c r="F47" s="2">
        <f>DEVSQ(Table36[Service Stack])</f>
        <v>6880.666666666667</v>
      </c>
      <c r="G47" s="2">
        <f>DEVSQ(Table36[Jil])</f>
        <v>1162.6666666666665</v>
      </c>
      <c r="H47" s="2">
        <f>DEVSQ(Table36[NetJSON])</f>
        <v>24498.666666666664</v>
      </c>
      <c r="I47" s="2">
        <f>DEVSQ(Table36[Jackson])</f>
        <v>1742</v>
      </c>
      <c r="J47" s="2">
        <f>DEVSQ(Table36[DSL-JSON])</f>
        <v>8550</v>
      </c>
      <c r="K47" s="2">
        <f>DEVSQ(Table36[Kryo (binary reference)])</f>
        <v>380.66666666666669</v>
      </c>
      <c r="L47" s="2">
        <f>DEVSQ(Table36[Boon])</f>
        <v>368.66666666666663</v>
      </c>
      <c r="M47" s="2">
        <f>DEVSQ(Table36[Alibaba])</f>
        <v>108.66666666666667</v>
      </c>
      <c r="N47" s="2">
        <f>DEVSQ(Table36[Gson])</f>
        <v>67094</v>
      </c>
      <c r="O47" s="2"/>
      <c r="P47" s="2"/>
      <c r="Q47" s="2"/>
    </row>
    <row r="48" spans="2:17" x14ac:dyDescent="0.25">
      <c r="B48" t="s">
        <v>23</v>
      </c>
      <c r="C48" s="2">
        <f>DEVSQ(Table38[Newtonsoft])</f>
        <v>85254</v>
      </c>
      <c r="D48" s="2">
        <f>DEVSQ(Table38[Revenj])</f>
        <v>3404.666666666667</v>
      </c>
      <c r="E48" s="2">
        <f>DEVSQ(Table38[ProtoBuf (binary reference)])</f>
        <v>552.66666666666674</v>
      </c>
      <c r="F48" s="2">
        <f>DEVSQ(Table38[Service Stack])</f>
        <v>152.66666666666669</v>
      </c>
      <c r="G48" s="2">
        <f>DEVSQ(Table38[Jil])</f>
        <v>9664.6666666666679</v>
      </c>
      <c r="H48" s="2">
        <f>DEVSQ(Table38[NetJSON])</f>
        <v>13516.666666666668</v>
      </c>
      <c r="I48" s="2">
        <f>DEVSQ(Table38[Jackson])</f>
        <v>1930.666666666667</v>
      </c>
      <c r="J48" s="2">
        <f>DEVSQ(Table38[DSL-JSON])</f>
        <v>74.666666666666671</v>
      </c>
      <c r="K48" s="2">
        <f>DEVSQ(Table38[Kryo (binary reference)])</f>
        <v>164.66666666666666</v>
      </c>
      <c r="L48" s="2">
        <f>DEVSQ(Table38[Boon])</f>
        <v>104216</v>
      </c>
      <c r="M48" s="2">
        <f>DEVSQ(Table38[Alibaba])</f>
        <v>54</v>
      </c>
      <c r="N48" s="2">
        <f>DEVSQ(Table38[Gson])</f>
        <v>335768.66666666663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494</v>
      </c>
      <c r="C52">
        <v>477</v>
      </c>
      <c r="D52">
        <v>465</v>
      </c>
      <c r="E52">
        <v>384</v>
      </c>
      <c r="F52">
        <v>468</v>
      </c>
      <c r="G52">
        <v>389</v>
      </c>
      <c r="H52">
        <v>260</v>
      </c>
      <c r="I52">
        <v>256</v>
      </c>
      <c r="J52">
        <v>253</v>
      </c>
      <c r="K52">
        <v>269</v>
      </c>
      <c r="L52">
        <v>258</v>
      </c>
      <c r="M52">
        <v>262</v>
      </c>
    </row>
    <row r="53" spans="2:25" x14ac:dyDescent="0.25">
      <c r="B53">
        <v>480</v>
      </c>
      <c r="C53">
        <v>468</v>
      </c>
      <c r="D53">
        <v>482</v>
      </c>
      <c r="E53">
        <v>469</v>
      </c>
      <c r="F53">
        <v>467</v>
      </c>
      <c r="G53">
        <v>477</v>
      </c>
      <c r="H53">
        <v>263</v>
      </c>
      <c r="I53">
        <v>254</v>
      </c>
      <c r="J53">
        <v>253</v>
      </c>
      <c r="K53">
        <v>266</v>
      </c>
      <c r="L53">
        <v>256</v>
      </c>
      <c r="M53">
        <v>260</v>
      </c>
    </row>
    <row r="54" spans="2:25" x14ac:dyDescent="0.25">
      <c r="B54">
        <v>468</v>
      </c>
      <c r="C54">
        <v>387</v>
      </c>
      <c r="D54">
        <v>475</v>
      </c>
      <c r="E54">
        <v>385</v>
      </c>
      <c r="F54">
        <v>383</v>
      </c>
      <c r="G54">
        <v>476</v>
      </c>
      <c r="H54">
        <v>266</v>
      </c>
      <c r="I54">
        <v>260</v>
      </c>
      <c r="J54">
        <v>258</v>
      </c>
      <c r="K54">
        <v>263</v>
      </c>
      <c r="L54">
        <v>261</v>
      </c>
      <c r="M54">
        <v>255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3651</v>
      </c>
      <c r="C58">
        <v>1756</v>
      </c>
      <c r="D58">
        <v>786</v>
      </c>
      <c r="E58">
        <v>3363</v>
      </c>
      <c r="F58">
        <v>2662</v>
      </c>
      <c r="G58">
        <v>2336</v>
      </c>
      <c r="H58">
        <v>935</v>
      </c>
      <c r="I58">
        <v>759</v>
      </c>
      <c r="J58">
        <v>669</v>
      </c>
      <c r="K58">
        <v>2229</v>
      </c>
      <c r="L58">
        <v>984</v>
      </c>
      <c r="M58">
        <v>3280</v>
      </c>
      <c r="N58">
        <v>36448889</v>
      </c>
      <c r="O58">
        <v>36444872</v>
      </c>
      <c r="P58">
        <v>16941514</v>
      </c>
      <c r="Q58">
        <v>36444889</v>
      </c>
      <c r="R58">
        <v>36444889</v>
      </c>
      <c r="S58">
        <v>36444872</v>
      </c>
      <c r="T58">
        <v>36448889</v>
      </c>
      <c r="U58">
        <v>36448868</v>
      </c>
      <c r="V58">
        <v>33922404</v>
      </c>
      <c r="W58">
        <v>36448875</v>
      </c>
      <c r="X58">
        <v>36446889</v>
      </c>
      <c r="Y58">
        <v>36448889</v>
      </c>
    </row>
    <row r="59" spans="2:25" x14ac:dyDescent="0.25">
      <c r="B59">
        <v>3603</v>
      </c>
      <c r="C59">
        <v>1737</v>
      </c>
      <c r="D59">
        <v>775</v>
      </c>
      <c r="E59">
        <v>3264</v>
      </c>
      <c r="F59">
        <v>2642</v>
      </c>
      <c r="G59">
        <v>2122</v>
      </c>
      <c r="H59">
        <v>904</v>
      </c>
      <c r="I59">
        <v>639</v>
      </c>
      <c r="J59">
        <v>674</v>
      </c>
      <c r="K59">
        <v>2253</v>
      </c>
      <c r="L59">
        <v>987</v>
      </c>
      <c r="M59">
        <v>2976</v>
      </c>
      <c r="N59">
        <v>36448889</v>
      </c>
      <c r="O59">
        <v>36444872</v>
      </c>
      <c r="P59">
        <v>16941514</v>
      </c>
      <c r="Q59">
        <v>36444889</v>
      </c>
      <c r="R59">
        <v>36444889</v>
      </c>
      <c r="S59">
        <v>36444872</v>
      </c>
      <c r="T59">
        <v>36448889</v>
      </c>
      <c r="U59">
        <v>36448868</v>
      </c>
      <c r="V59">
        <v>33922404</v>
      </c>
      <c r="W59">
        <v>36448875</v>
      </c>
      <c r="X59">
        <v>36446889</v>
      </c>
      <c r="Y59">
        <v>36448889</v>
      </c>
    </row>
    <row r="60" spans="2:25" x14ac:dyDescent="0.25">
      <c r="B60">
        <v>3655</v>
      </c>
      <c r="C60">
        <v>1748</v>
      </c>
      <c r="D60">
        <v>784</v>
      </c>
      <c r="E60">
        <v>3368</v>
      </c>
      <c r="F60">
        <v>2690</v>
      </c>
      <c r="G60">
        <v>2180</v>
      </c>
      <c r="H60">
        <v>963</v>
      </c>
      <c r="I60">
        <v>654</v>
      </c>
      <c r="J60">
        <v>648</v>
      </c>
      <c r="K60">
        <v>2230</v>
      </c>
      <c r="L60">
        <v>973</v>
      </c>
      <c r="M60">
        <v>2951</v>
      </c>
      <c r="N60">
        <v>36448889</v>
      </c>
      <c r="O60">
        <v>36444872</v>
      </c>
      <c r="P60">
        <v>16941514</v>
      </c>
      <c r="Q60">
        <v>36444889</v>
      </c>
      <c r="R60">
        <v>36444889</v>
      </c>
      <c r="S60">
        <v>36444872</v>
      </c>
      <c r="T60">
        <v>36448889</v>
      </c>
      <c r="U60">
        <v>36448868</v>
      </c>
      <c r="V60">
        <v>33922404</v>
      </c>
      <c r="W60">
        <v>36448875</v>
      </c>
      <c r="X60">
        <v>36446889</v>
      </c>
      <c r="Y60">
        <v>36448889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9798</v>
      </c>
      <c r="C64">
        <v>3176</v>
      </c>
      <c r="D64">
        <v>1610</v>
      </c>
      <c r="E64">
        <v>6755</v>
      </c>
      <c r="F64">
        <v>4421</v>
      </c>
      <c r="G64">
        <v>5389</v>
      </c>
      <c r="H64">
        <v>2137</v>
      </c>
      <c r="I64">
        <v>944</v>
      </c>
      <c r="J64">
        <v>1146</v>
      </c>
      <c r="K64">
        <v>8598</v>
      </c>
      <c r="L64">
        <v>1967</v>
      </c>
      <c r="M64">
        <v>4478</v>
      </c>
    </row>
    <row r="65" spans="2:13" x14ac:dyDescent="0.25">
      <c r="B65">
        <v>9822</v>
      </c>
      <c r="C65">
        <v>3143</v>
      </c>
      <c r="D65">
        <v>1623</v>
      </c>
      <c r="E65">
        <v>6743</v>
      </c>
      <c r="F65">
        <v>4469</v>
      </c>
      <c r="G65">
        <v>5234</v>
      </c>
      <c r="H65">
        <v>2077</v>
      </c>
      <c r="I65">
        <v>932</v>
      </c>
      <c r="J65">
        <v>1157</v>
      </c>
      <c r="K65">
        <v>8476</v>
      </c>
      <c r="L65">
        <v>1967</v>
      </c>
      <c r="M65">
        <v>5169</v>
      </c>
    </row>
    <row r="66" spans="2:13" x14ac:dyDescent="0.25">
      <c r="B66">
        <v>9453</v>
      </c>
      <c r="C66">
        <v>3094</v>
      </c>
      <c r="D66">
        <v>1643</v>
      </c>
      <c r="E66">
        <v>6760</v>
      </c>
      <c r="F66">
        <v>4558</v>
      </c>
      <c r="G66">
        <v>5264</v>
      </c>
      <c r="H66">
        <v>2093</v>
      </c>
      <c r="I66">
        <v>936</v>
      </c>
      <c r="J66">
        <v>1139</v>
      </c>
      <c r="K66">
        <v>8156</v>
      </c>
      <c r="L66">
        <v>1976</v>
      </c>
      <c r="M66">
        <v>4442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AVERAGE(Table42[Newtonsoft])</f>
        <v>3995.3333333333335</v>
      </c>
      <c r="D38" s="2">
        <f>AVERAGE(Table42[Revenj])</f>
        <v>4071.6666666666665</v>
      </c>
      <c r="E38" s="2">
        <f>AVERAGE(Table42[ProtoBuf (binary reference)])</f>
        <v>4255.333333333333</v>
      </c>
      <c r="F38" s="2">
        <f>AVERAGE(Table42[Service Stack])</f>
        <v>4263</v>
      </c>
      <c r="G38" s="2">
        <f>AVERAGE(Table42[Jil])</f>
        <v>4276.666666666667</v>
      </c>
      <c r="H38" s="2">
        <f>AVERAGE(Table42[NetJSON])</f>
        <v>4290</v>
      </c>
      <c r="I38" s="2">
        <f>AVERAGE(Table42[Jackson])</f>
        <v>2336</v>
      </c>
      <c r="J38" s="2">
        <f>AVERAGE(Table42[DSL-JSON])</f>
        <v>2323</v>
      </c>
      <c r="K38" s="2">
        <f>AVERAGE(Table42[Kryo (binary reference)])</f>
        <v>2317.6666666666665</v>
      </c>
      <c r="L38" s="2">
        <f>AVERAGE(Table42[Boon])</f>
        <v>2252.6666666666665</v>
      </c>
      <c r="M38" s="2">
        <f>AVERAGE(Table42[Alibaba])</f>
        <v>2252.3333333333335</v>
      </c>
      <c r="N38" s="2">
        <f>AVERAGE(Table42[Gson])</f>
        <v>2264.6666666666665</v>
      </c>
      <c r="O38" s="2"/>
      <c r="P38" s="2"/>
      <c r="Q38" s="2"/>
    </row>
    <row r="39" spans="2:17" x14ac:dyDescent="0.25">
      <c r="B39" t="s">
        <v>0</v>
      </c>
      <c r="C39" s="2">
        <f>AVERAGE(Table41[Newtonsoft]) - C38</f>
        <v>33201</v>
      </c>
      <c r="D39" s="2">
        <f>AVERAGE(Table41[Revenj]) - D38</f>
        <v>13475.000000000002</v>
      </c>
      <c r="E39" s="2">
        <f>AVERAGE(Table41[ProtoBuf (binary reference)]) - E38</f>
        <v>3711.666666666667</v>
      </c>
      <c r="F39" s="2">
        <f>AVERAGE(Table41[Service Stack]) - F38</f>
        <v>28981.666666666664</v>
      </c>
      <c r="G39" s="2">
        <f>AVERAGE(Table41[Jil]) - G38</f>
        <v>22957.666666666664</v>
      </c>
      <c r="H39" s="2">
        <f>AVERAGE(Table41[NetJSON]) - H38</f>
        <v>17095.666666666668</v>
      </c>
      <c r="I39" s="2">
        <f>AVERAGE(Table41[Jackson]) - I38</f>
        <v>5023.333333333333</v>
      </c>
      <c r="J39" s="2">
        <f>AVERAGE(Table41[DSL-JSON]) - J38</f>
        <v>3133.666666666667</v>
      </c>
      <c r="K39" s="2">
        <f>AVERAGE(Table41[Kryo (binary reference)]) - K38</f>
        <v>2987.0000000000005</v>
      </c>
      <c r="L39" s="2">
        <f>AVERAGE(Table41[Boon]) - L38</f>
        <v>17977</v>
      </c>
      <c r="M39" s="2">
        <f>AVERAGE(Table41[Alibaba]) - M38</f>
        <v>5814</v>
      </c>
      <c r="N39" s="2">
        <f>AVERAGE(Table41[Gson]) - N38</f>
        <v>25023.333333333332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62022.333333333336</v>
      </c>
      <c r="D40" s="2">
        <f t="shared" si="0"/>
        <v>13851.333333333334</v>
      </c>
      <c r="E40" s="2">
        <f t="shared" ref="E40" si="1">E41 - E39 - E38</f>
        <v>7478.666666666667</v>
      </c>
      <c r="F40" s="2">
        <f t="shared" si="0"/>
        <v>35802.666666666664</v>
      </c>
      <c r="G40" s="2">
        <f t="shared" si="0"/>
        <v>18117.333333333332</v>
      </c>
      <c r="H40" s="2">
        <f t="shared" si="0"/>
        <v>31730.666666666672</v>
      </c>
      <c r="I40" s="2">
        <f t="shared" ref="I40" si="2">I41 - I39 - I38</f>
        <v>9650.6666666666679</v>
      </c>
      <c r="J40" s="2">
        <f t="shared" ref="J40" si="3">J41 - J39 - J38</f>
        <v>2115.6666666666661</v>
      </c>
      <c r="K40" s="2">
        <f t="shared" ref="K40:L40" si="4">K41 - K39 - K38</f>
        <v>3560.6666666666674</v>
      </c>
      <c r="L40" s="2">
        <f t="shared" si="4"/>
        <v>63036.333333333336</v>
      </c>
      <c r="M40" s="2">
        <f t="shared" ref="M40" si="5">M41 - M39 - M38</f>
        <v>8284.3333333333321</v>
      </c>
      <c r="N40" s="2">
        <f t="shared" ref="N40" si="6">N41 - N39 - N38</f>
        <v>15019.666666666666</v>
      </c>
      <c r="O40" s="2"/>
      <c r="P40" s="2"/>
      <c r="Q40" s="2"/>
    </row>
    <row r="41" spans="2:17" x14ac:dyDescent="0.25">
      <c r="B41" t="s">
        <v>23</v>
      </c>
      <c r="C41" s="2">
        <f>AVERAGE(Table43[Newtonsoft])</f>
        <v>99218.666666666672</v>
      </c>
      <c r="D41" s="2">
        <f>AVERAGE(Table43[Revenj])</f>
        <v>31398</v>
      </c>
      <c r="E41" s="2">
        <f>AVERAGE(Table43[ProtoBuf (binary reference)])</f>
        <v>15445.666666666666</v>
      </c>
      <c r="F41" s="2">
        <f>AVERAGE(Table43[Service Stack])</f>
        <v>69047.333333333328</v>
      </c>
      <c r="G41" s="2">
        <f>AVERAGE(Table43[Jil])</f>
        <v>45351.666666666664</v>
      </c>
      <c r="H41" s="2">
        <f>AVERAGE(Table43[NetJSON])</f>
        <v>53116.333333333336</v>
      </c>
      <c r="I41" s="2">
        <f>AVERAGE(Table43[Jackson])</f>
        <v>17010</v>
      </c>
      <c r="J41" s="2">
        <f>AVERAGE(Table43[DSL-JSON])</f>
        <v>7572.333333333333</v>
      </c>
      <c r="K41" s="2">
        <f>AVERAGE(Table43[Kryo (binary reference)])</f>
        <v>8865.3333333333339</v>
      </c>
      <c r="L41" s="2">
        <f>AVERAGE(Table43[Boon])</f>
        <v>83266</v>
      </c>
      <c r="M41" s="2">
        <f>AVERAGE(Table43[Alibaba])</f>
        <v>16350.666666666666</v>
      </c>
      <c r="N41" s="2">
        <f>AVERAGE(Table43[Gson])</f>
        <v>42307.666666666664</v>
      </c>
      <c r="O41" s="2"/>
      <c r="P41" s="2"/>
      <c r="Q41" s="2"/>
    </row>
    <row r="42" spans="2:17" x14ac:dyDescent="0.25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AVERAGE(Table41[ProtoBuf (size)])</f>
        <v>184924181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394468889</v>
      </c>
      <c r="J42" s="2">
        <f>AVERAGE(Table41[DSL-JSON (size)])</f>
        <v>394468868</v>
      </c>
      <c r="K42" s="2">
        <f>AVERAGE(Table41[Kryo (size)])</f>
        <v>350301313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DEVSQ(Table41[Newtonsoft])</f>
        <v>130978.66666666666</v>
      </c>
      <c r="D47" s="2">
        <f>DEVSQ(Table41[Revenj])</f>
        <v>235816.66666666669</v>
      </c>
      <c r="E47" s="2">
        <f>DEVSQ(Table41[ProtoBuf (binary reference)])</f>
        <v>658034</v>
      </c>
      <c r="F47" s="2">
        <f>DEVSQ(Table41[Service Stack])</f>
        <v>19170.666666666668</v>
      </c>
      <c r="G47" s="2">
        <f>DEVSQ(Table41[Jil])</f>
        <v>197348.66666666669</v>
      </c>
      <c r="H47" s="2">
        <f>DEVSQ(Table41[NetJSON])</f>
        <v>278338.66666666663</v>
      </c>
      <c r="I47" s="2">
        <f>DEVSQ(Table41[Jackson])</f>
        <v>2860.6666666666665</v>
      </c>
      <c r="J47" s="2">
        <f>DEVSQ(Table41[DSL-JSON])</f>
        <v>5442.666666666667</v>
      </c>
      <c r="K47" s="2">
        <f>DEVSQ(Table41[Kryo (binary reference)])</f>
        <v>20498.666666666668</v>
      </c>
      <c r="L47" s="2">
        <f>DEVSQ(Table41[Boon])</f>
        <v>164.66666666666666</v>
      </c>
      <c r="M47" s="2">
        <f>DEVSQ(Table41[Alibaba])</f>
        <v>1648616.6666666667</v>
      </c>
      <c r="N47" s="2">
        <f>DEVSQ(Table41[Gson])</f>
        <v>348318</v>
      </c>
      <c r="O47" s="2"/>
      <c r="P47" s="2"/>
      <c r="Q47" s="2"/>
    </row>
    <row r="48" spans="2:17" x14ac:dyDescent="0.25">
      <c r="B48" t="s">
        <v>23</v>
      </c>
      <c r="C48" s="2">
        <f>DEVSQ(Table43[Newtonsoft])</f>
        <v>7400642.666666666</v>
      </c>
      <c r="D48" s="2">
        <f>DEVSQ(Table43[Revenj])</f>
        <v>128222</v>
      </c>
      <c r="E48" s="2">
        <f>DEVSQ(Table43[ProtoBuf (binary reference)])</f>
        <v>235848.66666666666</v>
      </c>
      <c r="F48" s="2">
        <f>DEVSQ(Table43[Service Stack])</f>
        <v>992002.66666666663</v>
      </c>
      <c r="G48" s="2">
        <f>DEVSQ(Table43[Jil])</f>
        <v>1346444.6666666667</v>
      </c>
      <c r="H48" s="2">
        <f>DEVSQ(Table43[NetJSON])</f>
        <v>123474.66666666666</v>
      </c>
      <c r="I48" s="2">
        <f>DEVSQ(Table43[Jackson])</f>
        <v>895776</v>
      </c>
      <c r="J48" s="2">
        <f>DEVSQ(Table43[DSL-JSON])</f>
        <v>2482.6666666666665</v>
      </c>
      <c r="K48" s="2">
        <f>DEVSQ(Table43[Kryo (binary reference)])</f>
        <v>132824.66666666666</v>
      </c>
      <c r="L48" s="2">
        <f>DEVSQ(Table43[Boon])</f>
        <v>2373176</v>
      </c>
      <c r="M48" s="2">
        <f>DEVSQ(Table43[Alibaba])</f>
        <v>645860.66666666674</v>
      </c>
      <c r="N48" s="2">
        <f>DEVSQ(Table43[Gson])</f>
        <v>64332.666666666657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3710</v>
      </c>
      <c r="C52">
        <v>4722</v>
      </c>
      <c r="D52">
        <v>4581</v>
      </c>
      <c r="E52">
        <v>3724</v>
      </c>
      <c r="F52">
        <v>4524</v>
      </c>
      <c r="G52">
        <v>4573</v>
      </c>
      <c r="H52">
        <v>2332</v>
      </c>
      <c r="I52">
        <v>2314</v>
      </c>
      <c r="J52">
        <v>2313</v>
      </c>
      <c r="K52">
        <v>2247</v>
      </c>
      <c r="L52">
        <v>2289</v>
      </c>
      <c r="M52">
        <v>2236</v>
      </c>
    </row>
    <row r="53" spans="2:25" x14ac:dyDescent="0.25">
      <c r="B53">
        <v>4569</v>
      </c>
      <c r="C53">
        <v>3687</v>
      </c>
      <c r="D53">
        <v>4472</v>
      </c>
      <c r="E53">
        <v>4540</v>
      </c>
      <c r="F53">
        <v>3734</v>
      </c>
      <c r="G53">
        <v>3719</v>
      </c>
      <c r="H53">
        <v>2327</v>
      </c>
      <c r="I53">
        <v>2338</v>
      </c>
      <c r="J53">
        <v>2361</v>
      </c>
      <c r="K53">
        <v>2251</v>
      </c>
      <c r="L53">
        <v>2249</v>
      </c>
      <c r="M53">
        <v>2262</v>
      </c>
    </row>
    <row r="54" spans="2:25" x14ac:dyDescent="0.25">
      <c r="B54">
        <v>3707</v>
      </c>
      <c r="C54">
        <v>3806</v>
      </c>
      <c r="D54">
        <v>3713</v>
      </c>
      <c r="E54">
        <v>4525</v>
      </c>
      <c r="F54">
        <v>4572</v>
      </c>
      <c r="G54">
        <v>4578</v>
      </c>
      <c r="H54">
        <v>2349</v>
      </c>
      <c r="I54">
        <v>2317</v>
      </c>
      <c r="J54">
        <v>2279</v>
      </c>
      <c r="K54">
        <v>2260</v>
      </c>
      <c r="L54">
        <v>2219</v>
      </c>
      <c r="M54">
        <v>2296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37289</v>
      </c>
      <c r="C58">
        <v>17575</v>
      </c>
      <c r="D58">
        <v>7695</v>
      </c>
      <c r="E58">
        <v>33334</v>
      </c>
      <c r="F58">
        <v>27577</v>
      </c>
      <c r="G58">
        <v>21219</v>
      </c>
      <c r="H58">
        <v>7403</v>
      </c>
      <c r="I58">
        <v>5514</v>
      </c>
      <c r="J58">
        <v>5192</v>
      </c>
      <c r="K58">
        <v>20223</v>
      </c>
      <c r="L58">
        <v>7143</v>
      </c>
      <c r="M58">
        <v>27681</v>
      </c>
      <c r="N58">
        <v>394468889</v>
      </c>
      <c r="O58">
        <v>394428872</v>
      </c>
      <c r="P58">
        <v>184924181</v>
      </c>
      <c r="Q58">
        <v>394428889</v>
      </c>
      <c r="R58">
        <v>394428889</v>
      </c>
      <c r="S58">
        <v>394428872</v>
      </c>
      <c r="T58">
        <v>394468889</v>
      </c>
      <c r="U58">
        <v>394468868</v>
      </c>
      <c r="V58">
        <v>350301313</v>
      </c>
      <c r="W58">
        <v>394468875</v>
      </c>
      <c r="X58">
        <v>394448889</v>
      </c>
      <c r="Y58">
        <v>394468889</v>
      </c>
    </row>
    <row r="59" spans="2:25" x14ac:dyDescent="0.25">
      <c r="B59">
        <v>36907</v>
      </c>
      <c r="C59">
        <v>17190</v>
      </c>
      <c r="D59">
        <v>7580</v>
      </c>
      <c r="E59">
        <v>33260</v>
      </c>
      <c r="F59">
        <v>27166</v>
      </c>
      <c r="G59">
        <v>21125</v>
      </c>
      <c r="H59">
        <v>7338</v>
      </c>
      <c r="I59">
        <v>5412</v>
      </c>
      <c r="J59">
        <v>5388</v>
      </c>
      <c r="K59">
        <v>20240</v>
      </c>
      <c r="L59">
        <v>8958</v>
      </c>
      <c r="M59">
        <v>27333</v>
      </c>
      <c r="N59">
        <v>394468889</v>
      </c>
      <c r="O59">
        <v>394428872</v>
      </c>
      <c r="P59">
        <v>184924181</v>
      </c>
      <c r="Q59">
        <v>394428889</v>
      </c>
      <c r="R59">
        <v>394428889</v>
      </c>
      <c r="S59">
        <v>394428872</v>
      </c>
      <c r="T59">
        <v>394468889</v>
      </c>
      <c r="U59">
        <v>394468868</v>
      </c>
      <c r="V59">
        <v>350301313</v>
      </c>
      <c r="W59">
        <v>394468875</v>
      </c>
      <c r="X59">
        <v>394448889</v>
      </c>
      <c r="Y59">
        <v>394468889</v>
      </c>
    </row>
    <row r="60" spans="2:25" x14ac:dyDescent="0.25">
      <c r="B60">
        <v>37393</v>
      </c>
      <c r="C60">
        <v>17875</v>
      </c>
      <c r="D60">
        <v>8626</v>
      </c>
      <c r="E60">
        <v>33140</v>
      </c>
      <c r="F60">
        <v>26960</v>
      </c>
      <c r="G60">
        <v>21813</v>
      </c>
      <c r="H60">
        <v>7337</v>
      </c>
      <c r="I60">
        <v>5444</v>
      </c>
      <c r="J60">
        <v>5334</v>
      </c>
      <c r="K60">
        <v>20226</v>
      </c>
      <c r="L60">
        <v>8098</v>
      </c>
      <c r="M60">
        <v>26850</v>
      </c>
      <c r="N60">
        <v>394468889</v>
      </c>
      <c r="O60">
        <v>394428872</v>
      </c>
      <c r="P60">
        <v>184924181</v>
      </c>
      <c r="Q60">
        <v>394428889</v>
      </c>
      <c r="R60">
        <v>394428889</v>
      </c>
      <c r="S60">
        <v>394428872</v>
      </c>
      <c r="T60">
        <v>394468889</v>
      </c>
      <c r="U60">
        <v>394468868</v>
      </c>
      <c r="V60">
        <v>350301313</v>
      </c>
      <c r="W60">
        <v>394468875</v>
      </c>
      <c r="X60">
        <v>394448889</v>
      </c>
      <c r="Y60">
        <v>394468889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101438</v>
      </c>
      <c r="C64">
        <v>31199</v>
      </c>
      <c r="D64">
        <v>15125</v>
      </c>
      <c r="E64">
        <v>69070</v>
      </c>
      <c r="F64">
        <v>44685</v>
      </c>
      <c r="G64">
        <v>53005</v>
      </c>
      <c r="H64">
        <v>17734</v>
      </c>
      <c r="I64">
        <v>7605</v>
      </c>
      <c r="J64">
        <v>9037</v>
      </c>
      <c r="K64">
        <v>82092</v>
      </c>
      <c r="L64">
        <v>16656</v>
      </c>
      <c r="M64">
        <v>42500</v>
      </c>
    </row>
    <row r="65" spans="2:13" x14ac:dyDescent="0.25">
      <c r="B65">
        <v>98030</v>
      </c>
      <c r="C65">
        <v>31683</v>
      </c>
      <c r="D65">
        <v>15808</v>
      </c>
      <c r="E65">
        <v>69740</v>
      </c>
      <c r="F65">
        <v>46268</v>
      </c>
      <c r="G65">
        <v>53401</v>
      </c>
      <c r="H65">
        <v>16414</v>
      </c>
      <c r="I65">
        <v>7535</v>
      </c>
      <c r="J65">
        <v>8569</v>
      </c>
      <c r="K65">
        <v>84244</v>
      </c>
      <c r="L65">
        <v>16701</v>
      </c>
      <c r="M65">
        <v>42278</v>
      </c>
    </row>
    <row r="66" spans="2:13" x14ac:dyDescent="0.25">
      <c r="B66">
        <v>98188</v>
      </c>
      <c r="C66">
        <v>31312</v>
      </c>
      <c r="D66">
        <v>15404</v>
      </c>
      <c r="E66">
        <v>68332</v>
      </c>
      <c r="F66">
        <v>45102</v>
      </c>
      <c r="G66">
        <v>52943</v>
      </c>
      <c r="H66">
        <v>16882</v>
      </c>
      <c r="I66">
        <v>7577</v>
      </c>
      <c r="J66">
        <v>8990</v>
      </c>
      <c r="K66">
        <v>83462</v>
      </c>
      <c r="L66">
        <v>15695</v>
      </c>
      <c r="M66">
        <v>42145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AVERAGE(Table47[Newtonsoft])</f>
        <v>73.333333333333329</v>
      </c>
      <c r="D38" s="2">
        <f>AVERAGE(Table47[Revenj])</f>
        <v>78.333333333333329</v>
      </c>
      <c r="E38" s="2">
        <f>AVERAGE(Table47[ProtoBuf (binary reference)])</f>
        <v>73.333333333333329</v>
      </c>
      <c r="F38" s="2">
        <f>AVERAGE(Table47[Service Stack])</f>
        <v>76.333333333333329</v>
      </c>
      <c r="G38" s="2">
        <f>AVERAGE(Table47[Jil])</f>
        <v>76.333333333333329</v>
      </c>
      <c r="H38" s="2">
        <f>AVERAGE(Table47[NetJSON])</f>
        <v>72.666666666666671</v>
      </c>
      <c r="I38" s="2">
        <f>AVERAGE(Table47[Jackson])</f>
        <v>335.66666666666669</v>
      </c>
      <c r="J38" s="2">
        <f>AVERAGE(Table47[DSL-JSON])</f>
        <v>315.66666666666669</v>
      </c>
      <c r="K38" s="2">
        <f>AVERAGE(Table47[Kryo (binary reference)])</f>
        <v>338.66666666666669</v>
      </c>
      <c r="L38" s="2">
        <f>AVERAGE(Table47[Boon])</f>
        <v>372.33333333333331</v>
      </c>
      <c r="M38" s="2">
        <f>AVERAGE(Table47[Alibaba])</f>
        <v>369.66666666666669</v>
      </c>
      <c r="N38" s="2">
        <f>AVERAGE(Table47[Gson])</f>
        <v>365.33333333333331</v>
      </c>
      <c r="O38" s="2"/>
      <c r="P38" s="2"/>
      <c r="Q38" s="2"/>
    </row>
    <row r="39" spans="2:17" x14ac:dyDescent="0.25">
      <c r="B39" t="s">
        <v>0</v>
      </c>
      <c r="C39" s="2">
        <f>AVERAGE(Table46[Newtonsoft]) - C38</f>
        <v>288.66666666666669</v>
      </c>
      <c r="D39" s="2">
        <f>AVERAGE(Table46[Revenj]) - D38</f>
        <v>75.333333333333329</v>
      </c>
      <c r="E39" s="2">
        <f>AVERAGE(Table46[ProtoBuf (binary reference)]) - E38</f>
        <v>105.00000000000001</v>
      </c>
      <c r="F39" s="2">
        <f>AVERAGE(Table46[Service Stack]) - F38</f>
        <v>312</v>
      </c>
      <c r="G39" s="2">
        <f>AVERAGE(Table46[Jil]) - G38</f>
        <v>190.33333333333337</v>
      </c>
      <c r="H39" s="2">
        <f>AVERAGE(Table46[NetJSON]) - H38</f>
        <v>192.33333333333331</v>
      </c>
      <c r="I39" s="2">
        <f>AVERAGE(Table46[Jackson]) - I38</f>
        <v>140</v>
      </c>
      <c r="J39" s="2">
        <f>AVERAGE(Table46[DSL-JSON]) - J38</f>
        <v>41</v>
      </c>
      <c r="K39" s="2">
        <f>AVERAGE(Table46[Kryo (binary reference)]) - K38</f>
        <v>11.666666666666629</v>
      </c>
      <c r="L39" s="2">
        <f>AVERAGE(Table46[Boon]) - L38</f>
        <v>401.00000000000006</v>
      </c>
      <c r="M39" s="2">
        <f>AVERAGE(Table46[Alibaba]) - M38</f>
        <v>440.66666666666669</v>
      </c>
      <c r="N39" s="2">
        <f>AVERAGE(Table46[Gson]) - N38</f>
        <v>705.66666666666674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799.66666666666663</v>
      </c>
      <c r="D40" s="2">
        <f t="shared" si="0"/>
        <v>170.66666666666669</v>
      </c>
      <c r="E40" s="2">
        <f t="shared" ref="E40" si="1">E41 - E39 - E38</f>
        <v>141.33333333333337</v>
      </c>
      <c r="F40" s="2">
        <f t="shared" si="0"/>
        <v>615.66666666666663</v>
      </c>
      <c r="G40" s="2">
        <f t="shared" si="0"/>
        <v>345.66666666666669</v>
      </c>
      <c r="H40" s="2">
        <f t="shared" si="0"/>
        <v>833.66666666666686</v>
      </c>
      <c r="I40" s="2">
        <f t="shared" ref="I40" si="2">I41 - I39 - I38</f>
        <v>493.33333333333331</v>
      </c>
      <c r="J40" s="2">
        <f t="shared" ref="J40" si="3">J41 - J39 - J38</f>
        <v>92</v>
      </c>
      <c r="K40" s="2">
        <f t="shared" ref="K40:L40" si="4">K41 - K39 - K38</f>
        <v>86.333333333333371</v>
      </c>
      <c r="L40" s="2" t="e">
        <f t="shared" si="4"/>
        <v>#DIV/0!</v>
      </c>
      <c r="M40" s="2">
        <f t="shared" ref="M40" si="5">M41 - M39 - M38</f>
        <v>805.66666666666652</v>
      </c>
      <c r="N40" s="2">
        <f t="shared" ref="N40" si="6">N41 - N39 - N38</f>
        <v>670.33333333333326</v>
      </c>
      <c r="O40" s="2"/>
      <c r="P40" s="2"/>
      <c r="Q40" s="2"/>
    </row>
    <row r="41" spans="2:17" x14ac:dyDescent="0.25">
      <c r="B41" t="s">
        <v>23</v>
      </c>
      <c r="C41" s="2">
        <f>AVERAGE(Table48[Newtonsoft])</f>
        <v>1161.6666666666667</v>
      </c>
      <c r="D41" s="2">
        <f>AVERAGE(Table48[Revenj])</f>
        <v>324.33333333333331</v>
      </c>
      <c r="E41" s="2">
        <f>AVERAGE(Table48[ProtoBuf (binary reference)])</f>
        <v>319.66666666666669</v>
      </c>
      <c r="F41" s="2">
        <f>AVERAGE(Table48[Service Stack])</f>
        <v>1004</v>
      </c>
      <c r="G41" s="2">
        <f>AVERAGE(Table48[Jil])</f>
        <v>612.33333333333337</v>
      </c>
      <c r="H41" s="2">
        <f>AVERAGE(Table48[NetJSON])</f>
        <v>1098.6666666666667</v>
      </c>
      <c r="I41" s="2">
        <f>AVERAGE(Table48[Jackson])</f>
        <v>969</v>
      </c>
      <c r="J41" s="2">
        <f>AVERAGE(Table48[DSL-JSON])</f>
        <v>448.66666666666669</v>
      </c>
      <c r="K41" s="2">
        <f>AVERAGE(Table48[Kryo (binary reference)])</f>
        <v>436.66666666666669</v>
      </c>
      <c r="L41" s="2" t="e">
        <f>AVERAGE(Table48[Boon])</f>
        <v>#DIV/0!</v>
      </c>
      <c r="M41" s="2">
        <f>AVERAGE(Table48[Alibaba])</f>
        <v>1616</v>
      </c>
      <c r="N41" s="2">
        <f>AVERAGE(Table48[Gson])</f>
        <v>1741.3333333333333</v>
      </c>
      <c r="O41" s="2"/>
      <c r="P41" s="2"/>
      <c r="Q41" s="2"/>
    </row>
    <row r="42" spans="2:17" x14ac:dyDescent="0.25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AVERAGE(Table46[ProtoBuf (size)])</f>
        <v>4488890</v>
      </c>
      <c r="F42" s="3">
        <f>AVERAGE(Table46[Service Stack (size)])</f>
        <v>11838890</v>
      </c>
      <c r="G42" s="2">
        <f>AVERAGE(Table46[Jil (size)])</f>
        <v>11938890</v>
      </c>
      <c r="H42" s="2">
        <f>AVERAGE(Table46[NetJSON (size)])</f>
        <v>11288890</v>
      </c>
      <c r="I42" s="2">
        <f>AVERAGE(Table46[Jackson (size)])</f>
        <v>10938890</v>
      </c>
      <c r="J42" s="2">
        <f>AVERAGE(Table46[DSL-JSON (size)])</f>
        <v>10188890</v>
      </c>
      <c r="K42" s="2">
        <f>AVERAGE(Table46[Kryo (size)])</f>
        <v>3888890</v>
      </c>
      <c r="L42" s="2">
        <f>AVERAGE(Table46[Boon (size)])</f>
        <v>10188890</v>
      </c>
      <c r="M42" s="2">
        <f>AVERAGE(Table46[Alibaba (size)])</f>
        <v>10938890</v>
      </c>
      <c r="N42" s="2">
        <f>AVERAGE(Table46[Gson (size)])</f>
        <v>10938890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DEVSQ(Table46[Newtonsoft])</f>
        <v>150</v>
      </c>
      <c r="D47" s="2">
        <f>DEVSQ(Table46[Revenj])</f>
        <v>12.666666666666668</v>
      </c>
      <c r="E47" s="2">
        <f>DEVSQ(Table46[ProtoBuf (binary reference)])</f>
        <v>16.666666666666668</v>
      </c>
      <c r="F47" s="2">
        <f>DEVSQ(Table46[Service Stack])</f>
        <v>48.666666666666671</v>
      </c>
      <c r="G47" s="2">
        <f>DEVSQ(Table46[Jil])</f>
        <v>32.666666666666671</v>
      </c>
      <c r="H47" s="2">
        <f>DEVSQ(Table46[NetJSON])</f>
        <v>86</v>
      </c>
      <c r="I47" s="2">
        <f>DEVSQ(Table46[Jackson])</f>
        <v>172.66666666666669</v>
      </c>
      <c r="J47" s="2">
        <f>DEVSQ(Table46[DSL-JSON])</f>
        <v>224.66666666666663</v>
      </c>
      <c r="K47" s="2">
        <f>DEVSQ(Table46[Kryo (binary reference)])</f>
        <v>340.66666666666663</v>
      </c>
      <c r="L47" s="2">
        <f>DEVSQ(Table46[Boon])</f>
        <v>1066.6666666666665</v>
      </c>
      <c r="M47" s="2">
        <f>DEVSQ(Table46[Alibaba])</f>
        <v>2092.6666666666665</v>
      </c>
      <c r="N47" s="2">
        <f>DEVSQ(Table46[Gson])</f>
        <v>206</v>
      </c>
      <c r="O47" s="2"/>
      <c r="P47" s="2"/>
      <c r="Q47" s="2"/>
    </row>
    <row r="48" spans="2:17" x14ac:dyDescent="0.25">
      <c r="B48" t="s">
        <v>23</v>
      </c>
      <c r="C48" s="2">
        <f>DEVSQ(Table48[Newtonsoft])</f>
        <v>7600.666666666667</v>
      </c>
      <c r="D48" s="2">
        <f>DEVSQ(Table48[Revenj])</f>
        <v>0.66666666666666674</v>
      </c>
      <c r="E48" s="2">
        <f>DEVSQ(Table48[ProtoBuf (binary reference)])</f>
        <v>52.666666666666671</v>
      </c>
      <c r="F48" s="2">
        <f>DEVSQ(Table48[Service Stack])</f>
        <v>150</v>
      </c>
      <c r="G48" s="2">
        <f>DEVSQ(Table48[Jil])</f>
        <v>232.66666666666669</v>
      </c>
      <c r="H48" s="2">
        <f>DEVSQ(Table48[NetJSON])</f>
        <v>482.66666666666674</v>
      </c>
      <c r="I48" s="2">
        <f>DEVSQ(Table48[Jackson])</f>
        <v>1406</v>
      </c>
      <c r="J48" s="2">
        <f>DEVSQ(Table48[DSL-JSON])</f>
        <v>440.66666666666663</v>
      </c>
      <c r="K48" s="2">
        <f>DEVSQ(Table48[Kryo (binary reference)])</f>
        <v>620.66666666666663</v>
      </c>
      <c r="L48" s="2" t="e">
        <f>DEVSQ(Table48[Boon])</f>
        <v>#NUM!</v>
      </c>
      <c r="M48" s="2">
        <f>DEVSQ(Table48[Alibaba])</f>
        <v>3134</v>
      </c>
      <c r="N48" s="2">
        <f>DEVSQ(Table48[Gson])</f>
        <v>2066.6666666666665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71</v>
      </c>
      <c r="C52">
        <v>78</v>
      </c>
      <c r="D52">
        <v>77</v>
      </c>
      <c r="E52">
        <v>76</v>
      </c>
      <c r="F52">
        <v>76</v>
      </c>
      <c r="G52">
        <v>73</v>
      </c>
      <c r="H52">
        <v>340</v>
      </c>
      <c r="I52">
        <v>329</v>
      </c>
      <c r="J52">
        <v>332</v>
      </c>
      <c r="K52">
        <v>376</v>
      </c>
      <c r="L52">
        <v>376</v>
      </c>
      <c r="M52">
        <v>364</v>
      </c>
    </row>
    <row r="53" spans="2:25" x14ac:dyDescent="0.25">
      <c r="B53">
        <v>77</v>
      </c>
      <c r="C53">
        <v>75</v>
      </c>
      <c r="D53">
        <v>75</v>
      </c>
      <c r="E53">
        <v>79</v>
      </c>
      <c r="F53">
        <v>77</v>
      </c>
      <c r="G53">
        <v>79</v>
      </c>
      <c r="H53">
        <v>351</v>
      </c>
      <c r="I53">
        <v>303</v>
      </c>
      <c r="J53">
        <v>320</v>
      </c>
      <c r="K53">
        <v>364</v>
      </c>
      <c r="L53">
        <v>357</v>
      </c>
      <c r="M53">
        <v>364</v>
      </c>
    </row>
    <row r="54" spans="2:25" x14ac:dyDescent="0.25">
      <c r="B54">
        <v>72</v>
      </c>
      <c r="C54">
        <v>82</v>
      </c>
      <c r="D54">
        <v>68</v>
      </c>
      <c r="E54">
        <v>74</v>
      </c>
      <c r="F54">
        <v>76</v>
      </c>
      <c r="G54">
        <v>66</v>
      </c>
      <c r="H54">
        <v>316</v>
      </c>
      <c r="I54">
        <v>315</v>
      </c>
      <c r="J54">
        <v>364</v>
      </c>
      <c r="K54">
        <v>377</v>
      </c>
      <c r="L54">
        <v>376</v>
      </c>
      <c r="M54">
        <v>368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372</v>
      </c>
      <c r="C58">
        <v>151</v>
      </c>
      <c r="D58">
        <v>180</v>
      </c>
      <c r="E58">
        <v>385</v>
      </c>
      <c r="F58">
        <v>271</v>
      </c>
      <c r="G58">
        <v>272</v>
      </c>
      <c r="H58">
        <v>482</v>
      </c>
      <c r="I58">
        <v>368</v>
      </c>
      <c r="J58">
        <v>364</v>
      </c>
      <c r="K58">
        <v>800</v>
      </c>
      <c r="L58">
        <v>774</v>
      </c>
      <c r="M58">
        <v>1069</v>
      </c>
      <c r="N58">
        <v>11938890</v>
      </c>
      <c r="O58">
        <v>10188890</v>
      </c>
      <c r="P58">
        <v>4488890</v>
      </c>
      <c r="Q58">
        <v>11838890</v>
      </c>
      <c r="R58">
        <v>11938890</v>
      </c>
      <c r="S58">
        <v>11288890</v>
      </c>
      <c r="T58">
        <v>10938890</v>
      </c>
      <c r="U58">
        <v>10188890</v>
      </c>
      <c r="V58">
        <v>3888890</v>
      </c>
      <c r="W58">
        <v>10188890</v>
      </c>
      <c r="X58">
        <v>10938890</v>
      </c>
      <c r="Y58">
        <v>10938890</v>
      </c>
    </row>
    <row r="59" spans="2:25" x14ac:dyDescent="0.25">
      <c r="B59">
        <v>357</v>
      </c>
      <c r="C59">
        <v>154</v>
      </c>
      <c r="D59">
        <v>175</v>
      </c>
      <c r="E59">
        <v>394</v>
      </c>
      <c r="F59">
        <v>263</v>
      </c>
      <c r="G59">
        <v>259</v>
      </c>
      <c r="H59">
        <v>480</v>
      </c>
      <c r="I59">
        <v>355</v>
      </c>
      <c r="J59">
        <v>349</v>
      </c>
      <c r="K59">
        <v>760</v>
      </c>
      <c r="L59">
        <v>836</v>
      </c>
      <c r="M59">
        <v>1082</v>
      </c>
      <c r="N59">
        <v>11938890</v>
      </c>
      <c r="O59">
        <v>10188890</v>
      </c>
      <c r="P59">
        <v>4488890</v>
      </c>
      <c r="Q59">
        <v>11838890</v>
      </c>
      <c r="R59">
        <v>11938890</v>
      </c>
      <c r="S59">
        <v>11288890</v>
      </c>
      <c r="T59">
        <v>10938890</v>
      </c>
      <c r="U59">
        <v>10188890</v>
      </c>
      <c r="V59">
        <v>3888890</v>
      </c>
      <c r="W59">
        <v>10188890</v>
      </c>
      <c r="X59">
        <v>10938890</v>
      </c>
      <c r="Y59">
        <v>10938890</v>
      </c>
    </row>
    <row r="60" spans="2:25" x14ac:dyDescent="0.25">
      <c r="B60">
        <v>357</v>
      </c>
      <c r="C60">
        <v>156</v>
      </c>
      <c r="D60">
        <v>180</v>
      </c>
      <c r="E60">
        <v>386</v>
      </c>
      <c r="F60">
        <v>266</v>
      </c>
      <c r="G60">
        <v>264</v>
      </c>
      <c r="H60">
        <v>465</v>
      </c>
      <c r="I60">
        <v>347</v>
      </c>
      <c r="J60">
        <v>338</v>
      </c>
      <c r="K60">
        <v>760</v>
      </c>
      <c r="L60">
        <v>821</v>
      </c>
      <c r="M60">
        <v>1062</v>
      </c>
      <c r="N60">
        <v>11938890</v>
      </c>
      <c r="O60">
        <v>10188890</v>
      </c>
      <c r="P60">
        <v>4488890</v>
      </c>
      <c r="Q60">
        <v>11838890</v>
      </c>
      <c r="R60">
        <v>11938890</v>
      </c>
      <c r="S60">
        <v>11288890</v>
      </c>
      <c r="T60">
        <v>10938890</v>
      </c>
      <c r="U60">
        <v>10188890</v>
      </c>
      <c r="V60">
        <v>3888890</v>
      </c>
      <c r="W60">
        <v>10188890</v>
      </c>
      <c r="X60">
        <v>10938890</v>
      </c>
      <c r="Y60">
        <v>10938890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1117</v>
      </c>
      <c r="C64">
        <v>324</v>
      </c>
      <c r="D64">
        <v>321</v>
      </c>
      <c r="E64">
        <v>994</v>
      </c>
      <c r="F64">
        <v>617</v>
      </c>
      <c r="G64">
        <v>1094</v>
      </c>
      <c r="H64">
        <v>992</v>
      </c>
      <c r="I64">
        <v>445</v>
      </c>
      <c r="J64">
        <v>427</v>
      </c>
      <c r="L64">
        <v>1619</v>
      </c>
      <c r="M64">
        <v>1778</v>
      </c>
    </row>
    <row r="65" spans="2:13" x14ac:dyDescent="0.25">
      <c r="B65">
        <v>1232</v>
      </c>
      <c r="C65">
        <v>325</v>
      </c>
      <c r="D65">
        <v>324</v>
      </c>
      <c r="E65">
        <v>1009</v>
      </c>
      <c r="F65">
        <v>620</v>
      </c>
      <c r="G65">
        <v>1116</v>
      </c>
      <c r="H65">
        <v>975</v>
      </c>
      <c r="I65">
        <v>436</v>
      </c>
      <c r="J65">
        <v>457</v>
      </c>
      <c r="L65">
        <v>1575</v>
      </c>
      <c r="M65">
        <v>1718</v>
      </c>
    </row>
    <row r="66" spans="2:13" x14ac:dyDescent="0.25">
      <c r="B66">
        <v>1136</v>
      </c>
      <c r="C66">
        <v>324</v>
      </c>
      <c r="D66">
        <v>314</v>
      </c>
      <c r="E66">
        <v>1009</v>
      </c>
      <c r="F66">
        <v>600</v>
      </c>
      <c r="G66">
        <v>1086</v>
      </c>
      <c r="H66">
        <v>940</v>
      </c>
      <c r="I66">
        <v>465</v>
      </c>
      <c r="J66">
        <v>426</v>
      </c>
      <c r="L66">
        <v>1654</v>
      </c>
      <c r="M66">
        <v>1728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44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AVERAGE(Table52[Newtonsoft])</f>
        <v>657.66666666666663</v>
      </c>
      <c r="D38" s="2">
        <f>AVERAGE(Table52[Revenj])</f>
        <v>623</v>
      </c>
      <c r="E38" s="2">
        <f>AVERAGE(Table52[ProtoBuf (binary reference)])</f>
        <v>620.33333333333337</v>
      </c>
      <c r="F38" s="2">
        <f>AVERAGE(Table52[Service Stack])</f>
        <v>631.33333333333337</v>
      </c>
      <c r="G38" s="2">
        <f>AVERAGE(Table52[Jil])</f>
        <v>631.33333333333337</v>
      </c>
      <c r="H38" s="2">
        <f>AVERAGE(Table52[NetJSON])</f>
        <v>620.33333333333337</v>
      </c>
      <c r="I38" s="2">
        <f>AVERAGE(Table52[Jackson])</f>
        <v>786.66666666666663</v>
      </c>
      <c r="J38" s="2">
        <f>AVERAGE(Table52[DSL-JSON])</f>
        <v>776</v>
      </c>
      <c r="K38" s="2">
        <f>AVERAGE(Table52[Kryo (binary reference)])</f>
        <v>787.33333333333337</v>
      </c>
      <c r="L38" s="2">
        <f>AVERAGE(Table52[Boon])</f>
        <v>817</v>
      </c>
      <c r="M38" s="2">
        <f>AVERAGE(Table52[Alibaba])</f>
        <v>823.33333333333337</v>
      </c>
      <c r="N38" s="2">
        <f>AVERAGE(Table52[Gson])</f>
        <v>831.66666666666663</v>
      </c>
      <c r="O38" s="2"/>
      <c r="P38" s="2"/>
      <c r="Q38" s="2"/>
    </row>
    <row r="39" spans="2:17" x14ac:dyDescent="0.25">
      <c r="B39" t="s">
        <v>0</v>
      </c>
      <c r="C39" s="2">
        <f>AVERAGE(Table51[Newtonsoft]) - C38</f>
        <v>2774.666666666667</v>
      </c>
      <c r="D39" s="2">
        <f>AVERAGE(Table51[Revenj]) - D38</f>
        <v>816</v>
      </c>
      <c r="E39" s="2">
        <f>AVERAGE(Table51[ProtoBuf (binary reference)]) - E38</f>
        <v>981.66666666666663</v>
      </c>
      <c r="F39" s="2">
        <f>AVERAGE(Table51[Service Stack]) - F38</f>
        <v>2920.333333333333</v>
      </c>
      <c r="G39" s="2">
        <f>AVERAGE(Table51[Jil]) - G38</f>
        <v>1758.6666666666665</v>
      </c>
      <c r="H39" s="2">
        <f>AVERAGE(Table51[NetJSON]) - H38</f>
        <v>1953.6666666666665</v>
      </c>
      <c r="I39" s="2">
        <f>AVERAGE(Table51[Jackson]) - I38</f>
        <v>775.66666666666663</v>
      </c>
      <c r="J39" s="2">
        <f>AVERAGE(Table51[DSL-JSON]) - J38</f>
        <v>239</v>
      </c>
      <c r="K39" s="2">
        <f>AVERAGE(Table51[Kryo (binary reference)]) - K38</f>
        <v>195</v>
      </c>
      <c r="L39" s="2">
        <f>AVERAGE(Table51[Boon]) - L38</f>
        <v>2403.6666666666665</v>
      </c>
      <c r="M39" s="2">
        <f>AVERAGE(Table51[Alibaba]) - M38</f>
        <v>2043.6666666666665</v>
      </c>
      <c r="N39" s="2">
        <f>AVERAGE(Table51[Gson]) - N38</f>
        <v>3781.3333333333335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7438.6666666666661</v>
      </c>
      <c r="D40" s="2">
        <f t="shared" si="0"/>
        <v>1635.3333333333335</v>
      </c>
      <c r="E40" s="2">
        <f t="shared" ref="E40" si="1">E41 - E39 - E38</f>
        <v>1413.3333333333335</v>
      </c>
      <c r="F40" s="2">
        <f t="shared" si="0"/>
        <v>5967.3333333333339</v>
      </c>
      <c r="G40" s="2">
        <f t="shared" si="0"/>
        <v>3033.666666666667</v>
      </c>
      <c r="H40" s="2">
        <f t="shared" si="0"/>
        <v>8061.0000000000009</v>
      </c>
      <c r="I40" s="2">
        <f t="shared" ref="I40" si="2">I41 - I39 - I38</f>
        <v>2440.0000000000005</v>
      </c>
      <c r="J40" s="2">
        <f t="shared" ref="J40" si="3">J41 - J39 - J38</f>
        <v>360.33333333333326</v>
      </c>
      <c r="K40" s="2">
        <f t="shared" ref="K40:L40" si="4">K41 - K39 - K38</f>
        <v>273.99999999999989</v>
      </c>
      <c r="L40" s="2" t="e">
        <f t="shared" si="4"/>
        <v>#DIV/0!</v>
      </c>
      <c r="M40" s="2">
        <f t="shared" ref="M40" si="5">M41 - M39 - M38</f>
        <v>3464.6666666666665</v>
      </c>
      <c r="N40" s="2">
        <f t="shared" ref="N40" si="6">N41 - N39 - N38</f>
        <v>4801.9999999999991</v>
      </c>
      <c r="O40" s="2"/>
      <c r="P40" s="2"/>
      <c r="Q40" s="2"/>
    </row>
    <row r="41" spans="2:17" x14ac:dyDescent="0.25">
      <c r="B41" t="s">
        <v>23</v>
      </c>
      <c r="C41" s="2">
        <f>AVERAGE(Table53[Newtonsoft])</f>
        <v>10871</v>
      </c>
      <c r="D41" s="2">
        <f>AVERAGE(Table53[Revenj])</f>
        <v>3074.3333333333335</v>
      </c>
      <c r="E41" s="2">
        <f>AVERAGE(Table53[ProtoBuf (binary reference)])</f>
        <v>3015.3333333333335</v>
      </c>
      <c r="F41" s="2">
        <f>AVERAGE(Table53[Service Stack])</f>
        <v>9519</v>
      </c>
      <c r="G41" s="2">
        <f>AVERAGE(Table53[Jil])</f>
        <v>5423.666666666667</v>
      </c>
      <c r="H41" s="2">
        <f>AVERAGE(Table53[NetJSON])</f>
        <v>10635</v>
      </c>
      <c r="I41" s="2">
        <f>AVERAGE(Table53[Jackson])</f>
        <v>4002.3333333333335</v>
      </c>
      <c r="J41" s="2">
        <f>AVERAGE(Table53[DSL-JSON])</f>
        <v>1375.3333333333333</v>
      </c>
      <c r="K41" s="2">
        <f>AVERAGE(Table53[Kryo (binary reference)])</f>
        <v>1256.3333333333333</v>
      </c>
      <c r="L41" s="2" t="e">
        <f>AVERAGE(Table53[Boon])</f>
        <v>#DIV/0!</v>
      </c>
      <c r="M41" s="2">
        <f>AVERAGE(Table53[Alibaba])</f>
        <v>6331.666666666667</v>
      </c>
      <c r="N41" s="2">
        <f>AVERAGE(Table53[Gson])</f>
        <v>9415</v>
      </c>
      <c r="O41" s="2"/>
      <c r="P41" s="2"/>
      <c r="Q41" s="2"/>
    </row>
    <row r="42" spans="2:17" x14ac:dyDescent="0.25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AVERAGE(Table51[ProtoBuf (size)])</f>
        <v>45888890</v>
      </c>
      <c r="F42" s="3">
        <f>AVERAGE(Table51[Service Stack (size)])</f>
        <v>119388890</v>
      </c>
      <c r="G42" s="2">
        <f>AVERAGE(Table51[Jil (size)])</f>
        <v>120388890</v>
      </c>
      <c r="H42" s="2">
        <f>AVERAGE(Table51[NetJSON (size)])</f>
        <v>113888890</v>
      </c>
      <c r="I42" s="2">
        <f>AVERAGE(Table51[Jackson (size)])</f>
        <v>110388890</v>
      </c>
      <c r="J42" s="2">
        <f>AVERAGE(Table51[DSL-JSON (size)])</f>
        <v>102888890</v>
      </c>
      <c r="K42" s="2">
        <f>AVERAGE(Table51[Kryo (size)])</f>
        <v>39888890</v>
      </c>
      <c r="L42" s="2">
        <f>AVERAGE(Table51[Boon (size)])</f>
        <v>102888890</v>
      </c>
      <c r="M42" s="2">
        <f>AVERAGE(Table51[Alibaba (size)])</f>
        <v>110388890</v>
      </c>
      <c r="N42" s="2">
        <f>AVERAGE(Table51[Gson (size)])</f>
        <v>110388890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DEVSQ(Table51[Newtonsoft])</f>
        <v>6744.666666666667</v>
      </c>
      <c r="D47" s="2">
        <f>DEVSQ(Table51[Revenj])</f>
        <v>14</v>
      </c>
      <c r="E47" s="2">
        <f>DEVSQ(Table51[ProtoBuf (binary reference)])</f>
        <v>115998</v>
      </c>
      <c r="F47" s="2">
        <f>DEVSQ(Table51[Service Stack])</f>
        <v>24370.666666666668</v>
      </c>
      <c r="G47" s="2">
        <f>DEVSQ(Table51[Jil])</f>
        <v>1688</v>
      </c>
      <c r="H47" s="2">
        <f>DEVSQ(Table51[NetJSON])</f>
        <v>83768</v>
      </c>
      <c r="I47" s="2">
        <f>DEVSQ(Table51[Jackson])</f>
        <v>658.66666666666674</v>
      </c>
      <c r="J47" s="2">
        <f>DEVSQ(Table51[DSL-JSON])</f>
        <v>9626</v>
      </c>
      <c r="K47" s="2">
        <f>DEVSQ(Table51[Kryo (binary reference)])</f>
        <v>552.66666666666674</v>
      </c>
      <c r="L47" s="2">
        <f>DEVSQ(Table51[Boon])</f>
        <v>73468.666666666657</v>
      </c>
      <c r="M47" s="2">
        <f>DEVSQ(Table51[Alibaba])</f>
        <v>708206</v>
      </c>
      <c r="N47" s="2">
        <f>DEVSQ(Table51[Gson])</f>
        <v>10872</v>
      </c>
      <c r="O47" s="2"/>
      <c r="P47" s="2"/>
      <c r="Q47" s="2"/>
    </row>
    <row r="48" spans="2:17" x14ac:dyDescent="0.25">
      <c r="B48" t="s">
        <v>23</v>
      </c>
      <c r="C48" s="2">
        <f>DEVSQ(Table53[Newtonsoft])</f>
        <v>3858</v>
      </c>
      <c r="D48" s="2">
        <f>DEVSQ(Table53[Revenj])</f>
        <v>12516.666666666668</v>
      </c>
      <c r="E48" s="2">
        <f>DEVSQ(Table53[ProtoBuf (binary reference)])</f>
        <v>1200.6666666666667</v>
      </c>
      <c r="F48" s="2">
        <f>DEVSQ(Table53[Service Stack])</f>
        <v>3104</v>
      </c>
      <c r="G48" s="2">
        <f>DEVSQ(Table53[Jil])</f>
        <v>3004.6666666666665</v>
      </c>
      <c r="H48" s="2">
        <f>DEVSQ(Table53[NetJSON])</f>
        <v>31136</v>
      </c>
      <c r="I48" s="2">
        <f>DEVSQ(Table53[Jackson])</f>
        <v>56216.666666666664</v>
      </c>
      <c r="J48" s="2">
        <f>DEVSQ(Table53[DSL-JSON])</f>
        <v>2244.666666666667</v>
      </c>
      <c r="K48" s="2">
        <f>DEVSQ(Table53[Kryo (binary reference)])</f>
        <v>562.66666666666674</v>
      </c>
      <c r="L48" s="2" t="e">
        <f>DEVSQ(Table53[Boon])</f>
        <v>#NUM!</v>
      </c>
      <c r="M48" s="2">
        <f>DEVSQ(Table53[Alibaba])</f>
        <v>115572.66666666666</v>
      </c>
      <c r="N48" s="2">
        <f>DEVSQ(Table53[Gson])</f>
        <v>158118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624</v>
      </c>
      <c r="C52">
        <v>657</v>
      </c>
      <c r="D52">
        <v>600</v>
      </c>
      <c r="E52">
        <v>606</v>
      </c>
      <c r="F52">
        <v>606</v>
      </c>
      <c r="G52">
        <v>598</v>
      </c>
      <c r="H52">
        <v>789</v>
      </c>
      <c r="I52">
        <v>799</v>
      </c>
      <c r="J52">
        <v>773</v>
      </c>
      <c r="K52">
        <v>814</v>
      </c>
      <c r="L52">
        <v>840</v>
      </c>
      <c r="M52">
        <v>836</v>
      </c>
    </row>
    <row r="53" spans="2:25" x14ac:dyDescent="0.25">
      <c r="B53">
        <v>673</v>
      </c>
      <c r="C53">
        <v>599</v>
      </c>
      <c r="D53">
        <v>609</v>
      </c>
      <c r="E53">
        <v>660</v>
      </c>
      <c r="F53">
        <v>668</v>
      </c>
      <c r="G53">
        <v>602</v>
      </c>
      <c r="H53">
        <v>788</v>
      </c>
      <c r="I53">
        <v>767</v>
      </c>
      <c r="J53">
        <v>802</v>
      </c>
      <c r="K53">
        <v>823</v>
      </c>
      <c r="L53">
        <v>813</v>
      </c>
      <c r="M53">
        <v>834</v>
      </c>
    </row>
    <row r="54" spans="2:25" x14ac:dyDescent="0.25">
      <c r="B54">
        <v>676</v>
      </c>
      <c r="C54">
        <v>613</v>
      </c>
      <c r="D54">
        <v>652</v>
      </c>
      <c r="E54">
        <v>628</v>
      </c>
      <c r="F54">
        <v>620</v>
      </c>
      <c r="G54">
        <v>661</v>
      </c>
      <c r="H54">
        <v>783</v>
      </c>
      <c r="I54">
        <v>762</v>
      </c>
      <c r="J54">
        <v>787</v>
      </c>
      <c r="K54">
        <v>814</v>
      </c>
      <c r="L54">
        <v>817</v>
      </c>
      <c r="M54">
        <v>825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3492</v>
      </c>
      <c r="C58">
        <v>1438</v>
      </c>
      <c r="D58">
        <v>1880</v>
      </c>
      <c r="E58">
        <v>3637</v>
      </c>
      <c r="F58">
        <v>2392</v>
      </c>
      <c r="G58">
        <v>2804</v>
      </c>
      <c r="H58">
        <v>1565</v>
      </c>
      <c r="I58">
        <v>1094</v>
      </c>
      <c r="J58">
        <v>980</v>
      </c>
      <c r="K58">
        <v>3434</v>
      </c>
      <c r="L58">
        <v>3365</v>
      </c>
      <c r="M58">
        <v>4697</v>
      </c>
      <c r="N58">
        <v>120388890</v>
      </c>
      <c r="O58">
        <v>102888890</v>
      </c>
      <c r="P58">
        <v>45888890</v>
      </c>
      <c r="Q58">
        <v>119388890</v>
      </c>
      <c r="R58">
        <v>120388890</v>
      </c>
      <c r="S58">
        <v>113888890</v>
      </c>
      <c r="T58">
        <v>110388890</v>
      </c>
      <c r="U58">
        <v>102888890</v>
      </c>
      <c r="V58">
        <v>39888890</v>
      </c>
      <c r="W58">
        <v>102888890</v>
      </c>
      <c r="X58">
        <v>110388890</v>
      </c>
      <c r="Y58">
        <v>110388890</v>
      </c>
    </row>
    <row r="59" spans="2:25" x14ac:dyDescent="0.25">
      <c r="B59">
        <v>3376</v>
      </c>
      <c r="C59">
        <v>1437</v>
      </c>
      <c r="D59">
        <v>1457</v>
      </c>
      <c r="E59">
        <v>3427</v>
      </c>
      <c r="F59">
        <v>2360</v>
      </c>
      <c r="G59">
        <v>2412</v>
      </c>
      <c r="H59">
        <v>1579</v>
      </c>
      <c r="I59">
        <v>964</v>
      </c>
      <c r="J59">
        <v>1000</v>
      </c>
      <c r="K59">
        <v>3165</v>
      </c>
      <c r="L59">
        <v>3028</v>
      </c>
      <c r="M59">
        <v>4583</v>
      </c>
      <c r="N59">
        <v>120388890</v>
      </c>
      <c r="O59">
        <v>102888890</v>
      </c>
      <c r="P59">
        <v>45888890</v>
      </c>
      <c r="Q59">
        <v>119388890</v>
      </c>
      <c r="R59">
        <v>120388890</v>
      </c>
      <c r="S59">
        <v>113888890</v>
      </c>
      <c r="T59">
        <v>110388890</v>
      </c>
      <c r="U59">
        <v>102888890</v>
      </c>
      <c r="V59">
        <v>39888890</v>
      </c>
      <c r="W59">
        <v>102888890</v>
      </c>
      <c r="X59">
        <v>110388890</v>
      </c>
      <c r="Y59">
        <v>110388890</v>
      </c>
    </row>
    <row r="60" spans="2:25" x14ac:dyDescent="0.25">
      <c r="B60">
        <v>3429</v>
      </c>
      <c r="C60">
        <v>1442</v>
      </c>
      <c r="D60">
        <v>1469</v>
      </c>
      <c r="E60">
        <v>3591</v>
      </c>
      <c r="F60">
        <v>2418</v>
      </c>
      <c r="G60">
        <v>2506</v>
      </c>
      <c r="H60">
        <v>1543</v>
      </c>
      <c r="I60">
        <v>987</v>
      </c>
      <c r="J60">
        <v>967</v>
      </c>
      <c r="K60">
        <v>3063</v>
      </c>
      <c r="L60">
        <v>2208</v>
      </c>
      <c r="M60">
        <v>4559</v>
      </c>
      <c r="N60">
        <v>120388890</v>
      </c>
      <c r="O60">
        <v>102888890</v>
      </c>
      <c r="P60">
        <v>45888890</v>
      </c>
      <c r="Q60">
        <v>119388890</v>
      </c>
      <c r="R60">
        <v>120388890</v>
      </c>
      <c r="S60">
        <v>113888890</v>
      </c>
      <c r="T60">
        <v>110388890</v>
      </c>
      <c r="U60">
        <v>102888890</v>
      </c>
      <c r="V60">
        <v>39888890</v>
      </c>
      <c r="W60">
        <v>102888890</v>
      </c>
      <c r="X60">
        <v>110388890</v>
      </c>
      <c r="Y60">
        <v>110388890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10864</v>
      </c>
      <c r="C64">
        <v>3161</v>
      </c>
      <c r="D64">
        <v>2991</v>
      </c>
      <c r="E64">
        <v>9507</v>
      </c>
      <c r="F64">
        <v>5380</v>
      </c>
      <c r="G64">
        <v>10503</v>
      </c>
      <c r="H64">
        <v>3994</v>
      </c>
      <c r="I64">
        <v>1414</v>
      </c>
      <c r="J64">
        <v>1237</v>
      </c>
      <c r="L64">
        <v>6242</v>
      </c>
      <c r="M64">
        <v>9290</v>
      </c>
    </row>
    <row r="65" spans="2:13" x14ac:dyDescent="0.25">
      <c r="B65">
        <v>10918</v>
      </c>
      <c r="C65">
        <v>3006</v>
      </c>
      <c r="D65">
        <v>3040</v>
      </c>
      <c r="E65">
        <v>9563</v>
      </c>
      <c r="F65">
        <v>5454</v>
      </c>
      <c r="G65">
        <v>10651</v>
      </c>
      <c r="H65">
        <v>4174</v>
      </c>
      <c r="I65">
        <v>1355</v>
      </c>
      <c r="J65">
        <v>1267</v>
      </c>
      <c r="L65">
        <v>6149</v>
      </c>
      <c r="M65">
        <v>9737</v>
      </c>
    </row>
    <row r="66" spans="2:13" x14ac:dyDescent="0.25">
      <c r="B66">
        <v>10831</v>
      </c>
      <c r="C66">
        <v>3056</v>
      </c>
      <c r="D66">
        <v>3015</v>
      </c>
      <c r="E66">
        <v>9487</v>
      </c>
      <c r="F66">
        <v>5437</v>
      </c>
      <c r="G66">
        <v>10751</v>
      </c>
      <c r="H66">
        <v>3839</v>
      </c>
      <c r="I66">
        <v>1357</v>
      </c>
      <c r="J66">
        <v>1265</v>
      </c>
      <c r="L66">
        <v>6604</v>
      </c>
      <c r="M66">
        <v>9218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2016-07-31T15:50:18Z</dcterms:modified>
</cp:coreProperties>
</file>